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B3C5F429-1FC3-B242-B708-6EEFE10DDE30}" xr6:coauthVersionLast="47" xr6:coauthVersionMax="47" xr10:uidLastSave="{00000000-0000-0000-0000-000000000000}"/>
  <bookViews>
    <workbookView xWindow="0" yWindow="500" windowWidth="25080" windowHeight="19280" tabRatio="890" firstSheet="30" activeTab="35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7" i="46" l="1"/>
  <c r="C44" i="46"/>
  <c r="C23" i="46"/>
  <c r="G16" i="46"/>
  <c r="F16" i="46"/>
  <c r="E16" i="46"/>
  <c r="C16" i="46"/>
  <c r="G15" i="46"/>
  <c r="G14" i="46"/>
  <c r="G13" i="46"/>
  <c r="E12" i="46"/>
  <c r="G12" i="46" s="1"/>
  <c r="H12" i="46" s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H16" i="46" l="1"/>
  <c r="B7" i="47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 s="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I22" i="51" s="1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G22" i="51" s="1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E22" i="51" s="1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4" i="46"/>
  <c r="E104" i="46" s="1"/>
  <c r="E103" i="46"/>
  <c r="G103" i="46" s="1"/>
  <c r="H103" i="46" s="1"/>
  <c r="E98" i="46"/>
  <c r="D97" i="46"/>
  <c r="C94" i="46"/>
  <c r="C107" i="46" s="1"/>
  <c r="G91" i="46"/>
  <c r="E90" i="46"/>
  <c r="E94" i="46" s="1"/>
  <c r="D83" i="46"/>
  <c r="E83" i="46" s="1"/>
  <c r="E82" i="46"/>
  <c r="G82" i="46" s="1"/>
  <c r="H82" i="46" s="1"/>
  <c r="E77" i="46"/>
  <c r="D76" i="46"/>
  <c r="C73" i="46"/>
  <c r="C86" i="46" s="1"/>
  <c r="E69" i="46"/>
  <c r="E73" i="46" s="1"/>
  <c r="D62" i="46"/>
  <c r="E62" i="46" s="1"/>
  <c r="E61" i="46"/>
  <c r="G61" i="46" s="1"/>
  <c r="H61" i="46" s="1"/>
  <c r="E56" i="46"/>
  <c r="AJ68" i="49" s="1"/>
  <c r="D55" i="46"/>
  <c r="C52" i="46"/>
  <c r="C65" i="46" s="1"/>
  <c r="E48" i="46"/>
  <c r="E52" i="46" s="1"/>
  <c r="D41" i="46"/>
  <c r="E41" i="46" s="1"/>
  <c r="E40" i="46"/>
  <c r="G40" i="46" s="1"/>
  <c r="H40" i="46" s="1"/>
  <c r="E35" i="46"/>
  <c r="X68" i="49" s="1"/>
  <c r="D34" i="46"/>
  <c r="F30" i="46"/>
  <c r="F31" i="46" s="1"/>
  <c r="F44" i="46" s="1"/>
  <c r="F29" i="46"/>
  <c r="F28" i="46"/>
  <c r="F27" i="46"/>
  <c r="S27" i="50" s="1"/>
  <c r="C27" i="46"/>
  <c r="D20" i="46"/>
  <c r="E20" i="46" s="1"/>
  <c r="E19" i="46"/>
  <c r="G19" i="46" s="1"/>
  <c r="F9" i="46"/>
  <c r="F23" i="46" s="1"/>
  <c r="C9" i="46"/>
  <c r="G8" i="46"/>
  <c r="G7" i="46"/>
  <c r="G6" i="46"/>
  <c r="E5" i="46"/>
  <c r="E9" i="46" s="1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E6" i="68"/>
  <c r="E51" i="68"/>
  <c r="E7" i="68"/>
  <c r="H22" i="51"/>
  <c r="F22" i="5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 s="1"/>
  <c r="O33" i="48"/>
  <c r="N33" i="48"/>
  <c r="M33" i="48"/>
  <c r="L33" i="48"/>
  <c r="K33" i="48"/>
  <c r="J33" i="48"/>
  <c r="I33" i="48"/>
  <c r="H33" i="48"/>
  <c r="G33" i="48"/>
  <c r="F33" i="48"/>
  <c r="E33" i="48"/>
  <c r="J68" i="49"/>
  <c r="H68" i="49"/>
  <c r="G68" i="49"/>
  <c r="AB33" i="48"/>
  <c r="F43" i="51" s="1"/>
  <c r="AA33" i="48"/>
  <c r="Z33" i="48"/>
  <c r="Y33" i="48"/>
  <c r="X33" i="48"/>
  <c r="W33" i="48"/>
  <c r="V33" i="48"/>
  <c r="U33" i="48"/>
  <c r="T33" i="48"/>
  <c r="S33" i="48"/>
  <c r="R33" i="48"/>
  <c r="Q33" i="48"/>
  <c r="AA68" i="49"/>
  <c r="S68" i="49"/>
  <c r="AN33" i="48"/>
  <c r="G43" i="51" s="1"/>
  <c r="AM33" i="48"/>
  <c r="AL33" i="48"/>
  <c r="AK33" i="48"/>
  <c r="AJ33" i="48"/>
  <c r="AI33" i="48"/>
  <c r="AH33" i="48"/>
  <c r="AG33" i="48"/>
  <c r="AF33" i="48"/>
  <c r="AE33" i="48"/>
  <c r="AD33" i="48"/>
  <c r="AC33" i="48"/>
  <c r="AK68" i="49"/>
  <c r="AZ33" i="48"/>
  <c r="H43" i="51" s="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 s="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27" i="46"/>
  <c r="E31" i="46" s="1"/>
  <c r="G28" i="46"/>
  <c r="C31" i="46"/>
  <c r="E34" i="46"/>
  <c r="G34" i="46" s="1"/>
  <c r="G35" i="46"/>
  <c r="H35" i="46" s="1"/>
  <c r="F48" i="46"/>
  <c r="G48" i="46" s="1"/>
  <c r="H48" i="46" s="1"/>
  <c r="F49" i="46"/>
  <c r="F70" i="46" s="1"/>
  <c r="F50" i="46"/>
  <c r="F71" i="46" s="1"/>
  <c r="F92" i="46" s="1"/>
  <c r="E55" i="46"/>
  <c r="E58" i="46" s="1"/>
  <c r="C58" i="46"/>
  <c r="E76" i="46"/>
  <c r="G76" i="46" s="1"/>
  <c r="H76" i="46" s="1"/>
  <c r="G77" i="46"/>
  <c r="H77" i="46" s="1"/>
  <c r="C79" i="46"/>
  <c r="E97" i="46"/>
  <c r="E100" i="46" s="1"/>
  <c r="G98" i="46"/>
  <c r="H98" i="46" s="1"/>
  <c r="C100" i="46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C10" i="67"/>
  <c r="C39" i="64"/>
  <c r="C9" i="64"/>
  <c r="C124" i="116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F51" i="46" l="1"/>
  <c r="G51" i="46" s="1"/>
  <c r="G30" i="46"/>
  <c r="AD68" i="49"/>
  <c r="AL68" i="49"/>
  <c r="AE68" i="49"/>
  <c r="AM68" i="49"/>
  <c r="AF68" i="49"/>
  <c r="AN68" i="49"/>
  <c r="AG68" i="49"/>
  <c r="AO68" i="49"/>
  <c r="AH68" i="49"/>
  <c r="AI68" i="49"/>
  <c r="G56" i="46"/>
  <c r="H56" i="46" s="1"/>
  <c r="AI27" i="50"/>
  <c r="AH27" i="50"/>
  <c r="AJ27" i="50"/>
  <c r="AK27" i="50"/>
  <c r="Z27" i="50"/>
  <c r="G49" i="46"/>
  <c r="G5" i="46"/>
  <c r="AB27" i="50"/>
  <c r="G31" i="46"/>
  <c r="H31" i="46" s="1"/>
  <c r="Y68" i="49"/>
  <c r="R68" i="49"/>
  <c r="Z68" i="49"/>
  <c r="T68" i="49"/>
  <c r="AB68" i="49"/>
  <c r="U68" i="49"/>
  <c r="AC68" i="49"/>
  <c r="V68" i="49"/>
  <c r="F37" i="46"/>
  <c r="W68" i="49"/>
  <c r="AZ141" i="49"/>
  <c r="AR141" i="49"/>
  <c r="AY141" i="49"/>
  <c r="AQ141" i="49"/>
  <c r="AX141" i="49"/>
  <c r="AP141" i="49"/>
  <c r="AW141" i="49"/>
  <c r="G83" i="46"/>
  <c r="H83" i="46" s="1"/>
  <c r="AV141" i="49"/>
  <c r="AU141" i="49"/>
  <c r="AT141" i="49"/>
  <c r="BA141" i="49"/>
  <c r="AS141" i="49"/>
  <c r="Y27" i="50"/>
  <c r="G55" i="46"/>
  <c r="H55" i="46" s="1"/>
  <c r="M68" i="49"/>
  <c r="U27" i="50"/>
  <c r="AC27" i="50"/>
  <c r="W27" i="50"/>
  <c r="AF27" i="50"/>
  <c r="F52" i="46"/>
  <c r="F65" i="46" s="1"/>
  <c r="E37" i="46"/>
  <c r="AG27" i="50"/>
  <c r="F69" i="46"/>
  <c r="AN27" i="50" s="1"/>
  <c r="G27" i="46"/>
  <c r="H27" i="46" s="1"/>
  <c r="AD27" i="50"/>
  <c r="AL27" i="50"/>
  <c r="AE27" i="50"/>
  <c r="AM27" i="50"/>
  <c r="AJ141" i="49"/>
  <c r="G62" i="46"/>
  <c r="AI141" i="49"/>
  <c r="AH141" i="49"/>
  <c r="AO141" i="49"/>
  <c r="AG141" i="49"/>
  <c r="AN141" i="49"/>
  <c r="AF141" i="49"/>
  <c r="AM141" i="49"/>
  <c r="AE141" i="49"/>
  <c r="AL141" i="49"/>
  <c r="AD141" i="49"/>
  <c r="AK141" i="49"/>
  <c r="E65" i="46"/>
  <c r="E79" i="46"/>
  <c r="E86" i="46"/>
  <c r="G70" i="46"/>
  <c r="H34" i="46"/>
  <c r="E23" i="46"/>
  <c r="J141" i="49"/>
  <c r="Q141" i="49"/>
  <c r="I141" i="49"/>
  <c r="P141" i="49"/>
  <c r="H141" i="49"/>
  <c r="O141" i="49"/>
  <c r="G141" i="49"/>
  <c r="N141" i="49"/>
  <c r="F141" i="49"/>
  <c r="M141" i="49"/>
  <c r="G20" i="46"/>
  <c r="H20" i="46" s="1"/>
  <c r="L141" i="49"/>
  <c r="K141" i="49"/>
  <c r="AA141" i="49"/>
  <c r="S141" i="49"/>
  <c r="Z141" i="49"/>
  <c r="R141" i="49"/>
  <c r="Y141" i="49"/>
  <c r="G41" i="46"/>
  <c r="X141" i="49"/>
  <c r="W141" i="49"/>
  <c r="V141" i="49"/>
  <c r="AC141" i="49"/>
  <c r="U141" i="49"/>
  <c r="E44" i="46"/>
  <c r="AB141" i="49"/>
  <c r="T141" i="49"/>
  <c r="BL141" i="49"/>
  <c r="BD141" i="49"/>
  <c r="BK141" i="49"/>
  <c r="BC141" i="49"/>
  <c r="BJ141" i="49"/>
  <c r="BB141" i="49"/>
  <c r="BI141" i="49"/>
  <c r="E107" i="46"/>
  <c r="BH141" i="49"/>
  <c r="G104" i="46"/>
  <c r="BG141" i="49"/>
  <c r="BF141" i="49"/>
  <c r="BM141" i="49"/>
  <c r="BE141" i="49"/>
  <c r="F72" i="46"/>
  <c r="T27" i="50"/>
  <c r="V27" i="50"/>
  <c r="G97" i="46"/>
  <c r="Q27" i="50"/>
  <c r="AA27" i="50"/>
  <c r="R27" i="50"/>
  <c r="H19" i="46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G37" i="46" l="1"/>
  <c r="G9" i="46"/>
  <c r="H9" i="46" s="1"/>
  <c r="H5" i="46"/>
  <c r="G23" i="46"/>
  <c r="H37" i="46"/>
  <c r="H23" i="46"/>
  <c r="AV27" i="50"/>
  <c r="AY27" i="50"/>
  <c r="AX27" i="50"/>
  <c r="AS27" i="50"/>
  <c r="AR27" i="50"/>
  <c r="AQ27" i="50"/>
  <c r="AP27" i="50"/>
  <c r="F90" i="46"/>
  <c r="F58" i="46"/>
  <c r="G52" i="46"/>
  <c r="H52" i="46" s="1"/>
  <c r="AW27" i="50"/>
  <c r="AU27" i="50"/>
  <c r="AT27" i="50"/>
  <c r="AO27" i="50"/>
  <c r="G69" i="46"/>
  <c r="H69" i="46" s="1"/>
  <c r="H97" i="46"/>
  <c r="F93" i="46"/>
  <c r="G72" i="46"/>
  <c r="H104" i="46"/>
  <c r="F73" i="46"/>
  <c r="H41" i="46"/>
  <c r="G44" i="46"/>
  <c r="H44" i="46" s="1"/>
  <c r="H62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G65" i="46" l="1"/>
  <c r="H65" i="46" s="1"/>
  <c r="G58" i="46"/>
  <c r="H58" i="46" s="1"/>
  <c r="BH27" i="50"/>
  <c r="BL27" i="50"/>
  <c r="BK27" i="50"/>
  <c r="BJ27" i="50"/>
  <c r="BE27" i="50"/>
  <c r="BD27" i="50"/>
  <c r="BC27" i="50"/>
  <c r="BB27" i="50"/>
  <c r="BM27" i="50"/>
  <c r="BI27" i="50"/>
  <c r="BN27" i="50"/>
  <c r="AZ27" i="50"/>
  <c r="G90" i="46"/>
  <c r="H90" i="46" s="1"/>
  <c r="BA27" i="50"/>
  <c r="BF27" i="50"/>
  <c r="BG27" i="50"/>
  <c r="G93" i="46"/>
  <c r="F94" i="46"/>
  <c r="F86" i="46"/>
  <c r="F79" i="46"/>
  <c r="G73" i="46"/>
  <c r="N38" i="47"/>
  <c r="N36" i="47"/>
  <c r="K36" i="47"/>
  <c r="J36" i="47"/>
  <c r="F36" i="47"/>
  <c r="F38" i="47"/>
  <c r="M38" i="47"/>
  <c r="M36" i="47"/>
  <c r="K38" i="47"/>
  <c r="L38" i="47"/>
  <c r="L36" i="47"/>
  <c r="C38" i="47"/>
  <c r="J38" i="47"/>
  <c r="I38" i="47"/>
  <c r="G36" i="47"/>
  <c r="H38" i="47"/>
  <c r="G38" i="47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F42" i="47"/>
  <c r="E36" i="47"/>
  <c r="E38" i="47" s="1"/>
  <c r="D36" i="47"/>
  <c r="D38" i="47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BM39" i="50" l="1"/>
  <c r="BM35" i="50"/>
  <c r="BM66" i="50" s="1"/>
  <c r="BN39" i="50"/>
  <c r="BN35" i="50"/>
  <c r="H73" i="46"/>
  <c r="G79" i="46"/>
  <c r="H79" i="46" s="1"/>
  <c r="G86" i="46"/>
  <c r="H86" i="46" s="1"/>
  <c r="F107" i="46"/>
  <c r="F100" i="46"/>
  <c r="G94" i="46"/>
  <c r="O38" i="47"/>
  <c r="C27" i="47"/>
  <c r="L46" i="47"/>
  <c r="K46" i="47"/>
  <c r="I46" i="47"/>
  <c r="F46" i="47"/>
  <c r="E46" i="47"/>
  <c r="N46" i="47"/>
  <c r="J46" i="47"/>
  <c r="D46" i="47"/>
  <c r="M46" i="47"/>
  <c r="G46" i="47"/>
  <c r="H46" i="47"/>
  <c r="C46" i="47"/>
  <c r="C73" i="52"/>
  <c r="O42" i="47"/>
  <c r="E26" i="47" s="1"/>
  <c r="Q6" i="48"/>
  <c r="Q43" i="82"/>
  <c r="S6" i="48"/>
  <c r="S43" i="82"/>
  <c r="E73" i="52"/>
  <c r="K73" i="52"/>
  <c r="Y6" i="48"/>
  <c r="Y43" i="82"/>
  <c r="F8" i="47"/>
  <c r="F10" i="47" s="1"/>
  <c r="E8" i="47"/>
  <c r="M73" i="52"/>
  <c r="AA6" i="48"/>
  <c r="AA43" i="82"/>
  <c r="V43" i="82"/>
  <c r="V6" i="48"/>
  <c r="H73" i="52"/>
  <c r="J73" i="52"/>
  <c r="X6" i="48"/>
  <c r="X43" i="82"/>
  <c r="D73" i="52"/>
  <c r="R6" i="48"/>
  <c r="R43" i="82"/>
  <c r="T6" i="48"/>
  <c r="F73" i="52"/>
  <c r="T43" i="82"/>
  <c r="I73" i="52"/>
  <c r="W6" i="48"/>
  <c r="W43" i="82"/>
  <c r="N73" i="52"/>
  <c r="AB6" i="48"/>
  <c r="AB43" i="82"/>
  <c r="L73" i="52"/>
  <c r="Z43" i="82"/>
  <c r="Z6" i="48"/>
  <c r="G73" i="52"/>
  <c r="U6" i="48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N66" i="50" l="1"/>
  <c r="BN43" i="50"/>
  <c r="BM43" i="50"/>
  <c r="H94" i="46"/>
  <c r="G100" i="46"/>
  <c r="H100" i="46" s="1"/>
  <c r="G107" i="46"/>
  <c r="H107" i="46" s="1"/>
  <c r="C29" i="47"/>
  <c r="E54" i="47"/>
  <c r="D54" i="47"/>
  <c r="N54" i="47"/>
  <c r="M54" i="47"/>
  <c r="C54" i="47"/>
  <c r="L54" i="47"/>
  <c r="K54" i="47"/>
  <c r="J54" i="47"/>
  <c r="I54" i="47"/>
  <c r="F54" i="47"/>
  <c r="G54" i="47"/>
  <c r="H54" i="47"/>
  <c r="M74" i="52"/>
  <c r="AM6" i="48"/>
  <c r="AM43" i="82"/>
  <c r="C74" i="52"/>
  <c r="O46" i="47"/>
  <c r="E27" i="47" s="1"/>
  <c r="AC43" i="82"/>
  <c r="AC6" i="48"/>
  <c r="R52" i="82"/>
  <c r="R44" i="82"/>
  <c r="R48" i="82" s="1"/>
  <c r="R47" i="82" s="1"/>
  <c r="R54" i="82"/>
  <c r="R55" i="82"/>
  <c r="R53" i="82"/>
  <c r="R67" i="82"/>
  <c r="R66" i="82" s="1"/>
  <c r="R19" i="82" s="1"/>
  <c r="R15" i="92"/>
  <c r="S7" i="48"/>
  <c r="S10" i="48" s="1"/>
  <c r="S14" i="48"/>
  <c r="S17" i="48"/>
  <c r="S28" i="48"/>
  <c r="R38" i="50"/>
  <c r="R39" i="50" s="1"/>
  <c r="R51" i="52" s="1"/>
  <c r="S111" i="59"/>
  <c r="S16" i="48"/>
  <c r="Q21" i="71"/>
  <c r="R25" i="50"/>
  <c r="S15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6" i="48"/>
  <c r="AL43" i="82"/>
  <c r="L74" i="52"/>
  <c r="E74" i="52"/>
  <c r="AE6" i="48"/>
  <c r="AE43" i="82"/>
  <c r="U67" i="82"/>
  <c r="U55" i="82"/>
  <c r="U54" i="82"/>
  <c r="U52" i="82"/>
  <c r="U44" i="82"/>
  <c r="U48" i="82" s="1"/>
  <c r="U47" i="82" s="1"/>
  <c r="U53" i="82"/>
  <c r="Q15" i="92"/>
  <c r="R7" i="48"/>
  <c r="R10" i="48" s="1"/>
  <c r="R14" i="48"/>
  <c r="R28" i="48"/>
  <c r="R111" i="59"/>
  <c r="R17" i="48"/>
  <c r="R16" i="48"/>
  <c r="P21" i="71"/>
  <c r="Q25" i="50"/>
  <c r="R15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6" i="48"/>
  <c r="AH43" i="82"/>
  <c r="Q55" i="82"/>
  <c r="Q53" i="82"/>
  <c r="Q44" i="82"/>
  <c r="Q48" i="82" s="1"/>
  <c r="Q47" i="82" s="1"/>
  <c r="Q52" i="82"/>
  <c r="Q67" i="82"/>
  <c r="Q54" i="82"/>
  <c r="T111" i="59"/>
  <c r="T7" i="48"/>
  <c r="T10" i="48" s="1"/>
  <c r="S38" i="50"/>
  <c r="S39" i="50" s="1"/>
  <c r="S51" i="52" s="1"/>
  <c r="T16" i="48"/>
  <c r="T14" i="48"/>
  <c r="S25" i="50"/>
  <c r="T15" i="48"/>
  <c r="R21" i="71"/>
  <c r="S15" i="92"/>
  <c r="T28" i="48"/>
  <c r="T27" i="48" s="1"/>
  <c r="T17" i="48"/>
  <c r="Y67" i="82"/>
  <c r="Y54" i="82"/>
  <c r="Y44" i="82"/>
  <c r="Y48" i="82" s="1"/>
  <c r="Y52" i="82"/>
  <c r="Y55" i="82"/>
  <c r="Y53" i="82"/>
  <c r="Y7" i="48"/>
  <c r="Y10" i="48" s="1"/>
  <c r="Y14" i="48"/>
  <c r="Y15" i="48"/>
  <c r="X15" i="92"/>
  <c r="Y16" i="48"/>
  <c r="W21" i="71"/>
  <c r="Y28" i="48"/>
  <c r="X38" i="50"/>
  <c r="X39" i="50" s="1"/>
  <c r="X51" i="52" s="1"/>
  <c r="X25" i="50"/>
  <c r="Y111" i="59"/>
  <c r="Y17" i="48"/>
  <c r="U16" i="48"/>
  <c r="U28" i="48"/>
  <c r="U17" i="48"/>
  <c r="T38" i="50"/>
  <c r="T39" i="50" s="1"/>
  <c r="T51" i="52" s="1"/>
  <c r="U7" i="48"/>
  <c r="U10" i="48" s="1"/>
  <c r="U14" i="48"/>
  <c r="T25" i="50"/>
  <c r="S21" i="71"/>
  <c r="U15" i="48"/>
  <c r="U111" i="59"/>
  <c r="T15" i="92"/>
  <c r="W52" i="82"/>
  <c r="W54" i="82"/>
  <c r="W53" i="82"/>
  <c r="W44" i="82"/>
  <c r="W48" i="82" s="1"/>
  <c r="W67" i="82"/>
  <c r="W55" i="82"/>
  <c r="AA28" i="48"/>
  <c r="AA16" i="48"/>
  <c r="Z38" i="50"/>
  <c r="Z39" i="50" s="1"/>
  <c r="Z51" i="52" s="1"/>
  <c r="AA111" i="59"/>
  <c r="AA15" i="48"/>
  <c r="Z15" i="92"/>
  <c r="Z25" i="50"/>
  <c r="AA7" i="48"/>
  <c r="AA10" i="48" s="1"/>
  <c r="Y21" i="71"/>
  <c r="AA14" i="48"/>
  <c r="AA17" i="48"/>
  <c r="F74" i="52"/>
  <c r="AF6" i="48"/>
  <c r="AF43" i="82"/>
  <c r="N74" i="52"/>
  <c r="AN6" i="48"/>
  <c r="AN43" i="82"/>
  <c r="Q17" i="48"/>
  <c r="Q7" i="48"/>
  <c r="Q15" i="48"/>
  <c r="Q16" i="48"/>
  <c r="P25" i="50"/>
  <c r="F20" i="51"/>
  <c r="P15" i="92"/>
  <c r="O21" i="71"/>
  <c r="P38" i="50"/>
  <c r="Q28" i="48"/>
  <c r="Q111" i="59"/>
  <c r="Q14" i="48"/>
  <c r="V111" i="59"/>
  <c r="V14" i="48"/>
  <c r="U25" i="50"/>
  <c r="V7" i="48"/>
  <c r="V10" i="48" s="1"/>
  <c r="U15" i="92"/>
  <c r="V17" i="48"/>
  <c r="V16" i="48"/>
  <c r="T21" i="71"/>
  <c r="V28" i="48"/>
  <c r="V15" i="48"/>
  <c r="U38" i="50"/>
  <c r="U39" i="50" s="1"/>
  <c r="U51" i="52" s="1"/>
  <c r="AB17" i="48"/>
  <c r="AB7" i="48"/>
  <c r="AB10" i="48" s="1"/>
  <c r="AB111" i="59"/>
  <c r="AB14" i="48"/>
  <c r="AB15" i="48"/>
  <c r="Z21" i="71"/>
  <c r="AA25" i="50"/>
  <c r="AB28" i="48"/>
  <c r="AA15" i="92"/>
  <c r="AA38" i="50"/>
  <c r="AA39" i="50" s="1"/>
  <c r="AA51" i="52" s="1"/>
  <c r="AB16" i="48"/>
  <c r="V67" i="82"/>
  <c r="V54" i="82"/>
  <c r="V53" i="82"/>
  <c r="V52" i="82"/>
  <c r="V44" i="82"/>
  <c r="V48" i="82" s="1"/>
  <c r="V55" i="82"/>
  <c r="W111" i="59"/>
  <c r="W16" i="48"/>
  <c r="W7" i="48"/>
  <c r="W10" i="48" s="1"/>
  <c r="V25" i="50"/>
  <c r="W14" i="48"/>
  <c r="V15" i="92"/>
  <c r="W15" i="48"/>
  <c r="U21" i="71"/>
  <c r="W28" i="48"/>
  <c r="W27" i="48" s="1"/>
  <c r="V38" i="50"/>
  <c r="V39" i="50" s="1"/>
  <c r="V51" i="52" s="1"/>
  <c r="W17" i="48"/>
  <c r="X54" i="82"/>
  <c r="X53" i="82"/>
  <c r="X67" i="82"/>
  <c r="X52" i="82"/>
  <c r="X44" i="82"/>
  <c r="X48" i="82" s="1"/>
  <c r="X55" i="82"/>
  <c r="J74" i="52"/>
  <c r="AJ43" i="82"/>
  <c r="AJ6" i="48"/>
  <c r="I74" i="52"/>
  <c r="AI6" i="48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AK6" i="48"/>
  <c r="Z16" i="48"/>
  <c r="Z28" i="48"/>
  <c r="Y38" i="50"/>
  <c r="Y39" i="50" s="1"/>
  <c r="Y51" i="52" s="1"/>
  <c r="Y25" i="50"/>
  <c r="Y15" i="92"/>
  <c r="Z14" i="48"/>
  <c r="Z17" i="48"/>
  <c r="X21" i="71"/>
  <c r="Z111" i="59"/>
  <c r="Z15" i="48"/>
  <c r="Z7" i="48"/>
  <c r="Z10" i="48" s="1"/>
  <c r="W25" i="50"/>
  <c r="X14" i="48"/>
  <c r="X111" i="59"/>
  <c r="X28" i="48"/>
  <c r="X15" i="48"/>
  <c r="W38" i="50"/>
  <c r="W39" i="50" s="1"/>
  <c r="W51" i="52" s="1"/>
  <c r="V21" i="71"/>
  <c r="X17" i="48"/>
  <c r="W15" i="92"/>
  <c r="X7" i="48"/>
  <c r="X10" i="48" s="1"/>
  <c r="X16" i="48"/>
  <c r="G6" i="47"/>
  <c r="AG6" i="48"/>
  <c r="G74" i="52"/>
  <c r="AG43" i="82"/>
  <c r="D74" i="52"/>
  <c r="AD6" i="48"/>
  <c r="AD43" i="82"/>
  <c r="I43" i="82"/>
  <c r="G72" i="52"/>
  <c r="I6" i="48"/>
  <c r="J72" i="52"/>
  <c r="L43" i="82"/>
  <c r="L6" i="48"/>
  <c r="C72" i="52"/>
  <c r="E6" i="48"/>
  <c r="O36" i="47"/>
  <c r="E25" i="47" s="1"/>
  <c r="M72" i="52"/>
  <c r="O6" i="48"/>
  <c r="O43" i="82"/>
  <c r="I72" i="52"/>
  <c r="K6" i="48"/>
  <c r="K43" i="82"/>
  <c r="F72" i="52"/>
  <c r="H6" i="48"/>
  <c r="H43" i="82"/>
  <c r="N72" i="52"/>
  <c r="P6" i="48"/>
  <c r="P43" i="82"/>
  <c r="J6" i="48"/>
  <c r="J43" i="82"/>
  <c r="H72" i="52"/>
  <c r="L72" i="52"/>
  <c r="N6" i="48"/>
  <c r="N43" i="82"/>
  <c r="K72" i="52"/>
  <c r="M43" i="82"/>
  <c r="M6" i="48"/>
  <c r="E72" i="52"/>
  <c r="G6" i="48"/>
  <c r="G43" i="82"/>
  <c r="F6" i="48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I50" i="47" l="1"/>
  <c r="H50" i="47"/>
  <c r="N50" i="47"/>
  <c r="M50" i="47"/>
  <c r="D50" i="47"/>
  <c r="L50" i="47"/>
  <c r="K50" i="47"/>
  <c r="F50" i="47"/>
  <c r="E50" i="47"/>
  <c r="C50" i="47"/>
  <c r="J50" i="47"/>
  <c r="G50" i="47"/>
  <c r="V57" i="82"/>
  <c r="V60" i="82" s="1"/>
  <c r="V61" i="82" s="1"/>
  <c r="W32" i="48"/>
  <c r="W34" i="48" s="1"/>
  <c r="U8" i="52" s="1"/>
  <c r="D24" i="49"/>
  <c r="AV24" i="49" s="1"/>
  <c r="T19" i="48"/>
  <c r="T115" i="59" s="1"/>
  <c r="T32" i="48"/>
  <c r="T34" i="48" s="1"/>
  <c r="R8" i="52" s="1"/>
  <c r="D21" i="49"/>
  <c r="AS21" i="49" s="1"/>
  <c r="V19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6" i="48"/>
  <c r="BK43" i="82"/>
  <c r="M76" i="52"/>
  <c r="AI25" i="50"/>
  <c r="AJ17" i="48"/>
  <c r="AJ16" i="48"/>
  <c r="AH21" i="71"/>
  <c r="AJ7" i="48"/>
  <c r="AJ10" i="48" s="1"/>
  <c r="AI15" i="92"/>
  <c r="AI38" i="50"/>
  <c r="AI39" i="50" s="1"/>
  <c r="AI51" i="52" s="1"/>
  <c r="AJ14" i="48"/>
  <c r="AJ111" i="59"/>
  <c r="AJ28" i="48"/>
  <c r="AJ27" i="48" s="1"/>
  <c r="AJ15" i="48"/>
  <c r="D96" i="49"/>
  <c r="V38" i="48"/>
  <c r="V27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BC6" i="48"/>
  <c r="G76" i="52"/>
  <c r="BE43" i="82"/>
  <c r="BE6" i="48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Q19" i="48"/>
  <c r="F29" i="51"/>
  <c r="AD21" i="71"/>
  <c r="AE25" i="50"/>
  <c r="AE38" i="50"/>
  <c r="AE39" i="50" s="1"/>
  <c r="AE51" i="52" s="1"/>
  <c r="AF7" i="48"/>
  <c r="AF10" i="48" s="1"/>
  <c r="AF16" i="48"/>
  <c r="AE15" i="92"/>
  <c r="AF28" i="48"/>
  <c r="AF27" i="48" s="1"/>
  <c r="AF14" i="48"/>
  <c r="AF17" i="48"/>
  <c r="AF15" i="48"/>
  <c r="AF111" i="59"/>
  <c r="W47" i="82"/>
  <c r="S47" i="50"/>
  <c r="T30" i="50" s="1"/>
  <c r="Y19" i="48"/>
  <c r="Y115" i="59" s="1"/>
  <c r="AB57" i="82"/>
  <c r="AB60" i="82" s="1"/>
  <c r="AB61" i="82" s="1"/>
  <c r="V78" i="82"/>
  <c r="V27" i="82"/>
  <c r="V66" i="82"/>
  <c r="AB19" i="48"/>
  <c r="F7" i="59"/>
  <c r="F28" i="51"/>
  <c r="U19" i="48"/>
  <c r="U115" i="59" s="1"/>
  <c r="W47" i="50"/>
  <c r="X30" i="50" s="1"/>
  <c r="Y114" i="59"/>
  <c r="W7" i="52"/>
  <c r="T19" i="82"/>
  <c r="T20" i="82" s="1"/>
  <c r="Z19" i="48"/>
  <c r="S66" i="82"/>
  <c r="S27" i="82"/>
  <c r="S28" i="82" s="1"/>
  <c r="S78" i="82"/>
  <c r="D97" i="49"/>
  <c r="W38" i="48"/>
  <c r="AM53" i="82"/>
  <c r="AM54" i="82"/>
  <c r="AM52" i="82"/>
  <c r="AM67" i="82"/>
  <c r="AM44" i="82"/>
  <c r="AM48" i="82" s="1"/>
  <c r="AM55" i="82"/>
  <c r="X27" i="48"/>
  <c r="D98" i="49"/>
  <c r="X38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X19" i="48"/>
  <c r="X115" i="59" s="1"/>
  <c r="S57" i="82"/>
  <c r="D93" i="49"/>
  <c r="S38" i="48"/>
  <c r="S27" i="48"/>
  <c r="AD14" i="48"/>
  <c r="AD17" i="48"/>
  <c r="AD15" i="48"/>
  <c r="AD16" i="48"/>
  <c r="AD28" i="48"/>
  <c r="AC25" i="50"/>
  <c r="AC15" i="92"/>
  <c r="AD7" i="48"/>
  <c r="AD10" i="48" s="1"/>
  <c r="AD111" i="59"/>
  <c r="AC38" i="50"/>
  <c r="AC39" i="50" s="1"/>
  <c r="AC51" i="52" s="1"/>
  <c r="AB21" i="71"/>
  <c r="V47" i="50"/>
  <c r="W30" i="50" s="1"/>
  <c r="X47" i="50"/>
  <c r="BL6" i="48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G7" i="48"/>
  <c r="AG10" i="48" s="1"/>
  <c r="AF38" i="50"/>
  <c r="AF39" i="50" s="1"/>
  <c r="AF51" i="52" s="1"/>
  <c r="AG111" i="59"/>
  <c r="AG17" i="48"/>
  <c r="AE21" i="71"/>
  <c r="AG16" i="48"/>
  <c r="AG28" i="48"/>
  <c r="AG27" i="48" s="1"/>
  <c r="AF25" i="50"/>
  <c r="AF15" i="92"/>
  <c r="AG14" i="48"/>
  <c r="AG15" i="48"/>
  <c r="W19" i="48"/>
  <c r="W115" i="59" s="1"/>
  <c r="D102" i="49"/>
  <c r="AB38" i="48"/>
  <c r="T47" i="50"/>
  <c r="AM25" i="50"/>
  <c r="AN28" i="48"/>
  <c r="AN27" i="48" s="1"/>
  <c r="AM15" i="92"/>
  <c r="AN17" i="48"/>
  <c r="AN14" i="48"/>
  <c r="AN7" i="48"/>
  <c r="AN10" i="48" s="1"/>
  <c r="AN15" i="48"/>
  <c r="AN111" i="59"/>
  <c r="AM38" i="50"/>
  <c r="AM39" i="50" s="1"/>
  <c r="AM51" i="52" s="1"/>
  <c r="AL21" i="71"/>
  <c r="AN16" i="48"/>
  <c r="Y7" i="52"/>
  <c r="AA114" i="59"/>
  <c r="U27" i="48"/>
  <c r="U38" i="48"/>
  <c r="D95" i="49"/>
  <c r="Y57" i="82"/>
  <c r="Y60" i="82" s="1"/>
  <c r="Y61" i="82" s="1"/>
  <c r="BB43" i="82"/>
  <c r="BB6" i="48"/>
  <c r="D76" i="52"/>
  <c r="BA43" i="82"/>
  <c r="BA6" i="48"/>
  <c r="C76" i="52"/>
  <c r="O54" i="47"/>
  <c r="E29" i="47" s="1"/>
  <c r="AA57" i="82"/>
  <c r="Y66" i="82"/>
  <c r="Y27" i="82"/>
  <c r="Y78" i="82"/>
  <c r="BI6" i="48"/>
  <c r="BI43" i="82"/>
  <c r="K76" i="52"/>
  <c r="J76" i="52"/>
  <c r="BH6" i="48"/>
  <c r="BH43" i="82"/>
  <c r="AF21" i="71"/>
  <c r="AH16" i="48"/>
  <c r="AH15" i="48"/>
  <c r="AH28" i="48"/>
  <c r="AH27" i="48" s="1"/>
  <c r="AG15" i="92"/>
  <c r="AG38" i="50"/>
  <c r="AG39" i="50" s="1"/>
  <c r="AG51" i="52" s="1"/>
  <c r="AH14" i="48"/>
  <c r="AG25" i="50"/>
  <c r="AH111" i="59"/>
  <c r="AH7" i="48"/>
  <c r="AH10" i="48" s="1"/>
  <c r="AH17" i="48"/>
  <c r="R27" i="48"/>
  <c r="R38" i="48"/>
  <c r="D92" i="49"/>
  <c r="AL111" i="59"/>
  <c r="AK38" i="50"/>
  <c r="AK39" i="50" s="1"/>
  <c r="AK51" i="52" s="1"/>
  <c r="AL14" i="48"/>
  <c r="AJ21" i="71"/>
  <c r="AL15" i="48"/>
  <c r="AL16" i="48"/>
  <c r="AK25" i="50"/>
  <c r="AL28" i="48"/>
  <c r="AL27" i="48" s="1"/>
  <c r="AL7" i="48"/>
  <c r="AL10" i="48" s="1"/>
  <c r="AK15" i="92"/>
  <c r="AL17" i="48"/>
  <c r="T57" i="82"/>
  <c r="AL38" i="50"/>
  <c r="AL39" i="50" s="1"/>
  <c r="AL51" i="52" s="1"/>
  <c r="AL25" i="50"/>
  <c r="AK21" i="71"/>
  <c r="AM16" i="48"/>
  <c r="AM15" i="48"/>
  <c r="AM111" i="59"/>
  <c r="AL15" i="92"/>
  <c r="AM28" i="48"/>
  <c r="AM14" i="48"/>
  <c r="AM7" i="48"/>
  <c r="AM10" i="48" s="1"/>
  <c r="AM17" i="48"/>
  <c r="BG6" i="48"/>
  <c r="BG43" i="82"/>
  <c r="I76" i="52"/>
  <c r="R19" i="48"/>
  <c r="S19" i="48"/>
  <c r="X7" i="52"/>
  <c r="Z114" i="59"/>
  <c r="AI21" i="71"/>
  <c r="AJ25" i="50"/>
  <c r="AJ38" i="50"/>
  <c r="AJ39" i="50" s="1"/>
  <c r="AJ51" i="52" s="1"/>
  <c r="AK17" i="48"/>
  <c r="AJ15" i="92"/>
  <c r="AK14" i="48"/>
  <c r="AK28" i="48"/>
  <c r="AK27" i="48" s="1"/>
  <c r="AK15" i="48"/>
  <c r="AK111" i="59"/>
  <c r="AK16" i="48"/>
  <c r="AK7" i="48"/>
  <c r="AK10" i="48" s="1"/>
  <c r="X47" i="82"/>
  <c r="Q38" i="48"/>
  <c r="Q27" i="48"/>
  <c r="D91" i="49"/>
  <c r="F39" i="51"/>
  <c r="F21" i="51"/>
  <c r="Q10" i="48"/>
  <c r="U114" i="59"/>
  <c r="S7" i="52"/>
  <c r="D94" i="49"/>
  <c r="T38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B27" i="48"/>
  <c r="AG44" i="82"/>
  <c r="AG48" i="82" s="1"/>
  <c r="AG47" i="82" s="1"/>
  <c r="AG52" i="82"/>
  <c r="AG53" i="82"/>
  <c r="AG55" i="82"/>
  <c r="AG54" i="82"/>
  <c r="AG67" i="82"/>
  <c r="Z27" i="48"/>
  <c r="D100" i="49"/>
  <c r="Z38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AA19" i="48"/>
  <c r="AA115" i="59" s="1"/>
  <c r="W57" i="82"/>
  <c r="W59" i="82" s="1"/>
  <c r="D99" i="49"/>
  <c r="Y38" i="48"/>
  <c r="BJ43" i="82"/>
  <c r="L76" i="52"/>
  <c r="BJ6" i="48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C16" i="48"/>
  <c r="AB15" i="92"/>
  <c r="AC14" i="48"/>
  <c r="AC7" i="48"/>
  <c r="AC17" i="48"/>
  <c r="AC111" i="59"/>
  <c r="AB38" i="50"/>
  <c r="AC28" i="48"/>
  <c r="AC15" i="48"/>
  <c r="AA21" i="71"/>
  <c r="G20" i="51"/>
  <c r="AB25" i="50"/>
  <c r="Y27" i="48"/>
  <c r="AB27" i="82"/>
  <c r="AB78" i="82"/>
  <c r="AI14" i="48"/>
  <c r="AI16" i="48"/>
  <c r="AI7" i="48"/>
  <c r="AI10" i="48" s="1"/>
  <c r="AG21" i="71"/>
  <c r="AH25" i="50"/>
  <c r="AH38" i="50"/>
  <c r="AH39" i="50" s="1"/>
  <c r="AH51" i="52" s="1"/>
  <c r="AH15" i="92"/>
  <c r="AI111" i="59"/>
  <c r="AI28" i="48"/>
  <c r="AI17" i="48"/>
  <c r="AI15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AA27" i="48"/>
  <c r="AA38" i="48"/>
  <c r="BF43" i="82"/>
  <c r="H76" i="52"/>
  <c r="BF6" i="48"/>
  <c r="BD6" i="48"/>
  <c r="BD43" i="82"/>
  <c r="F76" i="52"/>
  <c r="AE16" i="48"/>
  <c r="AE7" i="48"/>
  <c r="AE10" i="48" s="1"/>
  <c r="AD38" i="50"/>
  <c r="AD39" i="50" s="1"/>
  <c r="AD51" i="52" s="1"/>
  <c r="AC21" i="71"/>
  <c r="AE111" i="59"/>
  <c r="AD25" i="50"/>
  <c r="AE14" i="48"/>
  <c r="AE17" i="48"/>
  <c r="AE15" i="48"/>
  <c r="AD15" i="92"/>
  <c r="AE28" i="48"/>
  <c r="AE27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M15" i="48"/>
  <c r="M16" i="48"/>
  <c r="M17" i="48"/>
  <c r="L38" i="50"/>
  <c r="L39" i="50" s="1"/>
  <c r="L51" i="52" s="1"/>
  <c r="L25" i="50"/>
  <c r="M28" i="48"/>
  <c r="L15" i="92"/>
  <c r="M7" i="48"/>
  <c r="M10" i="48" s="1"/>
  <c r="M111" i="59"/>
  <c r="M14" i="48"/>
  <c r="K21" i="71"/>
  <c r="J15" i="48"/>
  <c r="J16" i="48"/>
  <c r="I38" i="50"/>
  <c r="I39" i="50" s="1"/>
  <c r="I51" i="52" s="1"/>
  <c r="H21" i="71"/>
  <c r="J17" i="48"/>
  <c r="J28" i="48"/>
  <c r="J27" i="48" s="1"/>
  <c r="I25" i="50"/>
  <c r="J7" i="48"/>
  <c r="J10" i="48" s="1"/>
  <c r="I15" i="92"/>
  <c r="J111" i="59"/>
  <c r="J14" i="48"/>
  <c r="K67" i="82"/>
  <c r="K55" i="82"/>
  <c r="K54" i="82"/>
  <c r="K53" i="82"/>
  <c r="K52" i="82"/>
  <c r="K44" i="82"/>
  <c r="K48" i="82" s="1"/>
  <c r="K47" i="82" s="1"/>
  <c r="D38" i="50"/>
  <c r="E28" i="48"/>
  <c r="E27" i="48" s="1"/>
  <c r="D25" i="50"/>
  <c r="E7" i="48"/>
  <c r="D15" i="92"/>
  <c r="E14" i="48"/>
  <c r="E111" i="59"/>
  <c r="E15" i="48"/>
  <c r="C21" i="71"/>
  <c r="E16" i="48"/>
  <c r="E17" i="48"/>
  <c r="E43" i="82"/>
  <c r="E20" i="51"/>
  <c r="M54" i="82"/>
  <c r="M53" i="82"/>
  <c r="M52" i="82"/>
  <c r="M44" i="82"/>
  <c r="M48" i="82" s="1"/>
  <c r="M47" i="82" s="1"/>
  <c r="M67" i="82"/>
  <c r="M66" i="82" s="1"/>
  <c r="M55" i="82"/>
  <c r="K28" i="48"/>
  <c r="K7" i="48"/>
  <c r="K10" i="48" s="1"/>
  <c r="K17" i="48"/>
  <c r="J38" i="50"/>
  <c r="J39" i="50" s="1"/>
  <c r="J51" i="52" s="1"/>
  <c r="J25" i="50"/>
  <c r="K14" i="48"/>
  <c r="J15" i="92"/>
  <c r="K111" i="59"/>
  <c r="K15" i="48"/>
  <c r="I21" i="71"/>
  <c r="K16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7" i="48"/>
  <c r="L10" i="48" s="1"/>
  <c r="L28" i="48"/>
  <c r="L27" i="48" s="1"/>
  <c r="K15" i="92"/>
  <c r="J21" i="71"/>
  <c r="L14" i="48"/>
  <c r="L15" i="48"/>
  <c r="K25" i="50"/>
  <c r="L16" i="48"/>
  <c r="L111" i="59"/>
  <c r="L17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15" i="48"/>
  <c r="P16" i="48"/>
  <c r="P17" i="48"/>
  <c r="O38" i="50"/>
  <c r="O39" i="50" s="1"/>
  <c r="O51" i="52" s="1"/>
  <c r="P28" i="48"/>
  <c r="O25" i="50"/>
  <c r="N47" i="50" s="1"/>
  <c r="O30" i="50" s="1"/>
  <c r="P7" i="48"/>
  <c r="P10" i="48" s="1"/>
  <c r="O15" i="92"/>
  <c r="P111" i="59"/>
  <c r="P14" i="48"/>
  <c r="N21" i="71"/>
  <c r="L54" i="82"/>
  <c r="L53" i="82"/>
  <c r="L52" i="82"/>
  <c r="L67" i="82"/>
  <c r="L66" i="82" s="1"/>
  <c r="L44" i="82"/>
  <c r="L48" i="82" s="1"/>
  <c r="L47" i="82" s="1"/>
  <c r="L55" i="82"/>
  <c r="E15" i="92"/>
  <c r="F17" i="48"/>
  <c r="F14" i="48"/>
  <c r="F111" i="59"/>
  <c r="F15" i="48"/>
  <c r="D21" i="71"/>
  <c r="F7" i="48"/>
  <c r="F10" i="48" s="1"/>
  <c r="F28" i="48"/>
  <c r="E25" i="50"/>
  <c r="E38" i="50"/>
  <c r="E39" i="50" s="1"/>
  <c r="E51" i="52" s="1"/>
  <c r="F16" i="48"/>
  <c r="N7" i="48"/>
  <c r="N10" i="48" s="1"/>
  <c r="N14" i="48"/>
  <c r="L21" i="71"/>
  <c r="M15" i="92"/>
  <c r="M38" i="50"/>
  <c r="M39" i="50" s="1"/>
  <c r="M51" i="52" s="1"/>
  <c r="N15" i="48"/>
  <c r="N16" i="48"/>
  <c r="N28" i="48"/>
  <c r="M25" i="50"/>
  <c r="N111" i="59"/>
  <c r="N17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O14" i="48"/>
  <c r="O16" i="48"/>
  <c r="O111" i="59"/>
  <c r="M21" i="71"/>
  <c r="N38" i="50"/>
  <c r="N39" i="50" s="1"/>
  <c r="N51" i="52" s="1"/>
  <c r="O28" i="48"/>
  <c r="N25" i="50"/>
  <c r="O7" i="48"/>
  <c r="O10" i="48" s="1"/>
  <c r="N15" i="92"/>
  <c r="O15" i="48"/>
  <c r="O17" i="48"/>
  <c r="I28" i="48"/>
  <c r="I27" i="48" s="1"/>
  <c r="G21" i="71"/>
  <c r="H38" i="50"/>
  <c r="H39" i="50" s="1"/>
  <c r="H51" i="52" s="1"/>
  <c r="I111" i="59"/>
  <c r="I14" i="48"/>
  <c r="I7" i="48"/>
  <c r="I10" i="48" s="1"/>
  <c r="H25" i="50"/>
  <c r="I16" i="48"/>
  <c r="I15" i="48"/>
  <c r="I17" i="48"/>
  <c r="H15" i="92"/>
  <c r="G17" i="48"/>
  <c r="F25" i="50"/>
  <c r="G16" i="48"/>
  <c r="G28" i="48"/>
  <c r="G27" i="48" s="1"/>
  <c r="F15" i="92"/>
  <c r="G14" i="48"/>
  <c r="G111" i="59"/>
  <c r="G7" i="48"/>
  <c r="G10" i="48" s="1"/>
  <c r="G15" i="48"/>
  <c r="F38" i="50"/>
  <c r="F39" i="50" s="1"/>
  <c r="F51" i="52" s="1"/>
  <c r="E21" i="71"/>
  <c r="H28" i="48"/>
  <c r="H27" i="48" s="1"/>
  <c r="G25" i="50"/>
  <c r="H7" i="48"/>
  <c r="H10" i="48" s="1"/>
  <c r="G15" i="92"/>
  <c r="H14" i="48"/>
  <c r="H111" i="59"/>
  <c r="H15" i="48"/>
  <c r="F21" i="71"/>
  <c r="H16" i="48"/>
  <c r="H17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W120" i="59" l="1"/>
  <c r="V59" i="82"/>
  <c r="T35" i="82"/>
  <c r="AJ24" i="49"/>
  <c r="H47" i="82"/>
  <c r="X24" i="49"/>
  <c r="BH24" i="49"/>
  <c r="BN24" i="49" s="1"/>
  <c r="V116" i="59"/>
  <c r="V21" i="48"/>
  <c r="V22" i="48" s="1"/>
  <c r="V117" i="59" s="1"/>
  <c r="AC47" i="50"/>
  <c r="AD30" i="50" s="1"/>
  <c r="T116" i="59"/>
  <c r="T120" i="59"/>
  <c r="AG21" i="49"/>
  <c r="U21" i="49"/>
  <c r="Z47" i="50"/>
  <c r="AA30" i="50" s="1"/>
  <c r="T21" i="48"/>
  <c r="T22" i="48" s="1"/>
  <c r="T117" i="59" s="1"/>
  <c r="BE21" i="49"/>
  <c r="BN21" i="49" s="1"/>
  <c r="AI47" i="50"/>
  <c r="AJ30" i="50" s="1"/>
  <c r="X116" i="59"/>
  <c r="X21" i="48"/>
  <c r="X22" i="48" s="1"/>
  <c r="X117" i="59" s="1"/>
  <c r="U60" i="82"/>
  <c r="U61" i="82" s="1"/>
  <c r="AN57" i="82"/>
  <c r="AN59" i="82" s="1"/>
  <c r="AD19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Y21" i="48"/>
  <c r="Y22" i="48" s="1"/>
  <c r="Y117" i="59" s="1"/>
  <c r="U116" i="59"/>
  <c r="AA21" i="48"/>
  <c r="AA22" i="48" s="1"/>
  <c r="AA117" i="59" s="1"/>
  <c r="R35" i="82"/>
  <c r="AA116" i="59"/>
  <c r="BF28" i="48"/>
  <c r="BF27" i="48" s="1"/>
  <c r="BE25" i="50"/>
  <c r="BF7" i="48"/>
  <c r="BF10" i="48" s="1"/>
  <c r="BD21" i="71"/>
  <c r="BE15" i="92"/>
  <c r="BF111" i="59"/>
  <c r="BE38" i="50"/>
  <c r="BE39" i="50" s="1"/>
  <c r="BE51" i="52" s="1"/>
  <c r="BF16" i="48"/>
  <c r="BF15" i="48"/>
  <c r="BF14" i="48"/>
  <c r="BF17" i="48"/>
  <c r="AB28" i="82"/>
  <c r="G7" i="59"/>
  <c r="AK47" i="82"/>
  <c r="AB32" i="48"/>
  <c r="AB34" i="48" s="1"/>
  <c r="D29" i="49"/>
  <c r="AM27" i="82"/>
  <c r="AM78" i="82"/>
  <c r="AM66" i="82"/>
  <c r="AC78" i="82"/>
  <c r="AC27" i="82"/>
  <c r="D32" i="49"/>
  <c r="AE32" i="48"/>
  <c r="AE34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S32" i="48"/>
  <c r="S34" i="48" s="1"/>
  <c r="D105" i="49"/>
  <c r="AE38" i="48"/>
  <c r="AI78" i="82"/>
  <c r="AI27" i="82"/>
  <c r="AI66" i="82"/>
  <c r="AG32" i="48"/>
  <c r="AG34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M38" i="48"/>
  <c r="D113" i="49"/>
  <c r="AM27" i="48"/>
  <c r="T59" i="82"/>
  <c r="T21" i="82" s="1"/>
  <c r="R37" i="52" s="1"/>
  <c r="T60" i="82"/>
  <c r="T61" i="82" s="1"/>
  <c r="D35" i="49"/>
  <c r="AH32" i="48"/>
  <c r="AH34" i="48" s="1"/>
  <c r="D108" i="49"/>
  <c r="AH38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L17" i="48"/>
  <c r="BL7" i="48"/>
  <c r="BL10" i="48" s="1"/>
  <c r="BL14" i="48"/>
  <c r="BK15" i="92"/>
  <c r="BL15" i="48"/>
  <c r="BK38" i="50"/>
  <c r="BK39" i="50" s="1"/>
  <c r="BK51" i="52" s="1"/>
  <c r="BK25" i="50"/>
  <c r="BJ47" i="50" s="1"/>
  <c r="BK30" i="50" s="1"/>
  <c r="BL28" i="48"/>
  <c r="BL16" i="48"/>
  <c r="BJ21" i="71"/>
  <c r="T93" i="49"/>
  <c r="BD93" i="49"/>
  <c r="BN93" i="49" s="1"/>
  <c r="AR93" i="49"/>
  <c r="AF93" i="49"/>
  <c r="AH19" i="82"/>
  <c r="AH71" i="82"/>
  <c r="AH73" i="82" s="1"/>
  <c r="AL32" i="48"/>
  <c r="AL34" i="48" s="1"/>
  <c r="D39" i="49"/>
  <c r="BI7" i="48"/>
  <c r="BI10" i="48" s="1"/>
  <c r="BI15" i="48"/>
  <c r="BI16" i="48"/>
  <c r="BH38" i="50"/>
  <c r="BH39" i="50" s="1"/>
  <c r="BH51" i="52" s="1"/>
  <c r="BI17" i="48"/>
  <c r="BG21" i="71"/>
  <c r="BI14" i="48"/>
  <c r="BH25" i="50"/>
  <c r="BI111" i="59"/>
  <c r="BI28" i="48"/>
  <c r="BI27" i="48" s="1"/>
  <c r="BH15" i="92"/>
  <c r="BA17" i="48"/>
  <c r="BA28" i="48"/>
  <c r="AZ38" i="50"/>
  <c r="BA111" i="59"/>
  <c r="AZ25" i="50"/>
  <c r="BA15" i="48"/>
  <c r="BA14" i="48"/>
  <c r="BA16" i="48"/>
  <c r="AY21" i="71"/>
  <c r="I20" i="51"/>
  <c r="BA7" i="48"/>
  <c r="AZ15" i="92"/>
  <c r="AG19" i="48"/>
  <c r="AG115" i="59" s="1"/>
  <c r="Y30" i="50"/>
  <c r="X34" i="50"/>
  <c r="AJ19" i="82"/>
  <c r="AJ71" i="82"/>
  <c r="AJ73" i="82" s="1"/>
  <c r="R115" i="59"/>
  <c r="R116" i="59" s="1"/>
  <c r="R21" i="48"/>
  <c r="R22" i="48" s="1"/>
  <c r="R117" i="59" s="1"/>
  <c r="D22" i="49"/>
  <c r="U32" i="48"/>
  <c r="U34" i="48" s="1"/>
  <c r="G28" i="51"/>
  <c r="G29" i="51"/>
  <c r="AE47" i="82"/>
  <c r="E13" i="50"/>
  <c r="P51" i="52"/>
  <c r="AK32" i="48"/>
  <c r="AK34" i="48" s="1"/>
  <c r="D38" i="49"/>
  <c r="AL19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J7" i="48"/>
  <c r="BJ10" i="48" s="1"/>
  <c r="BI25" i="50"/>
  <c r="BJ111" i="59"/>
  <c r="BI15" i="92"/>
  <c r="BH21" i="71"/>
  <c r="BJ15" i="48"/>
  <c r="BJ17" i="48"/>
  <c r="BJ16" i="48"/>
  <c r="BJ14" i="48"/>
  <c r="BI38" i="50"/>
  <c r="BI39" i="50" s="1"/>
  <c r="BI51" i="52" s="1"/>
  <c r="BJ28" i="48"/>
  <c r="BJ27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I19" i="48"/>
  <c r="AI115" i="59" s="1"/>
  <c r="AC38" i="48"/>
  <c r="G39" i="51"/>
  <c r="D103" i="49"/>
  <c r="AC27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Q21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F32" i="48"/>
  <c r="AF34" i="48" s="1"/>
  <c r="D37" i="49"/>
  <c r="AJ32" i="48"/>
  <c r="AJ34" i="48" s="1"/>
  <c r="AN71" i="82"/>
  <c r="AN73" i="82" s="1"/>
  <c r="AN19" i="82"/>
  <c r="AI38" i="48"/>
  <c r="D109" i="49"/>
  <c r="AI27" i="48"/>
  <c r="AC66" i="82"/>
  <c r="BC38" i="50"/>
  <c r="BC39" i="50" s="1"/>
  <c r="BC51" i="52" s="1"/>
  <c r="BD28" i="48"/>
  <c r="BD7" i="48"/>
  <c r="BD10" i="48" s="1"/>
  <c r="BD111" i="59"/>
  <c r="BD15" i="48"/>
  <c r="BC25" i="50"/>
  <c r="BC15" i="92"/>
  <c r="BD17" i="48"/>
  <c r="BD14" i="48"/>
  <c r="BB21" i="71"/>
  <c r="BD16" i="48"/>
  <c r="AN27" i="82"/>
  <c r="AN78" i="82"/>
  <c r="AB39" i="50"/>
  <c r="F12" i="50"/>
  <c r="T28" i="82"/>
  <c r="T36" i="82" s="1"/>
  <c r="Z32" i="48"/>
  <c r="Z34" i="48" s="1"/>
  <c r="D27" i="49"/>
  <c r="U28" i="82"/>
  <c r="U29" i="82"/>
  <c r="BF38" i="50"/>
  <c r="BF39" i="50" s="1"/>
  <c r="BF51" i="52" s="1"/>
  <c r="BF25" i="50"/>
  <c r="BF15" i="92"/>
  <c r="BE21" i="71"/>
  <c r="BG16" i="48"/>
  <c r="BG14" i="48"/>
  <c r="BG111" i="59"/>
  <c r="BG28" i="48"/>
  <c r="BG17" i="48"/>
  <c r="BG7" i="48"/>
  <c r="BG10" i="48" s="1"/>
  <c r="BG15" i="48"/>
  <c r="AD71" i="82"/>
  <c r="AD73" i="82" s="1"/>
  <c r="AD19" i="82"/>
  <c r="AC57" i="82"/>
  <c r="AC59" i="82" s="1"/>
  <c r="D28" i="49"/>
  <c r="AA32" i="48"/>
  <c r="AA34" i="48" s="1"/>
  <c r="F3" i="97"/>
  <c r="F3" i="91"/>
  <c r="AC19" i="48"/>
  <c r="G27" i="51"/>
  <c r="AA28" i="82"/>
  <c r="AB59" i="82"/>
  <c r="AB29" i="82" s="1"/>
  <c r="R30" i="50"/>
  <c r="R34" i="50" s="1"/>
  <c r="Q19" i="82"/>
  <c r="Q71" i="82"/>
  <c r="Q73" i="82" s="1"/>
  <c r="U21" i="48"/>
  <c r="U22" i="48" s="1"/>
  <c r="U117" i="59" s="1"/>
  <c r="Q125" i="59"/>
  <c r="O10" i="52"/>
  <c r="F47" i="51"/>
  <c r="F13" i="51" s="1"/>
  <c r="AK38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X32" i="48"/>
  <c r="X34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E19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K19" i="48"/>
  <c r="AK115" i="59" s="1"/>
  <c r="S115" i="59"/>
  <c r="S116" i="59" s="1"/>
  <c r="S21" i="48"/>
  <c r="S22" i="48" s="1"/>
  <c r="S117" i="59" s="1"/>
  <c r="AM19" i="48"/>
  <c r="AM115" i="59" s="1"/>
  <c r="R32" i="48"/>
  <c r="R34" i="48" s="1"/>
  <c r="D19" i="49"/>
  <c r="BF95" i="49"/>
  <c r="BN95" i="49" s="1"/>
  <c r="AT95" i="49"/>
  <c r="AH95" i="49"/>
  <c r="V95" i="49"/>
  <c r="AN38" i="48"/>
  <c r="D114" i="49"/>
  <c r="AL47" i="82"/>
  <c r="AL78" i="82"/>
  <c r="AL27" i="82"/>
  <c r="AM47" i="82"/>
  <c r="W125" i="59"/>
  <c r="U10" i="52"/>
  <c r="Y116" i="59"/>
  <c r="V28" i="82"/>
  <c r="V29" i="82"/>
  <c r="W21" i="48"/>
  <c r="W22" i="48" s="1"/>
  <c r="W117" i="59" s="1"/>
  <c r="AJ57" i="82"/>
  <c r="AJ60" i="82" s="1"/>
  <c r="AJ61" i="82" s="1"/>
  <c r="BE14" i="48"/>
  <c r="BE17" i="48"/>
  <c r="BE7" i="48"/>
  <c r="BE10" i="48" s="1"/>
  <c r="BD25" i="50"/>
  <c r="BE16" i="48"/>
  <c r="BD38" i="50"/>
  <c r="BD39" i="50" s="1"/>
  <c r="BD51" i="52" s="1"/>
  <c r="BD15" i="92"/>
  <c r="BE15" i="48"/>
  <c r="BE111" i="59"/>
  <c r="BC21" i="71"/>
  <c r="BE28" i="48"/>
  <c r="AF66" i="82"/>
  <c r="AF78" i="82"/>
  <c r="AF27" i="82"/>
  <c r="D110" i="49"/>
  <c r="AJ38" i="48"/>
  <c r="BE54" i="82"/>
  <c r="BE52" i="82"/>
  <c r="BE67" i="82"/>
  <c r="BE44" i="82"/>
  <c r="BE48" i="82" s="1"/>
  <c r="BE47" i="82" s="1"/>
  <c r="BE55" i="82"/>
  <c r="BE53" i="82"/>
  <c r="AH47" i="50"/>
  <c r="AI30" i="50" s="1"/>
  <c r="AI34" i="50" s="1"/>
  <c r="W28" i="82"/>
  <c r="W29" i="82"/>
  <c r="AF19" i="48"/>
  <c r="AF115" i="59" s="1"/>
  <c r="AJ19" i="48"/>
  <c r="AJ115" i="59" s="1"/>
  <c r="S71" i="82"/>
  <c r="S73" i="82" s="1"/>
  <c r="S19" i="82"/>
  <c r="AF38" i="48"/>
  <c r="D106" i="49"/>
  <c r="Q115" i="59"/>
  <c r="F31" i="51"/>
  <c r="F5" i="51" s="1"/>
  <c r="AJ78" i="82"/>
  <c r="AJ27" i="82"/>
  <c r="AJ28" i="82" s="1"/>
  <c r="AH27" i="82"/>
  <c r="AH78" i="82"/>
  <c r="BC28" i="48"/>
  <c r="BC27" i="48" s="1"/>
  <c r="BC111" i="59"/>
  <c r="BB38" i="50"/>
  <c r="BB39" i="50" s="1"/>
  <c r="BB51" i="52" s="1"/>
  <c r="BC15" i="48"/>
  <c r="BB15" i="92"/>
  <c r="BB25" i="50"/>
  <c r="BC16" i="48"/>
  <c r="BC17" i="48"/>
  <c r="BC14" i="48"/>
  <c r="BC7" i="48"/>
  <c r="BC10" i="48" s="1"/>
  <c r="BA21" i="71"/>
  <c r="V32" i="48"/>
  <c r="V34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Y32" i="48"/>
  <c r="Y34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B14" i="48"/>
  <c r="BB15" i="48"/>
  <c r="BB7" i="48"/>
  <c r="BB10" i="48" s="1"/>
  <c r="BA25" i="50"/>
  <c r="BB16" i="48"/>
  <c r="BB111" i="59"/>
  <c r="BA38" i="50"/>
  <c r="BA39" i="50" s="1"/>
  <c r="BA51" i="52" s="1"/>
  <c r="BB28" i="48"/>
  <c r="BB27" i="48" s="1"/>
  <c r="AZ21" i="71"/>
  <c r="BB17" i="48"/>
  <c r="AN19" i="48"/>
  <c r="AN115" i="59" s="1"/>
  <c r="AE47" i="50"/>
  <c r="W34" i="50"/>
  <c r="AD38" i="48"/>
  <c r="D104" i="49"/>
  <c r="AD57" i="82"/>
  <c r="AD59" i="82" s="1"/>
  <c r="X125" i="59"/>
  <c r="V10" i="52"/>
  <c r="AM57" i="82"/>
  <c r="AM59" i="82" s="1"/>
  <c r="Z115" i="59"/>
  <c r="Z116" i="59" s="1"/>
  <c r="Z21" i="48"/>
  <c r="Z22" i="48" s="1"/>
  <c r="Z117" i="59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C10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Q32" i="48"/>
  <c r="D18" i="49"/>
  <c r="D112" i="49"/>
  <c r="AL38" i="48"/>
  <c r="S92" i="49"/>
  <c r="AE92" i="49"/>
  <c r="BC92" i="49"/>
  <c r="BN92" i="49" s="1"/>
  <c r="AQ92" i="49"/>
  <c r="AH19" i="48"/>
  <c r="AH115" i="59" s="1"/>
  <c r="BH14" i="48"/>
  <c r="BG15" i="92"/>
  <c r="BG38" i="50"/>
  <c r="BG39" i="50" s="1"/>
  <c r="BG51" i="52" s="1"/>
  <c r="BH111" i="59"/>
  <c r="BH16" i="48"/>
  <c r="BH15" i="48"/>
  <c r="BH17" i="48"/>
  <c r="BH28" i="48"/>
  <c r="BH7" i="48"/>
  <c r="BH10" i="48" s="1"/>
  <c r="BG25" i="50"/>
  <c r="BF21" i="71"/>
  <c r="BB55" i="82"/>
  <c r="BB53" i="82"/>
  <c r="BB52" i="82"/>
  <c r="BB67" i="82"/>
  <c r="BB54" i="82"/>
  <c r="BB44" i="82"/>
  <c r="BB48" i="82" s="1"/>
  <c r="AN32" i="48"/>
  <c r="AN34" i="48" s="1"/>
  <c r="D41" i="49"/>
  <c r="AG38" i="48"/>
  <c r="D107" i="49"/>
  <c r="Z71" i="82"/>
  <c r="Z73" i="82" s="1"/>
  <c r="Z19" i="82"/>
  <c r="AD27" i="48"/>
  <c r="AW98" i="49"/>
  <c r="AK98" i="49"/>
  <c r="Y98" i="49"/>
  <c r="BI98" i="49"/>
  <c r="BN98" i="49" s="1"/>
  <c r="AB115" i="59"/>
  <c r="AB116" i="59" s="1"/>
  <c r="AB21" i="48"/>
  <c r="AB22" i="48" s="1"/>
  <c r="AB117" i="59" s="1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K16" i="48"/>
  <c r="BK15" i="48"/>
  <c r="BJ25" i="50"/>
  <c r="BJ15" i="92"/>
  <c r="BJ38" i="50"/>
  <c r="BJ39" i="50" s="1"/>
  <c r="BJ51" i="52" s="1"/>
  <c r="BK14" i="48"/>
  <c r="BK28" i="48"/>
  <c r="BK17" i="48"/>
  <c r="BK7" i="48"/>
  <c r="BK10" i="48" s="1"/>
  <c r="V34" i="50"/>
  <c r="R36" i="52"/>
  <c r="R36" i="82"/>
  <c r="G47" i="50"/>
  <c r="H30" i="50" s="1"/>
  <c r="O19" i="48"/>
  <c r="O115" i="59" s="1"/>
  <c r="I47" i="50"/>
  <c r="J30" i="50" s="1"/>
  <c r="I19" i="48"/>
  <c r="K57" i="82"/>
  <c r="M19" i="48"/>
  <c r="M115" i="59" s="1"/>
  <c r="I57" i="82"/>
  <c r="H19" i="48"/>
  <c r="H115" i="59" s="1"/>
  <c r="J19" i="48"/>
  <c r="J115" i="59" s="1"/>
  <c r="K19" i="48"/>
  <c r="N57" i="82"/>
  <c r="E47" i="50"/>
  <c r="F30" i="50" s="1"/>
  <c r="O34" i="50"/>
  <c r="O42" i="50" s="1"/>
  <c r="G57" i="82"/>
  <c r="G60" i="82" s="1"/>
  <c r="G61" i="82" s="1"/>
  <c r="D13" i="49"/>
  <c r="L32" i="48"/>
  <c r="L34" i="48" s="1"/>
  <c r="H27" i="82"/>
  <c r="H78" i="82"/>
  <c r="D88" i="49"/>
  <c r="N38" i="48"/>
  <c r="F19" i="48"/>
  <c r="F115" i="59" s="1"/>
  <c r="N7" i="52"/>
  <c r="P114" i="59"/>
  <c r="D85" i="49"/>
  <c r="K38" i="48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32" i="48"/>
  <c r="J34" i="48" s="1"/>
  <c r="D11" i="49"/>
  <c r="J66" i="82"/>
  <c r="G71" i="82"/>
  <c r="G73" i="82" s="1"/>
  <c r="G19" i="82"/>
  <c r="O71" i="82"/>
  <c r="O73" i="82" s="1"/>
  <c r="O19" i="82"/>
  <c r="D47" i="50"/>
  <c r="P27" i="48"/>
  <c r="D90" i="49"/>
  <c r="P38" i="48"/>
  <c r="L38" i="48"/>
  <c r="D86" i="49"/>
  <c r="D3" i="91"/>
  <c r="D3" i="97"/>
  <c r="M27" i="48"/>
  <c r="M38" i="48"/>
  <c r="D87" i="49"/>
  <c r="D9" i="49"/>
  <c r="H32" i="48"/>
  <c r="H34" i="48" s="1"/>
  <c r="G114" i="59"/>
  <c r="E7" i="52"/>
  <c r="D10" i="49"/>
  <c r="I32" i="48"/>
  <c r="I34" i="48" s="1"/>
  <c r="O114" i="59"/>
  <c r="M7" i="52"/>
  <c r="H66" i="82"/>
  <c r="O27" i="82"/>
  <c r="O78" i="82"/>
  <c r="F27" i="48"/>
  <c r="F38" i="48"/>
  <c r="D80" i="49"/>
  <c r="L19" i="82"/>
  <c r="L71" i="82"/>
  <c r="L73" i="82" s="1"/>
  <c r="L57" i="82"/>
  <c r="L114" i="59"/>
  <c r="J7" i="52"/>
  <c r="K27" i="48"/>
  <c r="E19" i="48"/>
  <c r="E27" i="51"/>
  <c r="K47" i="50"/>
  <c r="I71" i="82"/>
  <c r="I73" i="82" s="1"/>
  <c r="I19" i="82"/>
  <c r="J57" i="82"/>
  <c r="F7" i="52"/>
  <c r="H114" i="59"/>
  <c r="M47" i="50"/>
  <c r="N27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E32" i="48"/>
  <c r="D6" i="49"/>
  <c r="F47" i="50"/>
  <c r="G30" i="50" s="1"/>
  <c r="G19" i="48"/>
  <c r="G115" i="59" s="1"/>
  <c r="D89" i="49"/>
  <c r="O38" i="48"/>
  <c r="O47" i="82"/>
  <c r="P19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9" i="82"/>
  <c r="E54" i="82"/>
  <c r="E52" i="82"/>
  <c r="E44" i="82"/>
  <c r="E47" i="82"/>
  <c r="E10" i="48"/>
  <c r="E21" i="51"/>
  <c r="J114" i="59"/>
  <c r="H7" i="52"/>
  <c r="D82" i="49"/>
  <c r="H38" i="48"/>
  <c r="D83" i="49"/>
  <c r="I38" i="48"/>
  <c r="H57" i="82"/>
  <c r="H60" i="82" s="1"/>
  <c r="G78" i="82"/>
  <c r="G27" i="82"/>
  <c r="O57" i="82"/>
  <c r="O59" i="82" s="1"/>
  <c r="N19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" i="49"/>
  <c r="G32" i="48"/>
  <c r="G34" i="48" s="1"/>
  <c r="G38" i="48"/>
  <c r="D81" i="49"/>
  <c r="O27" i="48"/>
  <c r="L47" i="50"/>
  <c r="M30" i="50" s="1"/>
  <c r="N114" i="59"/>
  <c r="L7" i="52"/>
  <c r="E7" i="59"/>
  <c r="L78" i="82"/>
  <c r="L27" i="82"/>
  <c r="N78" i="82"/>
  <c r="N27" i="82"/>
  <c r="L19" i="48"/>
  <c r="L115" i="59" s="1"/>
  <c r="P78" i="82"/>
  <c r="P27" i="82"/>
  <c r="I7" i="52"/>
  <c r="K114" i="59"/>
  <c r="M57" i="82"/>
  <c r="M60" i="82" s="1"/>
  <c r="E29" i="51"/>
  <c r="D79" i="49"/>
  <c r="E38" i="48"/>
  <c r="E39" i="51"/>
  <c r="J38" i="48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I60" i="82" l="1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H59" i="82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L21" i="48"/>
  <c r="AL22" i="48" s="1"/>
  <c r="AL117" i="59" s="1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E21" i="48"/>
  <c r="AE22" i="48" s="1"/>
  <c r="AE117" i="59" s="1"/>
  <c r="AJ21" i="48"/>
  <c r="AJ22" i="48" s="1"/>
  <c r="AJ117" i="59" s="1"/>
  <c r="D63" i="49"/>
  <c r="BK63" i="49" s="1"/>
  <c r="BN63" i="49" s="1"/>
  <c r="BJ32" i="48"/>
  <c r="BJ34" i="48" s="1"/>
  <c r="BH8" i="52" s="1"/>
  <c r="AI116" i="59"/>
  <c r="AI21" i="48"/>
  <c r="AI22" i="48" s="1"/>
  <c r="AI117" i="59" s="1"/>
  <c r="BE57" i="82"/>
  <c r="BE59" i="82" s="1"/>
  <c r="T29" i="82"/>
  <c r="T37" i="82" s="1"/>
  <c r="BI32" i="48"/>
  <c r="BI34" i="48" s="1"/>
  <c r="BI120" i="59" s="1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D21" i="48"/>
  <c r="AD22" i="48" s="1"/>
  <c r="AD117" i="59" s="1"/>
  <c r="F11" i="59"/>
  <c r="E21" i="116" s="1"/>
  <c r="BD19" i="48"/>
  <c r="BD115" i="59" s="1"/>
  <c r="AG21" i="48"/>
  <c r="AG22" i="48" s="1"/>
  <c r="AG117" i="59" s="1"/>
  <c r="BJ57" i="82"/>
  <c r="BI57" i="82"/>
  <c r="BI59" i="82" s="1"/>
  <c r="BH19" i="48"/>
  <c r="BH115" i="59" s="1"/>
  <c r="BB47" i="50"/>
  <c r="BC30" i="50" s="1"/>
  <c r="AE60" i="82"/>
  <c r="AE61" i="82" s="1"/>
  <c r="BK34" i="50"/>
  <c r="K115" i="59"/>
  <c r="K21" i="48"/>
  <c r="K116" i="59" s="1"/>
  <c r="D56" i="49"/>
  <c r="BD56" i="49" s="1"/>
  <c r="BN56" i="49" s="1"/>
  <c r="BC32" i="48"/>
  <c r="BC34" i="48" s="1"/>
  <c r="AI42" i="50"/>
  <c r="AI35" i="50"/>
  <c r="Q42" i="50"/>
  <c r="Q35" i="50"/>
  <c r="I115" i="59"/>
  <c r="I21" i="48"/>
  <c r="I116" i="59" s="1"/>
  <c r="N60" i="82"/>
  <c r="N61" i="82" s="1"/>
  <c r="N59" i="82"/>
  <c r="N21" i="82" s="1"/>
  <c r="D55" i="49"/>
  <c r="BC55" i="49" s="1"/>
  <c r="BN55" i="49" s="1"/>
  <c r="BB32" i="48"/>
  <c r="BB34" i="48" s="1"/>
  <c r="BG19" i="82"/>
  <c r="BG71" i="82"/>
  <c r="BG73" i="82" s="1"/>
  <c r="BF32" i="48"/>
  <c r="BF34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E27" i="48"/>
  <c r="D131" i="49"/>
  <c r="BF131" i="49" s="1"/>
  <c r="BN131" i="49" s="1"/>
  <c r="BE38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D27" i="48"/>
  <c r="D130" i="49"/>
  <c r="BE130" i="49" s="1"/>
  <c r="BN130" i="49" s="1"/>
  <c r="BD38" i="48"/>
  <c r="AJ109" i="49"/>
  <c r="BH109" i="49"/>
  <c r="BN109" i="49" s="1"/>
  <c r="AV109" i="49"/>
  <c r="AG33" i="49"/>
  <c r="AS33" i="49"/>
  <c r="BE33" i="49"/>
  <c r="BN33" i="49" s="1"/>
  <c r="AN21" i="48"/>
  <c r="AN22" i="48" s="1"/>
  <c r="AN117" i="59" s="1"/>
  <c r="F33" i="51"/>
  <c r="F34" i="51" s="1"/>
  <c r="Q22" i="48"/>
  <c r="Q117" i="59" s="1"/>
  <c r="AV43" i="82"/>
  <c r="J75" i="52"/>
  <c r="AV6" i="48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AW6" i="48"/>
  <c r="K75" i="52"/>
  <c r="AW43" i="82"/>
  <c r="AA10" i="52"/>
  <c r="G47" i="51"/>
  <c r="G13" i="51" s="1"/>
  <c r="AC125" i="59"/>
  <c r="BD78" i="82"/>
  <c r="BD27" i="82"/>
  <c r="BJ19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E19" i="48"/>
  <c r="BE115" i="59" s="1"/>
  <c r="S35" i="50"/>
  <c r="S42" i="50"/>
  <c r="BG38" i="48"/>
  <c r="D133" i="49"/>
  <c r="BH133" i="49" s="1"/>
  <c r="BN133" i="49" s="1"/>
  <c r="AC42" i="50"/>
  <c r="AN35" i="82"/>
  <c r="AN20" i="82"/>
  <c r="AL36" i="52" s="1"/>
  <c r="AN21" i="82"/>
  <c r="AK116" i="59"/>
  <c r="H75" i="52"/>
  <c r="AT43" i="82"/>
  <c r="AT6" i="48"/>
  <c r="BJ27" i="82"/>
  <c r="BJ66" i="82"/>
  <c r="BJ78" i="82"/>
  <c r="BA78" i="82"/>
  <c r="BA27" i="82"/>
  <c r="BA10" i="48"/>
  <c r="I21" i="51"/>
  <c r="H12" i="50"/>
  <c r="AZ39" i="50"/>
  <c r="BI19" i="48"/>
  <c r="BI115" i="59" s="1"/>
  <c r="AJ8" i="52"/>
  <c r="AL120" i="59"/>
  <c r="BL19" i="48"/>
  <c r="BL115" i="59" s="1"/>
  <c r="AU35" i="49"/>
  <c r="BG35" i="49"/>
  <c r="BN35" i="49" s="1"/>
  <c r="AI35" i="49"/>
  <c r="BL57" i="82"/>
  <c r="BL59" i="82" s="1"/>
  <c r="AF105" i="49"/>
  <c r="BD105" i="49"/>
  <c r="BN105" i="49" s="1"/>
  <c r="AR105" i="49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B38" i="48"/>
  <c r="BB19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F21" i="48"/>
  <c r="AF22" i="48" s="1"/>
  <c r="AF117" i="59" s="1"/>
  <c r="AD29" i="82"/>
  <c r="AD28" i="82"/>
  <c r="F21" i="59"/>
  <c r="E31" i="116" s="1"/>
  <c r="AJ34" i="50"/>
  <c r="AD35" i="50"/>
  <c r="AK21" i="48"/>
  <c r="AK22" i="48" s="1"/>
  <c r="AK117" i="59" s="1"/>
  <c r="AY43" i="82"/>
  <c r="AY6" i="48"/>
  <c r="M75" i="52"/>
  <c r="AE19" i="82"/>
  <c r="AE71" i="82"/>
  <c r="AE73" i="82" s="1"/>
  <c r="BD66" i="82"/>
  <c r="H3" i="91"/>
  <c r="H3" i="97"/>
  <c r="BA27" i="48"/>
  <c r="I39" i="51"/>
  <c r="D127" i="49"/>
  <c r="BB127" i="49" s="1"/>
  <c r="BN127" i="49" s="1"/>
  <c r="BA38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F19" i="48"/>
  <c r="BF115" i="59" s="1"/>
  <c r="BD47" i="50"/>
  <c r="Y120" i="59"/>
  <c r="W8" i="52"/>
  <c r="BF57" i="82"/>
  <c r="BF59" i="82" s="1"/>
  <c r="BC19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G19" i="48"/>
  <c r="BG115" i="59" s="1"/>
  <c r="AB51" i="52"/>
  <c r="F13" i="50"/>
  <c r="AC71" i="82"/>
  <c r="AC73" i="82" s="1"/>
  <c r="AC19" i="82"/>
  <c r="L75" i="52"/>
  <c r="AX6" i="48"/>
  <c r="AX43" i="82"/>
  <c r="D75" i="52"/>
  <c r="AP6" i="48"/>
  <c r="AP43" i="82"/>
  <c r="T42" i="50"/>
  <c r="T35" i="50"/>
  <c r="AH21" i="48"/>
  <c r="AH22" i="48" s="1"/>
  <c r="AH117" i="59" s="1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K27" i="48"/>
  <c r="BK38" i="48"/>
  <c r="BB27" i="82"/>
  <c r="BB78" i="82"/>
  <c r="BB66" i="82"/>
  <c r="F42" i="51"/>
  <c r="Q34" i="48"/>
  <c r="BB57" i="82"/>
  <c r="BB59" i="82" s="1"/>
  <c r="AA7" i="52"/>
  <c r="AC114" i="59"/>
  <c r="AC21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AS6" i="48"/>
  <c r="G75" i="52"/>
  <c r="AQ43" i="82"/>
  <c r="AQ6" i="48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L38" i="48"/>
  <c r="D40" i="49"/>
  <c r="AM32" i="48"/>
  <c r="AM34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F38" i="48"/>
  <c r="AD32" i="48"/>
  <c r="AD34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M21" i="48"/>
  <c r="AM22" i="48" s="1"/>
  <c r="AM117" i="59" s="1"/>
  <c r="Q20" i="82"/>
  <c r="Q35" i="82"/>
  <c r="Q21" i="82"/>
  <c r="BG27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AO6" i="48"/>
  <c r="O50" i="47"/>
  <c r="E28" i="47" s="1"/>
  <c r="E30" i="47" s="1"/>
  <c r="C75" i="52"/>
  <c r="AO43" i="82"/>
  <c r="AR43" i="82"/>
  <c r="F75" i="52"/>
  <c r="AR6" i="48"/>
  <c r="AC32" i="48"/>
  <c r="D30" i="49"/>
  <c r="AH116" i="59"/>
  <c r="X42" i="50"/>
  <c r="X35" i="50"/>
  <c r="I27" i="51"/>
  <c r="BA19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L27" i="48"/>
  <c r="BH38" i="48"/>
  <c r="BH27" i="48"/>
  <c r="D134" i="49"/>
  <c r="BI134" i="49" s="1"/>
  <c r="BN134" i="49" s="1"/>
  <c r="BK19" i="48"/>
  <c r="BK115" i="59" s="1"/>
  <c r="AQ104" i="49"/>
  <c r="AE104" i="49"/>
  <c r="BC104" i="49"/>
  <c r="BN104" i="49" s="1"/>
  <c r="BC38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I32" i="48"/>
  <c r="AI34" i="48" s="1"/>
  <c r="D36" i="49"/>
  <c r="AD8" i="52"/>
  <c r="AF120" i="59"/>
  <c r="AZ43" i="82"/>
  <c r="N75" i="52"/>
  <c r="AZ6" i="48"/>
  <c r="AU43" i="82"/>
  <c r="I75" i="52"/>
  <c r="AU6" i="48"/>
  <c r="BB103" i="49"/>
  <c r="BN103" i="49" s="1"/>
  <c r="AP103" i="49"/>
  <c r="AD103" i="49"/>
  <c r="BJ38" i="48"/>
  <c r="D136" i="49"/>
  <c r="BK136" i="49" s="1"/>
  <c r="BN136" i="49" s="1"/>
  <c r="Y34" i="50"/>
  <c r="I28" i="51"/>
  <c r="D135" i="49"/>
  <c r="BJ135" i="49" s="1"/>
  <c r="BN135" i="49" s="1"/>
  <c r="BI38" i="48"/>
  <c r="AF10" i="52"/>
  <c r="AH125" i="59"/>
  <c r="AK10" i="52"/>
  <c r="AM125" i="59"/>
  <c r="BL78" i="82"/>
  <c r="BL27" i="82"/>
  <c r="AI28" i="82"/>
  <c r="O21" i="48"/>
  <c r="O22" i="48" s="1"/>
  <c r="O117" i="59" s="1"/>
  <c r="G34" i="50"/>
  <c r="G35" i="50" s="1"/>
  <c r="I34" i="50"/>
  <c r="I35" i="50" s="1"/>
  <c r="O116" i="59"/>
  <c r="P116" i="59"/>
  <c r="M21" i="48"/>
  <c r="M116" i="59" s="1"/>
  <c r="J21" i="48"/>
  <c r="J116" i="59" s="1"/>
  <c r="H21" i="48"/>
  <c r="H116" i="59" s="1"/>
  <c r="O35" i="50"/>
  <c r="O43" i="50" s="1"/>
  <c r="O40" i="64" s="1"/>
  <c r="P60" i="82"/>
  <c r="P61" i="82" s="1"/>
  <c r="O60" i="82"/>
  <c r="O61" i="82" s="1"/>
  <c r="N21" i="48"/>
  <c r="N116" i="59" s="1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F21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H8" i="49"/>
  <c r="H67" i="49" s="1"/>
  <c r="H69" i="49" s="1"/>
  <c r="T8" i="49"/>
  <c r="BD8" i="49"/>
  <c r="AR8" i="49"/>
  <c r="AF8" i="49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U9" i="49"/>
  <c r="U67" i="49" s="1"/>
  <c r="U69" i="49" s="1"/>
  <c r="BE9" i="49"/>
  <c r="AS9" i="49"/>
  <c r="AG9" i="49"/>
  <c r="I9" i="49"/>
  <c r="I67" i="49" s="1"/>
  <c r="I69" i="49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K32" i="48"/>
  <c r="K34" i="48" s="1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M21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E21" i="48"/>
  <c r="E24" i="51"/>
  <c r="E78" i="82"/>
  <c r="E27" i="82"/>
  <c r="D15" i="49"/>
  <c r="N32" i="48"/>
  <c r="N34" i="48" s="1"/>
  <c r="L21" i="48"/>
  <c r="D7" i="49"/>
  <c r="F32" i="48"/>
  <c r="F34" i="48" s="1"/>
  <c r="J10" i="49"/>
  <c r="J67" i="49" s="1"/>
  <c r="J69" i="49" s="1"/>
  <c r="V10" i="49"/>
  <c r="AT10" i="49"/>
  <c r="BF10" i="49"/>
  <c r="AH10" i="49"/>
  <c r="K10" i="52"/>
  <c r="M125" i="59"/>
  <c r="N10" i="52"/>
  <c r="P125" i="59"/>
  <c r="J19" i="82"/>
  <c r="J71" i="82"/>
  <c r="J73" i="82" s="1"/>
  <c r="F34" i="50"/>
  <c r="K28" i="82"/>
  <c r="H28" i="82"/>
  <c r="H29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F6" i="49"/>
  <c r="F67" i="49" s="1"/>
  <c r="AP6" i="49"/>
  <c r="R6" i="49"/>
  <c r="BB6" i="49"/>
  <c r="AD6" i="49"/>
  <c r="M34" i="50"/>
  <c r="N30" i="50"/>
  <c r="N34" i="50" s="1"/>
  <c r="L30" i="50"/>
  <c r="L34" i="50" s="1"/>
  <c r="K34" i="50"/>
  <c r="E38" i="51"/>
  <c r="M32" i="48"/>
  <c r="M34" i="48" s="1"/>
  <c r="D14" i="49"/>
  <c r="BA90" i="49"/>
  <c r="Q90" i="49"/>
  <c r="Q140" i="49" s="1"/>
  <c r="Q142" i="49" s="1"/>
  <c r="BM90" i="49"/>
  <c r="AO90" i="49"/>
  <c r="AC90" i="49"/>
  <c r="AC140" i="49" s="1"/>
  <c r="AC142" i="49" s="1"/>
  <c r="BG11" i="49"/>
  <c r="W11" i="49"/>
  <c r="AI11" i="49"/>
  <c r="K11" i="49"/>
  <c r="K67" i="49" s="1"/>
  <c r="K69" i="49" s="1"/>
  <c r="AU11" i="49"/>
  <c r="K19" i="82"/>
  <c r="K71" i="82"/>
  <c r="K73" i="82" s="1"/>
  <c r="P21" i="48"/>
  <c r="H34" i="50"/>
  <c r="O32" i="48"/>
  <c r="O34" i="48" s="1"/>
  <c r="D16" i="49"/>
  <c r="E57" i="82"/>
  <c r="M10" i="52"/>
  <c r="O125" i="59"/>
  <c r="E34" i="48"/>
  <c r="F35" i="82"/>
  <c r="F21" i="82"/>
  <c r="F20" i="82"/>
  <c r="O28" i="82"/>
  <c r="O29" i="82"/>
  <c r="G21" i="48"/>
  <c r="D17" i="49"/>
  <c r="P32" i="48"/>
  <c r="P34" i="48" s="1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M29" i="82"/>
  <c r="H19" i="82"/>
  <c r="H71" i="82"/>
  <c r="H73" i="82" s="1"/>
  <c r="E30" i="50"/>
  <c r="E34" i="50" s="1"/>
  <c r="D51" i="52"/>
  <c r="D13" i="50"/>
  <c r="M13" i="49"/>
  <c r="M67" i="49" s="1"/>
  <c r="M69" i="49" s="1"/>
  <c r="AW13" i="49"/>
  <c r="BI13" i="49"/>
  <c r="Y13" i="49"/>
  <c r="AK13" i="49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L21" i="82" l="1"/>
  <c r="Z42" i="50"/>
  <c r="Y67" i="49"/>
  <c r="Y69" i="49" s="1"/>
  <c r="X35" i="48" s="1"/>
  <c r="R67" i="49"/>
  <c r="R69" i="49" s="1"/>
  <c r="K22" i="48"/>
  <c r="K117" i="59" s="1"/>
  <c r="BJ120" i="59"/>
  <c r="BD116" i="59"/>
  <c r="BC60" i="82"/>
  <c r="BC61" i="82" s="1"/>
  <c r="BE60" i="82"/>
  <c r="BE61" i="82" s="1"/>
  <c r="AG67" i="49"/>
  <c r="AG69" i="49" s="1"/>
  <c r="AF35" i="48" s="1"/>
  <c r="W67" i="49"/>
  <c r="W69" i="49" s="1"/>
  <c r="V35" i="48" s="1"/>
  <c r="N29" i="82"/>
  <c r="N37" i="82" s="1"/>
  <c r="BF34" i="50"/>
  <c r="BF35" i="50" s="1"/>
  <c r="J22" i="48"/>
  <c r="J117" i="59" s="1"/>
  <c r="AH36" i="82"/>
  <c r="BI35" i="82"/>
  <c r="BJ21" i="48"/>
  <c r="BJ22" i="48" s="1"/>
  <c r="BJ117" i="59" s="1"/>
  <c r="BI21" i="82"/>
  <c r="BG37" i="52" s="1"/>
  <c r="BL35" i="82"/>
  <c r="AI140" i="49"/>
  <c r="AI142" i="49" s="1"/>
  <c r="AH39" i="48" s="1"/>
  <c r="O50" i="52"/>
  <c r="AJ140" i="49"/>
  <c r="AJ142" i="49" s="1"/>
  <c r="AI79" i="82" s="1"/>
  <c r="AI80" i="82" s="1"/>
  <c r="BG8" i="52"/>
  <c r="BD21" i="48"/>
  <c r="BD22" i="48" s="1"/>
  <c r="BD117" i="59" s="1"/>
  <c r="BA35" i="82"/>
  <c r="I22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U35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K67" i="49"/>
  <c r="AK69" i="49" s="1"/>
  <c r="AJ35" i="48" s="1"/>
  <c r="AH67" i="49"/>
  <c r="AH69" i="49" s="1"/>
  <c r="AG35" i="48" s="1"/>
  <c r="AI67" i="49"/>
  <c r="AI69" i="49" s="1"/>
  <c r="AH35" i="48" s="1"/>
  <c r="AG140" i="49"/>
  <c r="AG142" i="49" s="1"/>
  <c r="AF79" i="82" s="1"/>
  <c r="AF80" i="82" s="1"/>
  <c r="AJ36" i="82"/>
  <c r="BH21" i="48"/>
  <c r="BH22" i="48" s="1"/>
  <c r="BH117" i="59" s="1"/>
  <c r="BL21" i="82"/>
  <c r="BJ37" i="52" s="1"/>
  <c r="BH116" i="59"/>
  <c r="T67" i="49"/>
  <c r="T69" i="49" s="1"/>
  <c r="S35" i="48" s="1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E39" i="48" s="1"/>
  <c r="AF67" i="49"/>
  <c r="AF69" i="49" s="1"/>
  <c r="AE35" i="48" s="1"/>
  <c r="AL36" i="82"/>
  <c r="AC34" i="48"/>
  <c r="G42" i="51"/>
  <c r="AH140" i="49"/>
  <c r="AH142" i="49" s="1"/>
  <c r="AG39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Y28" i="48"/>
  <c r="AY27" i="48" s="1"/>
  <c r="AX25" i="50"/>
  <c r="AX15" i="92"/>
  <c r="AY16" i="48"/>
  <c r="AW21" i="71"/>
  <c r="AY14" i="48"/>
  <c r="AY7" i="48"/>
  <c r="AY10" i="48" s="1"/>
  <c r="AY15" i="48"/>
  <c r="AX38" i="50"/>
  <c r="AX39" i="50" s="1"/>
  <c r="AX51" i="52" s="1"/>
  <c r="AY17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E32" i="48"/>
  <c r="BE34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Z14" i="48"/>
  <c r="AZ17" i="48"/>
  <c r="AY38" i="50"/>
  <c r="AY39" i="50" s="1"/>
  <c r="AY51" i="52" s="1"/>
  <c r="AZ111" i="59"/>
  <c r="AZ16" i="48"/>
  <c r="AZ28" i="48"/>
  <c r="AZ15" i="48"/>
  <c r="AZ7" i="48"/>
  <c r="AZ10" i="48" s="1"/>
  <c r="BC125" i="59"/>
  <c r="BA10" i="52"/>
  <c r="BL32" i="48"/>
  <c r="BL34" i="48" s="1"/>
  <c r="D65" i="49"/>
  <c r="BM65" i="49" s="1"/>
  <c r="BN65" i="49" s="1"/>
  <c r="BB30" i="49"/>
  <c r="BN30" i="49" s="1"/>
  <c r="AP30" i="49"/>
  <c r="AD30" i="49"/>
  <c r="AD67" i="49" s="1"/>
  <c r="AD69" i="49" s="1"/>
  <c r="AO14" i="48"/>
  <c r="AO17" i="48"/>
  <c r="AO15" i="48"/>
  <c r="AN15" i="92"/>
  <c r="AM21" i="71"/>
  <c r="H20" i="51"/>
  <c r="AO7" i="48"/>
  <c r="AN38" i="50"/>
  <c r="AO16" i="48"/>
  <c r="AO28" i="48"/>
  <c r="AO27" i="48" s="1"/>
  <c r="AN25" i="50"/>
  <c r="AO111" i="59"/>
  <c r="BM6" i="48"/>
  <c r="BL38" i="50" s="1"/>
  <c r="W37" i="52"/>
  <c r="Y37" i="82"/>
  <c r="S37" i="82"/>
  <c r="Q37" i="52"/>
  <c r="G33" i="51"/>
  <c r="G34" i="51" s="1"/>
  <c r="AC22" i="48"/>
  <c r="AC117" i="59" s="1"/>
  <c r="BB28" i="82"/>
  <c r="BB29" i="82"/>
  <c r="AX28" i="48"/>
  <c r="AX17" i="48"/>
  <c r="AW25" i="50"/>
  <c r="AX7" i="48"/>
  <c r="AX10" i="48" s="1"/>
  <c r="AX15" i="48"/>
  <c r="AW15" i="92"/>
  <c r="AX111" i="59"/>
  <c r="AX16" i="48"/>
  <c r="AW38" i="50"/>
  <c r="AW39" i="50" s="1"/>
  <c r="AW51" i="52" s="1"/>
  <c r="AV21" i="71"/>
  <c r="AX14" i="48"/>
  <c r="U36" i="82"/>
  <c r="S36" i="52"/>
  <c r="D54" i="49"/>
  <c r="BB54" i="49" s="1"/>
  <c r="BN54" i="49" s="1"/>
  <c r="BA32" i="48"/>
  <c r="AY44" i="82"/>
  <c r="AY48" i="82" s="1"/>
  <c r="AY67" i="82"/>
  <c r="AY55" i="82"/>
  <c r="AY54" i="82"/>
  <c r="AY53" i="82"/>
  <c r="AY52" i="82"/>
  <c r="AT17" i="48"/>
  <c r="AT111" i="59"/>
  <c r="AT14" i="48"/>
  <c r="AT7" i="48"/>
  <c r="AT10" i="48" s="1"/>
  <c r="AT28" i="48"/>
  <c r="AR21" i="71"/>
  <c r="AT15" i="48"/>
  <c r="AS25" i="50"/>
  <c r="AT16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D32" i="48"/>
  <c r="BD34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S16" i="48"/>
  <c r="AS15" i="48"/>
  <c r="AS28" i="48"/>
  <c r="AS27" i="48" s="1"/>
  <c r="AR25" i="50"/>
  <c r="AS7" i="48"/>
  <c r="AS10" i="48" s="1"/>
  <c r="AS14" i="48"/>
  <c r="AR15" i="92"/>
  <c r="AR38" i="50"/>
  <c r="AR39" i="50" s="1"/>
  <c r="AR51" i="52" s="1"/>
  <c r="AQ21" i="71"/>
  <c r="AS17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K21" i="48"/>
  <c r="BK22" i="48" s="1"/>
  <c r="BK117" i="59" s="1"/>
  <c r="AR17" i="48"/>
  <c r="AR28" i="48"/>
  <c r="AR27" i="48" s="1"/>
  <c r="AQ25" i="50"/>
  <c r="AP21" i="71"/>
  <c r="AR111" i="59"/>
  <c r="AR7" i="48"/>
  <c r="AR10" i="48" s="1"/>
  <c r="AQ38" i="50"/>
  <c r="AQ39" i="50" s="1"/>
  <c r="AQ51" i="52" s="1"/>
  <c r="AQ15" i="92"/>
  <c r="AR15" i="48"/>
  <c r="AR14" i="48"/>
  <c r="AR16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K32" i="48"/>
  <c r="BK34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C21" i="48"/>
  <c r="BC22" i="48" s="1"/>
  <c r="BC117" i="59" s="1"/>
  <c r="AJ37" i="52"/>
  <c r="AL37" i="82"/>
  <c r="AY7" i="52"/>
  <c r="BA114" i="59"/>
  <c r="BA21" i="48"/>
  <c r="I24" i="51"/>
  <c r="BE10" i="52"/>
  <c r="BG125" i="59"/>
  <c r="BI29" i="82"/>
  <c r="BI37" i="82" s="1"/>
  <c r="BI28" i="82"/>
  <c r="BI36" i="82" s="1"/>
  <c r="AW7" i="48"/>
  <c r="AW10" i="48" s="1"/>
  <c r="AV15" i="92"/>
  <c r="AV38" i="50"/>
  <c r="AV39" i="50" s="1"/>
  <c r="AV51" i="52" s="1"/>
  <c r="AV25" i="50"/>
  <c r="AW14" i="48"/>
  <c r="AW111" i="59"/>
  <c r="AW28" i="48"/>
  <c r="AW27" i="48" s="1"/>
  <c r="AW15" i="48"/>
  <c r="AU21" i="71"/>
  <c r="AW17" i="48"/>
  <c r="AW16" i="48"/>
  <c r="BK71" i="82"/>
  <c r="BK73" i="82" s="1"/>
  <c r="BK19" i="82"/>
  <c r="AV7" i="48"/>
  <c r="AV10" i="48" s="1"/>
  <c r="AV16" i="48"/>
  <c r="AV111" i="59"/>
  <c r="AV15" i="48"/>
  <c r="AT21" i="71"/>
  <c r="AU38" i="50"/>
  <c r="AU39" i="50" s="1"/>
  <c r="AU51" i="52" s="1"/>
  <c r="AV28" i="48"/>
  <c r="AV14" i="48"/>
  <c r="AU15" i="92"/>
  <c r="AV17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AD43" i="50"/>
  <c r="AD40" i="64" s="1"/>
  <c r="AD50" i="52"/>
  <c r="AD66" i="50"/>
  <c r="AF68" i="50" s="1"/>
  <c r="BA28" i="82"/>
  <c r="BA36" i="82" s="1"/>
  <c r="AK21" i="82"/>
  <c r="AK20" i="82"/>
  <c r="AI36" i="52" s="1"/>
  <c r="AK35" i="82"/>
  <c r="BD28" i="82"/>
  <c r="BK116" i="59"/>
  <c r="BE21" i="48"/>
  <c r="BE22" i="48" s="1"/>
  <c r="BE117" i="59" s="1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L21" i="48"/>
  <c r="BL22" i="48" s="1"/>
  <c r="BL117" i="59" s="1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G32" i="48"/>
  <c r="BG34" i="48" s="1"/>
  <c r="D60" i="49"/>
  <c r="BH60" i="49" s="1"/>
  <c r="BN60" i="49" s="1"/>
  <c r="AB42" i="50"/>
  <c r="AB35" i="50"/>
  <c r="E22" i="116"/>
  <c r="F13" i="59"/>
  <c r="E23" i="116" s="1"/>
  <c r="AJ42" i="50"/>
  <c r="AJ35" i="50"/>
  <c r="BF21" i="48"/>
  <c r="BF22" i="48" s="1"/>
  <c r="BF117" i="59" s="1"/>
  <c r="BK28" i="82"/>
  <c r="AH35" i="50"/>
  <c r="AH42" i="50"/>
  <c r="AK140" i="49"/>
  <c r="AK142" i="49" s="1"/>
  <c r="AJ39" i="48" s="1"/>
  <c r="I42" i="50"/>
  <c r="AU16" i="48"/>
  <c r="AT15" i="92"/>
  <c r="AU17" i="48"/>
  <c r="AT25" i="50"/>
  <c r="AT38" i="50"/>
  <c r="AT39" i="50" s="1"/>
  <c r="AT51" i="52" s="1"/>
  <c r="AU15" i="48"/>
  <c r="AU14" i="48"/>
  <c r="AU7" i="48"/>
  <c r="AU10" i="48" s="1"/>
  <c r="AU28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P7" i="48"/>
  <c r="AP10" i="48" s="1"/>
  <c r="AP28" i="48"/>
  <c r="AP14" i="48"/>
  <c r="AO38" i="50"/>
  <c r="AO39" i="50" s="1"/>
  <c r="AO51" i="52" s="1"/>
  <c r="AP111" i="59"/>
  <c r="AP16" i="48"/>
  <c r="AO15" i="92"/>
  <c r="AP17" i="48"/>
  <c r="AP15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B21" i="48"/>
  <c r="BB22" i="48" s="1"/>
  <c r="BB117" i="59" s="1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G21" i="48"/>
  <c r="BG22" i="48" s="1"/>
  <c r="BG117" i="59" s="1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M22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H32" i="48"/>
  <c r="BH34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Q15" i="48"/>
  <c r="AQ28" i="48"/>
  <c r="AQ7" i="48"/>
  <c r="AQ10" i="48" s="1"/>
  <c r="AO21" i="71"/>
  <c r="AP15" i="92"/>
  <c r="AQ16" i="48"/>
  <c r="AP25" i="50"/>
  <c r="AQ14" i="48"/>
  <c r="AP38" i="50"/>
  <c r="AP39" i="50" s="1"/>
  <c r="AP51" i="52" s="1"/>
  <c r="AQ17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I21" i="48"/>
  <c r="BI22" i="48" s="1"/>
  <c r="BI117" i="59" s="1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H22" i="48"/>
  <c r="H117" i="59" s="1"/>
  <c r="I36" i="82"/>
  <c r="F37" i="82"/>
  <c r="G36" i="82"/>
  <c r="M36" i="82"/>
  <c r="E60" i="82"/>
  <c r="E61" i="82" s="1"/>
  <c r="I37" i="82"/>
  <c r="N36" i="82"/>
  <c r="N22" i="48"/>
  <c r="N117" i="59" s="1"/>
  <c r="P36" i="82"/>
  <c r="H35" i="82"/>
  <c r="H21" i="82"/>
  <c r="H20" i="82"/>
  <c r="H36" i="82" s="1"/>
  <c r="S79" i="82"/>
  <c r="S80" i="82" s="1"/>
  <c r="S39" i="48"/>
  <c r="K35" i="82"/>
  <c r="K20" i="82"/>
  <c r="K36" i="82" s="1"/>
  <c r="K21" i="82"/>
  <c r="K37" i="82" s="1"/>
  <c r="BN90" i="49"/>
  <c r="N35" i="50"/>
  <c r="N42" i="50"/>
  <c r="I74" i="82"/>
  <c r="I75" i="82" s="1"/>
  <c r="I35" i="48"/>
  <c r="G37" i="82"/>
  <c r="G50" i="52"/>
  <c r="G43" i="50"/>
  <c r="G40" i="64" s="1"/>
  <c r="G66" i="50"/>
  <c r="I68" i="50" s="1"/>
  <c r="G74" i="82"/>
  <c r="G75" i="82" s="1"/>
  <c r="G35" i="48"/>
  <c r="K79" i="82"/>
  <c r="K80" i="82" s="1"/>
  <c r="K39" i="48"/>
  <c r="F22" i="48"/>
  <c r="F117" i="59" s="1"/>
  <c r="F116" i="59"/>
  <c r="O37" i="82"/>
  <c r="BN89" i="49"/>
  <c r="P39" i="48"/>
  <c r="P79" i="82"/>
  <c r="P80" i="82" s="1"/>
  <c r="M42" i="50"/>
  <c r="M35" i="50"/>
  <c r="H39" i="48"/>
  <c r="H79" i="82"/>
  <c r="H80" i="82" s="1"/>
  <c r="F120" i="59"/>
  <c r="D8" i="52"/>
  <c r="V39" i="48"/>
  <c r="V79" i="82"/>
  <c r="V80" i="82" s="1"/>
  <c r="BN87" i="49"/>
  <c r="I39" i="48"/>
  <c r="I79" i="82"/>
  <c r="I80" i="82" s="1"/>
  <c r="I30" i="82" s="1"/>
  <c r="W39" i="48"/>
  <c r="W79" i="82"/>
  <c r="W80" i="82" s="1"/>
  <c r="J42" i="50"/>
  <c r="J35" i="50"/>
  <c r="F142" i="49"/>
  <c r="Q143" i="49"/>
  <c r="E21" i="59"/>
  <c r="J74" i="82"/>
  <c r="J75" i="82" s="1"/>
  <c r="J35" i="48"/>
  <c r="BN82" i="49"/>
  <c r="BC7" i="49"/>
  <c r="S7" i="49"/>
  <c r="S67" i="49" s="1"/>
  <c r="S69" i="49" s="1"/>
  <c r="AE7" i="49"/>
  <c r="G7" i="49"/>
  <c r="G67" i="49" s="1"/>
  <c r="G69" i="49" s="1"/>
  <c r="AQ7" i="49"/>
  <c r="E28" i="82"/>
  <c r="E29" i="82"/>
  <c r="Y79" i="82"/>
  <c r="Y80" i="82" s="1"/>
  <c r="Y39" i="48"/>
  <c r="BH12" i="49"/>
  <c r="L12" i="49"/>
  <c r="L67" i="49" s="1"/>
  <c r="L69" i="49" s="1"/>
  <c r="AV12" i="49"/>
  <c r="X12" i="49"/>
  <c r="X67" i="49" s="1"/>
  <c r="X69" i="49" s="1"/>
  <c r="AJ12" i="49"/>
  <c r="N79" i="82"/>
  <c r="N80" i="82" s="1"/>
  <c r="N39" i="48"/>
  <c r="BN9" i="49"/>
  <c r="R142" i="49"/>
  <c r="AC143" i="49"/>
  <c r="O36" i="82"/>
  <c r="O39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AB16" i="49"/>
  <c r="AB67" i="49" s="1"/>
  <c r="AB69" i="49" s="1"/>
  <c r="BL16" i="49"/>
  <c r="AL14" i="49"/>
  <c r="AL67" i="49" s="1"/>
  <c r="AL69" i="49" s="1"/>
  <c r="BJ14" i="49"/>
  <c r="Z14" i="49"/>
  <c r="Z67" i="49" s="1"/>
  <c r="Z69" i="49" s="1"/>
  <c r="N14" i="49"/>
  <c r="N67" i="49" s="1"/>
  <c r="N69" i="49" s="1"/>
  <c r="AX14" i="49"/>
  <c r="BN6" i="49"/>
  <c r="L22" i="48"/>
  <c r="L117" i="59" s="1"/>
  <c r="L116" i="59"/>
  <c r="K120" i="59"/>
  <c r="I8" i="52"/>
  <c r="BN83" i="49"/>
  <c r="BN88" i="49"/>
  <c r="X39" i="48"/>
  <c r="X79" i="82"/>
  <c r="X80" i="82" s="1"/>
  <c r="X30" i="82" s="1"/>
  <c r="T74" i="82"/>
  <c r="T75" i="82" s="1"/>
  <c r="T35" i="48"/>
  <c r="BN85" i="49"/>
  <c r="P37" i="82"/>
  <c r="X74" i="82"/>
  <c r="X75" i="82" s="1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M39" i="48"/>
  <c r="M79" i="82"/>
  <c r="M80" i="82" s="1"/>
  <c r="E10" i="59"/>
  <c r="BN86" i="49"/>
  <c r="F39" i="48"/>
  <c r="F79" i="82"/>
  <c r="F80" i="82" s="1"/>
  <c r="L37" i="82"/>
  <c r="BN79" i="49"/>
  <c r="E73" i="82"/>
  <c r="BN13" i="49"/>
  <c r="D34" i="50"/>
  <c r="G79" i="82"/>
  <c r="G80" i="82" s="1"/>
  <c r="G39" i="48"/>
  <c r="AO17" i="49"/>
  <c r="AO67" i="49" s="1"/>
  <c r="AO69" i="49" s="1"/>
  <c r="Q17" i="49"/>
  <c r="Q67" i="49" s="1"/>
  <c r="Q69" i="49" s="1"/>
  <c r="BA17" i="49"/>
  <c r="BM17" i="49"/>
  <c r="AC17" i="49"/>
  <c r="AC67" i="49" s="1"/>
  <c r="AC69" i="49" s="1"/>
  <c r="E42" i="51"/>
  <c r="H35" i="50"/>
  <c r="H42" i="50"/>
  <c r="BN11" i="49"/>
  <c r="BN10" i="49"/>
  <c r="BK15" i="49"/>
  <c r="AM15" i="49"/>
  <c r="AM67" i="49" s="1"/>
  <c r="AM69" i="49" s="1"/>
  <c r="AA15" i="49"/>
  <c r="AA67" i="49" s="1"/>
  <c r="AA69" i="49" s="1"/>
  <c r="O15" i="49"/>
  <c r="O67" i="49" s="1"/>
  <c r="O69" i="49" s="1"/>
  <c r="AY15" i="49"/>
  <c r="J79" i="82"/>
  <c r="J80" i="82" s="1"/>
  <c r="J39" i="48"/>
  <c r="F36" i="82"/>
  <c r="L79" i="82"/>
  <c r="L80" i="82" s="1"/>
  <c r="L39" i="48"/>
  <c r="BN80" i="49"/>
  <c r="L36" i="82"/>
  <c r="E5" i="51"/>
  <c r="E35" i="82"/>
  <c r="E20" i="82"/>
  <c r="E21" i="82"/>
  <c r="E35" i="50"/>
  <c r="E42" i="50"/>
  <c r="P22" i="48"/>
  <c r="P117" i="59" s="1"/>
  <c r="AB39" i="48"/>
  <c r="AB79" i="82"/>
  <c r="AB80" i="82" s="1"/>
  <c r="K42" i="50"/>
  <c r="K35" i="50"/>
  <c r="F69" i="49"/>
  <c r="E116" i="59"/>
  <c r="E22" i="48"/>
  <c r="E117" i="59" s="1"/>
  <c r="E33" i="51"/>
  <c r="Z39" i="48"/>
  <c r="Z79" i="82"/>
  <c r="Z80" i="82" s="1"/>
  <c r="I66" i="50"/>
  <c r="K68" i="50" s="1"/>
  <c r="I43" i="50"/>
  <c r="I40" i="64" s="1"/>
  <c r="I50" i="52"/>
  <c r="BN8" i="49"/>
  <c r="L74" i="82"/>
  <c r="L75" i="82" s="1"/>
  <c r="L35" i="48"/>
  <c r="AA39" i="48"/>
  <c r="AA79" i="82"/>
  <c r="AA80" i="82" s="1"/>
  <c r="BN81" i="49"/>
  <c r="G116" i="59"/>
  <c r="G22" i="48"/>
  <c r="G117" i="59" s="1"/>
  <c r="E120" i="59"/>
  <c r="C8" i="52"/>
  <c r="E44" i="51"/>
  <c r="L35" i="50"/>
  <c r="L42" i="50"/>
  <c r="T39" i="48"/>
  <c r="T79" i="82"/>
  <c r="T80" i="82" s="1"/>
  <c r="J35" i="82"/>
  <c r="J21" i="82"/>
  <c r="J20" i="82"/>
  <c r="J36" i="82" s="1"/>
  <c r="BN84" i="49"/>
  <c r="U39" i="48"/>
  <c r="U79" i="82"/>
  <c r="U80" i="82" s="1"/>
  <c r="H35" i="48"/>
  <c r="H74" i="82"/>
  <c r="H75" i="82" s="1"/>
  <c r="R39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BF42" i="50" l="1"/>
  <c r="AE79" i="82"/>
  <c r="AE80" i="82" s="1"/>
  <c r="V74" i="82"/>
  <c r="V75" i="82" s="1"/>
  <c r="V83" i="82" s="1"/>
  <c r="V13" i="82" s="1"/>
  <c r="T28" i="52" s="1"/>
  <c r="AN39" i="48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F39" i="48"/>
  <c r="AD11" i="52" s="1"/>
  <c r="AJ74" i="82"/>
  <c r="AJ75" i="82" s="1"/>
  <c r="AJ22" i="82" s="1"/>
  <c r="S74" i="82"/>
  <c r="S75" i="82" s="1"/>
  <c r="S82" i="82" s="1"/>
  <c r="S12" i="82" s="1"/>
  <c r="AG74" i="82"/>
  <c r="AG75" i="82" s="1"/>
  <c r="AL39" i="48"/>
  <c r="AJ11" i="52" s="1"/>
  <c r="AI39" i="48"/>
  <c r="AI126" i="59" s="1"/>
  <c r="AI127" i="59" s="1"/>
  <c r="AM39" i="48"/>
  <c r="AM126" i="59" s="1"/>
  <c r="AM127" i="59" s="1"/>
  <c r="AD39" i="48"/>
  <c r="AB11" i="52" s="1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V19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R19" i="48"/>
  <c r="AR115" i="59" s="1"/>
  <c r="BG21" i="82"/>
  <c r="BE37" i="52" s="1"/>
  <c r="AT57" i="82"/>
  <c r="AT60" i="82" s="1"/>
  <c r="AT61" i="82" s="1"/>
  <c r="AX57" i="82"/>
  <c r="AX59" i="82" s="1"/>
  <c r="AP19" i="48"/>
  <c r="AP115" i="59" s="1"/>
  <c r="AC36" i="82"/>
  <c r="BK66" i="50"/>
  <c r="BM68" i="50" s="1"/>
  <c r="BK50" i="52"/>
  <c r="BK43" i="50"/>
  <c r="BK40" i="64" s="1"/>
  <c r="I21" i="59"/>
  <c r="H31" i="116" s="1"/>
  <c r="AW19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K39" i="48"/>
  <c r="AI11" i="52" s="1"/>
  <c r="AQ19" i="48"/>
  <c r="AQ115" i="59" s="1"/>
  <c r="BA35" i="50"/>
  <c r="BA42" i="50"/>
  <c r="AX19" i="82"/>
  <c r="AX71" i="82"/>
  <c r="AX73" i="82" s="1"/>
  <c r="D50" i="49"/>
  <c r="AW32" i="48"/>
  <c r="AW34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S32" i="48"/>
  <c r="AS34" i="48" s="1"/>
  <c r="BE42" i="50"/>
  <c r="BE35" i="50"/>
  <c r="AP38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O32" i="48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U19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X38" i="48"/>
  <c r="H21" i="51"/>
  <c r="J21" i="51" s="1"/>
  <c r="AO10" i="48"/>
  <c r="BM7" i="48"/>
  <c r="R68" i="50"/>
  <c r="AY32" i="48"/>
  <c r="AY34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R32" i="48"/>
  <c r="AR34" i="48" s="1"/>
  <c r="BE20" i="82"/>
  <c r="BE21" i="82"/>
  <c r="BE35" i="82"/>
  <c r="D120" i="49"/>
  <c r="AT38" i="48"/>
  <c r="H7" i="59"/>
  <c r="J7" i="59" s="1"/>
  <c r="BM111" i="59"/>
  <c r="BJ8" i="52"/>
  <c r="BL120" i="59"/>
  <c r="BH35" i="50"/>
  <c r="BH42" i="50"/>
  <c r="D125" i="49"/>
  <c r="AY38" i="48"/>
  <c r="AU47" i="82"/>
  <c r="AM37" i="82"/>
  <c r="AK37" i="52"/>
  <c r="AO48" i="82"/>
  <c r="BM44" i="82"/>
  <c r="AR78" i="82"/>
  <c r="AR27" i="82"/>
  <c r="AP71" i="82"/>
  <c r="AP73" i="82" s="1"/>
  <c r="AP19" i="82"/>
  <c r="D123" i="49"/>
  <c r="AW38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BA22" i="48"/>
  <c r="BA117" i="59" s="1"/>
  <c r="I33" i="51"/>
  <c r="I34" i="51" s="1"/>
  <c r="AA37" i="52"/>
  <c r="AC37" i="82"/>
  <c r="AP47" i="50"/>
  <c r="AQ30" i="50" s="1"/>
  <c r="AT27" i="82"/>
  <c r="AT78" i="82"/>
  <c r="AT27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M15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P27" i="48"/>
  <c r="BK120" i="59"/>
  <c r="BI8" i="52"/>
  <c r="BL39" i="50"/>
  <c r="BL34" i="50"/>
  <c r="AO57" i="82"/>
  <c r="BM52" i="82"/>
  <c r="D122" i="49"/>
  <c r="AV38" i="48"/>
  <c r="AJ67" i="49"/>
  <c r="AJ69" i="49" s="1"/>
  <c r="AI35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V27" i="48"/>
  <c r="I10" i="59"/>
  <c r="H20" i="116" s="1"/>
  <c r="BA116" i="59"/>
  <c r="I12" i="59" s="1"/>
  <c r="AS66" i="82"/>
  <c r="D118" i="49"/>
  <c r="AR38" i="48"/>
  <c r="AG37" i="82"/>
  <c r="AE37" i="52"/>
  <c r="AW78" i="82"/>
  <c r="AW27" i="82"/>
  <c r="AT19" i="48"/>
  <c r="AT115" i="59" s="1"/>
  <c r="AX27" i="48"/>
  <c r="AX114" i="59"/>
  <c r="AV7" i="52"/>
  <c r="D115" i="49"/>
  <c r="AO38" i="48"/>
  <c r="H39" i="51"/>
  <c r="J39" i="51" s="1"/>
  <c r="BM28" i="48"/>
  <c r="H30" i="51"/>
  <c r="J30" i="51" s="1"/>
  <c r="BM17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S38" i="48"/>
  <c r="D119" i="49"/>
  <c r="BA34" i="48"/>
  <c r="I42" i="51"/>
  <c r="D126" i="49"/>
  <c r="AZ38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U27" i="48"/>
  <c r="D121" i="49"/>
  <c r="AU38" i="48"/>
  <c r="AN67" i="49"/>
  <c r="AN69" i="49" s="1"/>
  <c r="AM74" i="82" s="1"/>
  <c r="AM75" i="82" s="1"/>
  <c r="AE67" i="49"/>
  <c r="AE69" i="49" s="1"/>
  <c r="AD35" i="48" s="1"/>
  <c r="AQ27" i="48"/>
  <c r="D117" i="49"/>
  <c r="AQ38" i="48"/>
  <c r="BM54" i="82"/>
  <c r="AU114" i="59"/>
  <c r="AS7" i="52"/>
  <c r="AI36" i="82"/>
  <c r="AZ66" i="82"/>
  <c r="AT47" i="50"/>
  <c r="AW114" i="59"/>
  <c r="AU7" i="52"/>
  <c r="AS19" i="48"/>
  <c r="AS115" i="59" s="1"/>
  <c r="AW57" i="82"/>
  <c r="AW59" i="82" s="1"/>
  <c r="AX19" i="48"/>
  <c r="AX115" i="59" s="1"/>
  <c r="AV47" i="50"/>
  <c r="AW30" i="50" s="1"/>
  <c r="H29" i="51"/>
  <c r="J29" i="51" s="1"/>
  <c r="BM16" i="48"/>
  <c r="AO19" i="48"/>
  <c r="H27" i="51"/>
  <c r="J27" i="51" s="1"/>
  <c r="BM14" i="48"/>
  <c r="AZ27" i="48"/>
  <c r="AZ19" i="48"/>
  <c r="AZ115" i="59" s="1"/>
  <c r="E10" i="50"/>
  <c r="E16" i="50" s="1"/>
  <c r="AY19" i="48"/>
  <c r="AY115" i="59" s="1"/>
  <c r="AX47" i="82"/>
  <c r="AQ66" i="82"/>
  <c r="L42" i="48"/>
  <c r="K26" i="92" s="1"/>
  <c r="K28" i="92" s="1"/>
  <c r="E36" i="82"/>
  <c r="H121" i="59"/>
  <c r="H122" i="59" s="1"/>
  <c r="F9" i="52"/>
  <c r="H42" i="48"/>
  <c r="S9" i="52"/>
  <c r="U121" i="59"/>
  <c r="U122" i="59" s="1"/>
  <c r="U42" i="48"/>
  <c r="AN30" i="82"/>
  <c r="AH11" i="52"/>
  <c r="AJ126" i="59"/>
  <c r="AJ127" i="59" s="1"/>
  <c r="AJ41" i="48"/>
  <c r="L30" i="82"/>
  <c r="L82" i="82"/>
  <c r="L12" i="82" s="1"/>
  <c r="E6" i="51"/>
  <c r="AA74" i="82"/>
  <c r="AA75" i="82" s="1"/>
  <c r="AA35" i="48"/>
  <c r="AA41" i="48" s="1"/>
  <c r="O30" i="82"/>
  <c r="Y30" i="82"/>
  <c r="J121" i="59"/>
  <c r="J122" i="59" s="1"/>
  <c r="H9" i="52"/>
  <c r="J42" i="48"/>
  <c r="D31" i="116"/>
  <c r="V30" i="82"/>
  <c r="V82" i="82"/>
  <c r="V12" i="82" s="1"/>
  <c r="N43" i="50"/>
  <c r="N40" i="64" s="1"/>
  <c r="N66" i="50"/>
  <c r="P68" i="50" s="1"/>
  <c r="N50" i="52"/>
  <c r="S30" i="82"/>
  <c r="AL11" i="52"/>
  <c r="AN126" i="59"/>
  <c r="AN127" i="59" s="1"/>
  <c r="Z30" i="82"/>
  <c r="AB30" i="82"/>
  <c r="N74" i="82"/>
  <c r="N75" i="82" s="1"/>
  <c r="N82" i="82" s="1"/>
  <c r="N12" i="82" s="1"/>
  <c r="N35" i="48"/>
  <c r="P74" i="82"/>
  <c r="P75" i="82" s="1"/>
  <c r="P82" i="82" s="1"/>
  <c r="P12" i="82" s="1"/>
  <c r="P35" i="48"/>
  <c r="P41" i="48" s="1"/>
  <c r="AC9" i="52"/>
  <c r="AE121" i="59"/>
  <c r="AE122" i="59" s="1"/>
  <c r="AE42" i="48"/>
  <c r="AC70" i="49"/>
  <c r="M35" i="48"/>
  <c r="M41" i="48" s="1"/>
  <c r="M74" i="82"/>
  <c r="M75" i="82" s="1"/>
  <c r="O74" i="82"/>
  <c r="O75" i="82" s="1"/>
  <c r="O82" i="82" s="1"/>
  <c r="O12" i="82" s="1"/>
  <c r="O35" i="48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V41" i="48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Z35" i="48"/>
  <c r="AN35" i="48"/>
  <c r="AN41" i="48" s="1"/>
  <c r="AN74" i="82"/>
  <c r="AN75" i="82" s="1"/>
  <c r="AN82" i="82" s="1"/>
  <c r="AN12" i="82" s="1"/>
  <c r="F30" i="82"/>
  <c r="D20" i="116"/>
  <c r="AC71" i="49"/>
  <c r="Q74" i="82"/>
  <c r="Q75" i="82" s="1"/>
  <c r="Q35" i="48"/>
  <c r="Y35" i="48"/>
  <c r="Y74" i="82"/>
  <c r="Y75" i="82" s="1"/>
  <c r="P126" i="59"/>
  <c r="P127" i="59" s="1"/>
  <c r="N11" i="52"/>
  <c r="K30" i="82"/>
  <c r="I42" i="48"/>
  <c r="I121" i="59"/>
  <c r="I122" i="59" s="1"/>
  <c r="G9" i="52"/>
  <c r="U126" i="59"/>
  <c r="U127" i="59" s="1"/>
  <c r="U41" i="48"/>
  <c r="S11" i="52"/>
  <c r="AL74" i="82"/>
  <c r="AL75" i="82" s="1"/>
  <c r="AL35" i="48"/>
  <c r="G41" i="48"/>
  <c r="E11" i="52"/>
  <c r="G126" i="59"/>
  <c r="G127" i="59" s="1"/>
  <c r="F126" i="59"/>
  <c r="F127" i="59" s="1"/>
  <c r="D11" i="52"/>
  <c r="M30" i="82"/>
  <c r="X82" i="82"/>
  <c r="X12" i="82" s="1"/>
  <c r="X22" i="82"/>
  <c r="X83" i="82"/>
  <c r="X13" i="82" s="1"/>
  <c r="V28" i="52" s="1"/>
  <c r="T42" i="48"/>
  <c r="T121" i="59"/>
  <c r="T122" i="59" s="1"/>
  <c r="R9" i="52"/>
  <c r="BN14" i="49"/>
  <c r="AJ42" i="48"/>
  <c r="AH9" i="52"/>
  <c r="AJ121" i="59"/>
  <c r="AJ122" i="59" s="1"/>
  <c r="W74" i="82"/>
  <c r="W75" i="82" s="1"/>
  <c r="W82" i="82" s="1"/>
  <c r="W12" i="82" s="1"/>
  <c r="W35" i="48"/>
  <c r="E79" i="82"/>
  <c r="E39" i="48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S42" i="48"/>
  <c r="T30" i="82"/>
  <c r="T82" i="82"/>
  <c r="T12" i="82" s="1"/>
  <c r="AA30" i="82"/>
  <c r="BN15" i="49"/>
  <c r="H43" i="50"/>
  <c r="H40" i="64" s="1"/>
  <c r="H66" i="50"/>
  <c r="J68" i="50" s="1"/>
  <c r="H50" i="52"/>
  <c r="G30" i="82"/>
  <c r="G82" i="82"/>
  <c r="G12" i="82" s="1"/>
  <c r="K11" i="52"/>
  <c r="M126" i="59"/>
  <c r="M127" i="59" s="1"/>
  <c r="X42" i="48"/>
  <c r="V9" i="52"/>
  <c r="X121" i="59"/>
  <c r="X122" i="59" s="1"/>
  <c r="T22" i="82"/>
  <c r="T83" i="82"/>
  <c r="T13" i="82" s="1"/>
  <c r="R28" i="52" s="1"/>
  <c r="AF30" i="82"/>
  <c r="AK74" i="82"/>
  <c r="AK75" i="82" s="1"/>
  <c r="AK82" i="82" s="1"/>
  <c r="AK12" i="82" s="1"/>
  <c r="AK35" i="48"/>
  <c r="F35" i="48"/>
  <c r="F41" i="48" s="1"/>
  <c r="F74" i="82"/>
  <c r="F75" i="82" s="1"/>
  <c r="J50" i="52"/>
  <c r="J66" i="50"/>
  <c r="L68" i="50" s="1"/>
  <c r="J43" i="50"/>
  <c r="J40" i="64" s="1"/>
  <c r="G22" i="82"/>
  <c r="G83" i="82"/>
  <c r="G13" i="82" s="1"/>
  <c r="E28" i="52" s="1"/>
  <c r="H37" i="82"/>
  <c r="R30" i="82"/>
  <c r="T126" i="59"/>
  <c r="T127" i="59" s="1"/>
  <c r="R11" i="52"/>
  <c r="T41" i="48"/>
  <c r="E16" i="59"/>
  <c r="Y11" i="52"/>
  <c r="AA126" i="59"/>
  <c r="AA127" i="59" s="1"/>
  <c r="AF11" i="52"/>
  <c r="AH41" i="48"/>
  <c r="AH126" i="59"/>
  <c r="AH127" i="59" s="1"/>
  <c r="Q70" i="49"/>
  <c r="E37" i="82"/>
  <c r="V22" i="82"/>
  <c r="X31" i="82"/>
  <c r="X16" i="82" s="1"/>
  <c r="V30" i="52" s="1"/>
  <c r="C10" i="50"/>
  <c r="C16" i="50" s="1"/>
  <c r="C19" i="50" s="1"/>
  <c r="C66" i="50"/>
  <c r="C50" i="52"/>
  <c r="C43" i="50"/>
  <c r="K35" i="48"/>
  <c r="K41" i="48" s="1"/>
  <c r="K74" i="82"/>
  <c r="K75" i="82" s="1"/>
  <c r="K82" i="82" s="1"/>
  <c r="K12" i="82" s="1"/>
  <c r="AC35" i="48"/>
  <c r="AC74" i="82"/>
  <c r="AC75" i="82" s="1"/>
  <c r="G11" i="52"/>
  <c r="I126" i="59"/>
  <c r="I127" i="59" s="1"/>
  <c r="I41" i="48"/>
  <c r="H30" i="82"/>
  <c r="H82" i="82"/>
  <c r="H12" i="82" s="1"/>
  <c r="AC11" i="52"/>
  <c r="AE126" i="59"/>
  <c r="AE127" i="59" s="1"/>
  <c r="AE41" i="48"/>
  <c r="AO144" i="49"/>
  <c r="AC39" i="48"/>
  <c r="AC79" i="82"/>
  <c r="AC80" i="82" s="1"/>
  <c r="D21" i="116"/>
  <c r="R126" i="59"/>
  <c r="R127" i="59" s="1"/>
  <c r="P11" i="52"/>
  <c r="G42" i="48"/>
  <c r="L121" i="59"/>
  <c r="L122" i="59" s="1"/>
  <c r="J9" i="52"/>
  <c r="E35" i="48"/>
  <c r="E74" i="82"/>
  <c r="Q71" i="49"/>
  <c r="J126" i="59"/>
  <c r="J127" i="59" s="1"/>
  <c r="H11" i="52"/>
  <c r="J41" i="48"/>
  <c r="AB35" i="48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G42" i="48"/>
  <c r="AE9" i="52"/>
  <c r="AG121" i="59"/>
  <c r="AG122" i="59" s="1"/>
  <c r="V42" i="48"/>
  <c r="T9" i="52"/>
  <c r="V121" i="59"/>
  <c r="V122" i="59" s="1"/>
  <c r="V11" i="52"/>
  <c r="X126" i="59"/>
  <c r="X127" i="59" s="1"/>
  <c r="X41" i="48"/>
  <c r="AK30" i="82"/>
  <c r="AH121" i="59"/>
  <c r="AH122" i="59" s="1"/>
  <c r="AF9" i="52"/>
  <c r="AH42" i="48"/>
  <c r="Q39" i="48"/>
  <c r="Q79" i="82"/>
  <c r="Q80" i="82" s="1"/>
  <c r="AC144" i="49"/>
  <c r="L11" i="52"/>
  <c r="N126" i="59"/>
  <c r="N127" i="59" s="1"/>
  <c r="BN12" i="49"/>
  <c r="R35" i="48"/>
  <c r="R74" i="82"/>
  <c r="R75" i="82" s="1"/>
  <c r="W30" i="82"/>
  <c r="F11" i="52"/>
  <c r="H126" i="59"/>
  <c r="H127" i="59" s="1"/>
  <c r="H41" i="48"/>
  <c r="AE30" i="82"/>
  <c r="AE11" i="52"/>
  <c r="AG126" i="59"/>
  <c r="AG127" i="59" s="1"/>
  <c r="AG41" i="48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L41" i="48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41" i="48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V21" i="48" l="1"/>
  <c r="AV22" i="48" s="1"/>
  <c r="AV117" i="59" s="1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AF42" i="48"/>
  <c r="AE20" i="92" s="1"/>
  <c r="S22" i="82"/>
  <c r="S23" i="82" s="1"/>
  <c r="S24" i="82" s="1"/>
  <c r="Q38" i="52" s="1"/>
  <c r="AV60" i="82"/>
  <c r="AV61" i="82" s="1"/>
  <c r="AJ30" i="82"/>
  <c r="AJ38" i="82" s="1"/>
  <c r="AF41" i="48"/>
  <c r="AE19" i="9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L41" i="48"/>
  <c r="AK14" i="67" s="1"/>
  <c r="AK17" i="67" s="1"/>
  <c r="AL18" i="67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P21" i="48"/>
  <c r="AP22" i="48" s="1"/>
  <c r="AP117" i="59" s="1"/>
  <c r="AR21" i="48"/>
  <c r="AR22" i="48" s="1"/>
  <c r="AR117" i="59" s="1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W21" i="48"/>
  <c r="AW22" i="48" s="1"/>
  <c r="AW117" i="59" s="1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Q21" i="48"/>
  <c r="AQ22" i="48" s="1"/>
  <c r="AQ117" i="59" s="1"/>
  <c r="AP116" i="59"/>
  <c r="AT59" i="82"/>
  <c r="AT21" i="82" s="1"/>
  <c r="T12" i="52"/>
  <c r="AU28" i="82"/>
  <c r="AX116" i="59"/>
  <c r="AW60" i="82"/>
  <c r="AW61" i="82" s="1"/>
  <c r="AO71" i="49"/>
  <c r="BF36" i="82"/>
  <c r="AM35" i="48"/>
  <c r="AM41" i="48" s="1"/>
  <c r="AK22" i="71" s="1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T21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O21" i="48"/>
  <c r="H24" i="51"/>
  <c r="AO114" i="59"/>
  <c r="AM7" i="52"/>
  <c r="BM10" i="48"/>
  <c r="AZ21" i="48"/>
  <c r="AZ22" i="48" s="1"/>
  <c r="AZ117" i="59" s="1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X32" i="48"/>
  <c r="AX34" i="48" s="1"/>
  <c r="D51" i="49"/>
  <c r="AT34" i="50"/>
  <c r="AU30" i="50"/>
  <c r="AU34" i="50" s="1"/>
  <c r="AU32" i="48"/>
  <c r="AU34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Q32" i="48"/>
  <c r="AQ34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M38" i="48"/>
  <c r="D49" i="49"/>
  <c r="AV32" i="48"/>
  <c r="AV34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BF46" i="49"/>
  <c r="AX20" i="82"/>
  <c r="AV36" i="52" s="1"/>
  <c r="AX21" i="82"/>
  <c r="AX35" i="82"/>
  <c r="AU21" i="48"/>
  <c r="AU22" i="48" s="1"/>
  <c r="AU117" i="59" s="1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D53" i="49"/>
  <c r="AZ32" i="48"/>
  <c r="AZ34" i="48" s="1"/>
  <c r="AY21" i="48"/>
  <c r="AY22" i="48" s="1"/>
  <c r="AY117" i="59" s="1"/>
  <c r="K27" i="51"/>
  <c r="D47" i="49"/>
  <c r="AT32" i="48"/>
  <c r="AT34" i="48" s="1"/>
  <c r="AR120" i="59"/>
  <c r="AP8" i="52"/>
  <c r="AV10" i="52"/>
  <c r="AX125" i="59"/>
  <c r="AS21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P32" i="48"/>
  <c r="AP34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AO34" i="48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M19" i="48"/>
  <c r="BJ36" i="82"/>
  <c r="AX21" i="48"/>
  <c r="AX22" i="48" s="1"/>
  <c r="AX117" i="59" s="1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BE45" i="49"/>
  <c r="BL52" i="49"/>
  <c r="AZ52" i="49"/>
  <c r="AZ67" i="49" s="1"/>
  <c r="AZ69" i="49" s="1"/>
  <c r="BK124" i="49"/>
  <c r="AY124" i="49"/>
  <c r="AY140" i="49" s="1"/>
  <c r="AY142" i="49" s="1"/>
  <c r="AN51" i="52"/>
  <c r="G13" i="50"/>
  <c r="AS116" i="59"/>
  <c r="BM27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AM19" i="92"/>
  <c r="AL22" i="71"/>
  <c r="AM14" i="67"/>
  <c r="AM17" i="67" s="1"/>
  <c r="AN18" i="67" s="1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V38" i="82"/>
  <c r="T39" i="52"/>
  <c r="V23" i="82"/>
  <c r="V24" i="82" s="1"/>
  <c r="T38" i="52" s="1"/>
  <c r="S19" i="92"/>
  <c r="S14" i="67"/>
  <c r="S17" i="67" s="1"/>
  <c r="R22" i="71"/>
  <c r="T14" i="82"/>
  <c r="R31" i="52" s="1"/>
  <c r="R32" i="52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AK42" i="48"/>
  <c r="W20" i="92"/>
  <c r="Y49" i="68"/>
  <c r="W26" i="92"/>
  <c r="W28" i="92" s="1"/>
  <c r="E32" i="52"/>
  <c r="G14" i="82"/>
  <c r="E31" i="52" s="1"/>
  <c r="T31" i="82"/>
  <c r="T16" i="82" s="1"/>
  <c r="R30" i="52" s="1"/>
  <c r="AI20" i="92"/>
  <c r="AK49" i="68"/>
  <c r="AI26" i="92"/>
  <c r="AI28" i="92" s="1"/>
  <c r="Q39" i="52"/>
  <c r="W9" i="52"/>
  <c r="W12" i="52" s="1"/>
  <c r="Y42" i="48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O42" i="48"/>
  <c r="N121" i="59"/>
  <c r="N122" i="59" s="1"/>
  <c r="N129" i="59" s="1"/>
  <c r="L9" i="52"/>
  <c r="L12" i="52" s="1"/>
  <c r="N42" i="48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42" i="48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AM22" i="82"/>
  <c r="AM83" i="82"/>
  <c r="AM13" i="82" s="1"/>
  <c r="AK28" i="52" s="1"/>
  <c r="X23" i="82"/>
  <c r="X24" i="82" s="1"/>
  <c r="V38" i="52" s="1"/>
  <c r="V39" i="52"/>
  <c r="X38" i="82"/>
  <c r="I32" i="52"/>
  <c r="AI42" i="48"/>
  <c r="AI121" i="59"/>
  <c r="AI122" i="59" s="1"/>
  <c r="AI129" i="59" s="1"/>
  <c r="AG9" i="52"/>
  <c r="Q121" i="59"/>
  <c r="F45" i="51"/>
  <c r="F10" i="51" s="1"/>
  <c r="F11" i="51" s="1"/>
  <c r="Q42" i="48"/>
  <c r="O9" i="52"/>
  <c r="AN121" i="59"/>
  <c r="AN122" i="59" s="1"/>
  <c r="AN129" i="59" s="1"/>
  <c r="AN42" i="48"/>
  <c r="AL9" i="52"/>
  <c r="AL12" i="52" s="1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AA42" i="48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AB42" i="48"/>
  <c r="Z9" i="52"/>
  <c r="Z12" i="52" s="1"/>
  <c r="E75" i="82"/>
  <c r="AC126" i="59"/>
  <c r="AC41" i="48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F42" i="48"/>
  <c r="AF14" i="82"/>
  <c r="AD31" i="52" s="1"/>
  <c r="AD12" i="52"/>
  <c r="U9" i="52"/>
  <c r="U12" i="52" s="1"/>
  <c r="W121" i="59"/>
  <c r="W122" i="59" s="1"/>
  <c r="W129" i="59" s="1"/>
  <c r="W42" i="48"/>
  <c r="V32" i="52"/>
  <c r="X14" i="82"/>
  <c r="V31" i="52" s="1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Z42" i="48"/>
  <c r="AB41" i="48"/>
  <c r="AI31" i="82"/>
  <c r="AI16" i="82" s="1"/>
  <c r="AG30" i="52" s="1"/>
  <c r="M22" i="82"/>
  <c r="M83" i="82"/>
  <c r="M13" i="82" s="1"/>
  <c r="K28" i="52" s="1"/>
  <c r="T32" i="52"/>
  <c r="V14" i="82"/>
  <c r="T31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R42" i="48"/>
  <c r="P9" i="52"/>
  <c r="P12" i="52" s="1"/>
  <c r="O11" i="52"/>
  <c r="Q126" i="59"/>
  <c r="F48" i="51"/>
  <c r="F14" i="51" s="1"/>
  <c r="F15" i="51" s="1"/>
  <c r="Q41" i="48"/>
  <c r="V22" i="71"/>
  <c r="W19" i="92"/>
  <c r="W14" i="67"/>
  <c r="W17" i="67" s="1"/>
  <c r="AF26" i="92"/>
  <c r="AF28" i="92" s="1"/>
  <c r="AH49" i="68"/>
  <c r="AF20" i="92"/>
  <c r="C9" i="52"/>
  <c r="E121" i="59"/>
  <c r="E45" i="51"/>
  <c r="E42" i="48"/>
  <c r="R41" i="48"/>
  <c r="AD42" i="48"/>
  <c r="AD121" i="59"/>
  <c r="AD122" i="59" s="1"/>
  <c r="AB9" i="52"/>
  <c r="AB12" i="52" s="1"/>
  <c r="AK41" i="48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AJ12" i="52" s="1"/>
  <c r="AL42" i="48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M82" i="82"/>
  <c r="AM12" i="82" s="1"/>
  <c r="AD31" i="82"/>
  <c r="AD16" i="82" s="1"/>
  <c r="AB30" i="52" s="1"/>
  <c r="M121" i="59"/>
  <c r="M122" i="59" s="1"/>
  <c r="M129" i="59" s="1"/>
  <c r="K9" i="52"/>
  <c r="K12" i="52" s="1"/>
  <c r="M42" i="48"/>
  <c r="AC12" i="52"/>
  <c r="AI41" i="48"/>
  <c r="V31" i="82"/>
  <c r="V16" i="82" s="1"/>
  <c r="T30" i="52" s="1"/>
  <c r="E7" i="51"/>
  <c r="S12" i="52"/>
  <c r="Q22" i="71"/>
  <c r="R14" i="67"/>
  <c r="R17" i="67" s="1"/>
  <c r="S18" i="67" s="1"/>
  <c r="R19" i="92"/>
  <c r="W41" i="48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1" i="48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P42" i="48"/>
  <c r="AB82" i="82"/>
  <c r="AB12" i="82" s="1"/>
  <c r="G20" i="92"/>
  <c r="I49" i="68"/>
  <c r="G26" i="92"/>
  <c r="G28" i="92" s="1"/>
  <c r="AC32" i="52"/>
  <c r="W31" i="82"/>
  <c r="W16" i="82" s="1"/>
  <c r="U30" i="52" s="1"/>
  <c r="H22" i="71"/>
  <c r="I19" i="92"/>
  <c r="I14" i="67"/>
  <c r="I17" i="67" s="1"/>
  <c r="J18" i="67" s="1"/>
  <c r="AE129" i="59"/>
  <c r="K42" i="48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O41" i="48"/>
  <c r="P22" i="82"/>
  <c r="P83" i="82"/>
  <c r="P13" i="82" s="1"/>
  <c r="N28" i="52" s="1"/>
  <c r="AB31" i="82"/>
  <c r="AB16" i="82" s="1"/>
  <c r="Z30" i="52" s="1"/>
  <c r="AD41" i="48"/>
  <c r="F12" i="52"/>
  <c r="Y41" i="48"/>
  <c r="AE31" i="82"/>
  <c r="AE16" i="82" s="1"/>
  <c r="AC30" i="52" s="1"/>
  <c r="N41" i="48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41" i="48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S14" i="82" l="1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M42" i="48"/>
  <c r="AL26" i="92" s="1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L14" i="67"/>
  <c r="AL17" i="67" s="1"/>
  <c r="AL20" i="67" s="1"/>
  <c r="AL39" i="64" s="1"/>
  <c r="AW42" i="50"/>
  <c r="AL19" i="92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M32" i="48"/>
  <c r="AT36" i="82"/>
  <c r="F20" i="52"/>
  <c r="AU35" i="50"/>
  <c r="AU42" i="50"/>
  <c r="AL42" i="50"/>
  <c r="AL35" i="50"/>
  <c r="H7" i="92"/>
  <c r="AP79" i="82"/>
  <c r="AP80" i="82" s="1"/>
  <c r="AP39" i="48"/>
  <c r="BN52" i="49"/>
  <c r="BL67" i="49"/>
  <c r="BL69" i="49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T39" i="48"/>
  <c r="AT79" i="82"/>
  <c r="AT80" i="82" s="1"/>
  <c r="AP36" i="82"/>
  <c r="AS39" i="48"/>
  <c r="AS79" i="82"/>
  <c r="AS80" i="82" s="1"/>
  <c r="AR37" i="52"/>
  <c r="AU39" i="48"/>
  <c r="AU79" i="82"/>
  <c r="AU80" i="82" s="1"/>
  <c r="H54" i="50"/>
  <c r="BB68" i="50"/>
  <c r="H33" i="51"/>
  <c r="AO22" i="48"/>
  <c r="AO117" i="59" s="1"/>
  <c r="BM21" i="48"/>
  <c r="AO61" i="82"/>
  <c r="BM60" i="82"/>
  <c r="BN42" i="49"/>
  <c r="BB67" i="49"/>
  <c r="BN45" i="49"/>
  <c r="BE67" i="49"/>
  <c r="BE69" i="49" s="1"/>
  <c r="AV79" i="82"/>
  <c r="AV80" i="82" s="1"/>
  <c r="AV39" i="48"/>
  <c r="BG47" i="49"/>
  <c r="AU47" i="49"/>
  <c r="AU67" i="49" s="1"/>
  <c r="AU69" i="49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35" i="48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Y39" i="48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BH48" i="49"/>
  <c r="AV48" i="49"/>
  <c r="AV67" i="49" s="1"/>
  <c r="AV69" i="49" s="1"/>
  <c r="AW66" i="50"/>
  <c r="AY68" i="50" s="1"/>
  <c r="AW43" i="50"/>
  <c r="AW40" i="64" s="1"/>
  <c r="AW50" i="52"/>
  <c r="AW37" i="82"/>
  <c r="AU37" i="52"/>
  <c r="AR39" i="48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S22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Z39" i="48"/>
  <c r="AZ79" i="82"/>
  <c r="AZ80" i="82" s="1"/>
  <c r="AZ30" i="82" s="1"/>
  <c r="AZ31" i="82" s="1"/>
  <c r="AZ16" i="82" s="1"/>
  <c r="AX30" i="52" s="1"/>
  <c r="AT22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X39" i="48"/>
  <c r="AM35" i="50"/>
  <c r="AM42" i="50"/>
  <c r="AW79" i="82"/>
  <c r="AW80" i="82" s="1"/>
  <c r="AW30" i="82" s="1"/>
  <c r="AW31" i="82" s="1"/>
  <c r="AW16" i="82" s="1"/>
  <c r="AU30" i="52" s="1"/>
  <c r="AW39" i="48"/>
  <c r="AQ79" i="82"/>
  <c r="AQ80" i="82" s="1"/>
  <c r="AQ39" i="48"/>
  <c r="H42" i="51"/>
  <c r="J42" i="51" s="1"/>
  <c r="BM53" i="49"/>
  <c r="BA53" i="49"/>
  <c r="BA67" i="49" s="1"/>
  <c r="BA69" i="49" s="1"/>
  <c r="AR44" i="49"/>
  <c r="AR67" i="49" s="1"/>
  <c r="AR69" i="49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35" i="48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BM34" i="48"/>
  <c r="H44" i="51"/>
  <c r="AO120" i="59"/>
  <c r="AN8" i="52"/>
  <c r="AP120" i="59"/>
  <c r="AS37" i="52"/>
  <c r="AU37" i="82"/>
  <c r="BN46" i="49"/>
  <c r="BF67" i="49"/>
  <c r="BF69" i="49" s="1"/>
  <c r="BL43" i="50"/>
  <c r="BL66" i="50"/>
  <c r="BN68" i="50" s="1"/>
  <c r="AQ120" i="59"/>
  <c r="AO8" i="52"/>
  <c r="AY51" i="49"/>
  <c r="AY67" i="49" s="1"/>
  <c r="AY69" i="49" s="1"/>
  <c r="BK51" i="49"/>
  <c r="BN116" i="49"/>
  <c r="BC140" i="49"/>
  <c r="BC142" i="49" s="1"/>
  <c r="AY74" i="82"/>
  <c r="AY75" i="82" s="1"/>
  <c r="AY35" i="48"/>
  <c r="AV36" i="82"/>
  <c r="BN115" i="49"/>
  <c r="BB140" i="49"/>
  <c r="BC43" i="49"/>
  <c r="AQ43" i="49"/>
  <c r="AQ67" i="49" s="1"/>
  <c r="AQ69" i="49" s="1"/>
  <c r="BN50" i="49"/>
  <c r="BJ67" i="49"/>
  <c r="BJ69" i="49" s="1"/>
  <c r="AS35" i="48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AL20" i="5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I20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M14" i="82"/>
  <c r="AK31" i="52" s="1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V15" i="82"/>
  <c r="T29" i="52" s="1"/>
  <c r="T42" i="52"/>
  <c r="V39" i="8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G50" i="68" l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M18" i="67"/>
  <c r="AM20" i="67" s="1"/>
  <c r="AM39" i="64" s="1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P35" i="48"/>
  <c r="AW126" i="59"/>
  <c r="AW127" i="59" s="1"/>
  <c r="AW41" i="48"/>
  <c r="AU11" i="52"/>
  <c r="AR82" i="82"/>
  <c r="AR12" i="82" s="1"/>
  <c r="AR30" i="82"/>
  <c r="AQ9" i="52"/>
  <c r="AS121" i="59"/>
  <c r="AS122" i="59" s="1"/>
  <c r="AY41" i="48"/>
  <c r="AY121" i="59"/>
  <c r="AY122" i="59" s="1"/>
  <c r="AY42" i="48"/>
  <c r="AW9" i="52"/>
  <c r="G20" i="116"/>
  <c r="J10" i="59"/>
  <c r="K10" i="59" s="1"/>
  <c r="AR36" i="82"/>
  <c r="G21" i="116"/>
  <c r="J11" i="59"/>
  <c r="K11" i="59" s="1"/>
  <c r="BG39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C39" i="48"/>
  <c r="AT35" i="48"/>
  <c r="AT41" i="48" s="1"/>
  <c r="AT74" i="82"/>
  <c r="AT75" i="82" s="1"/>
  <c r="AT82" i="82" s="1"/>
  <c r="AT12" i="82" s="1"/>
  <c r="H34" i="51"/>
  <c r="J33" i="51"/>
  <c r="K33" i="51" s="1"/>
  <c r="AS41" i="48"/>
  <c r="AS126" i="59"/>
  <c r="AS127" i="59" s="1"/>
  <c r="AQ11" i="52"/>
  <c r="AP30" i="82"/>
  <c r="BB69" i="49"/>
  <c r="AO35" i="48"/>
  <c r="BA71" i="49"/>
  <c r="AO74" i="82"/>
  <c r="BN43" i="49"/>
  <c r="BC67" i="49"/>
  <c r="BC69" i="49" s="1"/>
  <c r="BN51" i="49"/>
  <c r="BK67" i="49"/>
  <c r="BK69" i="49" s="1"/>
  <c r="AS37" i="82"/>
  <c r="AQ37" i="52"/>
  <c r="AT43" i="50"/>
  <c r="AT40" i="64" s="1"/>
  <c r="AT66" i="50"/>
  <c r="AV68" i="50" s="1"/>
  <c r="AT50" i="52"/>
  <c r="BN53" i="49"/>
  <c r="BM67" i="49"/>
  <c r="BM69" i="49" s="1"/>
  <c r="AW36" i="52"/>
  <c r="AY36" i="82"/>
  <c r="AP11" i="52"/>
  <c r="AR41" i="48"/>
  <c r="AR126" i="59"/>
  <c r="AR127" i="59" s="1"/>
  <c r="AU74" i="82"/>
  <c r="AU75" i="82" s="1"/>
  <c r="AU82" i="82" s="1"/>
  <c r="AU12" i="82" s="1"/>
  <c r="AU35" i="48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H56" i="50"/>
  <c r="AS42" i="48"/>
  <c r="AO50" i="52"/>
  <c r="AO43" i="50"/>
  <c r="AO40" i="64" s="1"/>
  <c r="AO66" i="50"/>
  <c r="AQ68" i="50" s="1"/>
  <c r="BM143" i="49"/>
  <c r="BN143" i="49" s="1"/>
  <c r="BB142" i="49"/>
  <c r="AX35" i="48"/>
  <c r="AX74" i="82"/>
  <c r="AX75" i="82" s="1"/>
  <c r="AO37" i="82"/>
  <c r="AM37" i="52"/>
  <c r="BL39" i="48"/>
  <c r="BL79" i="82"/>
  <c r="BL80" i="82" s="1"/>
  <c r="BK39" i="48"/>
  <c r="BK79" i="82"/>
  <c r="BK80" i="82" s="1"/>
  <c r="BK30" i="82" s="1"/>
  <c r="BK31" i="82" s="1"/>
  <c r="BK16" i="82" s="1"/>
  <c r="BI30" i="52" s="1"/>
  <c r="BN48" i="49"/>
  <c r="BH67" i="49"/>
  <c r="BH69" i="49" s="1"/>
  <c r="AK43" i="50"/>
  <c r="AK40" i="64" s="1"/>
  <c r="AK50" i="52"/>
  <c r="AK66" i="50"/>
  <c r="F10" i="50"/>
  <c r="F16" i="50" s="1"/>
  <c r="AP9" i="52"/>
  <c r="AR42" i="48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E39" i="48"/>
  <c r="BE79" i="82"/>
  <c r="BE80" i="82" s="1"/>
  <c r="AP37" i="52"/>
  <c r="AR37" i="82"/>
  <c r="BE74" i="82"/>
  <c r="BE75" i="82" s="1"/>
  <c r="BE35" i="48"/>
  <c r="AZ74" i="82"/>
  <c r="AZ75" i="82" s="1"/>
  <c r="AZ35" i="48"/>
  <c r="AZ41" i="48" s="1"/>
  <c r="AV126" i="59"/>
  <c r="AV127" i="59" s="1"/>
  <c r="AT11" i="52"/>
  <c r="AW32" i="82"/>
  <c r="BN140" i="49"/>
  <c r="BJ39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AV35" i="48"/>
  <c r="BD39" i="48"/>
  <c r="BD79" i="82"/>
  <c r="BD80" i="82" s="1"/>
  <c r="BD74" i="82"/>
  <c r="BD75" i="82" s="1"/>
  <c r="BD35" i="48"/>
  <c r="BK74" i="82"/>
  <c r="BK75" i="82" s="1"/>
  <c r="BK35" i="48"/>
  <c r="BI74" i="82"/>
  <c r="BI75" i="82" s="1"/>
  <c r="BI35" i="48"/>
  <c r="AO39" i="48"/>
  <c r="BA144" i="49"/>
  <c r="AO79" i="82"/>
  <c r="BB79" i="82"/>
  <c r="BB80" i="82" s="1"/>
  <c r="BB39" i="48"/>
  <c r="AQ35" i="48"/>
  <c r="AQ41" i="48" s="1"/>
  <c r="AQ74" i="82"/>
  <c r="AQ75" i="82" s="1"/>
  <c r="AW37" i="52"/>
  <c r="AY37" i="82"/>
  <c r="BN47" i="49"/>
  <c r="BG67" i="49"/>
  <c r="BG69" i="49" s="1"/>
  <c r="BA70" i="49"/>
  <c r="BI79" i="82"/>
  <c r="BI80" i="82" s="1"/>
  <c r="BI39" i="48"/>
  <c r="AT30" i="82"/>
  <c r="AS22" i="82"/>
  <c r="AS23" i="82" s="1"/>
  <c r="AS83" i="82"/>
  <c r="AS13" i="82" s="1"/>
  <c r="AQ28" i="52" s="1"/>
  <c r="H12" i="59"/>
  <c r="BM116" i="59"/>
  <c r="AW42" i="48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F79" i="82"/>
  <c r="BF80" i="82" s="1"/>
  <c r="BF39" i="48"/>
  <c r="BH79" i="82"/>
  <c r="BH80" i="82" s="1"/>
  <c r="BH39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24" i="82"/>
  <c r="E38" i="82"/>
  <c r="E23" i="82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AG76" i="68"/>
  <c r="AI341" i="6" s="1"/>
  <c r="AG72" i="68"/>
  <c r="AI175" i="6" s="1"/>
  <c r="AI176" i="6" s="1"/>
  <c r="AG75" i="68"/>
  <c r="AI305" i="6" s="1"/>
  <c r="AG79" i="68"/>
  <c r="AI469" i="6" s="1"/>
  <c r="AG74" i="68"/>
  <c r="AI193" i="6" s="1"/>
  <c r="AG71" i="68"/>
  <c r="AG77" i="68"/>
  <c r="AI406" i="6" s="1"/>
  <c r="AG78" i="68"/>
  <c r="AI442" i="6" s="1"/>
  <c r="AG80" i="68"/>
  <c r="AI496" i="6" s="1"/>
  <c r="AG73" i="68"/>
  <c r="AI184" i="6" s="1"/>
  <c r="AI185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I5" i="82" l="1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V42" i="48"/>
  <c r="AY38" i="82"/>
  <c r="AW39" i="52"/>
  <c r="BH74" i="82"/>
  <c r="BH75" i="82" s="1"/>
  <c r="BH82" i="82" s="1"/>
  <c r="BH12" i="82" s="1"/>
  <c r="BH35" i="48"/>
  <c r="BH41" i="48" s="1"/>
  <c r="AQ83" i="82"/>
  <c r="AQ13" i="82" s="1"/>
  <c r="AO28" i="52" s="1"/>
  <c r="AQ22" i="82"/>
  <c r="AV41" i="48"/>
  <c r="BC35" i="48"/>
  <c r="BC41" i="48" s="1"/>
  <c r="BC74" i="82"/>
  <c r="BC75" i="82" s="1"/>
  <c r="BC82" i="82" s="1"/>
  <c r="BC12" i="82" s="1"/>
  <c r="BD11" i="52"/>
  <c r="BF126" i="59"/>
  <c r="BF127" i="59" s="1"/>
  <c r="AU20" i="52"/>
  <c r="AM11" i="52"/>
  <c r="H48" i="51"/>
  <c r="AO126" i="59"/>
  <c r="AO41" i="48"/>
  <c r="BB11" i="52"/>
  <c r="BD126" i="59"/>
  <c r="BD127" i="59" s="1"/>
  <c r="BD41" i="48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42" i="48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AQ42" i="48"/>
  <c r="BI9" i="52"/>
  <c r="BK42" i="48"/>
  <c r="BK121" i="59"/>
  <c r="BK122" i="59" s="1"/>
  <c r="AW38" i="82"/>
  <c r="AW23" i="82"/>
  <c r="AU39" i="52"/>
  <c r="AS49" i="68"/>
  <c r="AQ26" i="92"/>
  <c r="AQ28" i="92" s="1"/>
  <c r="AQ20" i="92"/>
  <c r="BA39" i="48"/>
  <c r="BA79" i="82"/>
  <c r="BA80" i="82" s="1"/>
  <c r="BM144" i="49"/>
  <c r="BN144" i="49" s="1"/>
  <c r="AO121" i="59"/>
  <c r="H45" i="51"/>
  <c r="AM9" i="52"/>
  <c r="AO42" i="48"/>
  <c r="AP41" i="48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BK41" i="48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42" i="48"/>
  <c r="BD121" i="59"/>
  <c r="BD122" i="59" s="1"/>
  <c r="AU32" i="52"/>
  <c r="AW14" i="82"/>
  <c r="AU31" i="52" s="1"/>
  <c r="AZ121" i="59"/>
  <c r="AZ122" i="59" s="1"/>
  <c r="AZ129" i="59" s="1"/>
  <c r="AX9" i="52"/>
  <c r="AX12" i="52" s="1"/>
  <c r="AZ42" i="48"/>
  <c r="BE41" i="48"/>
  <c r="BE126" i="59"/>
  <c r="BE127" i="59" s="1"/>
  <c r="BC11" i="52"/>
  <c r="BL30" i="82"/>
  <c r="G26" i="116"/>
  <c r="J16" i="59"/>
  <c r="K16" i="59" s="1"/>
  <c r="BL35" i="48"/>
  <c r="BL74" i="82"/>
  <c r="BL75" i="82" s="1"/>
  <c r="BN80" i="82" s="1"/>
  <c r="BJ35" i="48"/>
  <c r="BJ74" i="82"/>
  <c r="BJ75" i="82" s="1"/>
  <c r="BA35" i="48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I41" i="48"/>
  <c r="BG9" i="52"/>
  <c r="BI42" i="48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X41" i="48"/>
  <c r="AX42" i="48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BF35" i="48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U41" i="48"/>
  <c r="AS9" i="52"/>
  <c r="AS12" i="52" s="1"/>
  <c r="AU121" i="59"/>
  <c r="AU122" i="59" s="1"/>
  <c r="AU129" i="59" s="1"/>
  <c r="AU42" i="48"/>
  <c r="AP82" i="82"/>
  <c r="AP12" i="82" s="1"/>
  <c r="AT121" i="59"/>
  <c r="AT122" i="59" s="1"/>
  <c r="AT129" i="59" s="1"/>
  <c r="AR9" i="52"/>
  <c r="AR12" i="52" s="1"/>
  <c r="AT42" i="48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BG35" i="48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42" i="48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BB35" i="48"/>
  <c r="BB41" i="48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AI306" i="6"/>
  <c r="AE117" i="91"/>
  <c r="AE118" i="91" s="1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AE319" i="97"/>
  <c r="AI530" i="6"/>
  <c r="AE145" i="91"/>
  <c r="AI357" i="6"/>
  <c r="AI358" i="6" s="1"/>
  <c r="AI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AI443" i="6"/>
  <c r="AE266" i="97" s="1"/>
  <c r="K470" i="6"/>
  <c r="G293" i="97" s="1"/>
  <c r="G292" i="97"/>
  <c r="K194" i="6"/>
  <c r="X470" i="6"/>
  <c r="T293" i="97" s="1"/>
  <c r="T292" i="97"/>
  <c r="AJ470" i="6"/>
  <c r="AF293" i="97" s="1"/>
  <c r="AF292" i="97"/>
  <c r="AN71" i="68"/>
  <c r="AN76" i="68"/>
  <c r="AP341" i="6" s="1"/>
  <c r="AN73" i="68"/>
  <c r="AP184" i="6" s="1"/>
  <c r="AP185" i="6" s="1"/>
  <c r="AN79" i="68"/>
  <c r="AP469" i="6" s="1"/>
  <c r="AN74" i="68"/>
  <c r="AP193" i="6" s="1"/>
  <c r="AN80" i="68"/>
  <c r="AP496" i="6" s="1"/>
  <c r="AN78" i="68"/>
  <c r="AP442" i="6" s="1"/>
  <c r="AN77" i="68"/>
  <c r="AP406" i="6" s="1"/>
  <c r="AN72" i="68"/>
  <c r="AP175" i="6" s="1"/>
  <c r="AP176" i="6" s="1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H6" i="68"/>
  <c r="AD117" i="91"/>
  <c r="AD118" i="91" s="1"/>
  <c r="AH306" i="6"/>
  <c r="AH470" i="6"/>
  <c r="AD293" i="97" s="1"/>
  <c r="AD292" i="97"/>
  <c r="AI407" i="6"/>
  <c r="AE230" i="97" s="1"/>
  <c r="AE229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AG82" i="68"/>
  <c r="AI166" i="6"/>
  <c r="AI167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AI194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59" i="91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I6" i="82" l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42" i="48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41" i="48"/>
  <c r="BG42" i="48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42" i="48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42" i="48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41" i="48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M39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M35" i="48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41" i="48"/>
  <c r="BJ42" i="48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G20" i="5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42" i="48"/>
  <c r="BH121" i="59"/>
  <c r="BH122" i="59" s="1"/>
  <c r="BH129" i="59" s="1"/>
  <c r="AX7" i="92"/>
  <c r="AW20" i="52"/>
  <c r="AZ9" i="52"/>
  <c r="AZ12" i="52" s="1"/>
  <c r="BB121" i="59"/>
  <c r="BB122" i="59" s="1"/>
  <c r="BB129" i="59" s="1"/>
  <c r="BB42" i="48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41" i="48"/>
  <c r="BL121" i="59"/>
  <c r="BL122" i="59" s="1"/>
  <c r="BL129" i="59" s="1"/>
  <c r="BJ9" i="52"/>
  <c r="BJ12" i="52" s="1"/>
  <c r="BL42" i="48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F41" i="48"/>
  <c r="BH83" i="82"/>
  <c r="BH13" i="82" s="1"/>
  <c r="BF28" i="52" s="1"/>
  <c r="BH22" i="82"/>
  <c r="AT18" i="67"/>
  <c r="AS20" i="67"/>
  <c r="AS39" i="64" s="1"/>
  <c r="AH209" i="6"/>
  <c r="AH562" i="6" s="1"/>
  <c r="AI209" i="6"/>
  <c r="AI562" i="6" s="1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H28" i="68"/>
  <c r="AP194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H25" i="68"/>
  <c r="AL292" i="97"/>
  <c r="AP470" i="6"/>
  <c r="AL293" i="97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J6" i="82"/>
  <c r="E43" i="52" s="1"/>
  <c r="E38" i="52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L145" i="91"/>
  <c r="AP342" i="6"/>
  <c r="AP357" i="6"/>
  <c r="AP358" i="6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H23" i="68"/>
  <c r="AL229" i="97"/>
  <c r="AP407" i="6"/>
  <c r="AL230" i="97" s="1"/>
  <c r="AP166" i="6"/>
  <c r="AP167" i="6" s="1"/>
  <c r="AN82" i="68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L265" i="97"/>
  <c r="AP443" i="6"/>
  <c r="AL266" i="97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H26" i="68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AL319" i="97"/>
  <c r="AP530" i="6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AF34" i="92"/>
  <c r="AU37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BE32" i="82" l="1"/>
  <c r="L562" i="6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M42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M41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N41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T378" i="6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G10" i="12"/>
  <c r="G11" i="12" s="1"/>
  <c r="L563" i="6"/>
  <c r="L565" i="6" s="1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AF150" i="59"/>
  <c r="AI214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P531" i="6"/>
  <c r="AL353" i="97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P367" i="6"/>
  <c r="AP371" i="6"/>
  <c r="BA376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H29" i="68"/>
  <c r="H30" i="68" s="1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I220" i="6" l="1"/>
  <c r="AT228" i="6"/>
  <c r="AI219" i="6"/>
  <c r="AI223" i="6"/>
  <c r="AI224" i="6" s="1"/>
  <c r="AJ380" i="6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T230" i="6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168" i="91"/>
  <c r="AF38" i="92" s="1"/>
  <c r="AF47" i="92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O223" i="6" l="1"/>
  <c r="AS230" i="6"/>
  <c r="AH224" i="6"/>
  <c r="X224" i="6"/>
  <c r="X566" i="6" s="1"/>
  <c r="AO214" i="6"/>
  <c r="N10" i="12"/>
  <c r="N11" i="12" s="1"/>
  <c r="AO221" i="6"/>
  <c r="AZ228" i="6"/>
  <c r="AZ230" i="6" s="1"/>
  <c r="K18" i="59"/>
  <c r="AI230" i="6"/>
  <c r="AI232" i="6" s="1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AS567" i="6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AE164" i="59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U164" i="59" l="1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G210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AW210" i="6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K232" i="6" l="1"/>
  <c r="AL164" i="59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T150" i="59"/>
  <c r="AW219" i="6"/>
  <c r="AW223" i="6"/>
  <c r="AW214" i="6"/>
  <c r="AW221" i="6"/>
  <c r="AW220" i="6"/>
  <c r="BH228" i="6"/>
  <c r="AR210" i="6"/>
  <c r="AR562" i="6"/>
  <c r="BO80" i="68"/>
  <c r="BI209" i="6"/>
  <c r="AQ10" i="12"/>
  <c r="AQ11" i="12" s="1"/>
  <c r="AV563" i="6"/>
  <c r="AV565" i="6" s="1"/>
  <c r="BF562" i="6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D150" i="59"/>
  <c r="BG221" i="6"/>
  <c r="BG219" i="6"/>
  <c r="BG220" i="6"/>
  <c r="BG214" i="6"/>
  <c r="BG223" i="6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AL167" i="59"/>
  <c r="AL169" i="59" s="1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AK570" i="6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F60" i="59" l="1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BD154" i="59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F563" i="6"/>
  <c r="BF565" i="6" s="1"/>
  <c r="BA10" i="12"/>
  <c r="BA11" i="12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AT154" i="59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G224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J563" i="6" l="1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D164" i="59"/>
  <c r="BD167" i="59" s="1"/>
  <c r="BD169" i="59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BG232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BK167" i="59" s="1"/>
  <c r="BK169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M224" i="6" l="1"/>
  <c r="AY232" i="6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BM566" i="6"/>
  <c r="BM568" i="6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AY570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M232" i="6"/>
  <c r="BJ164" i="59"/>
  <c r="BJ167" i="59" s="1"/>
  <c r="BJ169" i="59" s="1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G571" i="6" l="1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M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78" i="63" s="1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T55" i="64" l="1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Y78" i="63" s="1"/>
  <c r="AD38" i="28"/>
  <c r="AA27" i="36"/>
  <c r="AA26" i="36" s="1"/>
  <c r="AB21" i="34"/>
  <c r="W55" i="71"/>
  <c r="W49" i="71"/>
  <c r="I23" i="52" l="1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s="1"/>
  <c r="F49" i="111" l="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J78" i="63" s="1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G59" i="52" l="1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78" i="63" s="1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Q45" i="71" l="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W78" i="63" s="1"/>
  <c r="AZ203" i="59"/>
  <c r="AX15" i="36"/>
  <c r="BA40" i="28"/>
  <c r="G39" i="35" s="1"/>
  <c r="G37" i="35"/>
  <c r="AS55" i="64" l="1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X78" i="63" s="1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R57" i="71" l="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s="1"/>
  <c r="AX52" i="63" l="1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18" i="111" s="1"/>
  <c r="BB17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57" i="71" l="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BB18" i="111" s="1"/>
  <c r="BC17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D55" i="64" l="1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C18" i="111" s="1"/>
  <c r="BD17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57" i="71" l="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</calcChain>
</file>

<file path=xl/sharedStrings.xml><?xml version="1.0" encoding="utf-8"?>
<sst xmlns="http://schemas.openxmlformats.org/spreadsheetml/2006/main" count="7523" uniqueCount="1248">
  <si>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</si>
  <si>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</si>
  <si>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</si>
  <si>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</si>
  <si>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</si>
  <si>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</si>
  <si>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</si>
  <si>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</si>
  <si>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</si>
  <si>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</si>
  <si>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</si>
  <si>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</si>
  <si>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</si>
  <si>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</si>
  <si>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</si>
  <si>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</si>
  <si>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</si>
  <si>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</si>
  <si>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</si>
  <si>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</si>
  <si>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</si>
  <si>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</si>
  <si>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</si>
  <si>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</si>
  <si>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</si>
  <si>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</si>
  <si>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</si>
  <si>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</si>
  <si>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</si>
  <si>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</si>
  <si>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</si>
  <si>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</si>
  <si>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</si>
  <si>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</si>
  <si>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</si>
  <si>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</si>
  <si>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</si>
  <si>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</si>
  <si>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</si>
  <si>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</si>
  <si>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</si>
  <si>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</si>
  <si>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</si>
  <si>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</si>
  <si>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</si>
  <si>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</si>
  <si>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</si>
  <si>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</si>
  <si>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</si>
  <si>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</si>
  <si>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</si>
  <si>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</si>
  <si>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</si>
  <si>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</si>
  <si>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</si>
  <si>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</si>
  <si>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</si>
  <si>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</si>
  <si>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</si>
  <si>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</si>
  <si>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</si>
  <si>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</si>
  <si>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</si>
  <si>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</si>
  <si>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</si>
  <si>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</si>
  <si>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</si>
  <si>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</si>
  <si>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</si>
  <si>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</si>
  <si>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</si>
  <si>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</si>
  <si>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</si>
  <si>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</si>
  <si>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</si>
  <si>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</si>
  <si>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</si>
  <si>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</si>
  <si>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</si>
  <si>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</si>
  <si>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</si>
  <si>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</si>
  <si>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</si>
  <si>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</si>
  <si>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</si>
  <si>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</si>
  <si>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</si>
  <si>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</si>
  <si>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</si>
  <si>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</si>
  <si>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</si>
  <si>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</si>
  <si>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</si>
  <si>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</si>
  <si>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</si>
  <si>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</si>
  <si>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</si>
  <si>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</si>
  <si>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</si>
  <si>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</si>
  <si>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</si>
  <si>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</si>
  <si>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</si>
  <si>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</si>
  <si>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</si>
  <si>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</si>
  <si>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</si>
  <si>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</si>
  <si>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</si>
  <si>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</si>
  <si>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</si>
  <si>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</si>
  <si>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</si>
  <si>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</si>
  <si>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</si>
  <si>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</si>
  <si>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</si>
  <si>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</si>
  <si>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</si>
  <si>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</si>
  <si>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</si>
  <si>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</si>
  <si>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</si>
  <si>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</si>
  <si>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</si>
  <si>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</si>
  <si>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</si>
  <si>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</si>
  <si>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</si>
  <si>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</si>
  <si>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</si>
  <si>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</si>
  <si>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</si>
  <si>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</si>
  <si>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</si>
  <si>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</si>
  <si>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</si>
  <si>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</si>
  <si>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</si>
  <si>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</si>
  <si>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</si>
  <si>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</si>
  <si>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</si>
  <si>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</si>
  <si>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</si>
  <si>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</si>
  <si>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</si>
  <si>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</si>
  <si>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</si>
  <si>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</si>
  <si>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</si>
  <si>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</si>
  <si>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</si>
  <si>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</si>
  <si>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</si>
  <si>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</si>
  <si>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</si>
  <si>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</si>
  <si>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</si>
  <si>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</si>
  <si>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</si>
  <si>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</si>
  <si>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</si>
  <si>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</si>
  <si>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</si>
  <si>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</si>
  <si>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</si>
  <si>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</si>
  <si>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</si>
  <si>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</si>
  <si>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</si>
  <si>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</si>
  <si>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</si>
  <si>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</si>
  <si>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</si>
  <si>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</si>
  <si>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</si>
  <si>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</si>
  <si>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</si>
  <si>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</si>
  <si>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</si>
  <si>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</si>
  <si>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</si>
  <si>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</si>
  <si>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</si>
  <si>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</si>
  <si>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</si>
  <si>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</si>
  <si>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</si>
  <si>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</si>
  <si>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</si>
  <si>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</si>
  <si>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</si>
  <si>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</si>
  <si>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</si>
  <si>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</si>
  <si>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</si>
  <si>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</si>
  <si>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</si>
  <si>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</si>
  <si>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</si>
  <si>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</si>
  <si>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</si>
  <si>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</si>
  <si>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</si>
  <si>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</si>
  <si>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</si>
  <si>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</si>
  <si>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</si>
  <si>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</si>
  <si>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</si>
  <si>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</si>
  <si>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</si>
  <si>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</si>
  <si>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</si>
  <si>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</si>
  <si>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</si>
  <si>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</si>
  <si>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</si>
  <si>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</si>
  <si>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</si>
  <si>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</si>
  <si>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</si>
  <si>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</si>
  <si>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</si>
  <si>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</si>
  <si>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</si>
  <si>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</si>
  <si>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</si>
  <si>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</si>
  <si>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</si>
  <si>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</si>
  <si>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</si>
  <si>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</si>
  <si>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</si>
  <si>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</si>
  <si>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</si>
  <si>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</si>
  <si>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</si>
  <si>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</si>
  <si>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</si>
  <si>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</si>
  <si>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</si>
  <si>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</si>
  <si>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</si>
  <si>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</si>
  <si>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</si>
  <si>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</si>
  <si>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</si>
  <si>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</si>
  <si>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</si>
  <si>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</si>
  <si>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</si>
  <si>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</si>
  <si>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</si>
  <si>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</si>
  <si>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</si>
  <si>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</si>
  <si>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</si>
  <si>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</si>
  <si>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</si>
  <si>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</si>
  <si>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</si>
  <si>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</si>
  <si>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</si>
  <si>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</si>
  <si>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</si>
  <si>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</si>
  <si>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</si>
  <si>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</si>
  <si>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</si>
  <si>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</si>
  <si>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</si>
  <si>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</si>
  <si>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</si>
  <si>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</si>
  <si>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</si>
  <si>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</si>
  <si>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</si>
  <si>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</si>
  <si>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</si>
  <si>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</si>
  <si>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</si>
  <si>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</si>
  <si>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</si>
  <si>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</si>
  <si>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</si>
  <si>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</si>
  <si>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</si>
  <si>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</si>
  <si>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</si>
  <si>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</si>
  <si>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</si>
  <si>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</si>
  <si>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</si>
  <si>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</si>
  <si>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</si>
  <si>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</si>
  <si>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</si>
  <si>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</si>
  <si>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</si>
  <si>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</si>
  <si>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</si>
  <si>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</si>
  <si>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</si>
  <si>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</si>
  <si>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</si>
  <si>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</si>
  <si>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</si>
  <si>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</si>
  <si>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</si>
  <si>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</si>
  <si>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</si>
  <si>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</si>
  <si>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</si>
  <si>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</si>
  <si>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</si>
  <si>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</si>
  <si>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</si>
  <si>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</si>
  <si>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</si>
  <si>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</si>
  <si>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</si>
  <si>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</si>
  <si>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</si>
  <si>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</si>
  <si>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</si>
  <si>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</si>
  <si>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</si>
  <si>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</si>
  <si>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</si>
  <si>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</si>
  <si>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</si>
  <si>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</si>
  <si>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</si>
  <si>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</si>
  <si>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</si>
  <si>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</si>
  <si>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</si>
  <si>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</si>
  <si>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</si>
  <si>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</si>
  <si>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</si>
  <si>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</si>
  <si>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</si>
  <si>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</si>
  <si>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</si>
  <si>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</si>
  <si>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</si>
  <si>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</si>
  <si>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</si>
  <si>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</si>
  <si>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</si>
  <si>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</si>
  <si>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</si>
  <si>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</si>
  <si>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</si>
  <si>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</si>
  <si>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</si>
  <si>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</si>
  <si>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</si>
  <si>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</si>
  <si>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</si>
  <si>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</si>
  <si>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</si>
  <si>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</si>
  <si>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</si>
  <si>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</si>
  <si>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</si>
  <si>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</si>
  <si>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</si>
  <si>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</si>
  <si>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</si>
  <si>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</si>
  <si>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</si>
  <si>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</si>
  <si>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</si>
  <si>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</si>
  <si>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</si>
  <si>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</si>
  <si>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</si>
  <si>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</si>
  <si>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</si>
  <si>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</si>
  <si>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</si>
  <si>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</si>
  <si>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</si>
  <si>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</si>
  <si>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</si>
  <si>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</si>
  <si>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</si>
  <si>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</si>
  <si>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</si>
  <si>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</si>
  <si>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</si>
  <si>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</si>
  <si>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</si>
  <si>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</si>
  <si>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</si>
  <si>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</si>
  <si>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</si>
  <si>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</si>
  <si>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</si>
  <si>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</si>
  <si>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</si>
  <si>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</si>
  <si>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</si>
  <si>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</si>
  <si>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</si>
  <si>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</si>
  <si>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</si>
  <si>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</si>
  <si>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</si>
  <si>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</si>
  <si>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</si>
  <si>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</si>
  <si>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</si>
  <si>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</si>
  <si>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</si>
  <si>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</si>
  <si>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</si>
  <si>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</si>
  <si>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</si>
  <si>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</si>
  <si>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</si>
  <si>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</si>
  <si>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</si>
  <si>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</si>
  <si>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</si>
  <si>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</si>
  <si>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</si>
  <si>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</si>
  <si>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</si>
  <si>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</si>
  <si>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</si>
  <si>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</si>
  <si>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</si>
  <si>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</si>
  <si>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</si>
  <si>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</si>
  <si>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</si>
  <si>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</si>
  <si>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</si>
  <si>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</si>
  <si>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</si>
  <si>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</si>
  <si>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</si>
  <si>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</si>
  <si>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</si>
  <si>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</si>
  <si>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</si>
  <si>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</si>
  <si>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</si>
  <si>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</si>
  <si>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</si>
  <si>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</si>
  <si>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</si>
  <si>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</si>
  <si>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</si>
  <si>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</si>
  <si>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</si>
  <si>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</si>
  <si>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</si>
  <si>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</si>
  <si>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</si>
  <si>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</si>
  <si>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</si>
  <si>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</si>
  <si>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</si>
  <si>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</si>
  <si>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</si>
  <si>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</si>
  <si>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</si>
  <si>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</si>
  <si>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</si>
  <si>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</si>
  <si>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</si>
  <si>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</si>
  <si>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</si>
  <si>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</si>
  <si>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</si>
  <si>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</si>
  <si>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</si>
  <si>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</si>
  <si>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</si>
  <si>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</si>
  <si>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</si>
  <si>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</si>
  <si>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</si>
  <si>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</si>
  <si>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</si>
  <si>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</si>
  <si>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</si>
  <si>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</si>
  <si>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</si>
  <si>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</si>
  <si>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</si>
  <si>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</si>
  <si>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</si>
  <si>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</si>
  <si>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</si>
  <si>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</si>
  <si>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</si>
  <si>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</si>
  <si>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</si>
  <si>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</si>
  <si>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</si>
  <si>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</si>
  <si>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</si>
  <si>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</si>
  <si>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</si>
  <si>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</si>
  <si>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</si>
  <si>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</si>
  <si>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</si>
  <si>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</si>
  <si>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</si>
  <si>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</si>
  <si>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</si>
  <si>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</si>
  <si>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</si>
  <si>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</si>
  <si>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</si>
  <si>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</si>
  <si>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</si>
  <si>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</si>
  <si>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</si>
  <si>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</si>
  <si>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</si>
  <si>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</si>
  <si>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</si>
  <si>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</si>
  <si>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</si>
  <si>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</si>
  <si>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</si>
  <si>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</si>
  <si>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</si>
  <si>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</si>
  <si>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</si>
  <si>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</si>
  <si>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</si>
  <si>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</si>
  <si>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</si>
  <si>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</si>
  <si>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</si>
  <si>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</si>
  <si>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</si>
  <si>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</si>
  <si>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</si>
  <si>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</si>
  <si>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</si>
  <si>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</si>
  <si>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</si>
  <si>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</si>
  <si>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</si>
  <si>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</si>
  <si>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</si>
  <si>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</si>
  <si>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</si>
  <si>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</si>
  <si>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</si>
  <si>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</si>
  <si>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</si>
  <si>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</si>
  <si>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</si>
  <si>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</si>
  <si>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</si>
  <si>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</si>
  <si>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</si>
  <si>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</si>
  <si>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</si>
  <si>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</si>
  <si>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</si>
  <si>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</si>
  <si>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</si>
  <si>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</si>
  <si>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</si>
  <si>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</si>
  <si>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</si>
  <si>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</si>
  <si>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</si>
  <si>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</si>
  <si>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</si>
  <si>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</si>
  <si>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</si>
  <si>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</si>
  <si>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</si>
  <si>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</si>
  <si>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</si>
  <si>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</si>
  <si>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</si>
  <si>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</si>
  <si>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</si>
  <si>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</si>
  <si>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</si>
  <si>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</si>
  <si>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</si>
  <si>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</si>
  <si>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</si>
  <si>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</si>
  <si>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</si>
  <si>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</si>
  <si>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</si>
  <si>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</si>
  <si>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</si>
  <si>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</si>
  <si>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</si>
  <si>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</si>
  <si>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</si>
  <si>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</si>
  <si>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</si>
  <si>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</si>
  <si>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</si>
  <si>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</si>
  <si>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</si>
  <si>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</si>
  <si>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</si>
  <si>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</si>
  <si>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</si>
  <si>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</si>
  <si>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</si>
  <si>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</si>
  <si>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</si>
  <si>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</si>
  <si>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</si>
  <si>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</si>
  <si>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</si>
  <si>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</si>
  <si>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</si>
  <si>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</si>
  <si>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</si>
  <si>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</si>
  <si>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</si>
  <si>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</si>
  <si>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</si>
  <si>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</si>
  <si>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</si>
  <si>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</si>
  <si>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</si>
  <si>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</si>
  <si>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</si>
  <si>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</si>
  <si>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</si>
  <si>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</si>
  <si>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</si>
  <si>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</si>
  <si>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</si>
  <si>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</si>
  <si>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</si>
  <si>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</si>
  <si>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</si>
  <si>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</si>
  <si>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</si>
  <si>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</si>
  <si>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</si>
  <si>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</si>
  <si>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</si>
  <si>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</si>
  <si>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</si>
  <si>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</si>
  <si>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</si>
  <si>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</si>
  <si>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</si>
  <si>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</si>
  <si>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</si>
  <si>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</si>
  <si>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</si>
  <si>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</si>
  <si>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</si>
  <si>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</si>
  <si>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</si>
  <si>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</si>
  <si>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</si>
  <si>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</si>
  <si>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</si>
  <si>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</si>
  <si>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</si>
  <si>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</si>
  <si>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</si>
  <si>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</si>
  <si>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</si>
  <si>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</si>
  <si>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</si>
  <si>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</si>
  <si>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</si>
  <si>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</si>
  <si>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</si>
  <si>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</si>
  <si>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</si>
  <si>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</si>
  <si>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</si>
  <si>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</si>
  <si>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</si>
  <si>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</si>
  <si>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</si>
  <si>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</si>
  <si>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</si>
  <si>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</si>
  <si>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</si>
  <si>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</si>
  <si>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</si>
  <si>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</si>
  <si>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</si>
  <si>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</si>
  <si>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</si>
  <si>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</si>
  <si>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</si>
  <si>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</si>
  <si>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</si>
  <si>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</si>
  <si>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</si>
  <si>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</si>
  <si>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</si>
  <si>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</si>
  <si>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</si>
  <si>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</si>
  <si>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</si>
  <si>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</si>
  <si>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</si>
  <si>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</si>
  <si>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</si>
  <si>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</si>
  <si>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</si>
  <si>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</si>
  <si>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</si>
  <si>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</si>
  <si>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</si>
  <si>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</si>
  <si>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</si>
  <si>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</si>
  <si>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</si>
  <si>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</si>
  <si>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</si>
  <si>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</si>
  <si>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</si>
  <si>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</si>
  <si>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</si>
  <si>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</si>
  <si>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</si>
  <si>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</si>
  <si>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</si>
  <si>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</si>
  <si>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</si>
  <si>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</si>
  <si>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</si>
  <si>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</si>
  <si>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</si>
  <si>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</si>
  <si>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</si>
  <si>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</si>
  <si>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</si>
  <si>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</si>
  <si>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</si>
  <si>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</si>
  <si>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</si>
  <si>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</si>
  <si>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</si>
  <si>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</si>
  <si>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</si>
  <si>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</si>
  <si>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</si>
  <si>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</si>
  <si>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</si>
  <si>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</si>
  <si>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</si>
  <si>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</si>
  <si>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</si>
  <si>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</si>
  <si>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</si>
  <si>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</si>
  <si>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</si>
  <si>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</si>
  <si>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</si>
  <si>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</si>
  <si>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</si>
  <si>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</si>
  <si>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</si>
  <si>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</si>
  <si>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</si>
  <si>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</si>
  <si>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</si>
  <si>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</si>
  <si>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</si>
  <si>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</si>
  <si>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</si>
  <si>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</si>
  <si>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</si>
  <si>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</si>
  <si>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</si>
  <si>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</si>
  <si>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</si>
  <si>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</si>
  <si>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</si>
  <si>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</si>
  <si>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</si>
  <si>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</si>
  <si>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</si>
  <si>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</si>
  <si>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</si>
  <si>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</si>
  <si>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</si>
  <si>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</si>
  <si>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</si>
  <si>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</si>
  <si>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</si>
  <si>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</si>
  <si>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</si>
  <si>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</si>
  <si>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</si>
  <si>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</si>
  <si>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</si>
  <si>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</si>
  <si>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</si>
  <si>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</si>
  <si>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</si>
  <si>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</si>
  <si>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</si>
  <si>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</si>
  <si>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</si>
  <si>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</si>
  <si>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</si>
  <si>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</si>
  <si>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</si>
  <si>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</si>
  <si>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</si>
  <si>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</si>
  <si>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</si>
  <si>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</si>
  <si>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</si>
  <si>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</si>
  <si>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</si>
  <si>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</si>
  <si>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</si>
  <si>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</si>
  <si>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</si>
  <si>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</si>
  <si>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</si>
  <si>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</si>
  <si>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</si>
  <si>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</si>
  <si>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</si>
  <si>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</si>
  <si>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</si>
  <si>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</si>
  <si>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</si>
  <si>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</si>
  <si>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</si>
  <si>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</si>
  <si>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</si>
  <si>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</si>
  <si>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</si>
  <si>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</si>
  <si>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</si>
  <si>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</si>
  <si>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</si>
  <si>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</si>
  <si>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</si>
  <si>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</si>
  <si>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</si>
  <si>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</si>
  <si>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</si>
  <si>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</si>
  <si>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</si>
  <si>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</si>
  <si>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</si>
  <si>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</si>
  <si>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</si>
  <si>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</si>
  <si>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</si>
  <si>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</si>
  <si>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</si>
  <si>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</si>
  <si>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</si>
  <si>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</si>
  <si>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</si>
  <si>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</si>
  <si>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</si>
  <si>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</si>
  <si>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</si>
  <si>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</si>
  <si>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</si>
  <si>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</si>
  <si>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</si>
  <si>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</si>
  <si>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</si>
  <si>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</si>
  <si>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</si>
  <si>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</si>
  <si>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</si>
  <si>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</si>
  <si>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</si>
  <si>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</si>
  <si>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</si>
  <si>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</si>
  <si>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</si>
  <si>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</si>
  <si>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</si>
  <si>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</si>
  <si>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</si>
  <si>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</si>
  <si>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</si>
  <si>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</si>
  <si>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</si>
  <si>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</si>
  <si>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</si>
  <si>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</si>
  <si>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</si>
  <si>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</si>
  <si>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</si>
  <si>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</si>
  <si>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</si>
  <si>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</si>
  <si>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</si>
  <si>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</si>
  <si>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</si>
  <si>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</si>
  <si>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</si>
  <si>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</si>
  <si>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</si>
  <si>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</si>
  <si>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</si>
  <si>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</si>
  <si>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</si>
  <si>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</si>
  <si>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</si>
  <si>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</si>
  <si>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</si>
  <si>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</si>
  <si>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</si>
  <si>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</si>
  <si>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</si>
  <si>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</si>
  <si>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</si>
  <si>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</si>
  <si>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</si>
  <si>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</si>
  <si>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</si>
  <si>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</si>
  <si>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</si>
  <si>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</si>
  <si>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</si>
  <si>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</si>
  <si>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</si>
  <si>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</si>
  <si>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</si>
  <si>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</si>
  <si>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</si>
  <si>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</si>
  <si>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</si>
  <si>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</si>
  <si>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</si>
  <si>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</si>
  <si>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</si>
  <si>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</si>
  <si>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</si>
  <si>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</si>
  <si>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</si>
  <si>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</si>
  <si>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</si>
  <si>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</si>
  <si>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</si>
  <si>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</si>
  <si>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</si>
  <si>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</si>
  <si>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</si>
  <si>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</si>
  <si>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</si>
  <si>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</si>
  <si>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</si>
  <si>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</si>
  <si>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</si>
  <si>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</si>
  <si>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</si>
  <si>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</si>
  <si>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</si>
  <si>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</si>
  <si>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</si>
  <si>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</si>
  <si>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</si>
  <si>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</si>
  <si>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</si>
  <si>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</si>
  <si>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</si>
  <si>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</si>
  <si>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</si>
  <si>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</si>
  <si>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</si>
  <si>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</si>
  <si>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</si>
  <si>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</si>
  <si>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</si>
  <si>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</si>
  <si>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</si>
  <si>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</si>
  <si>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</si>
  <si>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</si>
  <si>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</si>
  <si>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</si>
  <si>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</si>
  <si>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</si>
  <si>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</si>
  <si>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</si>
  <si>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</si>
  <si>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</si>
  <si>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</si>
  <si>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</si>
  <si>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</si>
  <si>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</si>
  <si>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</si>
  <si>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</si>
  <si>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</si>
  <si>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</si>
  <si>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</si>
  <si>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</si>
  <si>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</si>
  <si>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</si>
  <si>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</si>
  <si>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</si>
  <si>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</si>
  <si>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</si>
  <si>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</si>
  <si>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</si>
  <si>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</si>
  <si>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</si>
  <si>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</si>
  <si>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</si>
  <si>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</si>
  <si>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</si>
  <si>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</si>
  <si>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</si>
  <si>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</si>
  <si>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</si>
  <si>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</si>
  <si>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</si>
  <si>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</si>
  <si>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</si>
  <si>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</si>
  <si>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</si>
  <si>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</si>
  <si>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</si>
  <si>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</si>
  <si>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</si>
  <si>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</si>
  <si>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</si>
  <si>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</si>
  <si>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</si>
  <si>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</si>
  <si>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</si>
  <si>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</si>
  <si>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</si>
  <si>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</si>
  <si>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</si>
  <si>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</si>
  <si>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</si>
  <si>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</si>
  <si>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</si>
  <si>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</si>
  <si>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</si>
  <si>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</si>
  <si>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</si>
  <si>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</si>
  <si>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</si>
  <si>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</si>
  <si>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</si>
  <si>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</si>
  <si>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</si>
  <si>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</si>
  <si>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</si>
  <si>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</si>
  <si>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</si>
  <si>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</si>
  <si>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</si>
  <si>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</si>
  <si>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</si>
  <si>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</si>
  <si>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</si>
  <si>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</si>
  <si>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</si>
  <si>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</si>
  <si>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</si>
  <si>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</si>
  <si>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</si>
  <si>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</si>
  <si>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</si>
  <si>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</si>
  <si>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</si>
  <si>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</si>
  <si>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</si>
  <si>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</si>
  <si>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</si>
  <si>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</si>
  <si>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</si>
  <si>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</si>
  <si>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</si>
  <si>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</si>
  <si>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</si>
  <si>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</si>
  <si>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</si>
  <si>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</si>
  <si>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</si>
  <si>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</si>
  <si>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</si>
  <si>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</si>
  <si>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</si>
  <si>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</si>
  <si>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</si>
  <si>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</si>
  <si>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</si>
  <si>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</si>
  <si>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</si>
  <si>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</si>
  <si>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</si>
  <si>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</si>
  <si>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</si>
  <si>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</si>
  <si>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</si>
  <si>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</si>
  <si>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</si>
  <si>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</si>
  <si>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</si>
  <si>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</si>
  <si>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</si>
  <si>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</si>
  <si>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</si>
  <si>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</si>
  <si>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</si>
  <si>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</si>
  <si>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</si>
  <si>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</si>
  <si>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</si>
  <si>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</si>
  <si>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</si>
  <si>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</si>
  <si>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</si>
  <si>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</si>
  <si>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</si>
  <si>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</si>
  <si>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</si>
  <si>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</si>
  <si>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</si>
  <si>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</si>
  <si>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</si>
  <si>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</si>
  <si>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</si>
  <si>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</si>
  <si>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</si>
  <si>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</si>
  <si>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</si>
  <si>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</si>
  <si>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</si>
  <si>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</si>
  <si>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</si>
  <si>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</si>
  <si>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</si>
  <si>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</si>
  <si>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</si>
  <si>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</si>
  <si>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</si>
  <si>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</si>
  <si>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</si>
  <si>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</si>
  <si>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</si>
  <si>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</si>
  <si>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</si>
  <si>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</si>
  <si>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</si>
  <si>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</si>
  <si>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</si>
  <si>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</si>
  <si>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</si>
  <si>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</si>
  <si>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</si>
  <si>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</si>
  <si>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</si>
  <si>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</si>
  <si>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</si>
  <si>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</si>
  <si>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</si>
  <si>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</si>
  <si>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</si>
  <si>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</si>
  <si>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</si>
  <si>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</si>
  <si>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</si>
  <si>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</si>
  <si>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</si>
  <si>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</si>
  <si>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</si>
  <si>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</si>
  <si>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</si>
  <si>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</si>
  <si>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</si>
  <si>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</si>
  <si>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</si>
  <si>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</si>
  <si>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</si>
  <si>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</si>
  <si>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</si>
  <si>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</si>
  <si>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</si>
  <si>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</si>
  <si>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</si>
  <si>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</si>
  <si>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</si>
  <si>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</si>
  <si>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</si>
  <si>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</si>
  <si>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</si>
  <si>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</si>
  <si>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</si>
  <si>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</si>
  <si>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</si>
  <si>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</si>
  <si>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</si>
  <si>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</si>
  <si>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</si>
  <si>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</si>
  <si>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</si>
  <si>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</si>
  <si>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</si>
  <si>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</si>
  <si>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</si>
  <si>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</si>
  <si>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</si>
  <si>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</si>
  <si>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</si>
  <si>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</si>
  <si>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</si>
  <si>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</si>
  <si>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</si>
  <si>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</si>
  <si>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</si>
  <si>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</si>
  <si>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</si>
  <si>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</si>
  <si>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</si>
  <si>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</si>
  <si>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</si>
  <si>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</si>
  <si>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Total Forecast Mercado</t>
  </si>
  <si>
    <t>%  Venta Productos</t>
  </si>
  <si>
    <t>Cumulative % of Venta</t>
  </si>
  <si>
    <t>Spread full capacid.</t>
  </si>
  <si>
    <t>Units full capacidad</t>
  </si>
  <si>
    <t>Diario</t>
  </si>
  <si>
    <t>Fusión</t>
  </si>
  <si>
    <t>Total Diario</t>
  </si>
  <si>
    <t>Total Fusión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</si>
</sst>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9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 applyProtection="1"/>
    <xf numFmtId="9" fontId="39" fillId="0" borderId="0" xfId="9" applyFont="1" applyProtection="1"/>
    <xf numFmtId="165" fontId="39" fillId="0" borderId="0" xfId="0" applyFont="1"/>
    <xf numFmtId="170" fontId="39" fillId="0" borderId="0" xfId="1" applyNumberFormat="1" applyFont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-8606259.3666666653</c:v>
                </c:pt>
                <c:pt idx="5">
                  <c:v>-8563998.666666666</c:v>
                </c:pt>
                <c:pt idx="6">
                  <c:v>-8462657.2666666657</c:v>
                </c:pt>
                <c:pt idx="7">
                  <c:v>-8675799.3666666653</c:v>
                </c:pt>
                <c:pt idx="8">
                  <c:v>-8565558.666666666</c:v>
                </c:pt>
                <c:pt idx="9">
                  <c:v>-8715750.0666666664</c:v>
                </c:pt>
                <c:pt idx="10">
                  <c:v>-8703615.0666666664</c:v>
                </c:pt>
                <c:pt idx="11">
                  <c:v>-8689640.0666666664</c:v>
                </c:pt>
                <c:pt idx="12">
                  <c:v>-8947977.8666666653</c:v>
                </c:pt>
                <c:pt idx="13">
                  <c:v>-10757800.604166666</c:v>
                </c:pt>
                <c:pt idx="14">
                  <c:v>-10702222.104166666</c:v>
                </c:pt>
                <c:pt idx="15">
                  <c:v>-10689286.416666666</c:v>
                </c:pt>
                <c:pt idx="16">
                  <c:v>-10706511.291666666</c:v>
                </c:pt>
                <c:pt idx="17">
                  <c:v>-10677924.166666666</c:v>
                </c:pt>
                <c:pt idx="18">
                  <c:v>-10669987.791666666</c:v>
                </c:pt>
                <c:pt idx="19">
                  <c:v>-9697117.958333334</c:v>
                </c:pt>
                <c:pt idx="20">
                  <c:v>-9684850.833333334</c:v>
                </c:pt>
                <c:pt idx="21">
                  <c:v>-9707225.083333334</c:v>
                </c:pt>
                <c:pt idx="22">
                  <c:v>-9725740.083333334</c:v>
                </c:pt>
                <c:pt idx="23">
                  <c:v>-9707225.083333334</c:v>
                </c:pt>
                <c:pt idx="24">
                  <c:v>-9752442.145833334</c:v>
                </c:pt>
                <c:pt idx="25">
                  <c:v>-8404116.7947916649</c:v>
                </c:pt>
                <c:pt idx="26">
                  <c:v>-8479831.0989583321</c:v>
                </c:pt>
                <c:pt idx="27">
                  <c:v>-8499045.0739583336</c:v>
                </c:pt>
                <c:pt idx="28">
                  <c:v>-8518591.6989583336</c:v>
                </c:pt>
                <c:pt idx="29">
                  <c:v>-8517311.3864583336</c:v>
                </c:pt>
                <c:pt idx="30">
                  <c:v>-8548683.4614583328</c:v>
                </c:pt>
                <c:pt idx="31">
                  <c:v>-8497841.6989583336</c:v>
                </c:pt>
                <c:pt idx="32">
                  <c:v>-8521111.3864583336</c:v>
                </c:pt>
                <c:pt idx="33">
                  <c:v>-8471410.9864583332</c:v>
                </c:pt>
                <c:pt idx="34">
                  <c:v>-8492015.9864583332</c:v>
                </c:pt>
                <c:pt idx="35">
                  <c:v>-8471410.9864583332</c:v>
                </c:pt>
                <c:pt idx="36">
                  <c:v>-8399602.3864583336</c:v>
                </c:pt>
                <c:pt idx="37">
                  <c:v>-10043884.679348959</c:v>
                </c:pt>
                <c:pt idx="38">
                  <c:v>-10086683.96934896</c:v>
                </c:pt>
                <c:pt idx="39">
                  <c:v>-10097352.004348958</c:v>
                </c:pt>
                <c:pt idx="40">
                  <c:v>-10116508.204348959</c:v>
                </c:pt>
                <c:pt idx="41">
                  <c:v>-10108606.914348958</c:v>
                </c:pt>
                <c:pt idx="42">
                  <c:v>-10128880.249348959</c:v>
                </c:pt>
                <c:pt idx="43">
                  <c:v>-10095758.204348959</c:v>
                </c:pt>
                <c:pt idx="44">
                  <c:v>-10112406.914348958</c:v>
                </c:pt>
                <c:pt idx="45">
                  <c:v>-10080233.444348959</c:v>
                </c:pt>
                <c:pt idx="46">
                  <c:v>-10100838.444348959</c:v>
                </c:pt>
                <c:pt idx="47">
                  <c:v>-10080233.444348959</c:v>
                </c:pt>
                <c:pt idx="48">
                  <c:v>-10039057.929348959</c:v>
                </c:pt>
                <c:pt idx="49">
                  <c:v>-13598456.05493685</c:v>
                </c:pt>
                <c:pt idx="50">
                  <c:v>-13610956.42493685</c:v>
                </c:pt>
                <c:pt idx="51">
                  <c:v>-13611713.775936848</c:v>
                </c:pt>
                <c:pt idx="52">
                  <c:v>-13630869.975936849</c:v>
                </c:pt>
                <c:pt idx="53">
                  <c:v>-13614027.322936852</c:v>
                </c:pt>
                <c:pt idx="54">
                  <c:v>-13624271.148936849</c:v>
                </c:pt>
                <c:pt idx="55">
                  <c:v>-13610119.975936849</c:v>
                </c:pt>
                <c:pt idx="56">
                  <c:v>-13617827.322936852</c:v>
                </c:pt>
                <c:pt idx="57">
                  <c:v>-13604505.899936849</c:v>
                </c:pt>
                <c:pt idx="58">
                  <c:v>-13625110.899936849</c:v>
                </c:pt>
                <c:pt idx="59">
                  <c:v>-13604505.899936849</c:v>
                </c:pt>
                <c:pt idx="60">
                  <c:v>-13588059.30493685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-9841214</c:v>
                </c:pt>
                <c:pt idx="4">
                  <c:v>-9908407.6999999993</c:v>
                </c:pt>
                <c:pt idx="5">
                  <c:v>-8750667</c:v>
                </c:pt>
                <c:pt idx="6">
                  <c:v>-8518635.5999999996</c:v>
                </c:pt>
                <c:pt idx="7">
                  <c:v>-8428227.6999999993</c:v>
                </c:pt>
                <c:pt idx="8">
                  <c:v>-8596227</c:v>
                </c:pt>
                <c:pt idx="9">
                  <c:v>-8457488.4000000004</c:v>
                </c:pt>
                <c:pt idx="10">
                  <c:v>-8701973.4000000004</c:v>
                </c:pt>
                <c:pt idx="11">
                  <c:v>-8531998.4000000004</c:v>
                </c:pt>
                <c:pt idx="12">
                  <c:v>-8452096.1999999993</c:v>
                </c:pt>
                <c:pt idx="13">
                  <c:v>-10440987.6875</c:v>
                </c:pt>
                <c:pt idx="14">
                  <c:v>-10918330.4375</c:v>
                </c:pt>
                <c:pt idx="15">
                  <c:v>-10732813.5</c:v>
                </c:pt>
                <c:pt idx="16">
                  <c:v>-10739682.125</c:v>
                </c:pt>
                <c:pt idx="17">
                  <c:v>-10754095</c:v>
                </c:pt>
                <c:pt idx="18">
                  <c:v>-10648983.625</c:v>
                </c:pt>
                <c:pt idx="19">
                  <c:v>-9643909.625</c:v>
                </c:pt>
                <c:pt idx="20">
                  <c:v>-9663705</c:v>
                </c:pt>
                <c:pt idx="21">
                  <c:v>-9614641.75</c:v>
                </c:pt>
                <c:pt idx="22">
                  <c:v>-9723981.75</c:v>
                </c:pt>
                <c:pt idx="23">
                  <c:v>-9597466.75</c:v>
                </c:pt>
                <c:pt idx="24">
                  <c:v>-9739777.5625</c:v>
                </c:pt>
                <c:pt idx="25">
                  <c:v>-8536357.6281249989</c:v>
                </c:pt>
                <c:pt idx="26">
                  <c:v>-8690389.0156249981</c:v>
                </c:pt>
                <c:pt idx="27">
                  <c:v>-8529489.2406249996</c:v>
                </c:pt>
                <c:pt idx="28">
                  <c:v>-8568070.8656249996</c:v>
                </c:pt>
                <c:pt idx="29">
                  <c:v>-8601004.3031249996</c:v>
                </c:pt>
                <c:pt idx="30">
                  <c:v>-8472477.6281249989</c:v>
                </c:pt>
                <c:pt idx="31">
                  <c:v>-8485079.6156249996</c:v>
                </c:pt>
                <c:pt idx="32">
                  <c:v>-8439564.3031249996</c:v>
                </c:pt>
                <c:pt idx="33">
                  <c:v>-8410052.6531249993</c:v>
                </c:pt>
                <c:pt idx="34">
                  <c:v>-8490257.6531249993</c:v>
                </c:pt>
                <c:pt idx="35">
                  <c:v>-8294692.6531250002</c:v>
                </c:pt>
                <c:pt idx="36">
                  <c:v>-8319704.0531250006</c:v>
                </c:pt>
                <c:pt idx="37">
                  <c:v>-10294322.096015625</c:v>
                </c:pt>
                <c:pt idx="38">
                  <c:v>-10311300.636015626</c:v>
                </c:pt>
                <c:pt idx="39">
                  <c:v>-10133166.171015624</c:v>
                </c:pt>
                <c:pt idx="40">
                  <c:v>-10170277.871015625</c:v>
                </c:pt>
                <c:pt idx="41">
                  <c:v>-10197181.581015624</c:v>
                </c:pt>
                <c:pt idx="42">
                  <c:v>-10060228.416015625</c:v>
                </c:pt>
                <c:pt idx="43">
                  <c:v>-10070560.371015625</c:v>
                </c:pt>
                <c:pt idx="44">
                  <c:v>-10043517.581015624</c:v>
                </c:pt>
                <c:pt idx="45">
                  <c:v>-10002750.111015625</c:v>
                </c:pt>
                <c:pt idx="46">
                  <c:v>-10099080.111015625</c:v>
                </c:pt>
                <c:pt idx="47">
                  <c:v>-9912263.1110156253</c:v>
                </c:pt>
                <c:pt idx="48">
                  <c:v>-9934383.0960156247</c:v>
                </c:pt>
                <c:pt idx="49">
                  <c:v>-13838086.121603517</c:v>
                </c:pt>
                <c:pt idx="50">
                  <c:v>-13850015.491603516</c:v>
                </c:pt>
                <c:pt idx="51">
                  <c:v>-13652502.942603514</c:v>
                </c:pt>
                <c:pt idx="52">
                  <c:v>-13687264.042603515</c:v>
                </c:pt>
                <c:pt idx="53">
                  <c:v>-13709203.189603519</c:v>
                </c:pt>
                <c:pt idx="54">
                  <c:v>-13563341.215603516</c:v>
                </c:pt>
                <c:pt idx="55">
                  <c:v>-13570599.042603515</c:v>
                </c:pt>
                <c:pt idx="56">
                  <c:v>-13563412.389603518</c:v>
                </c:pt>
                <c:pt idx="57">
                  <c:v>-13510197.566603515</c:v>
                </c:pt>
                <c:pt idx="58">
                  <c:v>-13623352.566603515</c:v>
                </c:pt>
                <c:pt idx="59">
                  <c:v>-13445283.566603515</c:v>
                </c:pt>
                <c:pt idx="60">
                  <c:v>-17120162.871603519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-8606259.3666666653</c:v>
                </c:pt>
                <c:pt idx="5">
                  <c:v>-8563998.666666666</c:v>
                </c:pt>
                <c:pt idx="6">
                  <c:v>-8462657.2666666657</c:v>
                </c:pt>
                <c:pt idx="7">
                  <c:v>-8675799.3666666653</c:v>
                </c:pt>
                <c:pt idx="8">
                  <c:v>-8565558.666666666</c:v>
                </c:pt>
                <c:pt idx="9">
                  <c:v>-8715750.0666666664</c:v>
                </c:pt>
                <c:pt idx="10">
                  <c:v>-8703615.0666666664</c:v>
                </c:pt>
                <c:pt idx="11">
                  <c:v>-8689640.0666666664</c:v>
                </c:pt>
                <c:pt idx="12">
                  <c:v>-8947977.8666666653</c:v>
                </c:pt>
                <c:pt idx="13">
                  <c:v>-10757800.604166666</c:v>
                </c:pt>
                <c:pt idx="14">
                  <c:v>-10702222.104166666</c:v>
                </c:pt>
                <c:pt idx="15">
                  <c:v>-10689286.416666666</c:v>
                </c:pt>
                <c:pt idx="16">
                  <c:v>-10706511.291666666</c:v>
                </c:pt>
                <c:pt idx="17">
                  <c:v>-10677924.166666666</c:v>
                </c:pt>
                <c:pt idx="18">
                  <c:v>-10669987.791666666</c:v>
                </c:pt>
                <c:pt idx="19">
                  <c:v>-9697117.958333334</c:v>
                </c:pt>
                <c:pt idx="20">
                  <c:v>-9684850.833333334</c:v>
                </c:pt>
                <c:pt idx="21">
                  <c:v>-9707225.083333334</c:v>
                </c:pt>
                <c:pt idx="22">
                  <c:v>-9725740.083333334</c:v>
                </c:pt>
                <c:pt idx="23">
                  <c:v>-9707225.083333334</c:v>
                </c:pt>
                <c:pt idx="24">
                  <c:v>-9752442.145833334</c:v>
                </c:pt>
                <c:pt idx="25">
                  <c:v>-8404116.7947916649</c:v>
                </c:pt>
                <c:pt idx="26">
                  <c:v>-8479831.0989583321</c:v>
                </c:pt>
                <c:pt idx="27">
                  <c:v>-8499045.0739583336</c:v>
                </c:pt>
                <c:pt idx="28">
                  <c:v>-8518591.6989583336</c:v>
                </c:pt>
                <c:pt idx="29">
                  <c:v>-8517311.3864583336</c:v>
                </c:pt>
                <c:pt idx="30">
                  <c:v>-8548683.4614583328</c:v>
                </c:pt>
                <c:pt idx="31">
                  <c:v>-8497841.6989583336</c:v>
                </c:pt>
                <c:pt idx="32">
                  <c:v>-8521111.3864583336</c:v>
                </c:pt>
                <c:pt idx="33">
                  <c:v>-8471410.9864583332</c:v>
                </c:pt>
                <c:pt idx="34">
                  <c:v>-8492015.9864583332</c:v>
                </c:pt>
                <c:pt idx="35">
                  <c:v>-8471410.9864583332</c:v>
                </c:pt>
                <c:pt idx="36">
                  <c:v>-8399602.3864583336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-36750113.366666667</c:v>
                </c:pt>
                <c:pt idx="5">
                  <c:v>-45314112.033333331</c:v>
                </c:pt>
                <c:pt idx="6">
                  <c:v>-53776769.299999997</c:v>
                </c:pt>
                <c:pt idx="7">
                  <c:v>-62452568.666666664</c:v>
                </c:pt>
                <c:pt idx="8">
                  <c:v>-71018127.333333328</c:v>
                </c:pt>
                <c:pt idx="9">
                  <c:v>-79733877.399999991</c:v>
                </c:pt>
                <c:pt idx="10">
                  <c:v>-88437492.466666654</c:v>
                </c:pt>
                <c:pt idx="11">
                  <c:v>-97127132.533333316</c:v>
                </c:pt>
                <c:pt idx="12">
                  <c:v>-106075110.39999998</c:v>
                </c:pt>
                <c:pt idx="13">
                  <c:v>-116832911.00416665</c:v>
                </c:pt>
                <c:pt idx="14">
                  <c:v>-127535133.10833332</c:v>
                </c:pt>
                <c:pt idx="15">
                  <c:v>-138224419.52499998</c:v>
                </c:pt>
                <c:pt idx="16">
                  <c:v>-148930930.81666663</c:v>
                </c:pt>
                <c:pt idx="17">
                  <c:v>-159608854.98333329</c:v>
                </c:pt>
                <c:pt idx="18">
                  <c:v>-170278842.77499995</c:v>
                </c:pt>
                <c:pt idx="19">
                  <c:v>-179975960.73333329</c:v>
                </c:pt>
                <c:pt idx="20">
                  <c:v>-189660811.56666663</c:v>
                </c:pt>
                <c:pt idx="21">
                  <c:v>-199368036.64999998</c:v>
                </c:pt>
                <c:pt idx="22">
                  <c:v>-209093776.73333332</c:v>
                </c:pt>
                <c:pt idx="23">
                  <c:v>-218801001.81666666</c:v>
                </c:pt>
                <c:pt idx="24">
                  <c:v>-228553443.96250001</c:v>
                </c:pt>
                <c:pt idx="25">
                  <c:v>-236957560.75729167</c:v>
                </c:pt>
                <c:pt idx="26">
                  <c:v>-245437391.85625002</c:v>
                </c:pt>
                <c:pt idx="27">
                  <c:v>-253936436.93020836</c:v>
                </c:pt>
                <c:pt idx="28">
                  <c:v>-262455028.62916669</c:v>
                </c:pt>
                <c:pt idx="29">
                  <c:v>-270972340.015625</c:v>
                </c:pt>
                <c:pt idx="30">
                  <c:v>-279521023.47708333</c:v>
                </c:pt>
                <c:pt idx="31">
                  <c:v>-288018865.17604166</c:v>
                </c:pt>
                <c:pt idx="32">
                  <c:v>-296539976.5625</c:v>
                </c:pt>
                <c:pt idx="33">
                  <c:v>-305011387.54895836</c:v>
                </c:pt>
                <c:pt idx="34">
                  <c:v>-313503403.53541672</c:v>
                </c:pt>
                <c:pt idx="35">
                  <c:v>-321974814.52187508</c:v>
                </c:pt>
                <c:pt idx="36">
                  <c:v>-330374416.90833342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-9841214</c:v>
                </c:pt>
                <c:pt idx="4">
                  <c:v>-9908407.6999999993</c:v>
                </c:pt>
                <c:pt idx="5">
                  <c:v>-8750667</c:v>
                </c:pt>
                <c:pt idx="6">
                  <c:v>-8518635.5999999996</c:v>
                </c:pt>
                <c:pt idx="7">
                  <c:v>-8428227.6999999993</c:v>
                </c:pt>
                <c:pt idx="8">
                  <c:v>-8596227</c:v>
                </c:pt>
                <c:pt idx="9">
                  <c:v>-8457488.4000000004</c:v>
                </c:pt>
                <c:pt idx="10">
                  <c:v>-8701973.4000000004</c:v>
                </c:pt>
                <c:pt idx="11">
                  <c:v>-8531998.4000000004</c:v>
                </c:pt>
                <c:pt idx="12">
                  <c:v>-8452096.1999999993</c:v>
                </c:pt>
                <c:pt idx="13">
                  <c:v>-10440987.6875</c:v>
                </c:pt>
                <c:pt idx="14">
                  <c:v>-10918330.4375</c:v>
                </c:pt>
                <c:pt idx="15">
                  <c:v>-10732813.5</c:v>
                </c:pt>
                <c:pt idx="16">
                  <c:v>-10739682.125</c:v>
                </c:pt>
                <c:pt idx="17">
                  <c:v>-10754095</c:v>
                </c:pt>
                <c:pt idx="18">
                  <c:v>-10648983.625</c:v>
                </c:pt>
                <c:pt idx="19">
                  <c:v>-9643909.625</c:v>
                </c:pt>
                <c:pt idx="20">
                  <c:v>-9663705</c:v>
                </c:pt>
                <c:pt idx="21">
                  <c:v>-9614641.75</c:v>
                </c:pt>
                <c:pt idx="22">
                  <c:v>-9723981.75</c:v>
                </c:pt>
                <c:pt idx="23">
                  <c:v>-9597466.75</c:v>
                </c:pt>
                <c:pt idx="24">
                  <c:v>-9739777.5625</c:v>
                </c:pt>
                <c:pt idx="25">
                  <c:v>-8536357.6281249989</c:v>
                </c:pt>
                <c:pt idx="26">
                  <c:v>-8690389.0156249981</c:v>
                </c:pt>
                <c:pt idx="27">
                  <c:v>-8529489.2406249996</c:v>
                </c:pt>
                <c:pt idx="28">
                  <c:v>-8568070.8656249996</c:v>
                </c:pt>
                <c:pt idx="29">
                  <c:v>-8601004.3031249996</c:v>
                </c:pt>
                <c:pt idx="30">
                  <c:v>-8472477.6281249989</c:v>
                </c:pt>
                <c:pt idx="31">
                  <c:v>-8485079.6156249996</c:v>
                </c:pt>
                <c:pt idx="32">
                  <c:v>-8439564.3031249996</c:v>
                </c:pt>
                <c:pt idx="33">
                  <c:v>-8410052.6531249993</c:v>
                </c:pt>
                <c:pt idx="34">
                  <c:v>-8490257.6531249993</c:v>
                </c:pt>
                <c:pt idx="35">
                  <c:v>-8294692.6531250002</c:v>
                </c:pt>
                <c:pt idx="36">
                  <c:v>-8319704.0531250006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-28696854</c:v>
                </c:pt>
                <c:pt idx="4">
                  <c:v>-38605261.700000003</c:v>
                </c:pt>
                <c:pt idx="5">
                  <c:v>-47355928.700000003</c:v>
                </c:pt>
                <c:pt idx="6">
                  <c:v>-55874564.300000004</c:v>
                </c:pt>
                <c:pt idx="7">
                  <c:v>-64302792</c:v>
                </c:pt>
                <c:pt idx="8">
                  <c:v>-72899019</c:v>
                </c:pt>
                <c:pt idx="9">
                  <c:v>-81356507.400000006</c:v>
                </c:pt>
                <c:pt idx="10">
                  <c:v>-90058480.800000012</c:v>
                </c:pt>
                <c:pt idx="11">
                  <c:v>-98590479.200000018</c:v>
                </c:pt>
                <c:pt idx="12">
                  <c:v>-107042575.40000002</c:v>
                </c:pt>
                <c:pt idx="13">
                  <c:v>-117483563.08750002</c:v>
                </c:pt>
                <c:pt idx="14">
                  <c:v>-128401893.52500002</c:v>
                </c:pt>
                <c:pt idx="15">
                  <c:v>-139134707.02500004</c:v>
                </c:pt>
                <c:pt idx="16">
                  <c:v>-149874389.15000004</c:v>
                </c:pt>
                <c:pt idx="17">
                  <c:v>-160628484.15000004</c:v>
                </c:pt>
                <c:pt idx="18">
                  <c:v>-171277467.77500004</c:v>
                </c:pt>
                <c:pt idx="19">
                  <c:v>-180921377.40000004</c:v>
                </c:pt>
                <c:pt idx="20">
                  <c:v>-190585082.40000004</c:v>
                </c:pt>
                <c:pt idx="21">
                  <c:v>-200199724.15000004</c:v>
                </c:pt>
                <c:pt idx="22">
                  <c:v>-209923705.90000004</c:v>
                </c:pt>
                <c:pt idx="23">
                  <c:v>-219521172.65000004</c:v>
                </c:pt>
                <c:pt idx="24">
                  <c:v>-229260950.21250004</c:v>
                </c:pt>
                <c:pt idx="25">
                  <c:v>-237797307.84062505</c:v>
                </c:pt>
                <c:pt idx="26">
                  <c:v>-246487696.85625005</c:v>
                </c:pt>
                <c:pt idx="27">
                  <c:v>-255017186.09687504</c:v>
                </c:pt>
                <c:pt idx="28">
                  <c:v>-263585256.96250004</c:v>
                </c:pt>
                <c:pt idx="29">
                  <c:v>-272186261.26562506</c:v>
                </c:pt>
                <c:pt idx="30">
                  <c:v>-280658738.89375007</c:v>
                </c:pt>
                <c:pt idx="31">
                  <c:v>-289143818.5093751</c:v>
                </c:pt>
                <c:pt idx="32">
                  <c:v>-297583382.81250012</c:v>
                </c:pt>
                <c:pt idx="33">
                  <c:v>-305993435.46562511</c:v>
                </c:pt>
                <c:pt idx="34">
                  <c:v>-314483693.1187501</c:v>
                </c:pt>
                <c:pt idx="35">
                  <c:v>-322778385.77187508</c:v>
                </c:pt>
                <c:pt idx="36">
                  <c:v>-331098089.82500011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-8606259.3666666653</c:v>
                </c:pt>
                <c:pt idx="5">
                  <c:v>-8563998.666666666</c:v>
                </c:pt>
                <c:pt idx="6">
                  <c:v>-8462657.2666666657</c:v>
                </c:pt>
                <c:pt idx="7">
                  <c:v>-8675799.3666666653</c:v>
                </c:pt>
                <c:pt idx="8">
                  <c:v>-8565558.666666666</c:v>
                </c:pt>
                <c:pt idx="9">
                  <c:v>-8715750.0666666664</c:v>
                </c:pt>
                <c:pt idx="10">
                  <c:v>-8703615.0666666664</c:v>
                </c:pt>
                <c:pt idx="11">
                  <c:v>-8689640.0666666664</c:v>
                </c:pt>
                <c:pt idx="12">
                  <c:v>-8947977.8666666653</c:v>
                </c:pt>
                <c:pt idx="13">
                  <c:v>-10757800.604166666</c:v>
                </c:pt>
                <c:pt idx="14">
                  <c:v>-10702222.104166666</c:v>
                </c:pt>
                <c:pt idx="15">
                  <c:v>-10689286.416666666</c:v>
                </c:pt>
                <c:pt idx="16">
                  <c:v>-10706511.291666666</c:v>
                </c:pt>
                <c:pt idx="17">
                  <c:v>-10677924.166666666</c:v>
                </c:pt>
                <c:pt idx="18">
                  <c:v>-10669987.791666666</c:v>
                </c:pt>
                <c:pt idx="19">
                  <c:v>-9697117.958333334</c:v>
                </c:pt>
                <c:pt idx="20">
                  <c:v>-9684850.833333334</c:v>
                </c:pt>
                <c:pt idx="21">
                  <c:v>-9707225.083333334</c:v>
                </c:pt>
                <c:pt idx="22">
                  <c:v>-9725740.083333334</c:v>
                </c:pt>
                <c:pt idx="23">
                  <c:v>-9707225.083333334</c:v>
                </c:pt>
                <c:pt idx="24">
                  <c:v>-9752442.145833334</c:v>
                </c:pt>
                <c:pt idx="25">
                  <c:v>-8404116.7947916649</c:v>
                </c:pt>
                <c:pt idx="26">
                  <c:v>-8479831.0989583321</c:v>
                </c:pt>
                <c:pt idx="27">
                  <c:v>-8499045.0739583336</c:v>
                </c:pt>
                <c:pt idx="28">
                  <c:v>-8518591.6989583336</c:v>
                </c:pt>
                <c:pt idx="29">
                  <c:v>-8517311.3864583336</c:v>
                </c:pt>
                <c:pt idx="30">
                  <c:v>-8548683.4614583328</c:v>
                </c:pt>
                <c:pt idx="31">
                  <c:v>-8497841.6989583336</c:v>
                </c:pt>
                <c:pt idx="32">
                  <c:v>-8521111.3864583336</c:v>
                </c:pt>
                <c:pt idx="33">
                  <c:v>-8471410.9864583332</c:v>
                </c:pt>
                <c:pt idx="34">
                  <c:v>-8492015.9864583332</c:v>
                </c:pt>
                <c:pt idx="35">
                  <c:v>-8471410.9864583332</c:v>
                </c:pt>
                <c:pt idx="36">
                  <c:v>-8399602.3864583336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-36750113.366666667</c:v>
                </c:pt>
                <c:pt idx="5">
                  <c:v>-45314112.033333331</c:v>
                </c:pt>
                <c:pt idx="6">
                  <c:v>-53776769.299999997</c:v>
                </c:pt>
                <c:pt idx="7">
                  <c:v>-62452568.666666664</c:v>
                </c:pt>
                <c:pt idx="8">
                  <c:v>-71018127.333333328</c:v>
                </c:pt>
                <c:pt idx="9">
                  <c:v>-79733877.399999991</c:v>
                </c:pt>
                <c:pt idx="10">
                  <c:v>-88437492.466666654</c:v>
                </c:pt>
                <c:pt idx="11">
                  <c:v>-97127132.533333316</c:v>
                </c:pt>
                <c:pt idx="12">
                  <c:v>-106075110.39999998</c:v>
                </c:pt>
                <c:pt idx="13">
                  <c:v>-116832911.00416665</c:v>
                </c:pt>
                <c:pt idx="14">
                  <c:v>-127535133.10833332</c:v>
                </c:pt>
                <c:pt idx="15">
                  <c:v>-138224419.52499998</c:v>
                </c:pt>
                <c:pt idx="16">
                  <c:v>-148930930.81666663</c:v>
                </c:pt>
                <c:pt idx="17">
                  <c:v>-159608854.98333329</c:v>
                </c:pt>
                <c:pt idx="18">
                  <c:v>-170278842.77499995</c:v>
                </c:pt>
                <c:pt idx="19">
                  <c:v>-179975960.73333329</c:v>
                </c:pt>
                <c:pt idx="20">
                  <c:v>-189660811.56666663</c:v>
                </c:pt>
                <c:pt idx="21">
                  <c:v>-199368036.64999998</c:v>
                </c:pt>
                <c:pt idx="22">
                  <c:v>-209093776.73333332</c:v>
                </c:pt>
                <c:pt idx="23">
                  <c:v>-218801001.81666666</c:v>
                </c:pt>
                <c:pt idx="24">
                  <c:v>-228553443.96250001</c:v>
                </c:pt>
                <c:pt idx="25">
                  <c:v>-236957560.75729167</c:v>
                </c:pt>
                <c:pt idx="26">
                  <c:v>-245437391.85625002</c:v>
                </c:pt>
                <c:pt idx="27">
                  <c:v>-253936436.93020836</c:v>
                </c:pt>
                <c:pt idx="28">
                  <c:v>-262455028.62916669</c:v>
                </c:pt>
                <c:pt idx="29">
                  <c:v>-270972340.015625</c:v>
                </c:pt>
                <c:pt idx="30">
                  <c:v>-279521023.47708333</c:v>
                </c:pt>
                <c:pt idx="31">
                  <c:v>-288018865.17604166</c:v>
                </c:pt>
                <c:pt idx="32">
                  <c:v>-296539976.5625</c:v>
                </c:pt>
                <c:pt idx="33">
                  <c:v>-305011387.54895836</c:v>
                </c:pt>
                <c:pt idx="34">
                  <c:v>-313503403.53541672</c:v>
                </c:pt>
                <c:pt idx="35">
                  <c:v>-321974814.52187508</c:v>
                </c:pt>
                <c:pt idx="36">
                  <c:v>-330374416.90833342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-9841214</c:v>
                </c:pt>
                <c:pt idx="4">
                  <c:v>-9908407.6999999993</c:v>
                </c:pt>
                <c:pt idx="5">
                  <c:v>-8750667</c:v>
                </c:pt>
                <c:pt idx="6">
                  <c:v>-8518635.5999999996</c:v>
                </c:pt>
                <c:pt idx="7">
                  <c:v>-8428227.6999999993</c:v>
                </c:pt>
                <c:pt idx="8">
                  <c:v>-8596227</c:v>
                </c:pt>
                <c:pt idx="9">
                  <c:v>-8457488.4000000004</c:v>
                </c:pt>
                <c:pt idx="10">
                  <c:v>-8701973.4000000004</c:v>
                </c:pt>
                <c:pt idx="11">
                  <c:v>-8531998.4000000004</c:v>
                </c:pt>
                <c:pt idx="12">
                  <c:v>-8452096.1999999993</c:v>
                </c:pt>
                <c:pt idx="13">
                  <c:v>-10440987.6875</c:v>
                </c:pt>
                <c:pt idx="14">
                  <c:v>-10918330.4375</c:v>
                </c:pt>
                <c:pt idx="15">
                  <c:v>-10732813.5</c:v>
                </c:pt>
                <c:pt idx="16">
                  <c:v>-10739682.125</c:v>
                </c:pt>
                <c:pt idx="17">
                  <c:v>-10754095</c:v>
                </c:pt>
                <c:pt idx="18">
                  <c:v>-10648983.625</c:v>
                </c:pt>
                <c:pt idx="19">
                  <c:v>-9643909.625</c:v>
                </c:pt>
                <c:pt idx="20">
                  <c:v>-9663705</c:v>
                </c:pt>
                <c:pt idx="21">
                  <c:v>-9614641.75</c:v>
                </c:pt>
                <c:pt idx="22">
                  <c:v>-9723981.75</c:v>
                </c:pt>
                <c:pt idx="23">
                  <c:v>-9597466.75</c:v>
                </c:pt>
                <c:pt idx="24">
                  <c:v>-9739777.5625</c:v>
                </c:pt>
                <c:pt idx="25">
                  <c:v>-8536357.6281249989</c:v>
                </c:pt>
                <c:pt idx="26">
                  <c:v>-8690389.0156249981</c:v>
                </c:pt>
                <c:pt idx="27">
                  <c:v>-8529489.2406249996</c:v>
                </c:pt>
                <c:pt idx="28">
                  <c:v>-8568070.8656249996</c:v>
                </c:pt>
                <c:pt idx="29">
                  <c:v>-8601004.3031249996</c:v>
                </c:pt>
                <c:pt idx="30">
                  <c:v>-8472477.6281249989</c:v>
                </c:pt>
                <c:pt idx="31">
                  <c:v>-8485079.6156249996</c:v>
                </c:pt>
                <c:pt idx="32">
                  <c:v>-8439564.3031249996</c:v>
                </c:pt>
                <c:pt idx="33">
                  <c:v>-8410052.6531249993</c:v>
                </c:pt>
                <c:pt idx="34">
                  <c:v>-8490257.6531249993</c:v>
                </c:pt>
                <c:pt idx="35">
                  <c:v>-8294692.6531250002</c:v>
                </c:pt>
                <c:pt idx="36">
                  <c:v>-8319704.0531250006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-28696854</c:v>
                </c:pt>
                <c:pt idx="4">
                  <c:v>-38605261.700000003</c:v>
                </c:pt>
                <c:pt idx="5">
                  <c:v>-47355928.700000003</c:v>
                </c:pt>
                <c:pt idx="6">
                  <c:v>-55874564.300000004</c:v>
                </c:pt>
                <c:pt idx="7">
                  <c:v>-64302792</c:v>
                </c:pt>
                <c:pt idx="8">
                  <c:v>-72899019</c:v>
                </c:pt>
                <c:pt idx="9">
                  <c:v>-81356507.400000006</c:v>
                </c:pt>
                <c:pt idx="10">
                  <c:v>-90058480.800000012</c:v>
                </c:pt>
                <c:pt idx="11">
                  <c:v>-98590479.200000018</c:v>
                </c:pt>
                <c:pt idx="12">
                  <c:v>-107042575.40000002</c:v>
                </c:pt>
                <c:pt idx="13">
                  <c:v>-117483563.08750002</c:v>
                </c:pt>
                <c:pt idx="14">
                  <c:v>-128401893.52500002</c:v>
                </c:pt>
                <c:pt idx="15">
                  <c:v>-139134707.02500004</c:v>
                </c:pt>
                <c:pt idx="16">
                  <c:v>-149874389.15000004</c:v>
                </c:pt>
                <c:pt idx="17">
                  <c:v>-160628484.15000004</c:v>
                </c:pt>
                <c:pt idx="18">
                  <c:v>-171277467.77500004</c:v>
                </c:pt>
                <c:pt idx="19">
                  <c:v>-180921377.40000004</c:v>
                </c:pt>
                <c:pt idx="20">
                  <c:v>-190585082.40000004</c:v>
                </c:pt>
                <c:pt idx="21">
                  <c:v>-200199724.15000004</c:v>
                </c:pt>
                <c:pt idx="22">
                  <c:v>-209923705.90000004</c:v>
                </c:pt>
                <c:pt idx="23">
                  <c:v>-219521172.65000004</c:v>
                </c:pt>
                <c:pt idx="24">
                  <c:v>-229260950.21250004</c:v>
                </c:pt>
                <c:pt idx="25">
                  <c:v>-237797307.84062505</c:v>
                </c:pt>
                <c:pt idx="26">
                  <c:v>-246487696.85625005</c:v>
                </c:pt>
                <c:pt idx="27">
                  <c:v>-255017186.09687504</c:v>
                </c:pt>
                <c:pt idx="28">
                  <c:v>-263585256.96250004</c:v>
                </c:pt>
                <c:pt idx="29">
                  <c:v>-272186261.26562506</c:v>
                </c:pt>
                <c:pt idx="30">
                  <c:v>-280658738.89375007</c:v>
                </c:pt>
                <c:pt idx="31">
                  <c:v>-289143818.5093751</c:v>
                </c:pt>
                <c:pt idx="32">
                  <c:v>-297583382.81250012</c:v>
                </c:pt>
                <c:pt idx="33">
                  <c:v>-305993435.46562511</c:v>
                </c:pt>
                <c:pt idx="34">
                  <c:v>-314483693.1187501</c:v>
                </c:pt>
                <c:pt idx="35">
                  <c:v>-322778385.77187508</c:v>
                </c:pt>
                <c:pt idx="36">
                  <c:v>-331098089.82500011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47327336.700000003</c:v>
                </c:pt>
                <c:pt idx="1">
                  <c:v>37896112.700000003</c:v>
                </c:pt>
                <c:pt idx="2">
                  <c:v>28500288.700000003</c:v>
                </c:pt>
                <c:pt idx="3">
                  <c:v>18659074.700000003</c:v>
                </c:pt>
                <c:pt idx="4">
                  <c:v>8750667.0000000037</c:v>
                </c:pt>
                <c:pt idx="5">
                  <c:v>51234550.500000015</c:v>
                </c:pt>
                <c:pt idx="6">
                  <c:v>42715914.900000013</c:v>
                </c:pt>
                <c:pt idx="7">
                  <c:v>34287687.200000018</c:v>
                </c:pt>
                <c:pt idx="8">
                  <c:v>25691460.200000018</c:v>
                </c:pt>
                <c:pt idx="9">
                  <c:v>17233971.800000019</c:v>
                </c:pt>
                <c:pt idx="10">
                  <c:v>8531998.400000019</c:v>
                </c:pt>
                <c:pt idx="11">
                  <c:v>51283909.95000004</c:v>
                </c:pt>
                <c:pt idx="12">
                  <c:v>42831813.750000045</c:v>
                </c:pt>
                <c:pt idx="13">
                  <c:v>32390826.062500045</c:v>
                </c:pt>
                <c:pt idx="14">
                  <c:v>21472495.625000045</c:v>
                </c:pt>
                <c:pt idx="15">
                  <c:v>10739682.125000045</c:v>
                </c:pt>
                <c:pt idx="16">
                  <c:v>4.4703483581542969E-8</c:v>
                </c:pt>
                <c:pt idx="17">
                  <c:v>-10754094.999999955</c:v>
                </c:pt>
                <c:pt idx="18">
                  <c:v>-21403078.624999955</c:v>
                </c:pt>
                <c:pt idx="19">
                  <c:v>-31046988.249999955</c:v>
                </c:pt>
                <c:pt idx="20">
                  <c:v>-40710693.249999955</c:v>
                </c:pt>
                <c:pt idx="21">
                  <c:v>-50325334.999999955</c:v>
                </c:pt>
                <c:pt idx="22">
                  <c:v>-60049316.749999955</c:v>
                </c:pt>
                <c:pt idx="23">
                  <c:v>-69646783.499999955</c:v>
                </c:pt>
                <c:pt idx="24">
                  <c:v>-79386561.062499955</c:v>
                </c:pt>
                <c:pt idx="25">
                  <c:v>-87922918.690624952</c:v>
                </c:pt>
                <c:pt idx="26">
                  <c:v>-96613307.706249952</c:v>
                </c:pt>
                <c:pt idx="27">
                  <c:v>-105142796.94687495</c:v>
                </c:pt>
                <c:pt idx="28">
                  <c:v>-113710867.81249994</c:v>
                </c:pt>
                <c:pt idx="29">
                  <c:v>-122311872.11562493</c:v>
                </c:pt>
                <c:pt idx="30">
                  <c:v>-130784349.74374993</c:v>
                </c:pt>
                <c:pt idx="31">
                  <c:v>-139269429.35937494</c:v>
                </c:pt>
                <c:pt idx="32">
                  <c:v>-147708993.66249993</c:v>
                </c:pt>
                <c:pt idx="33">
                  <c:v>-156119046.31562492</c:v>
                </c:pt>
                <c:pt idx="34">
                  <c:v>-164609303.96874991</c:v>
                </c:pt>
                <c:pt idx="35">
                  <c:v>-172903996.6218749</c:v>
                </c:pt>
                <c:pt idx="36">
                  <c:v>-181223700.67499989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1245790</c:v>
                </c:pt>
                <c:pt idx="4">
                  <c:v>1374100</c:v>
                </c:pt>
                <c:pt idx="5">
                  <c:v>1539720</c:v>
                </c:pt>
                <c:pt idx="6">
                  <c:v>1245790</c:v>
                </c:pt>
                <c:pt idx="7">
                  <c:v>1374100</c:v>
                </c:pt>
                <c:pt idx="8">
                  <c:v>1117480</c:v>
                </c:pt>
                <c:pt idx="9">
                  <c:v>1117480</c:v>
                </c:pt>
                <c:pt idx="10">
                  <c:v>1117480</c:v>
                </c:pt>
                <c:pt idx="11">
                  <c:v>695240</c:v>
                </c:pt>
                <c:pt idx="12">
                  <c:v>240868.75</c:v>
                </c:pt>
                <c:pt idx="13">
                  <c:v>391418.75</c:v>
                </c:pt>
                <c:pt idx="14">
                  <c:v>436587.5</c:v>
                </c:pt>
                <c:pt idx="15">
                  <c:v>439000</c:v>
                </c:pt>
                <c:pt idx="16">
                  <c:v>484412.5</c:v>
                </c:pt>
                <c:pt idx="17">
                  <c:v>529850</c:v>
                </c:pt>
                <c:pt idx="18">
                  <c:v>439000</c:v>
                </c:pt>
                <c:pt idx="19">
                  <c:v>484412.5</c:v>
                </c:pt>
                <c:pt idx="20">
                  <c:v>393587.5</c:v>
                </c:pt>
                <c:pt idx="21">
                  <c:v>393587.5</c:v>
                </c:pt>
                <c:pt idx="22">
                  <c:v>393587.5</c:v>
                </c:pt>
                <c:pt idx="23">
                  <c:v>242281.25</c:v>
                </c:pt>
                <c:pt idx="24">
                  <c:v>155968.75</c:v>
                </c:pt>
                <c:pt idx="25">
                  <c:v>252725</c:v>
                </c:pt>
                <c:pt idx="26">
                  <c:v>284927.5</c:v>
                </c:pt>
                <c:pt idx="27">
                  <c:v>287565</c:v>
                </c:pt>
                <c:pt idx="28">
                  <c:v>314696.25</c:v>
                </c:pt>
                <c:pt idx="29">
                  <c:v>347168.75</c:v>
                </c:pt>
                <c:pt idx="30">
                  <c:v>287565</c:v>
                </c:pt>
                <c:pt idx="31">
                  <c:v>314696.25</c:v>
                </c:pt>
                <c:pt idx="32">
                  <c:v>255096.25</c:v>
                </c:pt>
                <c:pt idx="33">
                  <c:v>255096.25</c:v>
                </c:pt>
                <c:pt idx="34">
                  <c:v>255096.25</c:v>
                </c:pt>
                <c:pt idx="35">
                  <c:v>157516.25</c:v>
                </c:pt>
                <c:pt idx="36">
                  <c:v>194900</c:v>
                </c:pt>
                <c:pt idx="37">
                  <c:v>314355</c:v>
                </c:pt>
                <c:pt idx="38">
                  <c:v>351927.5</c:v>
                </c:pt>
                <c:pt idx="39">
                  <c:v>354967.5</c:v>
                </c:pt>
                <c:pt idx="40">
                  <c:v>392812.5</c:v>
                </c:pt>
                <c:pt idx="41">
                  <c:v>430895</c:v>
                </c:pt>
                <c:pt idx="42">
                  <c:v>354967.5</c:v>
                </c:pt>
                <c:pt idx="43">
                  <c:v>392812.5</c:v>
                </c:pt>
                <c:pt idx="44">
                  <c:v>317087.5</c:v>
                </c:pt>
                <c:pt idx="45">
                  <c:v>317087.5</c:v>
                </c:pt>
                <c:pt idx="46">
                  <c:v>317087.5</c:v>
                </c:pt>
                <c:pt idx="47">
                  <c:v>196675</c:v>
                </c:pt>
                <c:pt idx="48">
                  <c:v>234235</c:v>
                </c:pt>
                <c:pt idx="49">
                  <c:v>376200</c:v>
                </c:pt>
                <c:pt idx="50">
                  <c:v>418747.5</c:v>
                </c:pt>
                <c:pt idx="51">
                  <c:v>421787.5</c:v>
                </c:pt>
                <c:pt idx="52">
                  <c:v>471482.5</c:v>
                </c:pt>
                <c:pt idx="53">
                  <c:v>514662.5</c:v>
                </c:pt>
                <c:pt idx="54">
                  <c:v>421787.5</c:v>
                </c:pt>
                <c:pt idx="55">
                  <c:v>471482.5</c:v>
                </c:pt>
                <c:pt idx="56">
                  <c:v>378932.5</c:v>
                </c:pt>
                <c:pt idx="57">
                  <c:v>378932.5</c:v>
                </c:pt>
                <c:pt idx="58">
                  <c:v>378932.5</c:v>
                </c:pt>
                <c:pt idx="59">
                  <c:v>236010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</c:v>
                </c:pt>
                <c:pt idx="5">
                  <c:v>43</c:v>
                </c:pt>
                <c:pt idx="6">
                  <c:v>48</c:v>
                </c:pt>
                <c:pt idx="7">
                  <c:v>39</c:v>
                </c:pt>
                <c:pt idx="8">
                  <c:v>43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22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777790</c:v>
                </c:pt>
                <c:pt idx="4">
                  <c:v>858100</c:v>
                </c:pt>
                <c:pt idx="5">
                  <c:v>963720</c:v>
                </c:pt>
                <c:pt idx="6">
                  <c:v>777790</c:v>
                </c:pt>
                <c:pt idx="7">
                  <c:v>858100</c:v>
                </c:pt>
                <c:pt idx="8">
                  <c:v>697480</c:v>
                </c:pt>
                <c:pt idx="9">
                  <c:v>697480</c:v>
                </c:pt>
                <c:pt idx="10">
                  <c:v>697480</c:v>
                </c:pt>
                <c:pt idx="11">
                  <c:v>431240</c:v>
                </c:pt>
                <c:pt idx="12">
                  <c:v>68068.75</c:v>
                </c:pt>
                <c:pt idx="13">
                  <c:v>110618.75</c:v>
                </c:pt>
                <c:pt idx="14">
                  <c:v>123387.5</c:v>
                </c:pt>
                <c:pt idx="15">
                  <c:v>125800</c:v>
                </c:pt>
                <c:pt idx="16">
                  <c:v>138812.5</c:v>
                </c:pt>
                <c:pt idx="17">
                  <c:v>151850</c:v>
                </c:pt>
                <c:pt idx="18">
                  <c:v>125800</c:v>
                </c:pt>
                <c:pt idx="19">
                  <c:v>138812.5</c:v>
                </c:pt>
                <c:pt idx="20">
                  <c:v>112787.5</c:v>
                </c:pt>
                <c:pt idx="21">
                  <c:v>112787.5</c:v>
                </c:pt>
                <c:pt idx="22">
                  <c:v>112787.5</c:v>
                </c:pt>
                <c:pt idx="23">
                  <c:v>69481.25</c:v>
                </c:pt>
                <c:pt idx="24">
                  <c:v>-125911.25</c:v>
                </c:pt>
                <c:pt idx="25">
                  <c:v>-204115</c:v>
                </c:pt>
                <c:pt idx="26">
                  <c:v>-230232.5</c:v>
                </c:pt>
                <c:pt idx="27">
                  <c:v>-227595</c:v>
                </c:pt>
                <c:pt idx="28">
                  <c:v>-249063.75</c:v>
                </c:pt>
                <c:pt idx="29">
                  <c:v>-274911.25</c:v>
                </c:pt>
                <c:pt idx="30">
                  <c:v>-227595</c:v>
                </c:pt>
                <c:pt idx="31">
                  <c:v>-249063.75</c:v>
                </c:pt>
                <c:pt idx="32">
                  <c:v>-201743.75</c:v>
                </c:pt>
                <c:pt idx="33">
                  <c:v>-201743.75</c:v>
                </c:pt>
                <c:pt idx="34">
                  <c:v>-201743.75</c:v>
                </c:pt>
                <c:pt idx="35">
                  <c:v>-124363.75</c:v>
                </c:pt>
                <c:pt idx="36">
                  <c:v>-76288</c:v>
                </c:pt>
                <c:pt idx="37">
                  <c:v>-123045</c:v>
                </c:pt>
                <c:pt idx="38">
                  <c:v>-137960.5</c:v>
                </c:pt>
                <c:pt idx="39">
                  <c:v>-134920.5</c:v>
                </c:pt>
                <c:pt idx="40">
                  <c:v>-149563.5</c:v>
                </c:pt>
                <c:pt idx="41">
                  <c:v>-163969</c:v>
                </c:pt>
                <c:pt idx="42">
                  <c:v>-134920.5</c:v>
                </c:pt>
                <c:pt idx="43">
                  <c:v>-149563.5</c:v>
                </c:pt>
                <c:pt idx="44">
                  <c:v>-120312.5</c:v>
                </c:pt>
                <c:pt idx="45">
                  <c:v>-120312.5</c:v>
                </c:pt>
                <c:pt idx="46">
                  <c:v>-120312.5</c:v>
                </c:pt>
                <c:pt idx="47">
                  <c:v>-74513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-42796.200000000012</c:v>
                </c:pt>
                <c:pt idx="52">
                  <c:v>-48221.299999999988</c:v>
                </c:pt>
                <c:pt idx="53">
                  <c:v>-52287.099999999977</c:v>
                </c:pt>
                <c:pt idx="54">
                  <c:v>-42796.200000000012</c:v>
                </c:pt>
                <c:pt idx="55">
                  <c:v>-48221.299999999988</c:v>
                </c:pt>
                <c:pt idx="56">
                  <c:v>-38405.399999999965</c:v>
                </c:pt>
                <c:pt idx="57">
                  <c:v>-38405.399999999965</c:v>
                </c:pt>
                <c:pt idx="58">
                  <c:v>-38405.399999999965</c:v>
                </c:pt>
                <c:pt idx="59">
                  <c:v>-23841.899999999994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1037053.3333333334</c:v>
                </c:pt>
                <c:pt idx="4">
                  <c:v>1144133.3333333333</c:v>
                </c:pt>
                <c:pt idx="5">
                  <c:v>1284960</c:v>
                </c:pt>
                <c:pt idx="6">
                  <c:v>1037053.3333333334</c:v>
                </c:pt>
                <c:pt idx="7">
                  <c:v>1144133.3333333333</c:v>
                </c:pt>
                <c:pt idx="8">
                  <c:v>929973.33333333337</c:v>
                </c:pt>
                <c:pt idx="9">
                  <c:v>929973.33333333337</c:v>
                </c:pt>
                <c:pt idx="10">
                  <c:v>929973.33333333337</c:v>
                </c:pt>
                <c:pt idx="11">
                  <c:v>574986.66666666663</c:v>
                </c:pt>
                <c:pt idx="12">
                  <c:v>90758.333333333328</c:v>
                </c:pt>
                <c:pt idx="13">
                  <c:v>147491.66666666666</c:v>
                </c:pt>
                <c:pt idx="14">
                  <c:v>164516.66666666666</c:v>
                </c:pt>
                <c:pt idx="15">
                  <c:v>167733.33333333334</c:v>
                </c:pt>
                <c:pt idx="16">
                  <c:v>185083.33333333334</c:v>
                </c:pt>
                <c:pt idx="17">
                  <c:v>202466.66666666666</c:v>
                </c:pt>
                <c:pt idx="18">
                  <c:v>503200</c:v>
                </c:pt>
                <c:pt idx="19">
                  <c:v>555250</c:v>
                </c:pt>
                <c:pt idx="20">
                  <c:v>451150</c:v>
                </c:pt>
                <c:pt idx="21">
                  <c:v>451150</c:v>
                </c:pt>
                <c:pt idx="22">
                  <c:v>451150</c:v>
                </c:pt>
                <c:pt idx="23">
                  <c:v>277925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468000</c:v>
                </c:pt>
                <c:pt idx="2">
                  <c:v>984000</c:v>
                </c:pt>
                <c:pt idx="3">
                  <c:v>1560000</c:v>
                </c:pt>
                <c:pt idx="4">
                  <c:v>1560000</c:v>
                </c:pt>
                <c:pt idx="5">
                  <c:v>1560000</c:v>
                </c:pt>
                <c:pt idx="6">
                  <c:v>1404000</c:v>
                </c:pt>
                <c:pt idx="7">
                  <c:v>1356000</c:v>
                </c:pt>
                <c:pt idx="8">
                  <c:v>1260000</c:v>
                </c:pt>
                <c:pt idx="9">
                  <c:v>1104000</c:v>
                </c:pt>
                <c:pt idx="10">
                  <c:v>876000</c:v>
                </c:pt>
                <c:pt idx="11">
                  <c:v>768000</c:v>
                </c:pt>
                <c:pt idx="12">
                  <c:v>852000</c:v>
                </c:pt>
                <c:pt idx="13">
                  <c:v>992400</c:v>
                </c:pt>
                <c:pt idx="14">
                  <c:v>1057200</c:v>
                </c:pt>
                <c:pt idx="15">
                  <c:v>1122000</c:v>
                </c:pt>
                <c:pt idx="16">
                  <c:v>1122000</c:v>
                </c:pt>
                <c:pt idx="17">
                  <c:v>1122000</c:v>
                </c:pt>
                <c:pt idx="18">
                  <c:v>1024800</c:v>
                </c:pt>
                <c:pt idx="19">
                  <c:v>992400</c:v>
                </c:pt>
                <c:pt idx="20">
                  <c:v>927600</c:v>
                </c:pt>
                <c:pt idx="21">
                  <c:v>819600</c:v>
                </c:pt>
                <c:pt idx="22">
                  <c:v>852000</c:v>
                </c:pt>
                <c:pt idx="23">
                  <c:v>1078800</c:v>
                </c:pt>
                <c:pt idx="24">
                  <c:v>1478400</c:v>
                </c:pt>
                <c:pt idx="25">
                  <c:v>1711680</c:v>
                </c:pt>
                <c:pt idx="26">
                  <c:v>1818600</c:v>
                </c:pt>
                <c:pt idx="27">
                  <c:v>1925520</c:v>
                </c:pt>
                <c:pt idx="28">
                  <c:v>1925520</c:v>
                </c:pt>
                <c:pt idx="29">
                  <c:v>1925520</c:v>
                </c:pt>
                <c:pt idx="30">
                  <c:v>1760280</c:v>
                </c:pt>
                <c:pt idx="31">
                  <c:v>1701960</c:v>
                </c:pt>
                <c:pt idx="32">
                  <c:v>1595040</c:v>
                </c:pt>
                <c:pt idx="33">
                  <c:v>1420080</c:v>
                </c:pt>
                <c:pt idx="34">
                  <c:v>1264560</c:v>
                </c:pt>
                <c:pt idx="35">
                  <c:v>1293720</c:v>
                </c:pt>
                <c:pt idx="36">
                  <c:v>1556160</c:v>
                </c:pt>
                <c:pt idx="37">
                  <c:v>1774860</c:v>
                </c:pt>
                <c:pt idx="38">
                  <c:v>1879836</c:v>
                </c:pt>
                <c:pt idx="39">
                  <c:v>1984812</c:v>
                </c:pt>
                <c:pt idx="40">
                  <c:v>1984812</c:v>
                </c:pt>
                <c:pt idx="41">
                  <c:v>1984812</c:v>
                </c:pt>
                <c:pt idx="42">
                  <c:v>1827348</c:v>
                </c:pt>
                <c:pt idx="43">
                  <c:v>1774860</c:v>
                </c:pt>
                <c:pt idx="44">
                  <c:v>1669884</c:v>
                </c:pt>
                <c:pt idx="45">
                  <c:v>1503672</c:v>
                </c:pt>
                <c:pt idx="46">
                  <c:v>1354956</c:v>
                </c:pt>
                <c:pt idx="47">
                  <c:v>1381200</c:v>
                </c:pt>
                <c:pt idx="48">
                  <c:v>1626144</c:v>
                </c:pt>
                <c:pt idx="49">
                  <c:v>1830847.2</c:v>
                </c:pt>
                <c:pt idx="50">
                  <c:v>1933198.8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2035550.4000000001</c:v>
                </c:pt>
                <c:pt idx="54">
                  <c:v>1885959.6</c:v>
                </c:pt>
                <c:pt idx="55">
                  <c:v>1838720.4000000001</c:v>
                </c:pt>
                <c:pt idx="56">
                  <c:v>1736368.8</c:v>
                </c:pt>
                <c:pt idx="57">
                  <c:v>1578904.8</c:v>
                </c:pt>
                <c:pt idx="58">
                  <c:v>5098225.2</c:v>
                </c:pt>
                <c:pt idx="59">
                  <c:v>8617545.5999999996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468000</c:v>
                </c:pt>
                <c:pt idx="1">
                  <c:v>516000</c:v>
                </c:pt>
                <c:pt idx="2">
                  <c:v>576000</c:v>
                </c:pt>
                <c:pt idx="3">
                  <c:v>468000</c:v>
                </c:pt>
                <c:pt idx="4">
                  <c:v>516000</c:v>
                </c:pt>
                <c:pt idx="5">
                  <c:v>420000</c:v>
                </c:pt>
                <c:pt idx="6">
                  <c:v>420000</c:v>
                </c:pt>
                <c:pt idx="7">
                  <c:v>420000</c:v>
                </c:pt>
                <c:pt idx="8">
                  <c:v>264000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313200</c:v>
                </c:pt>
                <c:pt idx="13">
                  <c:v>345600</c:v>
                </c:pt>
                <c:pt idx="14">
                  <c:v>378000</c:v>
                </c:pt>
                <c:pt idx="15">
                  <c:v>313200</c:v>
                </c:pt>
                <c:pt idx="16">
                  <c:v>345600</c:v>
                </c:pt>
                <c:pt idx="17">
                  <c:v>280800</c:v>
                </c:pt>
                <c:pt idx="18">
                  <c:v>280800</c:v>
                </c:pt>
                <c:pt idx="19">
                  <c:v>280800</c:v>
                </c:pt>
                <c:pt idx="20">
                  <c:v>172800</c:v>
                </c:pt>
                <c:pt idx="21">
                  <c:v>313200</c:v>
                </c:pt>
                <c:pt idx="22">
                  <c:v>507600</c:v>
                </c:pt>
                <c:pt idx="23">
                  <c:v>572400</c:v>
                </c:pt>
                <c:pt idx="24">
                  <c:v>515160</c:v>
                </c:pt>
                <c:pt idx="25">
                  <c:v>563760</c:v>
                </c:pt>
                <c:pt idx="26">
                  <c:v>622080</c:v>
                </c:pt>
                <c:pt idx="27">
                  <c:v>515160</c:v>
                </c:pt>
                <c:pt idx="28">
                  <c:v>563760</c:v>
                </c:pt>
                <c:pt idx="29">
                  <c:v>456840</c:v>
                </c:pt>
                <c:pt idx="30">
                  <c:v>456840</c:v>
                </c:pt>
                <c:pt idx="31">
                  <c:v>456840</c:v>
                </c:pt>
                <c:pt idx="32">
                  <c:v>281880</c:v>
                </c:pt>
                <c:pt idx="33">
                  <c:v>301320</c:v>
                </c:pt>
                <c:pt idx="34">
                  <c:v>486000</c:v>
                </c:pt>
                <c:pt idx="35">
                  <c:v>544320</c:v>
                </c:pt>
                <c:pt idx="36">
                  <c:v>489888</c:v>
                </c:pt>
                <c:pt idx="37">
                  <c:v>542376</c:v>
                </c:pt>
                <c:pt idx="38">
                  <c:v>594864</c:v>
                </c:pt>
                <c:pt idx="39">
                  <c:v>489888</c:v>
                </c:pt>
                <c:pt idx="40">
                  <c:v>542376</c:v>
                </c:pt>
                <c:pt idx="41">
                  <c:v>437400</c:v>
                </c:pt>
                <c:pt idx="42">
                  <c:v>437400</c:v>
                </c:pt>
                <c:pt idx="43">
                  <c:v>437400</c:v>
                </c:pt>
                <c:pt idx="44">
                  <c:v>271188</c:v>
                </c:pt>
                <c:pt idx="45">
                  <c:v>288684</c:v>
                </c:pt>
                <c:pt idx="46">
                  <c:v>463644</c:v>
                </c:pt>
                <c:pt idx="47">
                  <c:v>516132</c:v>
                </c:pt>
                <c:pt idx="48">
                  <c:v>464518.8</c:v>
                </c:pt>
                <c:pt idx="49">
                  <c:v>519631.2</c:v>
                </c:pt>
                <c:pt idx="50">
                  <c:v>566870.4</c:v>
                </c:pt>
                <c:pt idx="51">
                  <c:v>464518.8</c:v>
                </c:pt>
                <c:pt idx="52">
                  <c:v>519631.2</c:v>
                </c:pt>
                <c:pt idx="53">
                  <c:v>417279.6</c:v>
                </c:pt>
                <c:pt idx="54">
                  <c:v>417279.6</c:v>
                </c:pt>
                <c:pt idx="55">
                  <c:v>417279.6</c:v>
                </c:pt>
                <c:pt idx="56">
                  <c:v>259815.6</c:v>
                </c:pt>
                <c:pt idx="57">
                  <c:v>3936600</c:v>
                </c:pt>
                <c:pt idx="58">
                  <c:v>3936600</c:v>
                </c:pt>
                <c:pt idx="59">
                  <c:v>5117580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516000</c:v>
                </c:pt>
                <c:pt idx="5">
                  <c:v>576000</c:v>
                </c:pt>
                <c:pt idx="6">
                  <c:v>468000</c:v>
                </c:pt>
                <c:pt idx="7">
                  <c:v>516000</c:v>
                </c:pt>
                <c:pt idx="8">
                  <c:v>420000</c:v>
                </c:pt>
                <c:pt idx="9">
                  <c:v>420000</c:v>
                </c:pt>
                <c:pt idx="10">
                  <c:v>420000</c:v>
                </c:pt>
                <c:pt idx="11">
                  <c:v>264000</c:v>
                </c:pt>
                <c:pt idx="12">
                  <c:v>172800</c:v>
                </c:pt>
                <c:pt idx="13">
                  <c:v>280800</c:v>
                </c:pt>
                <c:pt idx="14">
                  <c:v>313200</c:v>
                </c:pt>
                <c:pt idx="15">
                  <c:v>313200</c:v>
                </c:pt>
                <c:pt idx="16">
                  <c:v>345600</c:v>
                </c:pt>
                <c:pt idx="17">
                  <c:v>378000</c:v>
                </c:pt>
                <c:pt idx="18">
                  <c:v>313200</c:v>
                </c:pt>
                <c:pt idx="19">
                  <c:v>345600</c:v>
                </c:pt>
                <c:pt idx="20">
                  <c:v>280800</c:v>
                </c:pt>
                <c:pt idx="21">
                  <c:v>280800</c:v>
                </c:pt>
                <c:pt idx="22">
                  <c:v>280800</c:v>
                </c:pt>
                <c:pt idx="23">
                  <c:v>172800</c:v>
                </c:pt>
                <c:pt idx="24">
                  <c:v>281880</c:v>
                </c:pt>
                <c:pt idx="25">
                  <c:v>456840</c:v>
                </c:pt>
                <c:pt idx="26">
                  <c:v>515160</c:v>
                </c:pt>
                <c:pt idx="27">
                  <c:v>515160</c:v>
                </c:pt>
                <c:pt idx="28">
                  <c:v>563760</c:v>
                </c:pt>
                <c:pt idx="29">
                  <c:v>622080</c:v>
                </c:pt>
                <c:pt idx="30">
                  <c:v>515160</c:v>
                </c:pt>
                <c:pt idx="31">
                  <c:v>563760</c:v>
                </c:pt>
                <c:pt idx="32">
                  <c:v>456840</c:v>
                </c:pt>
                <c:pt idx="33">
                  <c:v>456840</c:v>
                </c:pt>
                <c:pt idx="34">
                  <c:v>456840</c:v>
                </c:pt>
                <c:pt idx="35">
                  <c:v>281880</c:v>
                </c:pt>
                <c:pt idx="36">
                  <c:v>271188</c:v>
                </c:pt>
                <c:pt idx="37">
                  <c:v>437400</c:v>
                </c:pt>
                <c:pt idx="38">
                  <c:v>489888</c:v>
                </c:pt>
                <c:pt idx="39">
                  <c:v>489888</c:v>
                </c:pt>
                <c:pt idx="40">
                  <c:v>542376</c:v>
                </c:pt>
                <c:pt idx="41">
                  <c:v>594864</c:v>
                </c:pt>
                <c:pt idx="42">
                  <c:v>489888</c:v>
                </c:pt>
                <c:pt idx="43">
                  <c:v>542376</c:v>
                </c:pt>
                <c:pt idx="44">
                  <c:v>437400</c:v>
                </c:pt>
                <c:pt idx="45">
                  <c:v>437400</c:v>
                </c:pt>
                <c:pt idx="46">
                  <c:v>437400</c:v>
                </c:pt>
                <c:pt idx="47">
                  <c:v>271188</c:v>
                </c:pt>
                <c:pt idx="48">
                  <c:v>259815.6</c:v>
                </c:pt>
                <c:pt idx="49">
                  <c:v>417279.6</c:v>
                </c:pt>
                <c:pt idx="50">
                  <c:v>464518.8</c:v>
                </c:pt>
                <c:pt idx="51">
                  <c:v>464518.8</c:v>
                </c:pt>
                <c:pt idx="52">
                  <c:v>519631.2</c:v>
                </c:pt>
                <c:pt idx="53">
                  <c:v>566870.4</c:v>
                </c:pt>
                <c:pt idx="54">
                  <c:v>464518.8</c:v>
                </c:pt>
                <c:pt idx="55">
                  <c:v>519631.2</c:v>
                </c:pt>
                <c:pt idx="56">
                  <c:v>417279.6</c:v>
                </c:pt>
                <c:pt idx="57">
                  <c:v>417279.6</c:v>
                </c:pt>
                <c:pt idx="58">
                  <c:v>417279.6</c:v>
                </c:pt>
                <c:pt idx="59">
                  <c:v>259815.6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468000</c:v>
                </c:pt>
                <c:pt idx="1">
                  <c:v>984000</c:v>
                </c:pt>
                <c:pt idx="2">
                  <c:v>1560000</c:v>
                </c:pt>
                <c:pt idx="3">
                  <c:v>1560000</c:v>
                </c:pt>
                <c:pt idx="4">
                  <c:v>1560000</c:v>
                </c:pt>
                <c:pt idx="5">
                  <c:v>1404000</c:v>
                </c:pt>
                <c:pt idx="6">
                  <c:v>1356000</c:v>
                </c:pt>
                <c:pt idx="7">
                  <c:v>1260000</c:v>
                </c:pt>
                <c:pt idx="8">
                  <c:v>1104000</c:v>
                </c:pt>
                <c:pt idx="9">
                  <c:v>876000</c:v>
                </c:pt>
                <c:pt idx="10">
                  <c:v>768000</c:v>
                </c:pt>
                <c:pt idx="11">
                  <c:v>852000</c:v>
                </c:pt>
                <c:pt idx="12">
                  <c:v>992400</c:v>
                </c:pt>
                <c:pt idx="13">
                  <c:v>1057200</c:v>
                </c:pt>
                <c:pt idx="14">
                  <c:v>1122000</c:v>
                </c:pt>
                <c:pt idx="15">
                  <c:v>1122000</c:v>
                </c:pt>
                <c:pt idx="16">
                  <c:v>1122000</c:v>
                </c:pt>
                <c:pt idx="17">
                  <c:v>1024800</c:v>
                </c:pt>
                <c:pt idx="18">
                  <c:v>992400</c:v>
                </c:pt>
                <c:pt idx="19">
                  <c:v>927600</c:v>
                </c:pt>
                <c:pt idx="20">
                  <c:v>819600</c:v>
                </c:pt>
                <c:pt idx="21">
                  <c:v>852000</c:v>
                </c:pt>
                <c:pt idx="22">
                  <c:v>1078800</c:v>
                </c:pt>
                <c:pt idx="23">
                  <c:v>1478400</c:v>
                </c:pt>
                <c:pt idx="24">
                  <c:v>1711680</c:v>
                </c:pt>
                <c:pt idx="25">
                  <c:v>1818600</c:v>
                </c:pt>
                <c:pt idx="26">
                  <c:v>1925520</c:v>
                </c:pt>
                <c:pt idx="27">
                  <c:v>1925520</c:v>
                </c:pt>
                <c:pt idx="28">
                  <c:v>1925520</c:v>
                </c:pt>
                <c:pt idx="29">
                  <c:v>1760280</c:v>
                </c:pt>
                <c:pt idx="30">
                  <c:v>1701960</c:v>
                </c:pt>
                <c:pt idx="31">
                  <c:v>1595040</c:v>
                </c:pt>
                <c:pt idx="32">
                  <c:v>1420080</c:v>
                </c:pt>
                <c:pt idx="33">
                  <c:v>1264560</c:v>
                </c:pt>
                <c:pt idx="34">
                  <c:v>1293720</c:v>
                </c:pt>
                <c:pt idx="35">
                  <c:v>1556160</c:v>
                </c:pt>
                <c:pt idx="36">
                  <c:v>1774860</c:v>
                </c:pt>
                <c:pt idx="37">
                  <c:v>1879836</c:v>
                </c:pt>
                <c:pt idx="38">
                  <c:v>1984812</c:v>
                </c:pt>
                <c:pt idx="39">
                  <c:v>1984812</c:v>
                </c:pt>
                <c:pt idx="40">
                  <c:v>1984812</c:v>
                </c:pt>
                <c:pt idx="41">
                  <c:v>1827348</c:v>
                </c:pt>
                <c:pt idx="42">
                  <c:v>1774860</c:v>
                </c:pt>
                <c:pt idx="43">
                  <c:v>1669884</c:v>
                </c:pt>
                <c:pt idx="44">
                  <c:v>1503672</c:v>
                </c:pt>
                <c:pt idx="45">
                  <c:v>1354956</c:v>
                </c:pt>
                <c:pt idx="46">
                  <c:v>1381200</c:v>
                </c:pt>
                <c:pt idx="47">
                  <c:v>1626144</c:v>
                </c:pt>
                <c:pt idx="48">
                  <c:v>1830847.2</c:v>
                </c:pt>
                <c:pt idx="49">
                  <c:v>1933198.8</c:v>
                </c:pt>
                <c:pt idx="50">
                  <c:v>2035550.4000000001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1885959.6</c:v>
                </c:pt>
                <c:pt idx="54">
                  <c:v>1838720.4000000001</c:v>
                </c:pt>
                <c:pt idx="55">
                  <c:v>1736368.8</c:v>
                </c:pt>
                <c:pt idx="56">
                  <c:v>1578904.8</c:v>
                </c:pt>
                <c:pt idx="57">
                  <c:v>5098225.2</c:v>
                </c:pt>
                <c:pt idx="58">
                  <c:v>8617545.5999999996</c:v>
                </c:pt>
                <c:pt idx="59">
                  <c:v>13475310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468000</c:v>
                </c:pt>
                <c:pt idx="1">
                  <c:v>984000</c:v>
                </c:pt>
                <c:pt idx="2">
                  <c:v>1092000</c:v>
                </c:pt>
                <c:pt idx="3">
                  <c:v>1044000</c:v>
                </c:pt>
                <c:pt idx="4">
                  <c:v>984000</c:v>
                </c:pt>
                <c:pt idx="5">
                  <c:v>936000</c:v>
                </c:pt>
                <c:pt idx="6">
                  <c:v>840000</c:v>
                </c:pt>
                <c:pt idx="7">
                  <c:v>840000</c:v>
                </c:pt>
                <c:pt idx="8">
                  <c:v>684000</c:v>
                </c:pt>
                <c:pt idx="9">
                  <c:v>456000</c:v>
                </c:pt>
                <c:pt idx="10">
                  <c:v>504000</c:v>
                </c:pt>
                <c:pt idx="11">
                  <c:v>660000</c:v>
                </c:pt>
                <c:pt idx="12">
                  <c:v>661200</c:v>
                </c:pt>
                <c:pt idx="13">
                  <c:v>658800</c:v>
                </c:pt>
                <c:pt idx="14">
                  <c:v>723600</c:v>
                </c:pt>
                <c:pt idx="15">
                  <c:v>691200</c:v>
                </c:pt>
                <c:pt idx="16">
                  <c:v>658800</c:v>
                </c:pt>
                <c:pt idx="17">
                  <c:v>626400</c:v>
                </c:pt>
                <c:pt idx="18">
                  <c:v>561600</c:v>
                </c:pt>
                <c:pt idx="19">
                  <c:v>561600</c:v>
                </c:pt>
                <c:pt idx="20">
                  <c:v>453600</c:v>
                </c:pt>
                <c:pt idx="21">
                  <c:v>486000</c:v>
                </c:pt>
                <c:pt idx="22">
                  <c:v>820800</c:v>
                </c:pt>
                <c:pt idx="23">
                  <c:v>1080000</c:v>
                </c:pt>
                <c:pt idx="24">
                  <c:v>1087560</c:v>
                </c:pt>
                <c:pt idx="25">
                  <c:v>1078920</c:v>
                </c:pt>
                <c:pt idx="26">
                  <c:v>1185840</c:v>
                </c:pt>
                <c:pt idx="27">
                  <c:v>1137240</c:v>
                </c:pt>
                <c:pt idx="28">
                  <c:v>1078920</c:v>
                </c:pt>
                <c:pt idx="29">
                  <c:v>1020600</c:v>
                </c:pt>
                <c:pt idx="30">
                  <c:v>913680</c:v>
                </c:pt>
                <c:pt idx="31">
                  <c:v>913680</c:v>
                </c:pt>
                <c:pt idx="32">
                  <c:v>738720</c:v>
                </c:pt>
                <c:pt idx="33">
                  <c:v>583200</c:v>
                </c:pt>
                <c:pt idx="34">
                  <c:v>787320</c:v>
                </c:pt>
                <c:pt idx="35">
                  <c:v>1030320</c:v>
                </c:pt>
                <c:pt idx="36">
                  <c:v>1034208</c:v>
                </c:pt>
                <c:pt idx="37">
                  <c:v>1032264</c:v>
                </c:pt>
                <c:pt idx="38">
                  <c:v>1137240</c:v>
                </c:pt>
                <c:pt idx="39">
                  <c:v>1084752</c:v>
                </c:pt>
                <c:pt idx="40">
                  <c:v>1032264</c:v>
                </c:pt>
                <c:pt idx="41">
                  <c:v>979776</c:v>
                </c:pt>
                <c:pt idx="42">
                  <c:v>874800</c:v>
                </c:pt>
                <c:pt idx="43">
                  <c:v>874800</c:v>
                </c:pt>
                <c:pt idx="44">
                  <c:v>708588</c:v>
                </c:pt>
                <c:pt idx="45">
                  <c:v>559872</c:v>
                </c:pt>
                <c:pt idx="46">
                  <c:v>752328</c:v>
                </c:pt>
                <c:pt idx="47">
                  <c:v>979776</c:v>
                </c:pt>
                <c:pt idx="48">
                  <c:v>980650.8</c:v>
                </c:pt>
                <c:pt idx="49">
                  <c:v>984150</c:v>
                </c:pt>
                <c:pt idx="50">
                  <c:v>1086501.5999999999</c:v>
                </c:pt>
                <c:pt idx="51">
                  <c:v>1031389.2</c:v>
                </c:pt>
                <c:pt idx="52">
                  <c:v>984149.99999999988</c:v>
                </c:pt>
                <c:pt idx="53">
                  <c:v>936910.79999999981</c:v>
                </c:pt>
                <c:pt idx="54">
                  <c:v>834559.2</c:v>
                </c:pt>
                <c:pt idx="55">
                  <c:v>834559.19999999984</c:v>
                </c:pt>
                <c:pt idx="56">
                  <c:v>677095.19999999984</c:v>
                </c:pt>
                <c:pt idx="57">
                  <c:v>4196415.6000000006</c:v>
                </c:pt>
                <c:pt idx="58">
                  <c:v>7873200.0000000009</c:v>
                </c:pt>
                <c:pt idx="59">
                  <c:v>9054180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777790</c:v>
                </c:pt>
                <c:pt idx="4">
                  <c:v>858100</c:v>
                </c:pt>
                <c:pt idx="5">
                  <c:v>963720</c:v>
                </c:pt>
                <c:pt idx="6">
                  <c:v>777790</c:v>
                </c:pt>
                <c:pt idx="7">
                  <c:v>858100</c:v>
                </c:pt>
                <c:pt idx="8">
                  <c:v>697480</c:v>
                </c:pt>
                <c:pt idx="9">
                  <c:v>697480</c:v>
                </c:pt>
                <c:pt idx="10">
                  <c:v>697480</c:v>
                </c:pt>
                <c:pt idx="11">
                  <c:v>431240</c:v>
                </c:pt>
                <c:pt idx="12">
                  <c:v>68068.75</c:v>
                </c:pt>
                <c:pt idx="13">
                  <c:v>110618.75</c:v>
                </c:pt>
                <c:pt idx="14">
                  <c:v>123387.5</c:v>
                </c:pt>
                <c:pt idx="15">
                  <c:v>125800</c:v>
                </c:pt>
                <c:pt idx="16">
                  <c:v>138812.5</c:v>
                </c:pt>
                <c:pt idx="17">
                  <c:v>151850</c:v>
                </c:pt>
                <c:pt idx="18">
                  <c:v>125800</c:v>
                </c:pt>
                <c:pt idx="19">
                  <c:v>138812.5</c:v>
                </c:pt>
                <c:pt idx="20">
                  <c:v>112787.5</c:v>
                </c:pt>
                <c:pt idx="21">
                  <c:v>112787.5</c:v>
                </c:pt>
                <c:pt idx="22">
                  <c:v>112787.5</c:v>
                </c:pt>
                <c:pt idx="23">
                  <c:v>69481.25</c:v>
                </c:pt>
                <c:pt idx="24">
                  <c:v>-125911.25</c:v>
                </c:pt>
                <c:pt idx="25">
                  <c:v>-204115</c:v>
                </c:pt>
                <c:pt idx="26">
                  <c:v>-230232.5</c:v>
                </c:pt>
                <c:pt idx="27">
                  <c:v>-227595</c:v>
                </c:pt>
                <c:pt idx="28">
                  <c:v>-249063.75</c:v>
                </c:pt>
                <c:pt idx="29">
                  <c:v>-274911.25</c:v>
                </c:pt>
                <c:pt idx="30">
                  <c:v>-227595</c:v>
                </c:pt>
                <c:pt idx="31">
                  <c:v>-249063.75</c:v>
                </c:pt>
                <c:pt idx="32">
                  <c:v>-201743.75</c:v>
                </c:pt>
                <c:pt idx="33">
                  <c:v>-201743.75</c:v>
                </c:pt>
                <c:pt idx="34">
                  <c:v>-201743.75</c:v>
                </c:pt>
                <c:pt idx="35">
                  <c:v>-124363.75</c:v>
                </c:pt>
                <c:pt idx="36">
                  <c:v>-76288</c:v>
                </c:pt>
                <c:pt idx="37">
                  <c:v>-123045</c:v>
                </c:pt>
                <c:pt idx="38">
                  <c:v>-137960.5</c:v>
                </c:pt>
                <c:pt idx="39">
                  <c:v>-134920.5</c:v>
                </c:pt>
                <c:pt idx="40">
                  <c:v>-149563.5</c:v>
                </c:pt>
                <c:pt idx="41">
                  <c:v>-163969</c:v>
                </c:pt>
                <c:pt idx="42">
                  <c:v>-134920.5</c:v>
                </c:pt>
                <c:pt idx="43">
                  <c:v>-149563.5</c:v>
                </c:pt>
                <c:pt idx="44">
                  <c:v>-120312.5</c:v>
                </c:pt>
                <c:pt idx="45">
                  <c:v>-120312.5</c:v>
                </c:pt>
                <c:pt idx="46">
                  <c:v>-120312.5</c:v>
                </c:pt>
                <c:pt idx="47">
                  <c:v>-74513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-42796.200000000012</c:v>
                </c:pt>
                <c:pt idx="52">
                  <c:v>-48221.299999999988</c:v>
                </c:pt>
                <c:pt idx="53">
                  <c:v>-52287.099999999977</c:v>
                </c:pt>
                <c:pt idx="54">
                  <c:v>-42796.200000000012</c:v>
                </c:pt>
                <c:pt idx="55">
                  <c:v>-48221.299999999988</c:v>
                </c:pt>
                <c:pt idx="56">
                  <c:v>-38405.399999999965</c:v>
                </c:pt>
                <c:pt idx="57">
                  <c:v>-38405.399999999965</c:v>
                </c:pt>
                <c:pt idx="58">
                  <c:v>-38405.399999999965</c:v>
                </c:pt>
                <c:pt idx="59">
                  <c:v>-23841.899999999994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733990</c:v>
                </c:pt>
                <c:pt idx="4">
                  <c:v>809920</c:v>
                </c:pt>
                <c:pt idx="5">
                  <c:v>911160</c:v>
                </c:pt>
                <c:pt idx="6">
                  <c:v>733990</c:v>
                </c:pt>
                <c:pt idx="7">
                  <c:v>809920</c:v>
                </c:pt>
                <c:pt idx="8">
                  <c:v>658060</c:v>
                </c:pt>
                <c:pt idx="9">
                  <c:v>658060</c:v>
                </c:pt>
                <c:pt idx="10">
                  <c:v>658060</c:v>
                </c:pt>
                <c:pt idx="11">
                  <c:v>404960</c:v>
                </c:pt>
                <c:pt idx="12">
                  <c:v>38362.5</c:v>
                </c:pt>
                <c:pt idx="13">
                  <c:v>63937.5</c:v>
                </c:pt>
                <c:pt idx="14">
                  <c:v>72462.5</c:v>
                </c:pt>
                <c:pt idx="15">
                  <c:v>73187.5</c:v>
                </c:pt>
                <c:pt idx="16">
                  <c:v>81787.5</c:v>
                </c:pt>
                <c:pt idx="17">
                  <c:v>90412.5</c:v>
                </c:pt>
                <c:pt idx="18">
                  <c:v>73187.5</c:v>
                </c:pt>
                <c:pt idx="19">
                  <c:v>81787.5</c:v>
                </c:pt>
                <c:pt idx="20">
                  <c:v>64587.5</c:v>
                </c:pt>
                <c:pt idx="21">
                  <c:v>64587.5</c:v>
                </c:pt>
                <c:pt idx="22">
                  <c:v>64587.5</c:v>
                </c:pt>
                <c:pt idx="23">
                  <c:v>38762.5</c:v>
                </c:pt>
                <c:pt idx="24">
                  <c:v>-47982.5</c:v>
                </c:pt>
                <c:pt idx="25">
                  <c:v>-78510</c:v>
                </c:pt>
                <c:pt idx="26">
                  <c:v>-91607.5</c:v>
                </c:pt>
                <c:pt idx="27">
                  <c:v>-90882.5</c:v>
                </c:pt>
                <c:pt idx="28">
                  <c:v>-99522.5</c:v>
                </c:pt>
                <c:pt idx="29">
                  <c:v>-108137.5</c:v>
                </c:pt>
                <c:pt idx="30">
                  <c:v>-90882.5</c:v>
                </c:pt>
                <c:pt idx="31">
                  <c:v>-99522.5</c:v>
                </c:pt>
                <c:pt idx="32">
                  <c:v>-77860</c:v>
                </c:pt>
                <c:pt idx="33">
                  <c:v>-77860</c:v>
                </c:pt>
                <c:pt idx="34">
                  <c:v>-77860</c:v>
                </c:pt>
                <c:pt idx="35">
                  <c:v>-47582.5</c:v>
                </c:pt>
                <c:pt idx="36">
                  <c:v>-14588</c:v>
                </c:pt>
                <c:pt idx="37">
                  <c:v>-24325</c:v>
                </c:pt>
                <c:pt idx="38">
                  <c:v>-26698</c:v>
                </c:pt>
                <c:pt idx="39">
                  <c:v>-25683</c:v>
                </c:pt>
                <c:pt idx="40">
                  <c:v>-27986</c:v>
                </c:pt>
                <c:pt idx="41">
                  <c:v>-30254</c:v>
                </c:pt>
                <c:pt idx="42">
                  <c:v>-25683</c:v>
                </c:pt>
                <c:pt idx="43">
                  <c:v>-27986</c:v>
                </c:pt>
                <c:pt idx="44">
                  <c:v>-23415</c:v>
                </c:pt>
                <c:pt idx="45">
                  <c:v>-23415</c:v>
                </c:pt>
                <c:pt idx="46">
                  <c:v>-23415</c:v>
                </c:pt>
                <c:pt idx="47">
                  <c:v>-14028</c:v>
                </c:pt>
                <c:pt idx="48">
                  <c:v>-2087.8999999999992</c:v>
                </c:pt>
                <c:pt idx="49">
                  <c:v>-3491.4999999999964</c:v>
                </c:pt>
                <c:pt idx="50">
                  <c:v>-3281.5000000000009</c:v>
                </c:pt>
                <c:pt idx="51">
                  <c:v>-2266.5000000000009</c:v>
                </c:pt>
                <c:pt idx="52">
                  <c:v>-2985.7999999999984</c:v>
                </c:pt>
                <c:pt idx="53">
                  <c:v>-3670.0999999999985</c:v>
                </c:pt>
                <c:pt idx="54">
                  <c:v>-2266.5000000000009</c:v>
                </c:pt>
                <c:pt idx="55">
                  <c:v>-2985.7999999999984</c:v>
                </c:pt>
                <c:pt idx="56">
                  <c:v>-2581.4999999999964</c:v>
                </c:pt>
                <c:pt idx="57">
                  <c:v>-2581.4999999999964</c:v>
                </c:pt>
                <c:pt idx="58">
                  <c:v>-2581.4999999999964</c:v>
                </c:pt>
                <c:pt idx="59">
                  <c:v>-1527.8999999999992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43800</c:v>
                </c:pt>
                <c:pt idx="4">
                  <c:v>48180</c:v>
                </c:pt>
                <c:pt idx="5">
                  <c:v>52560</c:v>
                </c:pt>
                <c:pt idx="6">
                  <c:v>43800</c:v>
                </c:pt>
                <c:pt idx="7">
                  <c:v>48180</c:v>
                </c:pt>
                <c:pt idx="8">
                  <c:v>39420</c:v>
                </c:pt>
                <c:pt idx="9">
                  <c:v>39420</c:v>
                </c:pt>
                <c:pt idx="10">
                  <c:v>39420</c:v>
                </c:pt>
                <c:pt idx="11">
                  <c:v>26280</c:v>
                </c:pt>
                <c:pt idx="12">
                  <c:v>29706.25</c:v>
                </c:pt>
                <c:pt idx="13">
                  <c:v>46681.25</c:v>
                </c:pt>
                <c:pt idx="14">
                  <c:v>50925</c:v>
                </c:pt>
                <c:pt idx="15">
                  <c:v>52612.5</c:v>
                </c:pt>
                <c:pt idx="16">
                  <c:v>57025</c:v>
                </c:pt>
                <c:pt idx="17">
                  <c:v>61437.5</c:v>
                </c:pt>
                <c:pt idx="18">
                  <c:v>52612.5</c:v>
                </c:pt>
                <c:pt idx="19">
                  <c:v>57025</c:v>
                </c:pt>
                <c:pt idx="20">
                  <c:v>48200</c:v>
                </c:pt>
                <c:pt idx="21">
                  <c:v>48200</c:v>
                </c:pt>
                <c:pt idx="22">
                  <c:v>48200</c:v>
                </c:pt>
                <c:pt idx="23">
                  <c:v>30718.75</c:v>
                </c:pt>
                <c:pt idx="24">
                  <c:v>-77928.75</c:v>
                </c:pt>
                <c:pt idx="25">
                  <c:v>-125605</c:v>
                </c:pt>
                <c:pt idx="26">
                  <c:v>-138625</c:v>
                </c:pt>
                <c:pt idx="27">
                  <c:v>-136712.5</c:v>
                </c:pt>
                <c:pt idx="28">
                  <c:v>-149541.25</c:v>
                </c:pt>
                <c:pt idx="29">
                  <c:v>-166773.75</c:v>
                </c:pt>
                <c:pt idx="30">
                  <c:v>-136712.5</c:v>
                </c:pt>
                <c:pt idx="31">
                  <c:v>-149541.25</c:v>
                </c:pt>
                <c:pt idx="32">
                  <c:v>-123883.75</c:v>
                </c:pt>
                <c:pt idx="33">
                  <c:v>-123883.75</c:v>
                </c:pt>
                <c:pt idx="34">
                  <c:v>-123883.75</c:v>
                </c:pt>
                <c:pt idx="35">
                  <c:v>-76781.25</c:v>
                </c:pt>
                <c:pt idx="36">
                  <c:v>-61700</c:v>
                </c:pt>
                <c:pt idx="37">
                  <c:v>-98720</c:v>
                </c:pt>
                <c:pt idx="38">
                  <c:v>-111262.5</c:v>
                </c:pt>
                <c:pt idx="39">
                  <c:v>-109237.5</c:v>
                </c:pt>
                <c:pt idx="40">
                  <c:v>-121577.5</c:v>
                </c:pt>
                <c:pt idx="41">
                  <c:v>-133715</c:v>
                </c:pt>
                <c:pt idx="42">
                  <c:v>-109237.5</c:v>
                </c:pt>
                <c:pt idx="43">
                  <c:v>-121577.5</c:v>
                </c:pt>
                <c:pt idx="44">
                  <c:v>-96897.5</c:v>
                </c:pt>
                <c:pt idx="45">
                  <c:v>-96897.5</c:v>
                </c:pt>
                <c:pt idx="46">
                  <c:v>-96897.5</c:v>
                </c:pt>
                <c:pt idx="47">
                  <c:v>-60485</c:v>
                </c:pt>
                <c:pt idx="48">
                  <c:v>-23528.999999999993</c:v>
                </c:pt>
                <c:pt idx="49">
                  <c:v>-37646.399999999965</c:v>
                </c:pt>
                <c:pt idx="50">
                  <c:v>-42554.700000000012</c:v>
                </c:pt>
                <c:pt idx="51">
                  <c:v>-40529.700000000012</c:v>
                </c:pt>
                <c:pt idx="52">
                  <c:v>-45235.499999999985</c:v>
                </c:pt>
                <c:pt idx="53">
                  <c:v>-48616.999999999985</c:v>
                </c:pt>
                <c:pt idx="54">
                  <c:v>-40529.700000000012</c:v>
                </c:pt>
                <c:pt idx="55">
                  <c:v>-45235.499999999985</c:v>
                </c:pt>
                <c:pt idx="56">
                  <c:v>-35823.899999999965</c:v>
                </c:pt>
                <c:pt idx="57">
                  <c:v>-35823.899999999965</c:v>
                </c:pt>
                <c:pt idx="58">
                  <c:v>-35823.899999999965</c:v>
                </c:pt>
                <c:pt idx="59">
                  <c:v>-22313.999999999993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606970</c:v>
                </c:pt>
                <c:pt idx="4">
                  <c:v>669760</c:v>
                </c:pt>
                <c:pt idx="5">
                  <c:v>753480</c:v>
                </c:pt>
                <c:pt idx="6">
                  <c:v>606970</c:v>
                </c:pt>
                <c:pt idx="7">
                  <c:v>669760</c:v>
                </c:pt>
                <c:pt idx="8">
                  <c:v>544180</c:v>
                </c:pt>
                <c:pt idx="9">
                  <c:v>544180</c:v>
                </c:pt>
                <c:pt idx="10">
                  <c:v>544180</c:v>
                </c:pt>
                <c:pt idx="11">
                  <c:v>334880</c:v>
                </c:pt>
                <c:pt idx="12">
                  <c:v>1687.5</c:v>
                </c:pt>
                <c:pt idx="13">
                  <c:v>2812.5</c:v>
                </c:pt>
                <c:pt idx="14">
                  <c:v>3187.5</c:v>
                </c:pt>
                <c:pt idx="15">
                  <c:v>3187.5</c:v>
                </c:pt>
                <c:pt idx="16">
                  <c:v>3562.5</c:v>
                </c:pt>
                <c:pt idx="17">
                  <c:v>3937.5</c:v>
                </c:pt>
                <c:pt idx="18">
                  <c:v>3187.5</c:v>
                </c:pt>
                <c:pt idx="19">
                  <c:v>3562.5</c:v>
                </c:pt>
                <c:pt idx="20">
                  <c:v>2812.5</c:v>
                </c:pt>
                <c:pt idx="21">
                  <c:v>2812.5</c:v>
                </c:pt>
                <c:pt idx="22">
                  <c:v>2812.5</c:v>
                </c:pt>
                <c:pt idx="23">
                  <c:v>1687.5</c:v>
                </c:pt>
                <c:pt idx="24">
                  <c:v>2337.5</c:v>
                </c:pt>
                <c:pt idx="25">
                  <c:v>3825</c:v>
                </c:pt>
                <c:pt idx="26">
                  <c:v>4462.5</c:v>
                </c:pt>
                <c:pt idx="27">
                  <c:v>4462.5</c:v>
                </c:pt>
                <c:pt idx="28">
                  <c:v>4887.5</c:v>
                </c:pt>
                <c:pt idx="29">
                  <c:v>5312.5</c:v>
                </c:pt>
                <c:pt idx="30">
                  <c:v>4462.5</c:v>
                </c:pt>
                <c:pt idx="31">
                  <c:v>4887.5</c:v>
                </c:pt>
                <c:pt idx="32">
                  <c:v>3825</c:v>
                </c:pt>
                <c:pt idx="33">
                  <c:v>3825</c:v>
                </c:pt>
                <c:pt idx="34">
                  <c:v>3825</c:v>
                </c:pt>
                <c:pt idx="35">
                  <c:v>2337.5</c:v>
                </c:pt>
                <c:pt idx="36">
                  <c:v>1890</c:v>
                </c:pt>
                <c:pt idx="37">
                  <c:v>3150</c:v>
                </c:pt>
                <c:pt idx="38">
                  <c:v>3465</c:v>
                </c:pt>
                <c:pt idx="39">
                  <c:v>3465</c:v>
                </c:pt>
                <c:pt idx="40">
                  <c:v>3780</c:v>
                </c:pt>
                <c:pt idx="41">
                  <c:v>4095</c:v>
                </c:pt>
                <c:pt idx="42">
                  <c:v>3465</c:v>
                </c:pt>
                <c:pt idx="43">
                  <c:v>3780</c:v>
                </c:pt>
                <c:pt idx="44">
                  <c:v>3150</c:v>
                </c:pt>
                <c:pt idx="45">
                  <c:v>3150</c:v>
                </c:pt>
                <c:pt idx="46">
                  <c:v>3150</c:v>
                </c:pt>
                <c:pt idx="47">
                  <c:v>1890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225</c:v>
                </c:pt>
                <c:pt idx="13">
                  <c:v>375</c:v>
                </c:pt>
                <c:pt idx="14">
                  <c:v>425</c:v>
                </c:pt>
                <c:pt idx="15">
                  <c:v>1150</c:v>
                </c:pt>
                <c:pt idx="16">
                  <c:v>1275</c:v>
                </c:pt>
                <c:pt idx="17">
                  <c:v>1425</c:v>
                </c:pt>
                <c:pt idx="18">
                  <c:v>1150</c:v>
                </c:pt>
                <c:pt idx="19">
                  <c:v>1275</c:v>
                </c:pt>
                <c:pt idx="20">
                  <c:v>1025</c:v>
                </c:pt>
                <c:pt idx="21">
                  <c:v>1025</c:v>
                </c:pt>
                <c:pt idx="22">
                  <c:v>1025</c:v>
                </c:pt>
                <c:pt idx="23">
                  <c:v>625</c:v>
                </c:pt>
                <c:pt idx="24">
                  <c:v>500</c:v>
                </c:pt>
                <c:pt idx="25">
                  <c:v>825</c:v>
                </c:pt>
                <c:pt idx="26">
                  <c:v>950</c:v>
                </c:pt>
                <c:pt idx="27">
                  <c:v>1675</c:v>
                </c:pt>
                <c:pt idx="28">
                  <c:v>1850</c:v>
                </c:pt>
                <c:pt idx="29">
                  <c:v>2050</c:v>
                </c:pt>
                <c:pt idx="30">
                  <c:v>1675</c:v>
                </c:pt>
                <c:pt idx="31">
                  <c:v>1850</c:v>
                </c:pt>
                <c:pt idx="32">
                  <c:v>1475</c:v>
                </c:pt>
                <c:pt idx="33">
                  <c:v>1475</c:v>
                </c:pt>
                <c:pt idx="34">
                  <c:v>1475</c:v>
                </c:pt>
                <c:pt idx="35">
                  <c:v>900</c:v>
                </c:pt>
                <c:pt idx="36">
                  <c:v>910</c:v>
                </c:pt>
                <c:pt idx="37">
                  <c:v>1505</c:v>
                </c:pt>
                <c:pt idx="38">
                  <c:v>1715</c:v>
                </c:pt>
                <c:pt idx="39">
                  <c:v>2730</c:v>
                </c:pt>
                <c:pt idx="40">
                  <c:v>3010</c:v>
                </c:pt>
                <c:pt idx="41">
                  <c:v>3325</c:v>
                </c:pt>
                <c:pt idx="42">
                  <c:v>2730</c:v>
                </c:pt>
                <c:pt idx="43">
                  <c:v>3010</c:v>
                </c:pt>
                <c:pt idx="44">
                  <c:v>2415</c:v>
                </c:pt>
                <c:pt idx="45">
                  <c:v>2415</c:v>
                </c:pt>
                <c:pt idx="46">
                  <c:v>2415</c:v>
                </c:pt>
                <c:pt idx="47">
                  <c:v>1470</c:v>
                </c:pt>
                <c:pt idx="48">
                  <c:v>1015</c:v>
                </c:pt>
                <c:pt idx="49">
                  <c:v>1680</c:v>
                </c:pt>
                <c:pt idx="50">
                  <c:v>1890</c:v>
                </c:pt>
                <c:pt idx="51">
                  <c:v>2905</c:v>
                </c:pt>
                <c:pt idx="52">
                  <c:v>3220</c:v>
                </c:pt>
                <c:pt idx="53">
                  <c:v>3570</c:v>
                </c:pt>
                <c:pt idx="54">
                  <c:v>2905</c:v>
                </c:pt>
                <c:pt idx="55">
                  <c:v>3220</c:v>
                </c:pt>
                <c:pt idx="56">
                  <c:v>2590</c:v>
                </c:pt>
                <c:pt idx="57">
                  <c:v>2590</c:v>
                </c:pt>
                <c:pt idx="58">
                  <c:v>2590</c:v>
                </c:pt>
                <c:pt idx="59">
                  <c:v>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175</c:v>
                </c:pt>
                <c:pt idx="13">
                  <c:v>275</c:v>
                </c:pt>
                <c:pt idx="14">
                  <c:v>300</c:v>
                </c:pt>
                <c:pt idx="15">
                  <c:v>300</c:v>
                </c:pt>
                <c:pt idx="16">
                  <c:v>325</c:v>
                </c:pt>
                <c:pt idx="17">
                  <c:v>350</c:v>
                </c:pt>
                <c:pt idx="18">
                  <c:v>300</c:v>
                </c:pt>
                <c:pt idx="19">
                  <c:v>325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175</c:v>
                </c:pt>
                <c:pt idx="24">
                  <c:v>450</c:v>
                </c:pt>
                <c:pt idx="25">
                  <c:v>725</c:v>
                </c:pt>
                <c:pt idx="26">
                  <c:v>800</c:v>
                </c:pt>
                <c:pt idx="27">
                  <c:v>800</c:v>
                </c:pt>
                <c:pt idx="28">
                  <c:v>875</c:v>
                </c:pt>
                <c:pt idx="29">
                  <c:v>975</c:v>
                </c:pt>
                <c:pt idx="30">
                  <c:v>800</c:v>
                </c:pt>
                <c:pt idx="31">
                  <c:v>875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450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1181.25</c:v>
                </c:pt>
                <c:pt idx="13">
                  <c:v>1856.25</c:v>
                </c:pt>
                <c:pt idx="14">
                  <c:v>2025</c:v>
                </c:pt>
                <c:pt idx="15">
                  <c:v>3712.5</c:v>
                </c:pt>
                <c:pt idx="16">
                  <c:v>4050</c:v>
                </c:pt>
                <c:pt idx="17">
                  <c:v>4387.5</c:v>
                </c:pt>
                <c:pt idx="18">
                  <c:v>3712.5</c:v>
                </c:pt>
                <c:pt idx="19">
                  <c:v>4050</c:v>
                </c:pt>
                <c:pt idx="20">
                  <c:v>3375</c:v>
                </c:pt>
                <c:pt idx="21">
                  <c:v>3375</c:v>
                </c:pt>
                <c:pt idx="22">
                  <c:v>3375</c:v>
                </c:pt>
                <c:pt idx="23">
                  <c:v>2193.75</c:v>
                </c:pt>
                <c:pt idx="24">
                  <c:v>4781.25</c:v>
                </c:pt>
                <c:pt idx="25">
                  <c:v>7650</c:v>
                </c:pt>
                <c:pt idx="26">
                  <c:v>8415</c:v>
                </c:pt>
                <c:pt idx="27">
                  <c:v>10327.5</c:v>
                </c:pt>
                <c:pt idx="28">
                  <c:v>11283.75</c:v>
                </c:pt>
                <c:pt idx="29">
                  <c:v>12431.25</c:v>
                </c:pt>
                <c:pt idx="30">
                  <c:v>10327.5</c:v>
                </c:pt>
                <c:pt idx="31">
                  <c:v>11283.75</c:v>
                </c:pt>
                <c:pt idx="32">
                  <c:v>9371.25</c:v>
                </c:pt>
                <c:pt idx="33">
                  <c:v>9371.25</c:v>
                </c:pt>
                <c:pt idx="34">
                  <c:v>9371.25</c:v>
                </c:pt>
                <c:pt idx="35">
                  <c:v>5928.75</c:v>
                </c:pt>
                <c:pt idx="36">
                  <c:v>10125</c:v>
                </c:pt>
                <c:pt idx="37">
                  <c:v>16200</c:v>
                </c:pt>
                <c:pt idx="38">
                  <c:v>18022.5</c:v>
                </c:pt>
                <c:pt idx="39">
                  <c:v>20047.5</c:v>
                </c:pt>
                <c:pt idx="40">
                  <c:v>22072.5</c:v>
                </c:pt>
                <c:pt idx="41">
                  <c:v>24300</c:v>
                </c:pt>
                <c:pt idx="42">
                  <c:v>20047.5</c:v>
                </c:pt>
                <c:pt idx="43">
                  <c:v>22072.5</c:v>
                </c:pt>
                <c:pt idx="44">
                  <c:v>18022.5</c:v>
                </c:pt>
                <c:pt idx="45">
                  <c:v>18022.5</c:v>
                </c:pt>
                <c:pt idx="46">
                  <c:v>18022.5</c:v>
                </c:pt>
                <c:pt idx="47">
                  <c:v>11340</c:v>
                </c:pt>
                <c:pt idx="48">
                  <c:v>16200</c:v>
                </c:pt>
                <c:pt idx="49">
                  <c:v>25920</c:v>
                </c:pt>
                <c:pt idx="50">
                  <c:v>28957.5</c:v>
                </c:pt>
                <c:pt idx="51">
                  <c:v>30982.5</c:v>
                </c:pt>
                <c:pt idx="52">
                  <c:v>34222.5</c:v>
                </c:pt>
                <c:pt idx="53">
                  <c:v>37462.5</c:v>
                </c:pt>
                <c:pt idx="54">
                  <c:v>30982.5</c:v>
                </c:pt>
                <c:pt idx="55">
                  <c:v>34222.5</c:v>
                </c:pt>
                <c:pt idx="56">
                  <c:v>27742.5</c:v>
                </c:pt>
                <c:pt idx="57">
                  <c:v>27742.5</c:v>
                </c:pt>
                <c:pt idx="58">
                  <c:v>27742.5</c:v>
                </c:pt>
                <c:pt idx="59">
                  <c:v>17415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638820</c:v>
                </c:pt>
                <c:pt idx="4">
                  <c:v>704340</c:v>
                </c:pt>
                <c:pt idx="5">
                  <c:v>786240</c:v>
                </c:pt>
                <c:pt idx="6">
                  <c:v>638820</c:v>
                </c:pt>
                <c:pt idx="7">
                  <c:v>704340</c:v>
                </c:pt>
                <c:pt idx="8">
                  <c:v>573300</c:v>
                </c:pt>
                <c:pt idx="9">
                  <c:v>573300</c:v>
                </c:pt>
                <c:pt idx="10">
                  <c:v>573300</c:v>
                </c:pt>
                <c:pt idx="11">
                  <c:v>360360</c:v>
                </c:pt>
                <c:pt idx="12">
                  <c:v>237600</c:v>
                </c:pt>
                <c:pt idx="13">
                  <c:v>386100</c:v>
                </c:pt>
                <c:pt idx="14">
                  <c:v>430650</c:v>
                </c:pt>
                <c:pt idx="15">
                  <c:v>430650</c:v>
                </c:pt>
                <c:pt idx="16">
                  <c:v>475200</c:v>
                </c:pt>
                <c:pt idx="17">
                  <c:v>519750</c:v>
                </c:pt>
                <c:pt idx="18">
                  <c:v>430650</c:v>
                </c:pt>
                <c:pt idx="19">
                  <c:v>475200</c:v>
                </c:pt>
                <c:pt idx="20">
                  <c:v>386100</c:v>
                </c:pt>
                <c:pt idx="21">
                  <c:v>386100</c:v>
                </c:pt>
                <c:pt idx="22">
                  <c:v>386100</c:v>
                </c:pt>
                <c:pt idx="23">
                  <c:v>237600</c:v>
                </c:pt>
                <c:pt idx="24">
                  <c:v>147900</c:v>
                </c:pt>
                <c:pt idx="25">
                  <c:v>239700</c:v>
                </c:pt>
                <c:pt idx="26">
                  <c:v>270300</c:v>
                </c:pt>
                <c:pt idx="27">
                  <c:v>270300</c:v>
                </c:pt>
                <c:pt idx="28">
                  <c:v>295800</c:v>
                </c:pt>
                <c:pt idx="29">
                  <c:v>326400</c:v>
                </c:pt>
                <c:pt idx="30">
                  <c:v>270300</c:v>
                </c:pt>
                <c:pt idx="31">
                  <c:v>295800</c:v>
                </c:pt>
                <c:pt idx="32">
                  <c:v>239700</c:v>
                </c:pt>
                <c:pt idx="33">
                  <c:v>239700</c:v>
                </c:pt>
                <c:pt idx="34">
                  <c:v>239700</c:v>
                </c:pt>
                <c:pt idx="35">
                  <c:v>147900</c:v>
                </c:pt>
                <c:pt idx="36">
                  <c:v>181350</c:v>
                </c:pt>
                <c:pt idx="37">
                  <c:v>292500</c:v>
                </c:pt>
                <c:pt idx="38">
                  <c:v>327600</c:v>
                </c:pt>
                <c:pt idx="39">
                  <c:v>327600</c:v>
                </c:pt>
                <c:pt idx="40">
                  <c:v>362700</c:v>
                </c:pt>
                <c:pt idx="41">
                  <c:v>397800</c:v>
                </c:pt>
                <c:pt idx="42">
                  <c:v>327600</c:v>
                </c:pt>
                <c:pt idx="43">
                  <c:v>362700</c:v>
                </c:pt>
                <c:pt idx="44">
                  <c:v>292500</c:v>
                </c:pt>
                <c:pt idx="45">
                  <c:v>292500</c:v>
                </c:pt>
                <c:pt idx="46">
                  <c:v>292500</c:v>
                </c:pt>
                <c:pt idx="47">
                  <c:v>181350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19444.75</c:v>
                </c:pt>
                <c:pt idx="4">
                  <c:v>21452.5</c:v>
                </c:pt>
                <c:pt idx="5">
                  <c:v>24093</c:v>
                </c:pt>
                <c:pt idx="6">
                  <c:v>19444.75</c:v>
                </c:pt>
                <c:pt idx="7">
                  <c:v>21452.5</c:v>
                </c:pt>
                <c:pt idx="8">
                  <c:v>17437</c:v>
                </c:pt>
                <c:pt idx="9">
                  <c:v>17437</c:v>
                </c:pt>
                <c:pt idx="10">
                  <c:v>17437</c:v>
                </c:pt>
                <c:pt idx="11">
                  <c:v>10781</c:v>
                </c:pt>
                <c:pt idx="12">
                  <c:v>1701.71875</c:v>
                </c:pt>
                <c:pt idx="13">
                  <c:v>2765.46875</c:v>
                </c:pt>
                <c:pt idx="14">
                  <c:v>3084.6875</c:v>
                </c:pt>
                <c:pt idx="15">
                  <c:v>3145</c:v>
                </c:pt>
                <c:pt idx="16">
                  <c:v>3470.3125</c:v>
                </c:pt>
                <c:pt idx="17">
                  <c:v>3796.25</c:v>
                </c:pt>
                <c:pt idx="18">
                  <c:v>3145</c:v>
                </c:pt>
                <c:pt idx="19">
                  <c:v>3470.3125</c:v>
                </c:pt>
                <c:pt idx="20">
                  <c:v>2819.6875</c:v>
                </c:pt>
                <c:pt idx="21">
                  <c:v>2819.6875</c:v>
                </c:pt>
                <c:pt idx="22">
                  <c:v>2819.6875</c:v>
                </c:pt>
                <c:pt idx="23">
                  <c:v>1737.03125</c:v>
                </c:pt>
                <c:pt idx="24">
                  <c:v>-3147.78125</c:v>
                </c:pt>
                <c:pt idx="25">
                  <c:v>-5102.875</c:v>
                </c:pt>
                <c:pt idx="26">
                  <c:v>-5755.8125</c:v>
                </c:pt>
                <c:pt idx="27">
                  <c:v>-5689.875</c:v>
                </c:pt>
                <c:pt idx="28">
                  <c:v>-6226.59375</c:v>
                </c:pt>
                <c:pt idx="29">
                  <c:v>-6872.78125</c:v>
                </c:pt>
                <c:pt idx="30">
                  <c:v>-5689.875</c:v>
                </c:pt>
                <c:pt idx="31">
                  <c:v>-6226.59375</c:v>
                </c:pt>
                <c:pt idx="32">
                  <c:v>-5043.59375</c:v>
                </c:pt>
                <c:pt idx="33">
                  <c:v>-5043.59375</c:v>
                </c:pt>
                <c:pt idx="34">
                  <c:v>-5043.59375</c:v>
                </c:pt>
                <c:pt idx="35">
                  <c:v>-3109.09375</c:v>
                </c:pt>
                <c:pt idx="36">
                  <c:v>-1907.2</c:v>
                </c:pt>
                <c:pt idx="37">
                  <c:v>-3076.125</c:v>
                </c:pt>
                <c:pt idx="38">
                  <c:v>-3449.0125000000003</c:v>
                </c:pt>
                <c:pt idx="39">
                  <c:v>-3373.0125000000003</c:v>
                </c:pt>
                <c:pt idx="40">
                  <c:v>-3739.0875000000001</c:v>
                </c:pt>
                <c:pt idx="41">
                  <c:v>-4099.2250000000004</c:v>
                </c:pt>
                <c:pt idx="42">
                  <c:v>-3373.0125000000003</c:v>
                </c:pt>
                <c:pt idx="43">
                  <c:v>-3739.0875000000001</c:v>
                </c:pt>
                <c:pt idx="44">
                  <c:v>-3007.8125</c:v>
                </c:pt>
                <c:pt idx="45">
                  <c:v>-3007.8125</c:v>
                </c:pt>
                <c:pt idx="46">
                  <c:v>-3007.8125</c:v>
                </c:pt>
                <c:pt idx="47">
                  <c:v>-1862.825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-1069.9050000000004</c:v>
                </c:pt>
                <c:pt idx="52">
                  <c:v>-1205.5324999999998</c:v>
                </c:pt>
                <c:pt idx="53">
                  <c:v>-1307.1774999999996</c:v>
                </c:pt>
                <c:pt idx="54">
                  <c:v>-1069.9050000000004</c:v>
                </c:pt>
                <c:pt idx="55">
                  <c:v>-1205.5324999999998</c:v>
                </c:pt>
                <c:pt idx="56">
                  <c:v>-960.1349999999992</c:v>
                </c:pt>
                <c:pt idx="57">
                  <c:v>-960.1349999999992</c:v>
                </c:pt>
                <c:pt idx="58">
                  <c:v>-960.1349999999992</c:v>
                </c:pt>
                <c:pt idx="59">
                  <c:v>-596.0474999999999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4419444.75</c:v>
                </c:pt>
                <c:pt idx="4">
                  <c:v>4421452.5</c:v>
                </c:pt>
                <c:pt idx="5">
                  <c:v>4424093</c:v>
                </c:pt>
                <c:pt idx="6">
                  <c:v>4419444.75</c:v>
                </c:pt>
                <c:pt idx="7">
                  <c:v>4421452.5</c:v>
                </c:pt>
                <c:pt idx="8">
                  <c:v>4417437</c:v>
                </c:pt>
                <c:pt idx="9">
                  <c:v>4417437</c:v>
                </c:pt>
                <c:pt idx="10">
                  <c:v>4417437</c:v>
                </c:pt>
                <c:pt idx="11">
                  <c:v>4410781</c:v>
                </c:pt>
                <c:pt idx="12">
                  <c:v>5601701.71875</c:v>
                </c:pt>
                <c:pt idx="13">
                  <c:v>5602765.46875</c:v>
                </c:pt>
                <c:pt idx="14">
                  <c:v>5603084.6875</c:v>
                </c:pt>
                <c:pt idx="15">
                  <c:v>5603145</c:v>
                </c:pt>
                <c:pt idx="16">
                  <c:v>5603470.3125</c:v>
                </c:pt>
                <c:pt idx="17">
                  <c:v>5603796.25</c:v>
                </c:pt>
                <c:pt idx="18">
                  <c:v>5603145</c:v>
                </c:pt>
                <c:pt idx="19">
                  <c:v>5603470.3125</c:v>
                </c:pt>
                <c:pt idx="20">
                  <c:v>5602819.6875</c:v>
                </c:pt>
                <c:pt idx="21">
                  <c:v>5602819.6875</c:v>
                </c:pt>
                <c:pt idx="22">
                  <c:v>5602819.6875</c:v>
                </c:pt>
                <c:pt idx="23">
                  <c:v>5601737.03125</c:v>
                </c:pt>
                <c:pt idx="24">
                  <c:v>6396852.21875</c:v>
                </c:pt>
                <c:pt idx="25">
                  <c:v>6394897.125</c:v>
                </c:pt>
                <c:pt idx="26">
                  <c:v>6394244.1875</c:v>
                </c:pt>
                <c:pt idx="27">
                  <c:v>6394310.125</c:v>
                </c:pt>
                <c:pt idx="28">
                  <c:v>6393773.40625</c:v>
                </c:pt>
                <c:pt idx="29">
                  <c:v>6393127.21875</c:v>
                </c:pt>
                <c:pt idx="30">
                  <c:v>6394310.125</c:v>
                </c:pt>
                <c:pt idx="31">
                  <c:v>6393773.40625</c:v>
                </c:pt>
                <c:pt idx="32">
                  <c:v>6394956.40625</c:v>
                </c:pt>
                <c:pt idx="33">
                  <c:v>6394956.40625</c:v>
                </c:pt>
                <c:pt idx="34">
                  <c:v>6394956.40625</c:v>
                </c:pt>
                <c:pt idx="35">
                  <c:v>6396890.90625</c:v>
                </c:pt>
                <c:pt idx="36">
                  <c:v>7798092.7999999998</c:v>
                </c:pt>
                <c:pt idx="37">
                  <c:v>7796923.875</c:v>
                </c:pt>
                <c:pt idx="38">
                  <c:v>7796550.9874999998</c:v>
                </c:pt>
                <c:pt idx="39">
                  <c:v>7796626.9874999998</c:v>
                </c:pt>
                <c:pt idx="40">
                  <c:v>7796260.9124999996</c:v>
                </c:pt>
                <c:pt idx="41">
                  <c:v>7795900.7750000004</c:v>
                </c:pt>
                <c:pt idx="42">
                  <c:v>7796626.9874999998</c:v>
                </c:pt>
                <c:pt idx="43">
                  <c:v>7796260.9124999996</c:v>
                </c:pt>
                <c:pt idx="44">
                  <c:v>7796992.1875</c:v>
                </c:pt>
                <c:pt idx="45">
                  <c:v>7796992.1875</c:v>
                </c:pt>
                <c:pt idx="46">
                  <c:v>7796992.1875</c:v>
                </c:pt>
                <c:pt idx="47">
                  <c:v>7798137.1749999998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10798930.095000001</c:v>
                </c:pt>
                <c:pt idx="52">
                  <c:v>10798794.467499999</c:v>
                </c:pt>
                <c:pt idx="53">
                  <c:v>10798692.8225</c:v>
                </c:pt>
                <c:pt idx="54">
                  <c:v>10798930.095000001</c:v>
                </c:pt>
                <c:pt idx="55">
                  <c:v>10798794.467499999</c:v>
                </c:pt>
                <c:pt idx="56">
                  <c:v>10799039.865</c:v>
                </c:pt>
                <c:pt idx="57">
                  <c:v>10799039.865</c:v>
                </c:pt>
                <c:pt idx="58">
                  <c:v>10799039.865</c:v>
                </c:pt>
                <c:pt idx="59">
                  <c:v>10799403.952500001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19444.75</c:v>
                </c:pt>
                <c:pt idx="4">
                  <c:v>21452.5</c:v>
                </c:pt>
                <c:pt idx="5">
                  <c:v>24093</c:v>
                </c:pt>
                <c:pt idx="6">
                  <c:v>19444.75</c:v>
                </c:pt>
                <c:pt idx="7">
                  <c:v>21452.5</c:v>
                </c:pt>
                <c:pt idx="8">
                  <c:v>17437</c:v>
                </c:pt>
                <c:pt idx="9">
                  <c:v>17437</c:v>
                </c:pt>
                <c:pt idx="10">
                  <c:v>17437</c:v>
                </c:pt>
                <c:pt idx="11">
                  <c:v>10781</c:v>
                </c:pt>
                <c:pt idx="12">
                  <c:v>1701.71875</c:v>
                </c:pt>
                <c:pt idx="13">
                  <c:v>2765.46875</c:v>
                </c:pt>
                <c:pt idx="14">
                  <c:v>3084.6875</c:v>
                </c:pt>
                <c:pt idx="15">
                  <c:v>3145</c:v>
                </c:pt>
                <c:pt idx="16">
                  <c:v>3470.3125</c:v>
                </c:pt>
                <c:pt idx="17">
                  <c:v>3796.25</c:v>
                </c:pt>
                <c:pt idx="18">
                  <c:v>3145</c:v>
                </c:pt>
                <c:pt idx="19">
                  <c:v>3470.3125</c:v>
                </c:pt>
                <c:pt idx="20">
                  <c:v>2819.6875</c:v>
                </c:pt>
                <c:pt idx="21">
                  <c:v>2819.6875</c:v>
                </c:pt>
                <c:pt idx="22">
                  <c:v>2819.6875</c:v>
                </c:pt>
                <c:pt idx="23">
                  <c:v>1737.03125</c:v>
                </c:pt>
                <c:pt idx="24">
                  <c:v>-3147.78125</c:v>
                </c:pt>
                <c:pt idx="25">
                  <c:v>-5102.875</c:v>
                </c:pt>
                <c:pt idx="26">
                  <c:v>-5755.8125</c:v>
                </c:pt>
                <c:pt idx="27">
                  <c:v>-5689.875</c:v>
                </c:pt>
                <c:pt idx="28">
                  <c:v>-6226.59375</c:v>
                </c:pt>
                <c:pt idx="29">
                  <c:v>-6872.78125</c:v>
                </c:pt>
                <c:pt idx="30">
                  <c:v>-5689.875</c:v>
                </c:pt>
                <c:pt idx="31">
                  <c:v>-6226.59375</c:v>
                </c:pt>
                <c:pt idx="32">
                  <c:v>-5043.59375</c:v>
                </c:pt>
                <c:pt idx="33">
                  <c:v>-5043.59375</c:v>
                </c:pt>
                <c:pt idx="34">
                  <c:v>-5043.59375</c:v>
                </c:pt>
                <c:pt idx="35">
                  <c:v>-3109.09375</c:v>
                </c:pt>
                <c:pt idx="36">
                  <c:v>-1907.2</c:v>
                </c:pt>
                <c:pt idx="37">
                  <c:v>-3076.125</c:v>
                </c:pt>
                <c:pt idx="38">
                  <c:v>-3449.0125000000003</c:v>
                </c:pt>
                <c:pt idx="39">
                  <c:v>-3373.0125000000003</c:v>
                </c:pt>
                <c:pt idx="40">
                  <c:v>-3739.0875000000001</c:v>
                </c:pt>
                <c:pt idx="41">
                  <c:v>-4099.2250000000004</c:v>
                </c:pt>
                <c:pt idx="42">
                  <c:v>-3373.0125000000003</c:v>
                </c:pt>
                <c:pt idx="43">
                  <c:v>-3739.0875000000001</c:v>
                </c:pt>
                <c:pt idx="44">
                  <c:v>-3007.8125</c:v>
                </c:pt>
                <c:pt idx="45">
                  <c:v>-3007.8125</c:v>
                </c:pt>
                <c:pt idx="46">
                  <c:v>-3007.8125</c:v>
                </c:pt>
                <c:pt idx="47">
                  <c:v>-1862.825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-1069.9050000000004</c:v>
                </c:pt>
                <c:pt idx="52">
                  <c:v>-1205.5324999999998</c:v>
                </c:pt>
                <c:pt idx="53">
                  <c:v>-1307.1774999999996</c:v>
                </c:pt>
                <c:pt idx="54">
                  <c:v>-1069.9050000000004</c:v>
                </c:pt>
                <c:pt idx="55">
                  <c:v>-1205.5324999999998</c:v>
                </c:pt>
                <c:pt idx="56">
                  <c:v>-960.1349999999992</c:v>
                </c:pt>
                <c:pt idx="57">
                  <c:v>-960.1349999999992</c:v>
                </c:pt>
                <c:pt idx="58">
                  <c:v>-960.1349999999992</c:v>
                </c:pt>
                <c:pt idx="59">
                  <c:v>-596.0474999999999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4419444.75</c:v>
                </c:pt>
                <c:pt idx="4">
                  <c:v>4421452.5</c:v>
                </c:pt>
                <c:pt idx="5">
                  <c:v>4424093</c:v>
                </c:pt>
                <c:pt idx="6">
                  <c:v>4419444.75</c:v>
                </c:pt>
                <c:pt idx="7">
                  <c:v>4421452.5</c:v>
                </c:pt>
                <c:pt idx="8">
                  <c:v>4417437</c:v>
                </c:pt>
                <c:pt idx="9">
                  <c:v>4417437</c:v>
                </c:pt>
                <c:pt idx="10">
                  <c:v>4417437</c:v>
                </c:pt>
                <c:pt idx="11">
                  <c:v>4410781</c:v>
                </c:pt>
                <c:pt idx="12">
                  <c:v>5601701.71875</c:v>
                </c:pt>
                <c:pt idx="13">
                  <c:v>5602765.46875</c:v>
                </c:pt>
                <c:pt idx="14">
                  <c:v>5603084.6875</c:v>
                </c:pt>
                <c:pt idx="15">
                  <c:v>5603145</c:v>
                </c:pt>
                <c:pt idx="16">
                  <c:v>5603470.3125</c:v>
                </c:pt>
                <c:pt idx="17">
                  <c:v>5603796.25</c:v>
                </c:pt>
                <c:pt idx="18">
                  <c:v>5603145</c:v>
                </c:pt>
                <c:pt idx="19">
                  <c:v>5603470.3125</c:v>
                </c:pt>
                <c:pt idx="20">
                  <c:v>5602819.6875</c:v>
                </c:pt>
                <c:pt idx="21">
                  <c:v>5602819.6875</c:v>
                </c:pt>
                <c:pt idx="22">
                  <c:v>5602819.6875</c:v>
                </c:pt>
                <c:pt idx="23">
                  <c:v>5601737.03125</c:v>
                </c:pt>
                <c:pt idx="24">
                  <c:v>6396852.21875</c:v>
                </c:pt>
                <c:pt idx="25">
                  <c:v>6394897.125</c:v>
                </c:pt>
                <c:pt idx="26">
                  <c:v>6394244.1875</c:v>
                </c:pt>
                <c:pt idx="27">
                  <c:v>6394310.125</c:v>
                </c:pt>
                <c:pt idx="28">
                  <c:v>6393773.40625</c:v>
                </c:pt>
                <c:pt idx="29">
                  <c:v>6393127.21875</c:v>
                </c:pt>
                <c:pt idx="30">
                  <c:v>6394310.125</c:v>
                </c:pt>
                <c:pt idx="31">
                  <c:v>6393773.40625</c:v>
                </c:pt>
                <c:pt idx="32">
                  <c:v>6394956.40625</c:v>
                </c:pt>
                <c:pt idx="33">
                  <c:v>6394956.40625</c:v>
                </c:pt>
                <c:pt idx="34">
                  <c:v>6394956.40625</c:v>
                </c:pt>
                <c:pt idx="35">
                  <c:v>6396890.90625</c:v>
                </c:pt>
                <c:pt idx="36">
                  <c:v>7798092.7999999998</c:v>
                </c:pt>
                <c:pt idx="37">
                  <c:v>7796923.875</c:v>
                </c:pt>
                <c:pt idx="38">
                  <c:v>7796550.9874999998</c:v>
                </c:pt>
                <c:pt idx="39">
                  <c:v>7796626.9874999998</c:v>
                </c:pt>
                <c:pt idx="40">
                  <c:v>7796260.9124999996</c:v>
                </c:pt>
                <c:pt idx="41">
                  <c:v>7795900.7750000004</c:v>
                </c:pt>
                <c:pt idx="42">
                  <c:v>7796626.9874999998</c:v>
                </c:pt>
                <c:pt idx="43">
                  <c:v>7796260.9124999996</c:v>
                </c:pt>
                <c:pt idx="44">
                  <c:v>7796992.1875</c:v>
                </c:pt>
                <c:pt idx="45">
                  <c:v>7796992.1875</c:v>
                </c:pt>
                <c:pt idx="46">
                  <c:v>7796992.1875</c:v>
                </c:pt>
                <c:pt idx="47">
                  <c:v>7798137.1749999998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10798930.095000001</c:v>
                </c:pt>
                <c:pt idx="52">
                  <c:v>10798794.467499999</c:v>
                </c:pt>
                <c:pt idx="53">
                  <c:v>10798692.8225</c:v>
                </c:pt>
                <c:pt idx="54">
                  <c:v>10798930.095000001</c:v>
                </c:pt>
                <c:pt idx="55">
                  <c:v>10798794.467499999</c:v>
                </c:pt>
                <c:pt idx="56">
                  <c:v>10799039.865</c:v>
                </c:pt>
                <c:pt idx="57">
                  <c:v>10799039.865</c:v>
                </c:pt>
                <c:pt idx="58">
                  <c:v>10799039.865</c:v>
                </c:pt>
                <c:pt idx="59">
                  <c:v>10799403.952500001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16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4049" cy="627987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1203</v>
      </c>
      <c r="C1" s="326"/>
    </row>
    <row r="2" spans="1:3" ht="19" x14ac:dyDescent="0.25">
      <c r="A2" s="327" t="s">
        <v>1202</v>
      </c>
      <c r="C2" s="327" t="s">
        <v>1201</v>
      </c>
    </row>
    <row r="3" spans="1:3" ht="3" customHeight="1" x14ac:dyDescent="0.2"/>
    <row r="4" spans="1:3" ht="15" x14ac:dyDescent="0.2">
      <c r="A4" s="328" t="s">
        <v>1183</v>
      </c>
      <c r="C4" s="328" t="s">
        <v>1139</v>
      </c>
    </row>
    <row r="5" spans="1:3" ht="15" x14ac:dyDescent="0.2">
      <c r="A5" s="329" t="s">
        <v>1188</v>
      </c>
      <c r="C5" s="328" t="s">
        <v>1140</v>
      </c>
    </row>
    <row r="6" spans="1:3" ht="15" x14ac:dyDescent="0.2">
      <c r="A6" s="328" t="s">
        <v>1186</v>
      </c>
      <c r="C6" s="328" t="s">
        <v>1141</v>
      </c>
    </row>
    <row r="7" spans="1:3" ht="15" x14ac:dyDescent="0.2">
      <c r="A7" s="328" t="s">
        <v>1184</v>
      </c>
      <c r="C7" s="328" t="s">
        <v>1142</v>
      </c>
    </row>
    <row r="8" spans="1:3" ht="15" x14ac:dyDescent="0.2">
      <c r="A8" s="328" t="s">
        <v>1185</v>
      </c>
      <c r="C8" s="328" t="s">
        <v>1143</v>
      </c>
    </row>
    <row r="9" spans="1:3" ht="15" x14ac:dyDescent="0.2">
      <c r="A9" s="328" t="s">
        <v>1141</v>
      </c>
      <c r="C9" s="328" t="s">
        <v>1144</v>
      </c>
    </row>
    <row r="10" spans="1:3" ht="15" x14ac:dyDescent="0.2">
      <c r="A10" s="328" t="s">
        <v>1139</v>
      </c>
      <c r="C10" s="328" t="s">
        <v>1145</v>
      </c>
    </row>
    <row r="11" spans="1:3" ht="15" x14ac:dyDescent="0.2">
      <c r="A11" s="329" t="s">
        <v>1190</v>
      </c>
      <c r="C11" s="328" t="s">
        <v>1146</v>
      </c>
    </row>
    <row r="12" spans="1:3" ht="15" x14ac:dyDescent="0.2">
      <c r="A12" s="329" t="s">
        <v>1197</v>
      </c>
      <c r="C12" s="328" t="s">
        <v>1147</v>
      </c>
    </row>
    <row r="13" spans="1:3" ht="15" x14ac:dyDescent="0.2">
      <c r="A13" s="329" t="s">
        <v>1175</v>
      </c>
      <c r="C13" s="328" t="s">
        <v>1148</v>
      </c>
    </row>
    <row r="14" spans="1:3" ht="15" x14ac:dyDescent="0.2">
      <c r="A14" s="329" t="s">
        <v>1171</v>
      </c>
      <c r="C14" s="329" t="s">
        <v>1149</v>
      </c>
    </row>
    <row r="15" spans="1:3" ht="15" x14ac:dyDescent="0.2">
      <c r="A15" s="328" t="s">
        <v>1174</v>
      </c>
      <c r="C15" s="329" t="s">
        <v>1150</v>
      </c>
    </row>
    <row r="16" spans="1:3" ht="15" x14ac:dyDescent="0.2">
      <c r="A16" s="328" t="s">
        <v>1172</v>
      </c>
      <c r="C16" s="329" t="s">
        <v>1151</v>
      </c>
    </row>
    <row r="17" spans="1:3" ht="15" x14ac:dyDescent="0.2">
      <c r="A17" s="328" t="s">
        <v>1173</v>
      </c>
      <c r="C17" s="328" t="s">
        <v>1152</v>
      </c>
    </row>
    <row r="18" spans="1:3" ht="15" x14ac:dyDescent="0.2">
      <c r="A18" s="328" t="s">
        <v>1163</v>
      </c>
      <c r="C18" s="329" t="s">
        <v>1153</v>
      </c>
    </row>
    <row r="19" spans="1:3" ht="15" x14ac:dyDescent="0.2">
      <c r="A19" s="329" t="s">
        <v>1160</v>
      </c>
      <c r="C19" s="329" t="s">
        <v>1154</v>
      </c>
    </row>
    <row r="20" spans="1:3" ht="15" x14ac:dyDescent="0.2">
      <c r="A20" s="329" t="s">
        <v>1162</v>
      </c>
      <c r="C20" s="328" t="s">
        <v>1155</v>
      </c>
    </row>
    <row r="21" spans="1:3" ht="15" x14ac:dyDescent="0.2">
      <c r="A21" s="329" t="s">
        <v>1161</v>
      </c>
      <c r="C21" s="328" t="s">
        <v>1156</v>
      </c>
    </row>
    <row r="22" spans="1:3" ht="15" x14ac:dyDescent="0.2">
      <c r="A22" s="328" t="s">
        <v>1166</v>
      </c>
      <c r="C22" s="329" t="s">
        <v>1157</v>
      </c>
    </row>
    <row r="23" spans="1:3" ht="15" x14ac:dyDescent="0.2">
      <c r="A23" s="328" t="s">
        <v>1165</v>
      </c>
      <c r="C23" s="329" t="s">
        <v>1158</v>
      </c>
    </row>
    <row r="24" spans="1:3" ht="15" x14ac:dyDescent="0.2">
      <c r="A24" s="328" t="s">
        <v>1164</v>
      </c>
      <c r="C24" s="328" t="s">
        <v>1159</v>
      </c>
    </row>
    <row r="25" spans="1:3" ht="15" x14ac:dyDescent="0.2">
      <c r="A25" s="328" t="s">
        <v>1169</v>
      </c>
      <c r="C25" s="329" t="s">
        <v>1160</v>
      </c>
    </row>
    <row r="26" spans="1:3" ht="15" x14ac:dyDescent="0.2">
      <c r="A26" s="328" t="s">
        <v>1170</v>
      </c>
      <c r="C26" s="329" t="s">
        <v>1161</v>
      </c>
    </row>
    <row r="27" spans="1:3" ht="15" x14ac:dyDescent="0.2">
      <c r="A27" s="328" t="s">
        <v>1155</v>
      </c>
      <c r="C27" s="329" t="s">
        <v>1162</v>
      </c>
    </row>
    <row r="28" spans="1:3" ht="15" x14ac:dyDescent="0.2">
      <c r="A28" s="329" t="s">
        <v>1158</v>
      </c>
      <c r="C28" s="328" t="s">
        <v>1163</v>
      </c>
    </row>
    <row r="29" spans="1:3" ht="15" x14ac:dyDescent="0.2">
      <c r="A29" s="329" t="s">
        <v>1154</v>
      </c>
      <c r="C29" s="328" t="s">
        <v>1164</v>
      </c>
    </row>
    <row r="30" spans="1:3" ht="15" x14ac:dyDescent="0.2">
      <c r="A30" s="329" t="s">
        <v>1157</v>
      </c>
      <c r="C30" s="328" t="s">
        <v>1165</v>
      </c>
    </row>
    <row r="31" spans="1:3" ht="15" x14ac:dyDescent="0.2">
      <c r="A31" s="328" t="s">
        <v>1159</v>
      </c>
      <c r="C31" s="328" t="s">
        <v>1166</v>
      </c>
    </row>
    <row r="32" spans="1:3" ht="15" x14ac:dyDescent="0.2">
      <c r="A32" s="328" t="s">
        <v>1156</v>
      </c>
      <c r="C32" s="328" t="s">
        <v>1167</v>
      </c>
    </row>
    <row r="33" spans="1:3" ht="15" x14ac:dyDescent="0.2">
      <c r="A33" s="329" t="s">
        <v>1149</v>
      </c>
      <c r="C33" s="328" t="s">
        <v>1168</v>
      </c>
    </row>
    <row r="34" spans="1:3" ht="15" x14ac:dyDescent="0.2">
      <c r="A34" s="328" t="s">
        <v>1152</v>
      </c>
      <c r="C34" s="328" t="s">
        <v>1169</v>
      </c>
    </row>
    <row r="35" spans="1:3" ht="15" x14ac:dyDescent="0.2">
      <c r="A35" s="329" t="s">
        <v>1150</v>
      </c>
      <c r="C35" s="328" t="s">
        <v>1170</v>
      </c>
    </row>
    <row r="36" spans="1:3" ht="15" x14ac:dyDescent="0.2">
      <c r="A36" s="329" t="s">
        <v>1151</v>
      </c>
      <c r="C36" s="329" t="s">
        <v>1171</v>
      </c>
    </row>
    <row r="37" spans="1:3" ht="15" x14ac:dyDescent="0.2">
      <c r="A37" s="328" t="s">
        <v>1146</v>
      </c>
      <c r="C37" s="328" t="s">
        <v>1172</v>
      </c>
    </row>
    <row r="38" spans="1:3" ht="15" x14ac:dyDescent="0.2">
      <c r="A38" s="328" t="s">
        <v>1145</v>
      </c>
      <c r="C38" s="328" t="s">
        <v>1173</v>
      </c>
    </row>
    <row r="39" spans="1:3" ht="15" x14ac:dyDescent="0.2">
      <c r="A39" s="328" t="s">
        <v>1143</v>
      </c>
      <c r="C39" s="328" t="s">
        <v>1174</v>
      </c>
    </row>
    <row r="40" spans="1:3" ht="15" x14ac:dyDescent="0.2">
      <c r="A40" s="328" t="s">
        <v>1144</v>
      </c>
      <c r="C40" s="329" t="s">
        <v>1175</v>
      </c>
    </row>
    <row r="41" spans="1:3" ht="15" x14ac:dyDescent="0.2">
      <c r="A41" s="328" t="s">
        <v>1142</v>
      </c>
      <c r="C41" s="329" t="s">
        <v>1176</v>
      </c>
    </row>
    <row r="42" spans="1:3" ht="15" x14ac:dyDescent="0.2">
      <c r="A42" s="328" t="s">
        <v>1148</v>
      </c>
      <c r="C42" s="328" t="s">
        <v>1177</v>
      </c>
    </row>
    <row r="43" spans="1:3" ht="15" x14ac:dyDescent="0.2">
      <c r="A43" s="328" t="s">
        <v>1147</v>
      </c>
      <c r="C43" s="328" t="s">
        <v>1178</v>
      </c>
    </row>
    <row r="44" spans="1:3" ht="15" x14ac:dyDescent="0.2">
      <c r="A44" s="328" t="s">
        <v>1140</v>
      </c>
      <c r="C44" s="329" t="s">
        <v>1179</v>
      </c>
    </row>
    <row r="45" spans="1:3" ht="15" x14ac:dyDescent="0.2">
      <c r="A45" s="329" t="s">
        <v>1187</v>
      </c>
      <c r="C45" s="328" t="s">
        <v>1180</v>
      </c>
    </row>
    <row r="46" spans="1:3" ht="15" x14ac:dyDescent="0.2">
      <c r="A46" s="328" t="s">
        <v>1193</v>
      </c>
      <c r="C46" s="328" t="s">
        <v>1181</v>
      </c>
    </row>
    <row r="47" spans="1:3" ht="15" x14ac:dyDescent="0.2">
      <c r="A47" s="328" t="s">
        <v>1191</v>
      </c>
      <c r="C47" s="329" t="s">
        <v>1182</v>
      </c>
    </row>
    <row r="48" spans="1:3" ht="15" x14ac:dyDescent="0.2">
      <c r="A48" s="328" t="s">
        <v>1192</v>
      </c>
      <c r="C48" s="328" t="s">
        <v>1183</v>
      </c>
    </row>
    <row r="49" spans="1:3" ht="15" x14ac:dyDescent="0.2">
      <c r="A49" s="328" t="s">
        <v>1189</v>
      </c>
      <c r="C49" s="328" t="s">
        <v>1184</v>
      </c>
    </row>
    <row r="50" spans="1:3" ht="15" x14ac:dyDescent="0.2">
      <c r="A50" s="329" t="s">
        <v>1176</v>
      </c>
      <c r="C50" s="328" t="s">
        <v>1185</v>
      </c>
    </row>
    <row r="51" spans="1:3" ht="15" x14ac:dyDescent="0.2">
      <c r="A51" s="329" t="s">
        <v>1182</v>
      </c>
      <c r="C51" s="328" t="s">
        <v>1186</v>
      </c>
    </row>
    <row r="52" spans="1:3" ht="15" x14ac:dyDescent="0.2">
      <c r="A52" s="329" t="s">
        <v>1153</v>
      </c>
      <c r="C52" s="329" t="s">
        <v>1187</v>
      </c>
    </row>
    <row r="53" spans="1:3" ht="15" x14ac:dyDescent="0.2">
      <c r="A53" s="329" t="s">
        <v>1179</v>
      </c>
      <c r="C53" s="329" t="s">
        <v>1188</v>
      </c>
    </row>
    <row r="54" spans="1:3" ht="15" x14ac:dyDescent="0.2">
      <c r="A54" s="328" t="s">
        <v>1168</v>
      </c>
      <c r="C54" s="328" t="s">
        <v>1189</v>
      </c>
    </row>
    <row r="55" spans="1:3" ht="15" x14ac:dyDescent="0.2">
      <c r="A55" s="328" t="s">
        <v>1181</v>
      </c>
      <c r="C55" s="329" t="s">
        <v>1190</v>
      </c>
    </row>
    <row r="56" spans="1:3" ht="15" x14ac:dyDescent="0.2">
      <c r="A56" s="328" t="s">
        <v>1177</v>
      </c>
      <c r="C56" s="328" t="s">
        <v>1191</v>
      </c>
    </row>
    <row r="57" spans="1:3" ht="15" x14ac:dyDescent="0.2">
      <c r="A57" s="328" t="s">
        <v>1180</v>
      </c>
      <c r="C57" s="328" t="s">
        <v>1192</v>
      </c>
    </row>
    <row r="58" spans="1:3" ht="15" x14ac:dyDescent="0.2">
      <c r="A58" s="328" t="s">
        <v>1178</v>
      </c>
      <c r="C58" s="328" t="s">
        <v>1193</v>
      </c>
    </row>
    <row r="59" spans="1:3" ht="15" x14ac:dyDescent="0.2">
      <c r="A59" s="328" t="s">
        <v>1167</v>
      </c>
      <c r="C59" s="328" t="s">
        <v>1194</v>
      </c>
    </row>
    <row r="60" spans="1:3" ht="15" x14ac:dyDescent="0.2">
      <c r="A60" s="329" t="s">
        <v>1199</v>
      </c>
      <c r="C60" s="328" t="s">
        <v>1195</v>
      </c>
    </row>
    <row r="61" spans="1:3" ht="15" x14ac:dyDescent="0.2">
      <c r="A61" s="329" t="s">
        <v>1200</v>
      </c>
      <c r="C61" s="328" t="s">
        <v>1196</v>
      </c>
    </row>
    <row r="62" spans="1:3" ht="15" x14ac:dyDescent="0.2">
      <c r="A62" s="328" t="s">
        <v>1198</v>
      </c>
      <c r="C62" s="329" t="s">
        <v>1197</v>
      </c>
    </row>
    <row r="63" spans="1:3" ht="15" x14ac:dyDescent="0.2">
      <c r="A63" s="328" t="s">
        <v>1194</v>
      </c>
      <c r="C63" s="328" t="s">
        <v>1198</v>
      </c>
    </row>
    <row r="64" spans="1:3" ht="15" x14ac:dyDescent="0.2">
      <c r="A64" s="328" t="s">
        <v>1196</v>
      </c>
      <c r="C64" s="329" t="s">
        <v>1199</v>
      </c>
    </row>
    <row r="65" spans="1:3" ht="15" x14ac:dyDescent="0.2">
      <c r="A65" s="328" t="s">
        <v>1195</v>
      </c>
      <c r="C65" s="329" t="s">
        <v>1200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963</v>
      </c>
      <c r="E2" s="6" t="s">
        <v>871</v>
      </c>
      <c r="F2" s="6" t="s">
        <v>935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966</v>
      </c>
      <c r="D9" s="6" t="s">
        <v>963</v>
      </c>
      <c r="E9" s="6" t="s">
        <v>871</v>
      </c>
      <c r="F9" s="6" t="s">
        <v>935</v>
      </c>
    </row>
    <row r="10" spans="2:6" x14ac:dyDescent="0.15">
      <c r="D10" s="6"/>
      <c r="E10" s="6"/>
    </row>
    <row r="11" spans="2:6" x14ac:dyDescent="0.15">
      <c r="B11" t="s">
        <v>964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965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977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969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963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1069</v>
      </c>
      <c r="D22" s="6" t="s">
        <v>1070</v>
      </c>
      <c r="E22" s="6" t="s">
        <v>1071</v>
      </c>
      <c r="F22" s="6" t="s">
        <v>1075</v>
      </c>
    </row>
    <row r="23" spans="2:7" x14ac:dyDescent="0.15">
      <c r="B23" s="21" t="s">
        <v>884</v>
      </c>
      <c r="C23" s="9"/>
      <c r="D23" s="9"/>
      <c r="F23"/>
    </row>
    <row r="24" spans="2:7" x14ac:dyDescent="0.15">
      <c r="B24" t="s">
        <v>970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971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972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973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974</v>
      </c>
      <c r="D29" s="253">
        <f>NPV(D27,C19:G19)</f>
        <v>785408.06015043741</v>
      </c>
      <c r="F29"/>
    </row>
    <row r="30" spans="2:7" x14ac:dyDescent="0.15">
      <c r="B30" t="s">
        <v>975</v>
      </c>
      <c r="E30" s="253">
        <f>NPV(E27,D19:G19)</f>
        <v>2486810.2746222913</v>
      </c>
      <c r="F30"/>
    </row>
    <row r="31" spans="2:7" x14ac:dyDescent="0.15">
      <c r="B31" t="s">
        <v>976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1074</v>
      </c>
      <c r="C34" s="6"/>
      <c r="D34" s="6">
        <f>+C20</f>
        <v>150000</v>
      </c>
      <c r="E34" s="6">
        <f>+D20</f>
        <v>250000</v>
      </c>
      <c r="F34" s="6" t="s">
        <v>1073</v>
      </c>
      <c r="G34" s="6" t="s">
        <v>1076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1096</v>
      </c>
      <c r="D36" s="296"/>
      <c r="E36" s="296"/>
      <c r="G36" s="6"/>
    </row>
    <row r="37" spans="2:7" x14ac:dyDescent="0.15">
      <c r="B37" t="s">
        <v>953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1072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1072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1073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803</v>
      </c>
      <c r="D1" s="33" t="s">
        <v>805</v>
      </c>
      <c r="E1" s="33" t="s">
        <v>807</v>
      </c>
      <c r="F1" s="33" t="s">
        <v>806</v>
      </c>
      <c r="H1" s="34" t="s">
        <v>808</v>
      </c>
      <c r="I1" s="34" t="s">
        <v>1042</v>
      </c>
      <c r="J1" s="34" t="s">
        <v>1043</v>
      </c>
      <c r="K1" s="34" t="s">
        <v>321</v>
      </c>
    </row>
    <row r="2" spans="1:11" x14ac:dyDescent="0.15">
      <c r="C2" s="33" t="s">
        <v>804</v>
      </c>
    </row>
    <row r="3" spans="1:11" x14ac:dyDescent="0.15">
      <c r="A3" s="272">
        <v>1</v>
      </c>
      <c r="B3" s="272">
        <v>1</v>
      </c>
      <c r="C3" s="185" t="s">
        <v>798</v>
      </c>
      <c r="D3" s="185" t="s">
        <v>624</v>
      </c>
      <c r="E3" s="185" t="s">
        <v>695</v>
      </c>
      <c r="F3" s="185" t="s">
        <v>786</v>
      </c>
      <c r="G3" s="273">
        <v>1</v>
      </c>
      <c r="H3" s="262" t="s">
        <v>1041</v>
      </c>
      <c r="I3" s="10"/>
      <c r="J3" s="10"/>
    </row>
    <row r="4" spans="1:11" x14ac:dyDescent="0.15">
      <c r="A4" s="272" t="s">
        <v>1045</v>
      </c>
      <c r="B4" s="272">
        <v>1</v>
      </c>
      <c r="C4" s="185" t="s">
        <v>798</v>
      </c>
      <c r="D4" s="185" t="s">
        <v>1044</v>
      </c>
      <c r="E4" s="185" t="s">
        <v>780</v>
      </c>
      <c r="F4" s="185" t="s">
        <v>786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798</v>
      </c>
      <c r="D5" s="185" t="s">
        <v>625</v>
      </c>
      <c r="E5" s="185" t="s">
        <v>779</v>
      </c>
      <c r="F5" s="185" t="s">
        <v>789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798</v>
      </c>
      <c r="D6" s="185" t="s">
        <v>623</v>
      </c>
      <c r="E6" s="185" t="s">
        <v>778</v>
      </c>
      <c r="F6" s="185" t="s">
        <v>787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799</v>
      </c>
      <c r="D7" s="185" t="s">
        <v>619</v>
      </c>
      <c r="E7" s="185" t="s">
        <v>633</v>
      </c>
      <c r="F7" s="185" t="s">
        <v>786</v>
      </c>
      <c r="G7" s="273">
        <v>1</v>
      </c>
      <c r="H7" s="10"/>
      <c r="I7" s="10" t="s">
        <v>1041</v>
      </c>
      <c r="J7" s="10" t="s">
        <v>1041</v>
      </c>
    </row>
    <row r="8" spans="1:11" x14ac:dyDescent="0.15">
      <c r="A8" s="272">
        <v>0</v>
      </c>
      <c r="B8" s="272">
        <v>2</v>
      </c>
      <c r="C8" s="185" t="s">
        <v>799</v>
      </c>
      <c r="D8" s="185" t="s">
        <v>621</v>
      </c>
      <c r="E8" s="185" t="s">
        <v>630</v>
      </c>
      <c r="F8" s="185" t="s">
        <v>786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799</v>
      </c>
      <c r="D9" s="185" t="s">
        <v>634</v>
      </c>
      <c r="E9" s="185" t="s">
        <v>635</v>
      </c>
      <c r="F9" s="185" t="s">
        <v>786</v>
      </c>
      <c r="G9" s="273">
        <v>1</v>
      </c>
      <c r="H9" s="262" t="s">
        <v>1041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799</v>
      </c>
      <c r="D10" s="185" t="s">
        <v>622</v>
      </c>
      <c r="E10" s="185" t="s">
        <v>628</v>
      </c>
      <c r="F10" s="185" t="s">
        <v>786</v>
      </c>
      <c r="G10" s="273">
        <v>1</v>
      </c>
      <c r="H10" s="10"/>
      <c r="I10" s="10"/>
      <c r="J10" s="10"/>
    </row>
    <row r="11" spans="1:11" x14ac:dyDescent="0.15">
      <c r="A11" s="272" t="s">
        <v>1045</v>
      </c>
      <c r="B11" s="272">
        <v>2</v>
      </c>
      <c r="C11" s="185" t="s">
        <v>799</v>
      </c>
      <c r="D11" s="185" t="s">
        <v>618</v>
      </c>
      <c r="E11" s="185" t="s">
        <v>632</v>
      </c>
      <c r="F11" s="185" t="s">
        <v>789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799</v>
      </c>
      <c r="D12" s="185" t="s">
        <v>620</v>
      </c>
      <c r="E12" s="185" t="s">
        <v>627</v>
      </c>
      <c r="F12" s="185" t="s">
        <v>787</v>
      </c>
      <c r="G12" s="273">
        <v>3</v>
      </c>
      <c r="H12" s="10"/>
      <c r="I12" s="10"/>
      <c r="J12" s="10"/>
    </row>
    <row r="13" spans="1:11" x14ac:dyDescent="0.15">
      <c r="A13" s="272" t="s">
        <v>1046</v>
      </c>
      <c r="B13" s="272">
        <v>2</v>
      </c>
      <c r="C13" s="185" t="s">
        <v>799</v>
      </c>
      <c r="D13" s="185" t="s">
        <v>784</v>
      </c>
      <c r="E13" s="185" t="s">
        <v>785</v>
      </c>
      <c r="F13" s="185" t="s">
        <v>791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636</v>
      </c>
      <c r="E14" s="185" t="s">
        <v>631</v>
      </c>
      <c r="F14" s="185" t="s">
        <v>786</v>
      </c>
      <c r="G14" s="273">
        <v>1</v>
      </c>
      <c r="H14" s="10"/>
      <c r="I14" s="10" t="s">
        <v>1041</v>
      </c>
      <c r="J14" s="10" t="s">
        <v>1041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637</v>
      </c>
      <c r="E15" s="185" t="s">
        <v>629</v>
      </c>
      <c r="F15" s="185" t="s">
        <v>786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795</v>
      </c>
      <c r="E16" s="185" t="s">
        <v>796</v>
      </c>
      <c r="F16" s="185" t="s">
        <v>789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797</v>
      </c>
      <c r="D17" s="185" t="s">
        <v>607</v>
      </c>
      <c r="E17" s="185" t="s">
        <v>699</v>
      </c>
      <c r="F17" s="185" t="s">
        <v>786</v>
      </c>
      <c r="G17" s="273">
        <v>1</v>
      </c>
      <c r="H17" s="10" t="s">
        <v>1041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797</v>
      </c>
      <c r="D18" s="185" t="s">
        <v>626</v>
      </c>
      <c r="E18" s="185" t="s">
        <v>743</v>
      </c>
      <c r="F18" s="185" t="s">
        <v>786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797</v>
      </c>
      <c r="D19" s="185" t="s">
        <v>608</v>
      </c>
      <c r="E19" s="185" t="s">
        <v>697</v>
      </c>
      <c r="F19" s="185" t="s">
        <v>786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797</v>
      </c>
      <c r="D20" s="185" t="s">
        <v>609</v>
      </c>
      <c r="E20" s="185" t="s">
        <v>698</v>
      </c>
      <c r="F20" s="185" t="s">
        <v>786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797</v>
      </c>
      <c r="D21" s="185" t="s">
        <v>693</v>
      </c>
      <c r="E21" s="185" t="s">
        <v>694</v>
      </c>
      <c r="F21" s="185" t="s">
        <v>789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797</v>
      </c>
      <c r="D22" s="185" t="s">
        <v>744</v>
      </c>
      <c r="E22" s="185" t="s">
        <v>749</v>
      </c>
      <c r="F22" s="185" t="s">
        <v>787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802</v>
      </c>
      <c r="D23" s="185" t="s">
        <v>745</v>
      </c>
      <c r="E23" s="185" t="s">
        <v>748</v>
      </c>
      <c r="F23" s="185" t="s">
        <v>786</v>
      </c>
      <c r="G23" s="273">
        <v>1</v>
      </c>
      <c r="H23" s="10" t="s">
        <v>1041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802</v>
      </c>
      <c r="D24" s="185" t="s">
        <v>746</v>
      </c>
      <c r="E24" s="185" t="s">
        <v>747</v>
      </c>
      <c r="F24" s="185" t="s">
        <v>789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802</v>
      </c>
      <c r="D25" s="185" t="s">
        <v>770</v>
      </c>
      <c r="E25" s="185" t="s">
        <v>771</v>
      </c>
      <c r="F25" s="185" t="s">
        <v>787</v>
      </c>
      <c r="G25" s="273">
        <v>3</v>
      </c>
      <c r="H25" s="10"/>
      <c r="I25" s="10"/>
      <c r="J25" s="10"/>
    </row>
    <row r="26" spans="1:10" x14ac:dyDescent="0.15">
      <c r="A26" s="272" t="s">
        <v>1046</v>
      </c>
      <c r="B26" s="272">
        <v>5</v>
      </c>
      <c r="C26" s="185" t="s">
        <v>802</v>
      </c>
      <c r="D26" s="185" t="s">
        <v>782</v>
      </c>
      <c r="E26" s="185" t="s">
        <v>783</v>
      </c>
      <c r="F26" s="185" t="s">
        <v>792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800</v>
      </c>
      <c r="D27" s="185" t="s">
        <v>614</v>
      </c>
      <c r="E27" s="185" t="s">
        <v>775</v>
      </c>
      <c r="F27" s="185" t="s">
        <v>790</v>
      </c>
      <c r="G27" s="273">
        <v>1</v>
      </c>
      <c r="H27" s="10"/>
      <c r="I27" s="10"/>
      <c r="J27" s="10"/>
    </row>
    <row r="28" spans="1:10" x14ac:dyDescent="0.15">
      <c r="A28" s="272" t="s">
        <v>1048</v>
      </c>
      <c r="B28" s="272">
        <v>6</v>
      </c>
      <c r="C28" s="185" t="s">
        <v>800</v>
      </c>
      <c r="D28" s="185" t="s">
        <v>616</v>
      </c>
      <c r="E28" s="185" t="s">
        <v>775</v>
      </c>
      <c r="F28" s="185" t="s">
        <v>786</v>
      </c>
      <c r="G28" s="273">
        <v>1</v>
      </c>
      <c r="H28" s="10" t="s">
        <v>1041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800</v>
      </c>
      <c r="D29" s="185" t="s">
        <v>781</v>
      </c>
      <c r="E29" s="185" t="s">
        <v>635</v>
      </c>
      <c r="F29" s="185" t="s">
        <v>786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800</v>
      </c>
      <c r="D30" s="185" t="s">
        <v>617</v>
      </c>
      <c r="E30" s="185" t="s">
        <v>777</v>
      </c>
      <c r="F30" s="185" t="s">
        <v>789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800</v>
      </c>
      <c r="D31" s="185" t="s">
        <v>615</v>
      </c>
      <c r="E31" s="185" t="s">
        <v>776</v>
      </c>
      <c r="F31" s="185" t="s">
        <v>787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604</v>
      </c>
      <c r="E32" s="185" t="s">
        <v>858</v>
      </c>
      <c r="F32" s="185" t="s">
        <v>786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605</v>
      </c>
      <c r="E33" s="185" t="s">
        <v>772</v>
      </c>
      <c r="F33" s="185" t="s">
        <v>786</v>
      </c>
      <c r="G33" s="273">
        <v>1</v>
      </c>
      <c r="H33" s="10"/>
      <c r="I33" s="10"/>
      <c r="J33" s="10" t="s">
        <v>1041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606</v>
      </c>
      <c r="E34" s="185" t="s">
        <v>773</v>
      </c>
      <c r="F34" s="185" t="s">
        <v>789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795</v>
      </c>
      <c r="E35" s="185" t="s">
        <v>796</v>
      </c>
      <c r="F35" s="185" t="s">
        <v>789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793</v>
      </c>
      <c r="E36" s="185" t="s">
        <v>794</v>
      </c>
      <c r="F36" s="185" t="s">
        <v>788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801</v>
      </c>
      <c r="D37" s="185" t="s">
        <v>610</v>
      </c>
      <c r="E37" s="185" t="s">
        <v>768</v>
      </c>
      <c r="F37" s="185" t="s">
        <v>786</v>
      </c>
      <c r="G37" s="273">
        <v>1</v>
      </c>
      <c r="H37" s="10"/>
      <c r="I37" s="10"/>
      <c r="J37" s="10" t="s">
        <v>1041</v>
      </c>
    </row>
    <row r="38" spans="1:10" x14ac:dyDescent="0.15">
      <c r="A38" s="272">
        <v>0</v>
      </c>
      <c r="B38" s="272">
        <v>8</v>
      </c>
      <c r="C38" s="185" t="s">
        <v>801</v>
      </c>
      <c r="D38" s="185" t="s">
        <v>611</v>
      </c>
      <c r="E38" s="185" t="s">
        <v>857</v>
      </c>
      <c r="F38" s="185" t="s">
        <v>786</v>
      </c>
      <c r="G38" s="273">
        <v>1</v>
      </c>
      <c r="H38" s="10"/>
      <c r="I38" s="10" t="s">
        <v>1041</v>
      </c>
      <c r="J38" s="10" t="s">
        <v>1041</v>
      </c>
    </row>
    <row r="39" spans="1:10" x14ac:dyDescent="0.15">
      <c r="A39" s="272">
        <v>5</v>
      </c>
      <c r="B39" s="272">
        <v>8</v>
      </c>
      <c r="C39" s="185" t="s">
        <v>801</v>
      </c>
      <c r="D39" s="185" t="s">
        <v>612</v>
      </c>
      <c r="E39" s="185" t="s">
        <v>769</v>
      </c>
      <c r="F39" s="185" t="s">
        <v>786</v>
      </c>
      <c r="G39" s="273">
        <v>1</v>
      </c>
      <c r="H39" s="10" t="s">
        <v>1041</v>
      </c>
      <c r="I39" s="10" t="s">
        <v>1041</v>
      </c>
      <c r="J39" s="10"/>
    </row>
    <row r="40" spans="1:10" x14ac:dyDescent="0.15">
      <c r="A40" s="272">
        <v>0</v>
      </c>
      <c r="B40" s="272">
        <v>8</v>
      </c>
      <c r="C40" s="185" t="s">
        <v>801</v>
      </c>
      <c r="D40" s="185" t="s">
        <v>809</v>
      </c>
      <c r="E40" s="185" t="s">
        <v>810</v>
      </c>
      <c r="F40" s="185" t="s">
        <v>786</v>
      </c>
      <c r="G40" s="273">
        <v>1</v>
      </c>
      <c r="H40" s="10"/>
      <c r="I40" s="10" t="s">
        <v>1041</v>
      </c>
      <c r="J40" s="10"/>
    </row>
    <row r="41" spans="1:10" x14ac:dyDescent="0.15">
      <c r="A41" s="272">
        <v>0</v>
      </c>
      <c r="B41" s="272">
        <v>8</v>
      </c>
      <c r="C41" s="185" t="s">
        <v>801</v>
      </c>
      <c r="D41" s="185" t="s">
        <v>811</v>
      </c>
      <c r="E41" s="185" t="s">
        <v>812</v>
      </c>
      <c r="F41" s="185" t="s">
        <v>786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801</v>
      </c>
      <c r="D42" s="185" t="s">
        <v>978</v>
      </c>
      <c r="E42" s="185" t="s">
        <v>979</v>
      </c>
      <c r="F42" s="185" t="s">
        <v>789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801</v>
      </c>
      <c r="D43" s="185" t="s">
        <v>1033</v>
      </c>
      <c r="E43" s="185" t="s">
        <v>1019</v>
      </c>
      <c r="F43" s="185" t="s">
        <v>787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801</v>
      </c>
      <c r="D44" s="185" t="s">
        <v>613</v>
      </c>
      <c r="E44" s="185" t="s">
        <v>774</v>
      </c>
      <c r="F44" s="185" t="s">
        <v>788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603</v>
      </c>
      <c r="E45" s="185" t="s">
        <v>696</v>
      </c>
      <c r="F45" s="185" t="s">
        <v>786</v>
      </c>
      <c r="G45" s="171">
        <v>1</v>
      </c>
      <c r="H45" s="10"/>
      <c r="I45" s="10" t="s">
        <v>1041</v>
      </c>
      <c r="J45" s="10"/>
    </row>
    <row r="46" spans="1:10" x14ac:dyDescent="0.15">
      <c r="B46" s="180">
        <v>1</v>
      </c>
      <c r="C46" s="185" t="s">
        <v>798</v>
      </c>
      <c r="G46" s="273"/>
    </row>
    <row r="47" spans="1:10" x14ac:dyDescent="0.15">
      <c r="E47" s="185" t="s">
        <v>1047</v>
      </c>
    </row>
    <row r="48" spans="1:10" x14ac:dyDescent="0.15">
      <c r="E48" s="185"/>
    </row>
    <row r="49" spans="3:6" x14ac:dyDescent="0.15">
      <c r="C49" s="274" t="s">
        <v>804</v>
      </c>
      <c r="D49" s="274" t="s">
        <v>1049</v>
      </c>
      <c r="E49" s="274" t="s">
        <v>807</v>
      </c>
      <c r="F49" s="274" t="s">
        <v>806</v>
      </c>
    </row>
    <row r="51" spans="3:6" x14ac:dyDescent="0.15">
      <c r="C51" s="185" t="s">
        <v>798</v>
      </c>
      <c r="D51" s="185" t="s">
        <v>624</v>
      </c>
      <c r="E51" s="185" t="s">
        <v>695</v>
      </c>
      <c r="F51" s="185" t="s">
        <v>786</v>
      </c>
    </row>
    <row r="52" spans="3:6" x14ac:dyDescent="0.15">
      <c r="C52" s="185" t="s">
        <v>798</v>
      </c>
      <c r="D52" s="185" t="s">
        <v>1044</v>
      </c>
      <c r="E52" s="185" t="s">
        <v>780</v>
      </c>
      <c r="F52" s="185" t="s">
        <v>786</v>
      </c>
    </row>
    <row r="53" spans="3:6" x14ac:dyDescent="0.15">
      <c r="C53" s="185" t="s">
        <v>798</v>
      </c>
      <c r="D53" s="185" t="s">
        <v>625</v>
      </c>
      <c r="E53" s="185" t="s">
        <v>779</v>
      </c>
      <c r="F53" s="185" t="s">
        <v>789</v>
      </c>
    </row>
    <row r="54" spans="3:6" x14ac:dyDescent="0.15">
      <c r="C54" s="185" t="s">
        <v>798</v>
      </c>
      <c r="D54" s="185" t="s">
        <v>623</v>
      </c>
      <c r="E54" s="185" t="s">
        <v>778</v>
      </c>
      <c r="F54" s="185" t="s">
        <v>787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799</v>
      </c>
      <c r="D56" s="185" t="s">
        <v>619</v>
      </c>
      <c r="E56" s="185" t="s">
        <v>633</v>
      </c>
      <c r="F56" s="185" t="s">
        <v>786</v>
      </c>
    </row>
    <row r="57" spans="3:6" x14ac:dyDescent="0.15">
      <c r="C57" s="185" t="s">
        <v>799</v>
      </c>
      <c r="D57" s="185" t="s">
        <v>621</v>
      </c>
      <c r="E57" s="185" t="s">
        <v>630</v>
      </c>
      <c r="F57" s="185" t="s">
        <v>786</v>
      </c>
    </row>
    <row r="58" spans="3:6" x14ac:dyDescent="0.15">
      <c r="C58" s="185" t="s">
        <v>799</v>
      </c>
      <c r="D58" s="185" t="s">
        <v>634</v>
      </c>
      <c r="E58" s="185" t="s">
        <v>635</v>
      </c>
      <c r="F58" s="185" t="s">
        <v>786</v>
      </c>
    </row>
    <row r="59" spans="3:6" x14ac:dyDescent="0.15">
      <c r="C59" s="185" t="s">
        <v>799</v>
      </c>
      <c r="D59" s="185" t="s">
        <v>622</v>
      </c>
      <c r="E59" s="185" t="s">
        <v>628</v>
      </c>
      <c r="F59" s="185" t="s">
        <v>786</v>
      </c>
    </row>
    <row r="60" spans="3:6" x14ac:dyDescent="0.15">
      <c r="C60" s="185" t="s">
        <v>799</v>
      </c>
      <c r="D60" s="185" t="s">
        <v>618</v>
      </c>
      <c r="E60" s="185" t="s">
        <v>632</v>
      </c>
      <c r="F60" s="185" t="s">
        <v>789</v>
      </c>
    </row>
    <row r="61" spans="3:6" x14ac:dyDescent="0.15">
      <c r="C61" s="185" t="s">
        <v>799</v>
      </c>
      <c r="D61" s="185" t="s">
        <v>620</v>
      </c>
      <c r="E61" s="185" t="s">
        <v>627</v>
      </c>
      <c r="F61" s="185" t="s">
        <v>787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636</v>
      </c>
      <c r="E63" s="185" t="s">
        <v>631</v>
      </c>
      <c r="F63" s="185" t="s">
        <v>786</v>
      </c>
    </row>
    <row r="64" spans="3:6" x14ac:dyDescent="0.15">
      <c r="C64" s="185" t="s">
        <v>344</v>
      </c>
      <c r="D64" s="185" t="s">
        <v>637</v>
      </c>
      <c r="E64" s="185" t="s">
        <v>629</v>
      </c>
      <c r="F64" s="185" t="s">
        <v>786</v>
      </c>
    </row>
    <row r="65" spans="3:6" x14ac:dyDescent="0.15">
      <c r="C65" s="185" t="s">
        <v>344</v>
      </c>
      <c r="D65" s="185" t="s">
        <v>795</v>
      </c>
      <c r="E65" s="185" t="s">
        <v>796</v>
      </c>
      <c r="F65" s="185" t="s">
        <v>789</v>
      </c>
    </row>
    <row r="66" spans="3:6" x14ac:dyDescent="0.15">
      <c r="C66" s="185" t="s">
        <v>799</v>
      </c>
      <c r="D66" s="185" t="s">
        <v>620</v>
      </c>
      <c r="E66" s="185" t="s">
        <v>627</v>
      </c>
      <c r="F66" s="185" t="s">
        <v>787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797</v>
      </c>
      <c r="D68" s="185" t="s">
        <v>607</v>
      </c>
      <c r="E68" s="185" t="s">
        <v>699</v>
      </c>
      <c r="F68" s="185" t="s">
        <v>786</v>
      </c>
    </row>
    <row r="69" spans="3:6" x14ac:dyDescent="0.15">
      <c r="C69" s="185" t="s">
        <v>797</v>
      </c>
      <c r="D69" s="185" t="s">
        <v>626</v>
      </c>
      <c r="E69" s="185" t="s">
        <v>743</v>
      </c>
      <c r="F69" s="185" t="s">
        <v>786</v>
      </c>
    </row>
    <row r="70" spans="3:6" x14ac:dyDescent="0.15">
      <c r="C70" s="185" t="s">
        <v>797</v>
      </c>
      <c r="D70" s="185" t="s">
        <v>608</v>
      </c>
      <c r="E70" s="185" t="s">
        <v>697</v>
      </c>
      <c r="F70" s="185" t="s">
        <v>786</v>
      </c>
    </row>
    <row r="71" spans="3:6" x14ac:dyDescent="0.15">
      <c r="C71" s="185" t="s">
        <v>797</v>
      </c>
      <c r="D71" s="185" t="s">
        <v>609</v>
      </c>
      <c r="E71" s="185" t="s">
        <v>698</v>
      </c>
      <c r="F71" s="185" t="s">
        <v>786</v>
      </c>
    </row>
    <row r="72" spans="3:6" x14ac:dyDescent="0.15">
      <c r="C72" s="185" t="s">
        <v>797</v>
      </c>
      <c r="D72" s="185" t="s">
        <v>693</v>
      </c>
      <c r="E72" s="185" t="s">
        <v>694</v>
      </c>
      <c r="F72" s="185" t="s">
        <v>789</v>
      </c>
    </row>
    <row r="73" spans="3:6" x14ac:dyDescent="0.15">
      <c r="C73" s="185" t="s">
        <v>797</v>
      </c>
      <c r="D73" s="185" t="s">
        <v>1122</v>
      </c>
      <c r="E73" s="185" t="s">
        <v>1123</v>
      </c>
      <c r="F73" s="185" t="s">
        <v>787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802</v>
      </c>
      <c r="D75" s="185" t="s">
        <v>745</v>
      </c>
      <c r="E75" s="185" t="s">
        <v>748</v>
      </c>
      <c r="F75" s="185" t="s">
        <v>786</v>
      </c>
    </row>
    <row r="76" spans="3:6" x14ac:dyDescent="0.15">
      <c r="C76" s="185" t="s">
        <v>802</v>
      </c>
      <c r="D76" s="185" t="s">
        <v>746</v>
      </c>
      <c r="E76" s="185" t="s">
        <v>747</v>
      </c>
      <c r="F76" s="185" t="s">
        <v>789</v>
      </c>
    </row>
    <row r="77" spans="3:6" x14ac:dyDescent="0.15">
      <c r="C77" s="185" t="s">
        <v>802</v>
      </c>
      <c r="D77" s="185" t="s">
        <v>744</v>
      </c>
      <c r="E77" s="185" t="s">
        <v>749</v>
      </c>
      <c r="F77" s="185" t="s">
        <v>787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800</v>
      </c>
      <c r="D79" s="185" t="s">
        <v>614</v>
      </c>
      <c r="E79" s="185" t="s">
        <v>775</v>
      </c>
      <c r="F79" s="185" t="s">
        <v>790</v>
      </c>
    </row>
    <row r="80" spans="3:6" x14ac:dyDescent="0.15">
      <c r="C80" s="185" t="s">
        <v>800</v>
      </c>
      <c r="D80" s="185" t="s">
        <v>1124</v>
      </c>
      <c r="E80" s="185" t="s">
        <v>775</v>
      </c>
      <c r="F80" s="185" t="s">
        <v>786</v>
      </c>
    </row>
    <row r="81" spans="3:6" x14ac:dyDescent="0.15">
      <c r="C81" s="185" t="s">
        <v>800</v>
      </c>
      <c r="D81" s="185" t="s">
        <v>617</v>
      </c>
      <c r="E81" s="185" t="s">
        <v>777</v>
      </c>
      <c r="F81" s="185" t="s">
        <v>789</v>
      </c>
    </row>
    <row r="82" spans="3:6" x14ac:dyDescent="0.15">
      <c r="C82" s="185" t="s">
        <v>800</v>
      </c>
      <c r="D82" s="185" t="s">
        <v>615</v>
      </c>
      <c r="E82" s="185" t="s">
        <v>776</v>
      </c>
      <c r="F82" s="185" t="s">
        <v>787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603</v>
      </c>
      <c r="E84" s="185" t="s">
        <v>696</v>
      </c>
      <c r="F84" s="185" t="s">
        <v>786</v>
      </c>
    </row>
    <row r="85" spans="3:6" x14ac:dyDescent="0.15">
      <c r="C85" s="185" t="s">
        <v>280</v>
      </c>
      <c r="D85" s="185" t="s">
        <v>604</v>
      </c>
      <c r="E85" s="185" t="s">
        <v>858</v>
      </c>
      <c r="F85" s="185" t="s">
        <v>786</v>
      </c>
    </row>
    <row r="86" spans="3:6" x14ac:dyDescent="0.15">
      <c r="C86" s="185" t="s">
        <v>280</v>
      </c>
      <c r="D86" s="185" t="s">
        <v>605</v>
      </c>
      <c r="E86" s="185" t="s">
        <v>772</v>
      </c>
      <c r="F86" s="185" t="s">
        <v>786</v>
      </c>
    </row>
    <row r="87" spans="3:6" x14ac:dyDescent="0.15">
      <c r="C87" s="185" t="s">
        <v>280</v>
      </c>
      <c r="D87" s="185" t="s">
        <v>606</v>
      </c>
      <c r="E87" s="185" t="s">
        <v>773</v>
      </c>
      <c r="F87" s="185" t="s">
        <v>789</v>
      </c>
    </row>
    <row r="88" spans="3:6" x14ac:dyDescent="0.15">
      <c r="C88" s="185" t="s">
        <v>280</v>
      </c>
      <c r="D88" s="185" t="s">
        <v>795</v>
      </c>
      <c r="E88" s="185" t="s">
        <v>796</v>
      </c>
      <c r="F88" s="185" t="s">
        <v>789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801</v>
      </c>
      <c r="D90" s="185" t="s">
        <v>610</v>
      </c>
      <c r="E90" s="185" t="s">
        <v>768</v>
      </c>
      <c r="F90" s="185" t="s">
        <v>786</v>
      </c>
    </row>
    <row r="91" spans="3:6" x14ac:dyDescent="0.15">
      <c r="C91" s="185" t="s">
        <v>801</v>
      </c>
      <c r="D91" s="185" t="s">
        <v>611</v>
      </c>
      <c r="E91" s="185" t="s">
        <v>857</v>
      </c>
      <c r="F91" s="185" t="s">
        <v>786</v>
      </c>
    </row>
    <row r="92" spans="3:6" x14ac:dyDescent="0.15">
      <c r="C92" s="185" t="s">
        <v>801</v>
      </c>
      <c r="D92" s="185" t="s">
        <v>612</v>
      </c>
      <c r="E92" s="185" t="s">
        <v>769</v>
      </c>
      <c r="F92" s="185" t="s">
        <v>786</v>
      </c>
    </row>
    <row r="93" spans="3:6" x14ac:dyDescent="0.15">
      <c r="C93" s="185" t="s">
        <v>801</v>
      </c>
      <c r="D93" s="185" t="s">
        <v>809</v>
      </c>
      <c r="E93" s="185" t="s">
        <v>810</v>
      </c>
      <c r="F93" s="185" t="s">
        <v>786</v>
      </c>
    </row>
    <row r="94" spans="3:6" x14ac:dyDescent="0.15">
      <c r="C94" s="185" t="s">
        <v>801</v>
      </c>
      <c r="D94" s="185" t="s">
        <v>811</v>
      </c>
      <c r="E94" s="185" t="s">
        <v>812</v>
      </c>
      <c r="F94" s="185" t="s">
        <v>786</v>
      </c>
    </row>
    <row r="95" spans="3:6" x14ac:dyDescent="0.15">
      <c r="C95" s="185" t="s">
        <v>801</v>
      </c>
      <c r="D95" s="185" t="s">
        <v>978</v>
      </c>
      <c r="E95" s="185" t="s">
        <v>979</v>
      </c>
      <c r="F95" s="185" t="s">
        <v>789</v>
      </c>
    </row>
    <row r="96" spans="3:6" x14ac:dyDescent="0.15">
      <c r="C96" s="185" t="s">
        <v>801</v>
      </c>
      <c r="D96" s="185" t="s">
        <v>1033</v>
      </c>
      <c r="E96" s="185" t="s">
        <v>1019</v>
      </c>
      <c r="F96" s="185" t="s">
        <v>789</v>
      </c>
    </row>
    <row r="97" spans="3:6" x14ac:dyDescent="0.15">
      <c r="C97" s="185" t="s">
        <v>801</v>
      </c>
      <c r="D97" s="185" t="s">
        <v>1121</v>
      </c>
      <c r="E97" s="185" t="s">
        <v>771</v>
      </c>
      <c r="F97" s="185" t="s">
        <v>787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840</v>
      </c>
      <c r="C2" s="10" t="s">
        <v>824</v>
      </c>
      <c r="D2" s="10" t="s">
        <v>825</v>
      </c>
      <c r="E2" s="34"/>
      <c r="F2" s="364" t="s">
        <v>834</v>
      </c>
      <c r="G2" s="364"/>
      <c r="H2" s="364"/>
      <c r="J2" s="364" t="s">
        <v>469</v>
      </c>
      <c r="K2" s="364"/>
      <c r="L2" s="364"/>
      <c r="M2" s="364"/>
      <c r="N2" s="364"/>
      <c r="O2" s="364"/>
    </row>
    <row r="3" spans="2:15" x14ac:dyDescent="0.15">
      <c r="E3" s="33"/>
      <c r="F3" s="14"/>
      <c r="G3" s="10" t="s">
        <v>824</v>
      </c>
      <c r="H3" s="10" t="s">
        <v>825</v>
      </c>
      <c r="K3" s="10" t="s">
        <v>824</v>
      </c>
      <c r="L3" s="10" t="s">
        <v>825</v>
      </c>
      <c r="M3" s="10"/>
      <c r="N3" s="10" t="s">
        <v>1110</v>
      </c>
      <c r="O3" s="10" t="s">
        <v>1111</v>
      </c>
    </row>
    <row r="4" spans="2:15" x14ac:dyDescent="0.15">
      <c r="B4" s="33" t="s">
        <v>839</v>
      </c>
      <c r="C4" s="9">
        <v>15000</v>
      </c>
      <c r="D4" s="9">
        <v>25000</v>
      </c>
      <c r="E4" s="33"/>
      <c r="G4" s="34"/>
      <c r="H4" s="33"/>
      <c r="J4" s="135" t="s">
        <v>470</v>
      </c>
    </row>
    <row r="5" spans="2:15" x14ac:dyDescent="0.15">
      <c r="B5" s="47" t="s">
        <v>826</v>
      </c>
      <c r="C5" s="9">
        <v>3500</v>
      </c>
      <c r="D5" s="9">
        <v>5000</v>
      </c>
      <c r="E5" s="66"/>
      <c r="F5" s="33" t="s">
        <v>815</v>
      </c>
      <c r="G5" s="9">
        <v>0</v>
      </c>
      <c r="H5" s="9">
        <f>+G8</f>
        <v>12500</v>
      </c>
      <c r="J5" s="135" t="s">
        <v>471</v>
      </c>
    </row>
    <row r="6" spans="2:15" x14ac:dyDescent="0.15">
      <c r="B6" s="33" t="s">
        <v>818</v>
      </c>
      <c r="C6" s="9">
        <f>+C4-C5</f>
        <v>11500</v>
      </c>
      <c r="D6" s="9">
        <f>+D4-D5</f>
        <v>20000</v>
      </c>
      <c r="E6" s="66"/>
      <c r="F6" s="33" t="s">
        <v>839</v>
      </c>
      <c r="G6" s="9">
        <f>+C4</f>
        <v>15000</v>
      </c>
      <c r="H6" s="9">
        <f>+D4</f>
        <v>25000</v>
      </c>
      <c r="J6" s="127" t="s">
        <v>467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1119</v>
      </c>
    </row>
    <row r="7" spans="2:15" x14ac:dyDescent="0.15">
      <c r="C7" s="9"/>
      <c r="D7" s="9"/>
      <c r="F7" s="33" t="s">
        <v>816</v>
      </c>
      <c r="G7" s="9">
        <v>2500</v>
      </c>
      <c r="H7" s="9">
        <v>9000</v>
      </c>
      <c r="J7" s="127" t="s">
        <v>472</v>
      </c>
      <c r="K7" s="9">
        <f>+G8</f>
        <v>12500</v>
      </c>
      <c r="L7" s="66">
        <f>+H8</f>
        <v>28500</v>
      </c>
      <c r="M7" s="66"/>
      <c r="N7" t="s">
        <v>834</v>
      </c>
      <c r="O7" s="33" t="s">
        <v>1114</v>
      </c>
    </row>
    <row r="8" spans="2:15" x14ac:dyDescent="0.15">
      <c r="B8" s="47" t="s">
        <v>819</v>
      </c>
      <c r="C8" s="9">
        <v>1500</v>
      </c>
      <c r="D8" s="9">
        <v>2000</v>
      </c>
      <c r="E8" s="66"/>
      <c r="F8" s="33" t="s">
        <v>817</v>
      </c>
      <c r="G8" s="9">
        <f>+G5+G6-G7</f>
        <v>12500</v>
      </c>
      <c r="H8" s="9">
        <f>+H5+H6-H7</f>
        <v>28500</v>
      </c>
      <c r="J8" s="127" t="s">
        <v>473</v>
      </c>
      <c r="K8" s="9">
        <f>+G33</f>
        <v>500</v>
      </c>
      <c r="L8" s="66">
        <f>+H30</f>
        <v>1500</v>
      </c>
      <c r="M8" s="66"/>
      <c r="N8" t="s">
        <v>473</v>
      </c>
      <c r="O8" s="33" t="s">
        <v>1115</v>
      </c>
    </row>
    <row r="9" spans="2:15" x14ac:dyDescent="0.15">
      <c r="B9" s="47" t="s">
        <v>820</v>
      </c>
      <c r="C9" s="9">
        <v>1000</v>
      </c>
      <c r="D9" s="9">
        <v>1000</v>
      </c>
      <c r="G9" s="9"/>
      <c r="H9" s="9"/>
      <c r="J9" s="135" t="s">
        <v>474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821</v>
      </c>
      <c r="C10" s="9">
        <v>2500</v>
      </c>
      <c r="D10" s="9">
        <v>2500</v>
      </c>
      <c r="F10" s="33" t="s">
        <v>1082</v>
      </c>
      <c r="G10" s="9">
        <f>+G7</f>
        <v>2500</v>
      </c>
      <c r="H10" s="9">
        <f>+H7</f>
        <v>9000</v>
      </c>
      <c r="J10" s="136" t="s">
        <v>468</v>
      </c>
    </row>
    <row r="11" spans="2:15" x14ac:dyDescent="0.15">
      <c r="B11" s="47" t="s">
        <v>822</v>
      </c>
      <c r="C11" s="9">
        <v>1500</v>
      </c>
      <c r="D11" s="9">
        <v>2500</v>
      </c>
      <c r="E11" s="66"/>
      <c r="F11" s="33" t="s">
        <v>1083</v>
      </c>
      <c r="G11" s="9">
        <f>+G8-G5</f>
        <v>12500</v>
      </c>
      <c r="H11" s="9">
        <f>+H8-H5</f>
        <v>16000</v>
      </c>
      <c r="J11" s="135" t="s">
        <v>475</v>
      </c>
    </row>
    <row r="12" spans="2:15" x14ac:dyDescent="0.15">
      <c r="B12" s="47" t="s">
        <v>1094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1118</v>
      </c>
    </row>
    <row r="13" spans="2:15" x14ac:dyDescent="0.15">
      <c r="B13" s="47" t="s">
        <v>167</v>
      </c>
      <c r="C13" s="9">
        <v>500</v>
      </c>
      <c r="D13" s="9">
        <v>500</v>
      </c>
      <c r="F13" s="364" t="s">
        <v>1095</v>
      </c>
      <c r="G13" s="364"/>
      <c r="H13" s="364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1118</v>
      </c>
    </row>
    <row r="14" spans="2:15" x14ac:dyDescent="0.15">
      <c r="B14" s="44" t="s">
        <v>823</v>
      </c>
      <c r="C14" s="66">
        <f>+C13+C12</f>
        <v>7000</v>
      </c>
      <c r="D14" s="66">
        <f>+D13+D12</f>
        <v>8500</v>
      </c>
      <c r="E14" s="9"/>
      <c r="F14" s="14"/>
      <c r="G14" s="10" t="s">
        <v>824</v>
      </c>
      <c r="H14" s="14" t="s">
        <v>825</v>
      </c>
      <c r="J14" s="135" t="s">
        <v>476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485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815</v>
      </c>
      <c r="G16" s="9">
        <v>0</v>
      </c>
      <c r="H16" s="66">
        <f>+G19</f>
        <v>1000</v>
      </c>
      <c r="J16" s="135" t="s">
        <v>477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827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836</v>
      </c>
      <c r="G18" s="9">
        <f>+G17*0.75</f>
        <v>3000</v>
      </c>
      <c r="H18" s="9">
        <f>+H17*0.8</f>
        <v>4800</v>
      </c>
      <c r="J18" s="135" t="s">
        <v>1077</v>
      </c>
    </row>
    <row r="19" spans="2:15" x14ac:dyDescent="0.15">
      <c r="B19" s="14" t="s">
        <v>813</v>
      </c>
      <c r="E19" s="9"/>
      <c r="F19" s="33" t="s">
        <v>817</v>
      </c>
      <c r="G19" s="9">
        <f>+G16+G17-G18</f>
        <v>1000</v>
      </c>
      <c r="H19" s="66">
        <f>+H16+H17-H18</f>
        <v>2200</v>
      </c>
      <c r="J19" s="135" t="s">
        <v>478</v>
      </c>
    </row>
    <row r="20" spans="2:15" x14ac:dyDescent="0.15">
      <c r="B20" s="136" t="s">
        <v>485</v>
      </c>
      <c r="C20" s="66">
        <f>+C15</f>
        <v>4500</v>
      </c>
      <c r="D20" s="66">
        <f>+D15</f>
        <v>11500</v>
      </c>
      <c r="E20" s="9"/>
      <c r="J20" s="127" t="s">
        <v>385</v>
      </c>
      <c r="K20" s="9">
        <f>+G19+G42</f>
        <v>2625</v>
      </c>
      <c r="L20" s="66">
        <f>+H19+H42</f>
        <v>5825</v>
      </c>
      <c r="M20" s="66"/>
      <c r="N20" s="33" t="s">
        <v>1113</v>
      </c>
      <c r="O20" s="33" t="s">
        <v>1116</v>
      </c>
    </row>
    <row r="21" spans="2:15" x14ac:dyDescent="0.15">
      <c r="E21" s="9"/>
      <c r="F21" s="33" t="s">
        <v>1085</v>
      </c>
      <c r="G21" s="66">
        <f>+G18*-1</f>
        <v>-3000</v>
      </c>
      <c r="H21" s="66">
        <f>+H18*-1</f>
        <v>-4800</v>
      </c>
      <c r="J21" s="135" t="s">
        <v>479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843</v>
      </c>
      <c r="E22" s="9"/>
      <c r="F22" s="33" t="s">
        <v>1084</v>
      </c>
      <c r="G22" s="66">
        <f>+G19-G16</f>
        <v>1000</v>
      </c>
      <c r="H22" s="66">
        <f>+H19-H16</f>
        <v>1200</v>
      </c>
      <c r="J22" s="136" t="s">
        <v>468</v>
      </c>
    </row>
    <row r="23" spans="2:15" x14ac:dyDescent="0.15">
      <c r="B23" s="127" t="s">
        <v>500</v>
      </c>
      <c r="C23" s="9">
        <f>+C13</f>
        <v>500</v>
      </c>
      <c r="D23" s="9">
        <f>+D13</f>
        <v>500</v>
      </c>
      <c r="E23" s="9"/>
      <c r="J23" s="135" t="s">
        <v>480</v>
      </c>
    </row>
    <row r="24" spans="2:15" x14ac:dyDescent="0.15">
      <c r="B24" s="127" t="s">
        <v>487</v>
      </c>
      <c r="C24" s="70">
        <f>+G11*-1</f>
        <v>-12500</v>
      </c>
      <c r="D24" s="70">
        <f>+H11*-1</f>
        <v>-16000</v>
      </c>
      <c r="F24" s="364" t="s">
        <v>473</v>
      </c>
      <c r="G24" s="364"/>
      <c r="H24" s="364"/>
      <c r="J24" s="127" t="s">
        <v>481</v>
      </c>
      <c r="K24" s="9">
        <v>0</v>
      </c>
      <c r="L24" s="9">
        <v>0</v>
      </c>
      <c r="M24" s="9"/>
      <c r="N24" t="s">
        <v>1112</v>
      </c>
      <c r="O24" s="33" t="s">
        <v>1117</v>
      </c>
    </row>
    <row r="25" spans="2:15" x14ac:dyDescent="0.15">
      <c r="B25" s="127" t="s">
        <v>488</v>
      </c>
      <c r="C25" s="9">
        <f>+G33*-1</f>
        <v>-500</v>
      </c>
      <c r="D25" s="9">
        <f>+H33*-1</f>
        <v>-1000</v>
      </c>
      <c r="E25" s="66"/>
      <c r="F25" s="14"/>
      <c r="G25" s="10" t="s">
        <v>824</v>
      </c>
      <c r="H25" s="10" t="s">
        <v>825</v>
      </c>
      <c r="J25" s="135" t="s">
        <v>482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830</v>
      </c>
      <c r="C26" s="9">
        <f>+G22</f>
        <v>1000</v>
      </c>
      <c r="D26" s="9">
        <f>+H22</f>
        <v>1200</v>
      </c>
      <c r="G26" s="34"/>
      <c r="H26" s="33"/>
      <c r="J26" s="136" t="s">
        <v>468</v>
      </c>
    </row>
    <row r="27" spans="2:15" x14ac:dyDescent="0.15">
      <c r="B27" s="127" t="s">
        <v>831</v>
      </c>
      <c r="C27" s="9">
        <f>+G45</f>
        <v>1625</v>
      </c>
      <c r="D27" s="9">
        <f>+H45</f>
        <v>2000</v>
      </c>
      <c r="F27" s="33" t="s">
        <v>815</v>
      </c>
      <c r="G27" s="9">
        <v>0</v>
      </c>
      <c r="H27" s="66">
        <f>+G30</f>
        <v>500</v>
      </c>
      <c r="J27" s="135" t="s">
        <v>1101</v>
      </c>
    </row>
    <row r="28" spans="2:15" x14ac:dyDescent="0.15">
      <c r="B28" s="136" t="s">
        <v>844</v>
      </c>
      <c r="C28" s="9">
        <f>SUM(C23:C27)</f>
        <v>-9875</v>
      </c>
      <c r="D28" s="9">
        <f>SUM(D23:D27)</f>
        <v>-13300</v>
      </c>
      <c r="F28" s="33" t="s">
        <v>827</v>
      </c>
      <c r="G28" s="9">
        <v>4000</v>
      </c>
      <c r="H28" s="66">
        <v>6000</v>
      </c>
      <c r="J28" s="127" t="s">
        <v>1079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1119</v>
      </c>
    </row>
    <row r="29" spans="2:15" x14ac:dyDescent="0.15">
      <c r="B29" s="137"/>
      <c r="F29" s="33" t="s">
        <v>837</v>
      </c>
      <c r="G29" s="9">
        <f>+C5</f>
        <v>3500</v>
      </c>
      <c r="H29" s="9">
        <f>+D5</f>
        <v>5000</v>
      </c>
      <c r="J29" s="127" t="s">
        <v>998</v>
      </c>
      <c r="L29" s="66">
        <f>+K30</f>
        <v>4500</v>
      </c>
      <c r="M29" s="66"/>
      <c r="N29" s="44" t="s">
        <v>840</v>
      </c>
      <c r="O29" s="33" t="s">
        <v>1119</v>
      </c>
    </row>
    <row r="30" spans="2:15" x14ac:dyDescent="0.15">
      <c r="B30" s="136" t="s">
        <v>1063</v>
      </c>
      <c r="C30" s="66">
        <f>+C20+C28</f>
        <v>-5375</v>
      </c>
      <c r="D30" s="66">
        <f>+D20+D28</f>
        <v>-1800</v>
      </c>
      <c r="F30" s="33" t="s">
        <v>817</v>
      </c>
      <c r="G30" s="9">
        <f>+G27+G28-G29</f>
        <v>500</v>
      </c>
      <c r="H30" s="66">
        <f>+H27+H28-H29</f>
        <v>1500</v>
      </c>
      <c r="J30" s="162" t="s">
        <v>485</v>
      </c>
      <c r="K30" s="9">
        <f>+C15</f>
        <v>4500</v>
      </c>
      <c r="L30" s="66">
        <f>+D15</f>
        <v>11500</v>
      </c>
      <c r="M30" s="66"/>
      <c r="N30" s="44" t="s">
        <v>840</v>
      </c>
      <c r="O30" s="33" t="s">
        <v>1119</v>
      </c>
    </row>
    <row r="31" spans="2:15" x14ac:dyDescent="0.15">
      <c r="J31" s="135" t="s">
        <v>1080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842</v>
      </c>
      <c r="F32" s="33" t="s">
        <v>1085</v>
      </c>
      <c r="G32" s="66">
        <v>0</v>
      </c>
      <c r="H32" s="66">
        <v>0</v>
      </c>
    </row>
    <row r="33" spans="2:14" x14ac:dyDescent="0.15">
      <c r="B33" s="136" t="s">
        <v>490</v>
      </c>
      <c r="C33" s="9">
        <f>+G57*-1</f>
        <v>-30000</v>
      </c>
      <c r="D33" s="9">
        <v>0</v>
      </c>
      <c r="F33" s="33" t="s">
        <v>1086</v>
      </c>
      <c r="G33" s="66">
        <f>+G30-G27</f>
        <v>500</v>
      </c>
      <c r="H33" s="66">
        <f>+H30-H27</f>
        <v>1000</v>
      </c>
      <c r="J33" s="135" t="s">
        <v>1081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486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841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835</v>
      </c>
      <c r="H36" s="10"/>
    </row>
    <row r="37" spans="2:14" x14ac:dyDescent="0.15">
      <c r="B37" s="135" t="s">
        <v>814</v>
      </c>
      <c r="C37" s="9"/>
      <c r="D37" s="9"/>
      <c r="F37" s="14"/>
      <c r="G37" s="10" t="s">
        <v>824</v>
      </c>
      <c r="H37" s="10" t="s">
        <v>825</v>
      </c>
    </row>
    <row r="38" spans="2:14" x14ac:dyDescent="0.15">
      <c r="B38" s="136" t="s">
        <v>1079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1064</v>
      </c>
      <c r="C39" s="9">
        <f>+C38</f>
        <v>50000</v>
      </c>
      <c r="D39" s="9">
        <f>+D38</f>
        <v>0</v>
      </c>
      <c r="F39" s="33" t="s">
        <v>815</v>
      </c>
      <c r="G39" s="9">
        <v>0</v>
      </c>
      <c r="H39" s="66">
        <f>+G42</f>
        <v>1625</v>
      </c>
    </row>
    <row r="40" spans="2:14" x14ac:dyDescent="0.15">
      <c r="F40" s="33" t="s">
        <v>829</v>
      </c>
      <c r="G40" s="9">
        <f>+C12</f>
        <v>6500</v>
      </c>
      <c r="H40" s="9">
        <f>+D12</f>
        <v>8000</v>
      </c>
    </row>
    <row r="41" spans="2:14" x14ac:dyDescent="0.15">
      <c r="F41" s="33" t="s">
        <v>828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491</v>
      </c>
      <c r="C42" s="9">
        <f>+C39+C35+C30</f>
        <v>14625</v>
      </c>
      <c r="D42" s="9">
        <f>+D39+D35+D30</f>
        <v>-1800</v>
      </c>
      <c r="F42" s="33" t="s">
        <v>817</v>
      </c>
      <c r="G42" s="9">
        <f>+G39+G40-G41</f>
        <v>1625</v>
      </c>
      <c r="H42" s="66">
        <f>+H39+H40-H41</f>
        <v>3625</v>
      </c>
      <c r="J42" s="14" t="s">
        <v>999</v>
      </c>
    </row>
    <row r="43" spans="2:14" x14ac:dyDescent="0.15">
      <c r="B43" s="137"/>
      <c r="C43" s="9"/>
      <c r="D43" s="9"/>
    </row>
    <row r="44" spans="2:14" x14ac:dyDescent="0.15">
      <c r="B44" s="136" t="s">
        <v>493</v>
      </c>
      <c r="C44" s="9">
        <v>0</v>
      </c>
      <c r="D44" s="9">
        <f>+C45</f>
        <v>14625</v>
      </c>
      <c r="F44" s="33" t="s">
        <v>1082</v>
      </c>
      <c r="G44" s="66">
        <f>+G41*-1</f>
        <v>-4875</v>
      </c>
      <c r="H44" s="66">
        <f>+H41*-1</f>
        <v>-6000</v>
      </c>
      <c r="J44" s="33" t="s">
        <v>1000</v>
      </c>
    </row>
    <row r="45" spans="2:14" x14ac:dyDescent="0.15">
      <c r="B45" s="136" t="s">
        <v>492</v>
      </c>
      <c r="C45" s="9">
        <f>+C44+C42</f>
        <v>14625</v>
      </c>
      <c r="D45" s="9">
        <f>+D44+D42</f>
        <v>12825</v>
      </c>
      <c r="F45" s="33" t="s">
        <v>1087</v>
      </c>
      <c r="G45" s="66">
        <f>+G42-G39</f>
        <v>1625</v>
      </c>
      <c r="H45" s="66">
        <f>+H42-H39</f>
        <v>2000</v>
      </c>
      <c r="J45" s="47" t="s">
        <v>1002</v>
      </c>
      <c r="K45" s="102">
        <f>+K16/K21</f>
        <v>21.761904761904763</v>
      </c>
      <c r="L45" s="102">
        <f>+L16/L21</f>
        <v>12.330472103004292</v>
      </c>
      <c r="M45" s="102"/>
      <c r="N45" s="33" t="s">
        <v>1005</v>
      </c>
    </row>
    <row r="46" spans="2:14" x14ac:dyDescent="0.15">
      <c r="F46" s="33"/>
      <c r="G46" s="66"/>
      <c r="H46" s="66"/>
      <c r="J46" s="47" t="s">
        <v>1003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1006</v>
      </c>
    </row>
    <row r="47" spans="2:14" x14ac:dyDescent="0.15">
      <c r="F47" s="14" t="s">
        <v>838</v>
      </c>
      <c r="G47" s="363" t="s">
        <v>467</v>
      </c>
      <c r="H47" s="363"/>
      <c r="J47" s="47" t="s">
        <v>1004</v>
      </c>
      <c r="N47" s="33" t="s">
        <v>1007</v>
      </c>
    </row>
    <row r="48" spans="2:14" x14ac:dyDescent="0.15">
      <c r="B48" s="10" t="s">
        <v>840</v>
      </c>
      <c r="C48" s="10" t="s">
        <v>824</v>
      </c>
      <c r="D48" s="10" t="s">
        <v>825</v>
      </c>
      <c r="G48" s="10" t="s">
        <v>824</v>
      </c>
      <c r="H48" s="10" t="s">
        <v>825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1008</v>
      </c>
    </row>
    <row r="50" spans="2:14" x14ac:dyDescent="0.15">
      <c r="B50" s="33" t="s">
        <v>839</v>
      </c>
      <c r="C50" s="9">
        <v>15000</v>
      </c>
      <c r="D50" s="9">
        <v>25000</v>
      </c>
      <c r="F50" s="33" t="s">
        <v>832</v>
      </c>
      <c r="G50" s="9">
        <f>+G21</f>
        <v>-3000</v>
      </c>
      <c r="H50" s="9">
        <f>+H21</f>
        <v>-4800</v>
      </c>
      <c r="J50" s="47" t="s">
        <v>1009</v>
      </c>
      <c r="N50" s="33" t="s">
        <v>1010</v>
      </c>
    </row>
    <row r="51" spans="2:14" x14ac:dyDescent="0.15">
      <c r="B51" s="47" t="s">
        <v>826</v>
      </c>
      <c r="C51" s="9">
        <v>3500</v>
      </c>
      <c r="D51" s="9">
        <v>5000</v>
      </c>
      <c r="F51" s="33" t="s">
        <v>473</v>
      </c>
      <c r="G51" s="9">
        <f>+G32</f>
        <v>0</v>
      </c>
      <c r="H51" s="9">
        <f>+H32</f>
        <v>0</v>
      </c>
      <c r="J51" s="47" t="s">
        <v>1011</v>
      </c>
      <c r="N51" s="33" t="s">
        <v>1012</v>
      </c>
    </row>
    <row r="52" spans="2:14" x14ac:dyDescent="0.15">
      <c r="B52" s="33" t="s">
        <v>818</v>
      </c>
      <c r="C52" s="9">
        <f>+C50-C51</f>
        <v>11500</v>
      </c>
      <c r="D52" s="9">
        <f>+D50-D51</f>
        <v>20000</v>
      </c>
      <c r="F52" s="33" t="s">
        <v>833</v>
      </c>
      <c r="G52" s="9">
        <f>+G44</f>
        <v>-4875</v>
      </c>
      <c r="H52" s="9">
        <f>+H44</f>
        <v>-6000</v>
      </c>
      <c r="J52" s="47" t="s">
        <v>1013</v>
      </c>
      <c r="N52" s="33" t="s">
        <v>1014</v>
      </c>
    </row>
    <row r="53" spans="2:14" x14ac:dyDescent="0.15">
      <c r="B53" s="47" t="s">
        <v>823</v>
      </c>
      <c r="C53" s="66">
        <f>+C14</f>
        <v>7000</v>
      </c>
      <c r="D53" s="66">
        <f>+D14</f>
        <v>8500</v>
      </c>
      <c r="F53" s="33" t="s">
        <v>1065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485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824</v>
      </c>
      <c r="H54" s="10" t="s">
        <v>825</v>
      </c>
      <c r="J54" s="33" t="s">
        <v>1001</v>
      </c>
    </row>
    <row r="55" spans="2:14" x14ac:dyDescent="0.15">
      <c r="B55" s="47"/>
      <c r="C55" s="9"/>
      <c r="D55" s="9"/>
      <c r="F55" s="73"/>
      <c r="G55" s="6"/>
      <c r="H55" s="6"/>
      <c r="J55" s="47" t="s">
        <v>1015</v>
      </c>
      <c r="N55" s="33" t="s">
        <v>1016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1017</v>
      </c>
      <c r="N56" s="33" t="s">
        <v>1018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1021</v>
      </c>
      <c r="J2" s="48" t="s">
        <v>1024</v>
      </c>
    </row>
    <row r="4" spans="2:10" x14ac:dyDescent="0.15">
      <c r="B4" s="14" t="s">
        <v>1000</v>
      </c>
    </row>
    <row r="5" spans="2:10" x14ac:dyDescent="0.15">
      <c r="B5" s="47" t="s">
        <v>1002</v>
      </c>
      <c r="C5" s="75" t="s">
        <v>296</v>
      </c>
      <c r="D5" s="257">
        <f>D153/D168</f>
        <v>67.240990530303094</v>
      </c>
      <c r="E5" s="257">
        <f>E153/E168</f>
        <v>-71.912851678240699</v>
      </c>
      <c r="F5" s="257">
        <f>F153/F168</f>
        <v>-174.22744819570607</v>
      </c>
      <c r="G5" s="257">
        <f>G153/G168</f>
        <v>-306.8353509651057</v>
      </c>
      <c r="H5" s="257">
        <f>H153/H168</f>
        <v>-50.349654285029636</v>
      </c>
      <c r="I5" s="257"/>
      <c r="J5" s="48" t="s">
        <v>1029</v>
      </c>
    </row>
    <row r="6" spans="2:10" x14ac:dyDescent="0.15">
      <c r="B6" s="47" t="s">
        <v>1031</v>
      </c>
      <c r="C6" s="75" t="s">
        <v>296</v>
      </c>
      <c r="D6" s="257">
        <f>(D150+D151)/D168</f>
        <v>65.950081439394012</v>
      </c>
      <c r="E6" s="257">
        <f>(E150+E151)/E168</f>
        <v>-73.281740567129589</v>
      </c>
      <c r="F6" s="257">
        <f>(F150+F151)/F168</f>
        <v>-175.73781390732967</v>
      </c>
      <c r="G6" s="257">
        <f>(G150+G151)/G168</f>
        <v>-308.49506093963049</v>
      </c>
      <c r="H6" s="257">
        <f>(H150+H151)/H168</f>
        <v>-51.837951403045842</v>
      </c>
      <c r="I6" s="257"/>
      <c r="J6" s="48" t="s">
        <v>1036</v>
      </c>
    </row>
    <row r="7" spans="2:10" x14ac:dyDescent="0.15">
      <c r="C7" s="75"/>
    </row>
    <row r="8" spans="2:10" x14ac:dyDescent="0.15">
      <c r="B8" s="14" t="s">
        <v>1022</v>
      </c>
      <c r="C8" s="75"/>
    </row>
    <row r="9" spans="2:10" x14ac:dyDescent="0.15">
      <c r="B9" s="47" t="s">
        <v>1037</v>
      </c>
      <c r="C9" s="75" t="s">
        <v>296</v>
      </c>
      <c r="D9" s="257">
        <f>(D20+D28+D33)/D151</f>
        <v>15.573298429319372</v>
      </c>
      <c r="E9" s="257">
        <f>(E20+E28+E33)/E151</f>
        <v>20.09480201212434</v>
      </c>
      <c r="F9" s="257">
        <f>(F20+F28+F33)/F151</f>
        <v>20.112956599715901</v>
      </c>
      <c r="G9" s="257">
        <f>(G20+G28+G33)/G151</f>
        <v>20.010550400406764</v>
      </c>
      <c r="H9" s="257">
        <f>(H20+H28+H33)/H151</f>
        <v>19.927937375534935</v>
      </c>
      <c r="I9" s="258"/>
      <c r="J9" s="48" t="s">
        <v>1038</v>
      </c>
    </row>
    <row r="10" spans="2:10" x14ac:dyDescent="0.15">
      <c r="B10" s="47" t="s">
        <v>1011</v>
      </c>
      <c r="C10" s="75" t="s">
        <v>296</v>
      </c>
      <c r="D10" s="257">
        <f>D21/(D152/2)</f>
        <v>9.5492957746478879</v>
      </c>
      <c r="E10" s="258">
        <f>E21/((D152+E152)/2)</f>
        <v>2.984552008238929</v>
      </c>
      <c r="F10" s="258">
        <f>F21/((E152+F152)/2)</f>
        <v>3.7476273331224297</v>
      </c>
      <c r="G10" s="258">
        <f>G21/((F152+G152)/2)</f>
        <v>3.419695918428912</v>
      </c>
      <c r="H10" s="258">
        <f>H21/((G152+H152)/2)</f>
        <v>0.68724027500928075</v>
      </c>
      <c r="J10" s="48" t="s">
        <v>1028</v>
      </c>
    </row>
    <row r="11" spans="2:10" x14ac:dyDescent="0.15">
      <c r="B11" s="47" t="s">
        <v>1013</v>
      </c>
      <c r="C11" s="75"/>
      <c r="D11" s="257">
        <f>D21/(D166/2)</f>
        <v>12.327272727272728</v>
      </c>
      <c r="E11" s="258">
        <f>E21/((D166+E166)/2)</f>
        <v>3.9972413793103447</v>
      </c>
      <c r="F11" s="258">
        <f>F21/((E166+F166)/2)</f>
        <v>5.388945752302968</v>
      </c>
      <c r="G11" s="258">
        <f>G21/((F166+G166)/2)</f>
        <v>5.4139264990328817</v>
      </c>
      <c r="H11" s="258">
        <f>H21/((G166+H166)/2)</f>
        <v>1.0343206009673556</v>
      </c>
      <c r="J11" s="48" t="s">
        <v>1027</v>
      </c>
    </row>
    <row r="12" spans="2:10" x14ac:dyDescent="0.15">
      <c r="C12" s="75"/>
    </row>
    <row r="13" spans="2:10" x14ac:dyDescent="0.15">
      <c r="B13" s="14" t="s">
        <v>1001</v>
      </c>
      <c r="C13" s="75"/>
    </row>
    <row r="14" spans="2:10" x14ac:dyDescent="0.15">
      <c r="B14" s="47" t="s">
        <v>1015</v>
      </c>
      <c r="C14" s="75" t="s">
        <v>296</v>
      </c>
      <c r="D14" s="259">
        <f>D113/(D20+D28+D33)</f>
        <v>-9.7944726512351306</v>
      </c>
      <c r="E14" s="259">
        <f t="shared" ref="E14:H14" si="0">E113/(E20+E28+E33)</f>
        <v>-25.156819371610123</v>
      </c>
      <c r="F14" s="259">
        <f t="shared" si="0"/>
        <v>-32.139266597856086</v>
      </c>
      <c r="G14" s="259">
        <f t="shared" si="0"/>
        <v>-30.768170953974327</v>
      </c>
      <c r="H14" s="259">
        <f t="shared" si="0"/>
        <v>-34.729691376068956</v>
      </c>
      <c r="J14" s="48" t="s">
        <v>1025</v>
      </c>
    </row>
    <row r="15" spans="2:10" x14ac:dyDescent="0.15">
      <c r="B15" s="47" t="s">
        <v>1023</v>
      </c>
      <c r="C15" s="75" t="s">
        <v>296</v>
      </c>
      <c r="D15" s="259">
        <f>D113/(+D180/2)</f>
        <v>-4.842386515325888</v>
      </c>
      <c r="E15" s="259">
        <f>E113/((D180+E180)/2)</f>
        <v>7.0228853157219326</v>
      </c>
      <c r="F15" s="259">
        <f>F113/((E180+F180)/2)</f>
        <v>0.78571906294178484</v>
      </c>
      <c r="G15" s="259">
        <f>G113/((F180+G180)/2)</f>
        <v>0.50235565489288647</v>
      </c>
      <c r="H15" s="259">
        <f>H113/((G180+H180)/2)</f>
        <v>0.42618622456272409</v>
      </c>
      <c r="J15" s="48" t="s">
        <v>1026</v>
      </c>
    </row>
    <row r="17" spans="1:55" ht="12.75" customHeight="1" x14ac:dyDescent="0.2">
      <c r="A17" s="221"/>
      <c r="B17" s="256" t="s">
        <v>1030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504</v>
      </c>
      <c r="BC19" s="65"/>
    </row>
    <row r="20" spans="1:55" s="33" customFormat="1" x14ac:dyDescent="0.15">
      <c r="B20" s="47" t="s">
        <v>504</v>
      </c>
      <c r="C20" s="70">
        <f>'FIN-P&amp;L_CWS'!D10</f>
        <v>0</v>
      </c>
      <c r="D20" s="70">
        <f>'FIN-P&amp;L_CWS'!E10</f>
        <v>5552820</v>
      </c>
      <c r="E20" s="70">
        <f>'FIN-P&amp;L_CWS'!F10</f>
        <v>4781700</v>
      </c>
      <c r="F20" s="70">
        <f>'FIN-P&amp;L_CWS'!G10</f>
        <v>2983500</v>
      </c>
      <c r="G20" s="70">
        <f>'FIN-P&amp;L_CWS'!H10</f>
        <v>3638700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4068000</v>
      </c>
      <c r="E21" s="70">
        <f>'FIN-P&amp;L_CWS'!F11</f>
        <v>3477600</v>
      </c>
      <c r="F21" s="70">
        <f>'FIN-P&amp;L_CWS'!G11</f>
        <v>5686200</v>
      </c>
      <c r="G21" s="70">
        <f>'FIN-P&amp;L_CWS'!H11</f>
        <v>5441256</v>
      </c>
      <c r="H21" s="70">
        <f>'FIN-P&amp;L_CWS'!I11</f>
        <v>5189163.7000000011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1484820</v>
      </c>
      <c r="E22" s="70">
        <f>'FIN-P&amp;L_CWS'!F12</f>
        <v>1304100</v>
      </c>
      <c r="F22" s="70">
        <f>'FIN-P&amp;L_CWS'!G12</f>
        <v>-2702700</v>
      </c>
      <c r="G22" s="70">
        <f>'FIN-P&amp;L_CWS'!H12</f>
        <v>-1802556</v>
      </c>
      <c r="H22" s="70">
        <f>'FIN-P&amp;L_CWS'!I12</f>
        <v>-889188.6999999996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0.26739926739926739</v>
      </c>
      <c r="E23" s="46">
        <f>'FIN-P&amp;L_CWS'!F13</f>
        <v>0.27272727272727271</v>
      </c>
      <c r="F23" s="46">
        <f>'FIN-P&amp;L_CWS'!G13</f>
        <v>-0.90588235294117647</v>
      </c>
      <c r="G23" s="46">
        <f>'FIN-P&amp;L_CWS'!H13</f>
        <v>-0.49538461538461537</v>
      </c>
      <c r="H23" s="46">
        <f>'FIN-P&amp;L_CWS'!I13</f>
        <v>-0.20678927203065126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374</v>
      </c>
      <c r="BC25" s="65"/>
    </row>
    <row r="26" spans="1:55" s="33" customFormat="1" x14ac:dyDescent="0.15">
      <c r="B26" s="47" t="s">
        <v>374</v>
      </c>
      <c r="C26" s="70">
        <f>'FIN-P&amp;L_CWS'!D16</f>
        <v>0</v>
      </c>
      <c r="D26" s="70">
        <f>'FIN-P&amp;L_CWS'!E16</f>
        <v>5274360</v>
      </c>
      <c r="E26" s="70">
        <f>'FIN-P&amp;L_CWS'!F16</f>
        <v>35250</v>
      </c>
      <c r="F26" s="70">
        <f>'FIN-P&amp;L_CWS'!G16</f>
        <v>48450</v>
      </c>
      <c r="G26" s="70">
        <f>'FIN-P&amp;L_CWS'!H16</f>
        <v>38430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375</v>
      </c>
      <c r="C27" s="70">
        <f>'FIN-P&amp;L_CWS'!D17</f>
        <v>0</v>
      </c>
      <c r="D27" s="70">
        <f>'FIN-P&amp;L_CWS'!E17</f>
        <v>0</v>
      </c>
      <c r="E27" s="70">
        <f>'FIN-P&amp;L_CWS'!F17</f>
        <v>11000</v>
      </c>
      <c r="F27" s="70">
        <f>'FIN-P&amp;L_CWS'!G17</f>
        <v>16700</v>
      </c>
      <c r="G27" s="70">
        <f>'FIN-P&amp;L_CWS'!H17</f>
        <v>27650</v>
      </c>
      <c r="H27" s="70">
        <f>'FIN-P&amp;L_CWS'!I17</f>
        <v>29750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379</v>
      </c>
      <c r="C28" s="70">
        <f>'FIN-P&amp;L_CWS'!D18</f>
        <v>0</v>
      </c>
      <c r="D28" s="70">
        <f>'FIN-P&amp;L_CWS'!E18</f>
        <v>5274360</v>
      </c>
      <c r="E28" s="70">
        <f>'FIN-P&amp;L_CWS'!F18</f>
        <v>46250</v>
      </c>
      <c r="F28" s="70">
        <f>'FIN-P&amp;L_CWS'!G18</f>
        <v>65150</v>
      </c>
      <c r="G28" s="70">
        <f>'FIN-P&amp;L_CWS'!H18</f>
        <v>66080</v>
      </c>
      <c r="H28" s="70">
        <f>'FIN-P&amp;L_CWS'!I18</f>
        <v>48650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503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378</v>
      </c>
      <c r="C31" s="70">
        <f>'FIN-P&amp;L_CWS'!D21</f>
        <v>0</v>
      </c>
      <c r="D31" s="70">
        <f>'FIN-P&amp;L_CWS'!E21</f>
        <v>0</v>
      </c>
      <c r="E31" s="70">
        <f>'FIN-P&amp;L_CWS'!F21</f>
        <v>3350</v>
      </c>
      <c r="F31" s="70">
        <f>'FIN-P&amp;L_CWS'!G21</f>
        <v>8925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377</v>
      </c>
      <c r="C32" s="70">
        <f>'FIN-P&amp;L_CWS'!D22</f>
        <v>0</v>
      </c>
      <c r="D32" s="70">
        <f>'FIN-P&amp;L_CWS'!E22</f>
        <v>0</v>
      </c>
      <c r="E32" s="70">
        <f>'FIN-P&amp;L_CWS'!F22</f>
        <v>37293.75</v>
      </c>
      <c r="F32" s="70">
        <f>'FIN-P&amp;L_CWS'!G22</f>
        <v>110542.5</v>
      </c>
      <c r="G32" s="70">
        <f>'FIN-P&amp;L_CWS'!H22</f>
        <v>218295</v>
      </c>
      <c r="H32" s="70">
        <f>'FIN-P&amp;L_CWS'!I22</f>
        <v>339592.5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380</v>
      </c>
      <c r="C33" s="70">
        <f>'FIN-P&amp;L_CWS'!D23</f>
        <v>0</v>
      </c>
      <c r="D33" s="70">
        <f>'FIN-P&amp;L_CWS'!E23</f>
        <v>0</v>
      </c>
      <c r="E33" s="70">
        <f>'FIN-P&amp;L_CWS'!F23</f>
        <v>40643.75</v>
      </c>
      <c r="F33" s="70">
        <f>'FIN-P&amp;L_CWS'!G23</f>
        <v>119467.5</v>
      </c>
      <c r="G33" s="70">
        <f>'FIN-P&amp;L_CWS'!H23</f>
        <v>230795</v>
      </c>
      <c r="H33" s="70">
        <f>'FIN-P&amp;L_CWS'!I23</f>
        <v>354567.5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381</v>
      </c>
      <c r="C35" s="70">
        <f>'FIN-P&amp;L_CWS'!D25</f>
        <v>0</v>
      </c>
      <c r="D35" s="70">
        <f>'FIN-P&amp;L_CWS'!E25</f>
        <v>6759180</v>
      </c>
      <c r="E35" s="70">
        <f>'FIN-P&amp;L_CWS'!F25</f>
        <v>1390993.75</v>
      </c>
      <c r="F35" s="70">
        <f>'FIN-P&amp;L_CWS'!G25</f>
        <v>-2518082.5</v>
      </c>
      <c r="G35" s="70">
        <f>'FIN-P&amp;L_CWS'!H25</f>
        <v>-1505681</v>
      </c>
      <c r="H35" s="70">
        <f>'FIN-P&amp;L_CWS'!I25</f>
        <v>-485971.19999999984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501</v>
      </c>
    </row>
    <row r="38" spans="1:55" x14ac:dyDescent="0.15">
      <c r="B38" s="44"/>
    </row>
    <row r="39" spans="1:55" s="50" customFormat="1" x14ac:dyDescent="0.15">
      <c r="A39" s="74"/>
      <c r="B39" s="128" t="s">
        <v>417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418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444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464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465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433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434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435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437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438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505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399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524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24168979.5</v>
      </c>
      <c r="E56" s="70">
        <f>'FIN-P&amp;L_CWS'!F46</f>
        <v>33634774.84375</v>
      </c>
      <c r="F56" s="70">
        <f>'FIN-P&amp;L_CWS'!G46</f>
        <v>43137047.9375</v>
      </c>
      <c r="G56" s="70">
        <f>'FIN-P&amp;L_CWS'!H46</f>
        <v>52762357.974999994</v>
      </c>
      <c r="H56" s="70">
        <f>'FIN-P&amp;L_CWS'!I46</f>
        <v>81587850.719999984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405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525</v>
      </c>
      <c r="C60" s="70">
        <f>'FIN-P&amp;L_CWS'!D50</f>
        <v>0</v>
      </c>
      <c r="D60" s="70">
        <f>'FIN-P&amp;L_CWS'!E50</f>
        <v>52968979.5</v>
      </c>
      <c r="E60" s="70">
        <f>'FIN-P&amp;L_CWS'!F50</f>
        <v>67234774.84375</v>
      </c>
      <c r="F60" s="70">
        <f>'FIN-P&amp;L_CWS'!G50</f>
        <v>76737047.9375</v>
      </c>
      <c r="G60" s="70">
        <f>'FIN-P&amp;L_CWS'!H50</f>
        <v>93562357.974999994</v>
      </c>
      <c r="H60" s="70">
        <f>'FIN-P&amp;L_CWS'!I50</f>
        <v>129587850.71999998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508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405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509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510</v>
      </c>
      <c r="BC69" s="167"/>
    </row>
    <row r="70" spans="1:55" x14ac:dyDescent="0.15">
      <c r="B70" s="47" t="s">
        <v>406</v>
      </c>
      <c r="C70" s="70">
        <f>'FIN-P&amp;L_CWS'!D60</f>
        <v>0</v>
      </c>
      <c r="D70" s="70">
        <f>'FIN-P&amp;L_CWS'!E60</f>
        <v>10593795.9</v>
      </c>
      <c r="E70" s="70">
        <f>'FIN-P&amp;L_CWS'!F60</f>
        <v>13446954.96875</v>
      </c>
      <c r="F70" s="70">
        <f>'FIN-P&amp;L_CWS'!G60</f>
        <v>15347409.587500002</v>
      </c>
      <c r="G70" s="70">
        <f>'FIN-P&amp;L_CWS'!H60</f>
        <v>18712471.594999995</v>
      </c>
      <c r="H70" s="70">
        <f>'FIN-P&amp;L_CWS'!I60</f>
        <v>25917570.144000005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506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511</v>
      </c>
      <c r="C73" s="70">
        <f>'FIN-P&amp;L_CWS'!D63</f>
        <v>0</v>
      </c>
      <c r="D73" s="70">
        <f>'FIN-P&amp;L_CWS'!E63</f>
        <v>17342883.900000002</v>
      </c>
      <c r="E73" s="70">
        <f>'FIN-P&amp;L_CWS'!F63</f>
        <v>20196042.96875</v>
      </c>
      <c r="F73" s="70">
        <f>'FIN-P&amp;L_CWS'!G63</f>
        <v>22096497.587499999</v>
      </c>
      <c r="G73" s="70">
        <f>'FIN-P&amp;L_CWS'!H63</f>
        <v>25461559.595000003</v>
      </c>
      <c r="H73" s="70">
        <f>'FIN-P&amp;L_CWS'!I63</f>
        <v>32666658.144000005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507</v>
      </c>
      <c r="C75" s="70">
        <f>'FIN-P&amp;L_CWS'!D65</f>
        <v>0</v>
      </c>
      <c r="D75" s="70">
        <f>'FIN-P&amp;L_CWS'!E65</f>
        <v>112311863.40000002</v>
      </c>
      <c r="E75" s="70">
        <f>'FIN-P&amp;L_CWS'!F65</f>
        <v>123430817.8125</v>
      </c>
      <c r="F75" s="70">
        <f>'FIN-P&amp;L_CWS'!G65</f>
        <v>98833545.525000006</v>
      </c>
      <c r="G75" s="70">
        <f>'FIN-P&amp;L_CWS'!H65</f>
        <v>119023917.56999999</v>
      </c>
      <c r="H75" s="70">
        <f>'FIN-P&amp;L_CWS'!I65</f>
        <v>162254508.86399999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1034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112805698.39999998</v>
      </c>
      <c r="E111" s="70">
        <f>'FIN-P&amp;L_CWS'!F101</f>
        <v>123869327.31249997</v>
      </c>
      <c r="F111" s="70">
        <f>'FIN-P&amp;L_CWS'!G101</f>
        <v>99302890.44583334</v>
      </c>
      <c r="G111" s="70">
        <f>'FIN-P&amp;L_CWS'!H101</f>
        <v>119584763.40218751</v>
      </c>
      <c r="H111" s="70">
        <f>'FIN-P&amp;L_CWS'!I101</f>
        <v>162854452.80724218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485</v>
      </c>
      <c r="C113" s="70">
        <f>'FIN-P&amp;L_CWS'!D103</f>
        <v>-28592</v>
      </c>
      <c r="D113" s="70">
        <f>'FIN-P&amp;L_CWS'!E103</f>
        <v>-106046518.39999998</v>
      </c>
      <c r="E113" s="70">
        <f>'FIN-P&amp;L_CWS'!F103</f>
        <v>-122478333.56249997</v>
      </c>
      <c r="F113" s="70">
        <f>'FIN-P&amp;L_CWS'!G103</f>
        <v>-101820972.94583333</v>
      </c>
      <c r="G113" s="70">
        <f>'FIN-P&amp;L_CWS'!H103</f>
        <v>-121090444.40218751</v>
      </c>
      <c r="H113" s="70">
        <f>'FIN-P&amp;L_CWS'!I103</f>
        <v>-163340424.0072422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1032</v>
      </c>
      <c r="C114" s="70">
        <f>'FIN-P&amp;L_CWS'!D104</f>
        <v>-28592</v>
      </c>
      <c r="D114" s="70">
        <f>'FIN-P&amp;L_CWS'!E104</f>
        <v>-106075110.39999998</v>
      </c>
      <c r="E114" s="70">
        <f>'FIN-P&amp;L_CWS'!F104</f>
        <v>-228553443.96249995</v>
      </c>
      <c r="F114" s="70">
        <f>'FIN-P&amp;L_CWS'!G104</f>
        <v>-330374416.9083333</v>
      </c>
      <c r="G114" s="70">
        <f>'FIN-P&amp;L_CWS'!H104</f>
        <v>-451464861.31052083</v>
      </c>
      <c r="H114" s="70">
        <f>'FIN-P&amp;L_CWS'!I104</f>
        <v>-614805285.31776309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859</v>
      </c>
    </row>
    <row r="118" spans="2:54" x14ac:dyDescent="0.15">
      <c r="B118" s="136" t="s">
        <v>468</v>
      </c>
    </row>
    <row r="119" spans="2:54" x14ac:dyDescent="0.15">
      <c r="B119" s="135" t="s">
        <v>860</v>
      </c>
    </row>
    <row r="120" spans="2:54" x14ac:dyDescent="0.15">
      <c r="B120" s="136" t="s">
        <v>485</v>
      </c>
      <c r="C120" s="121">
        <f>'FIN-CASHFLOW_CWS'!C5</f>
        <v>-28592</v>
      </c>
      <c r="D120" s="121">
        <f>'FIN-CASHFLOW_CWS'!D5</f>
        <v>-106046518.39999998</v>
      </c>
      <c r="E120" s="121">
        <f>'FIN-CASHFLOW_CWS'!E5</f>
        <v>-122478333.56249997</v>
      </c>
      <c r="F120" s="121">
        <f>'FIN-CASHFLOW_CWS'!F5</f>
        <v>-101820972.94583333</v>
      </c>
      <c r="G120" s="121">
        <f>'FIN-CASHFLOW_CWS'!G5</f>
        <v>-121090444.40218751</v>
      </c>
      <c r="H120" s="121">
        <f>'FIN-CASHFLOW_CWS'!H5</f>
        <v>-163340424.0072422</v>
      </c>
      <c r="I120" s="121"/>
    </row>
    <row r="121" spans="2:54" x14ac:dyDescent="0.15">
      <c r="B121" s="136" t="s">
        <v>468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1020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500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487</v>
      </c>
      <c r="C124" s="121">
        <f>'FIN-CASHFLOW_CWS'!C9</f>
        <v>0</v>
      </c>
      <c r="D124" s="121">
        <f>'FIN-CASHFLOW_CWS'!D9</f>
        <v>-695240</v>
      </c>
      <c r="E124" s="121">
        <f>'FIN-CASHFLOW_CWS'!E9</f>
        <v>452958.75</v>
      </c>
      <c r="F124" s="121">
        <f>'FIN-CASHFLOW_CWS'!F9</f>
        <v>84765</v>
      </c>
      <c r="G124" s="121">
        <f>'FIN-CASHFLOW_CWS'!G9</f>
        <v>-39158.75</v>
      </c>
      <c r="H124" s="121">
        <f>'FIN-CASHFLOW_CWS'!H9</f>
        <v>-39335</v>
      </c>
      <c r="I124" s="121"/>
    </row>
    <row r="125" spans="2:54" x14ac:dyDescent="0.15">
      <c r="B125" s="127" t="s">
        <v>488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-626400</v>
      </c>
      <c r="F125" s="121">
        <f>'FIN-CASHFLOW_CWS'!F10</f>
        <v>-77760</v>
      </c>
      <c r="G125" s="121">
        <f>'FIN-CASHFLOW_CWS'!G10</f>
        <v>-69984</v>
      </c>
      <c r="H125" s="121">
        <f>'FIN-CASHFLOW_CWS'!H10</f>
        <v>-11849166</v>
      </c>
      <c r="I125" s="121"/>
    </row>
    <row r="126" spans="2:54" x14ac:dyDescent="0.15">
      <c r="B126" s="127" t="s">
        <v>489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420000</v>
      </c>
      <c r="F126" s="121">
        <f>'FIN-CASHFLOW_CWS'!F11</f>
        <v>-49680</v>
      </c>
      <c r="G126" s="121">
        <f>'FIN-CASHFLOW_CWS'!G11</f>
        <v>-50544</v>
      </c>
      <c r="H126" s="121">
        <f>'FIN-CASHFLOW_CWS'!H11</f>
        <v>8074404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844</v>
      </c>
      <c r="C128" s="121">
        <f>'FIN-CASHFLOW_CWS'!C13</f>
        <v>0</v>
      </c>
      <c r="D128" s="121">
        <f>'FIN-CASHFLOW_CWS'!D13</f>
        <v>-868965</v>
      </c>
      <c r="E128" s="121">
        <f>'FIN-CASHFLOW_CWS'!E13</f>
        <v>266958.75</v>
      </c>
      <c r="F128" s="121">
        <f>'FIN-CASHFLOW_CWS'!F13</f>
        <v>-21666.666666666657</v>
      </c>
      <c r="G128" s="121">
        <f>'FIN-CASHFLOW_CWS'!G13</f>
        <v>-138586.75</v>
      </c>
      <c r="H128" s="121">
        <f>'FIN-CASHFLOW_CWS'!H13</f>
        <v>-3792997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862</v>
      </c>
      <c r="C130" s="121">
        <f>'FIN-CASHFLOW_CWS'!C15</f>
        <v>-28592</v>
      </c>
      <c r="D130" s="121">
        <f>'FIN-CASHFLOW_CWS'!D15</f>
        <v>-106915483.39999998</v>
      </c>
      <c r="E130" s="121">
        <f>'FIN-CASHFLOW_CWS'!E15</f>
        <v>-122211374.81249997</v>
      </c>
      <c r="F130" s="121">
        <f>'FIN-CASHFLOW_CWS'!F15</f>
        <v>-101842639.6125</v>
      </c>
      <c r="G130" s="121">
        <f>'FIN-CASHFLOW_CWS'!G15</f>
        <v>-121229031.15218751</v>
      </c>
      <c r="H130" s="121">
        <f>'FIN-CASHFLOW_CWS'!H15</f>
        <v>-167133421.0072422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863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490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864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865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483</v>
      </c>
      <c r="C138" s="121">
        <f>'FIN-CASHFLOW_CWS'!C23</f>
        <v>47355928.700000003</v>
      </c>
      <c r="D138" s="121">
        <f>'FIN-CASHFLOW_CWS'!D23</f>
        <v>102518460.45000003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468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491</v>
      </c>
      <c r="C140" s="121">
        <f>'FIN-CASHFLOW_CWS'!C25</f>
        <v>47327336.700000003</v>
      </c>
      <c r="D140" s="121">
        <f>'FIN-CASHFLOW_CWS'!D25</f>
        <v>-4495522.9499999434</v>
      </c>
      <c r="E140" s="121">
        <f>'FIN-CASHFLOW_CWS'!E25</f>
        <v>-122218374.81249997</v>
      </c>
      <c r="F140" s="121">
        <f>'FIN-CASHFLOW_CWS'!F25</f>
        <v>-101837139.6125</v>
      </c>
      <c r="G140" s="121">
        <f>'FIN-CASHFLOW_CWS'!G25</f>
        <v>-121229031.15218751</v>
      </c>
      <c r="H140" s="121">
        <f>'FIN-CASHFLOW_CWS'!H25</f>
        <v>-167133421.0072422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493</v>
      </c>
      <c r="C142" s="121">
        <f>'FIN-CASHFLOW_CWS'!C27</f>
        <v>0</v>
      </c>
      <c r="D142" s="121">
        <f>'FIN-CASHFLOW_CWS'!D27</f>
        <v>47327336.700000003</v>
      </c>
      <c r="E142" s="121">
        <f>'FIN-CASHFLOW_CWS'!E27</f>
        <v>42831813.75000006</v>
      </c>
      <c r="F142" s="121">
        <f>'FIN-CASHFLOW_CWS'!F27</f>
        <v>-79386561.062499911</v>
      </c>
      <c r="G142" s="121">
        <f>'FIN-CASHFLOW_CWS'!G27</f>
        <v>-181223700.67499989</v>
      </c>
      <c r="H142" s="121">
        <f>'FIN-CASHFLOW_CWS'!H27</f>
        <v>-302452731.82718742</v>
      </c>
      <c r="I142" s="121"/>
    </row>
    <row r="143" spans="2:9" x14ac:dyDescent="0.15">
      <c r="B143" s="136" t="s">
        <v>492</v>
      </c>
      <c r="C143" s="121">
        <f>'FIN-CASHFLOW_CWS'!C28</f>
        <v>47327336.700000003</v>
      </c>
      <c r="D143" s="121">
        <f>'FIN-CASHFLOW_CWS'!D28</f>
        <v>42831813.75000006</v>
      </c>
      <c r="E143" s="121">
        <f>'FIN-CASHFLOW_CWS'!E28</f>
        <v>-79386561.062499911</v>
      </c>
      <c r="F143" s="121">
        <f>'FIN-CASHFLOW_CWS'!F28</f>
        <v>-181223700.67499989</v>
      </c>
      <c r="G143" s="121">
        <f>'FIN-CASHFLOW_CWS'!G28</f>
        <v>-302452731.82718742</v>
      </c>
      <c r="H143" s="121">
        <f>'FIN-CASHFLOW_CWS'!H28</f>
        <v>-469586152.83442962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469</v>
      </c>
    </row>
    <row r="146" spans="2:9" x14ac:dyDescent="0.15">
      <c r="B146" s="134"/>
    </row>
    <row r="147" spans="2:9" x14ac:dyDescent="0.15">
      <c r="B147" s="135" t="s">
        <v>470</v>
      </c>
    </row>
    <row r="148" spans="2:9" x14ac:dyDescent="0.15">
      <c r="B148" s="135"/>
    </row>
    <row r="149" spans="2:9" x14ac:dyDescent="0.15">
      <c r="B149" s="135" t="s">
        <v>471</v>
      </c>
    </row>
    <row r="150" spans="2:9" x14ac:dyDescent="0.15">
      <c r="B150" s="136" t="s">
        <v>467</v>
      </c>
      <c r="C150" s="121">
        <f>'FIN-BALANCE_CWS'!D7</f>
        <v>47327336.700000003</v>
      </c>
      <c r="D150" s="121">
        <f>'FIN-BALANCE_CWS'!E7</f>
        <v>42831813.750000045</v>
      </c>
      <c r="E150" s="121">
        <f>'FIN-BALANCE_CWS'!F7</f>
        <v>-79386561.062499955</v>
      </c>
      <c r="F150" s="121">
        <f>'FIN-BALANCE_CWS'!G7</f>
        <v>-181223700.67499989</v>
      </c>
      <c r="G150" s="121">
        <f>'FIN-BALANCE_CWS'!H7</f>
        <v>-302452731.82718742</v>
      </c>
      <c r="H150" s="121">
        <f>'FIN-BALANCE_CWS'!I7</f>
        <v>-469586152.83442962</v>
      </c>
      <c r="I150" s="121"/>
    </row>
    <row r="151" spans="2:9" x14ac:dyDescent="0.15">
      <c r="B151" s="136" t="s">
        <v>472</v>
      </c>
      <c r="C151" s="121">
        <f>'FIN-BALANCE_CWS'!D8</f>
        <v>0</v>
      </c>
      <c r="D151" s="121">
        <f>'FIN-BALANCE_CWS'!E8</f>
        <v>695240</v>
      </c>
      <c r="E151" s="121">
        <f>'FIN-BALANCE_CWS'!F8</f>
        <v>242281.25</v>
      </c>
      <c r="F151" s="121">
        <f>'FIN-BALANCE_CWS'!G8</f>
        <v>157516.25</v>
      </c>
      <c r="G151" s="121">
        <f>'FIN-BALANCE_CWS'!H8</f>
        <v>196675</v>
      </c>
      <c r="H151" s="121">
        <f>'FIN-BALANCE_CWS'!I8</f>
        <v>236010</v>
      </c>
      <c r="I151" s="121"/>
    </row>
    <row r="152" spans="2:9" x14ac:dyDescent="0.15">
      <c r="B152" s="136" t="s">
        <v>473</v>
      </c>
      <c r="C152" s="121">
        <f>'FIN-BALANCE_CWS'!D9</f>
        <v>0</v>
      </c>
      <c r="D152" s="121">
        <f>'FIN-BALANCE_CWS'!E9</f>
        <v>852000</v>
      </c>
      <c r="E152" s="121">
        <f>'FIN-BALANCE_CWS'!F9</f>
        <v>1478400</v>
      </c>
      <c r="F152" s="121">
        <f>'FIN-BALANCE_CWS'!G9</f>
        <v>1556160</v>
      </c>
      <c r="G152" s="121">
        <f>'FIN-BALANCE_CWS'!H9</f>
        <v>1626144</v>
      </c>
      <c r="H152" s="121">
        <f>'FIN-BALANCE_CWS'!I9</f>
        <v>13475310</v>
      </c>
      <c r="I152" s="121"/>
    </row>
    <row r="153" spans="2:9" x14ac:dyDescent="0.15">
      <c r="B153" s="135" t="s">
        <v>474</v>
      </c>
      <c r="C153" s="121">
        <f>'FIN-BALANCE_CWS'!D10</f>
        <v>47327336.700000003</v>
      </c>
      <c r="D153" s="121">
        <f>'FIN-BALANCE_CWS'!E10</f>
        <v>44379053.750000045</v>
      </c>
      <c r="E153" s="121">
        <f>'FIN-BALANCE_CWS'!F10</f>
        <v>-77665879.812499955</v>
      </c>
      <c r="F153" s="121">
        <f>'FIN-BALANCE_CWS'!G10</f>
        <v>-179510024.42499989</v>
      </c>
      <c r="G153" s="121">
        <f>'FIN-BALANCE_CWS'!H10</f>
        <v>-300629912.82718742</v>
      </c>
      <c r="H153" s="121">
        <f>'FIN-BALANCE_CWS'!I10</f>
        <v>-455874832.83442962</v>
      </c>
      <c r="I153" s="121"/>
    </row>
    <row r="154" spans="2:9" x14ac:dyDescent="0.15">
      <c r="B154" s="136" t="s">
        <v>468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475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476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468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477</v>
      </c>
      <c r="C160" s="121">
        <f>'FIN-BALANCE_CWS'!D17</f>
        <v>47327336.700000003</v>
      </c>
      <c r="D160" s="121">
        <f>'FIN-BALANCE_CWS'!E17</f>
        <v>44459278.750000045</v>
      </c>
      <c r="E160" s="121">
        <f>'FIN-BALANCE_CWS'!F17</f>
        <v>-77599054.812499955</v>
      </c>
      <c r="F160" s="121">
        <f>'FIN-BALANCE_CWS'!G17</f>
        <v>-179469707.75833324</v>
      </c>
      <c r="G160" s="121">
        <f>'FIN-BALANCE_CWS'!H17</f>
        <v>-300610696.16052073</v>
      </c>
      <c r="H160" s="121">
        <f>'FIN-BALANCE_CWS'!I17</f>
        <v>-455876716.16776294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1077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478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385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1080000</v>
      </c>
      <c r="F166" s="121">
        <f>'FIN-BALANCE_CWS'!G23</f>
        <v>1030320</v>
      </c>
      <c r="G166" s="121">
        <f>'FIN-BALANCE_CWS'!H23</f>
        <v>979776</v>
      </c>
      <c r="H166" s="121">
        <f>'FIN-BALANCE_CWS'!I23</f>
        <v>9054180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479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1080000</v>
      </c>
      <c r="F168" s="121">
        <f>'FIN-BALANCE_CWS'!G25</f>
        <v>1030320</v>
      </c>
      <c r="G168" s="121">
        <f>'FIN-BALANCE_CWS'!H25</f>
        <v>979776</v>
      </c>
      <c r="H168" s="121">
        <f>'FIN-BALANCE_CWS'!I25</f>
        <v>9054180</v>
      </c>
      <c r="I168" s="121"/>
    </row>
    <row r="169" spans="2:9" x14ac:dyDescent="0.15">
      <c r="B169" s="136" t="s">
        <v>468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480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481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482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1080000</v>
      </c>
      <c r="F174" s="121">
        <f>'FIN-BALANCE_CWS'!G31</f>
        <v>1030320</v>
      </c>
      <c r="G174" s="121">
        <f>'FIN-BALANCE_CWS'!H31</f>
        <v>979776</v>
      </c>
      <c r="H174" s="121">
        <f>'FIN-BALANCE_CWS'!I31</f>
        <v>9054180</v>
      </c>
      <c r="I174" s="121"/>
    </row>
    <row r="175" spans="2:9" x14ac:dyDescent="0.15">
      <c r="B175" s="136" t="s">
        <v>468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1078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1079</v>
      </c>
      <c r="C177" s="121">
        <f>'FIN-BALANCE_CWS'!D34</f>
        <v>47355928.700000003</v>
      </c>
      <c r="D177" s="121">
        <f>'FIN-BALANCE_CWS'!E34</f>
        <v>149874389.15000004</v>
      </c>
      <c r="E177" s="121">
        <f>'FIN-BALANCE_CWS'!F34</f>
        <v>149874389.15000004</v>
      </c>
      <c r="F177" s="121">
        <f>'FIN-BALANCE_CWS'!G34</f>
        <v>149874389.15000004</v>
      </c>
      <c r="G177" s="121">
        <f>'FIN-BALANCE_CWS'!H34</f>
        <v>149874389.15000004</v>
      </c>
      <c r="H177" s="121">
        <f>'FIN-BALANCE_CWS'!I34</f>
        <v>149874389.15000004</v>
      </c>
      <c r="I177" s="121"/>
    </row>
    <row r="178" spans="2:9" x14ac:dyDescent="0.15">
      <c r="B178" s="136" t="s">
        <v>484</v>
      </c>
      <c r="C178" s="121">
        <f>'FIN-BALANCE_CWS'!D35</f>
        <v>0</v>
      </c>
      <c r="D178" s="121">
        <f>'FIN-BALANCE_CWS'!E35</f>
        <v>-97127132.533333316</v>
      </c>
      <c r="E178" s="121">
        <f>'FIN-BALANCE_CWS'!F35</f>
        <v>-218801001.81666666</v>
      </c>
      <c r="F178" s="121">
        <f>'FIN-BALANCE_CWS'!G35</f>
        <v>-321974814.52187508</v>
      </c>
      <c r="G178" s="121">
        <f>'FIN-BALANCE_CWS'!H35</f>
        <v>-441425803.38117188</v>
      </c>
      <c r="H178" s="121">
        <f>'FIN-BALANCE_CWS'!I35</f>
        <v>-601217226.01282597</v>
      </c>
      <c r="I178" s="121"/>
    </row>
    <row r="179" spans="2:9" x14ac:dyDescent="0.15">
      <c r="B179" s="137" t="s">
        <v>485</v>
      </c>
      <c r="C179" s="121">
        <f>'FIN-BALANCE_CWS'!D36</f>
        <v>-28592</v>
      </c>
      <c r="D179" s="121">
        <f>'FIN-BALANCE_CWS'!E36</f>
        <v>-8947977.8666666653</v>
      </c>
      <c r="E179" s="121">
        <f>'FIN-BALANCE_CWS'!F36</f>
        <v>-9752442.145833334</v>
      </c>
      <c r="F179" s="121">
        <f>'FIN-BALANCE_CWS'!G36</f>
        <v>-8399602.3864583336</v>
      </c>
      <c r="G179" s="121">
        <f>'FIN-BALANCE_CWS'!H36</f>
        <v>-10039057.929348959</v>
      </c>
      <c r="H179" s="121">
        <f>'FIN-BALANCE_CWS'!I36</f>
        <v>-13588059.30493685</v>
      </c>
      <c r="I179" s="121"/>
    </row>
    <row r="180" spans="2:9" x14ac:dyDescent="0.15">
      <c r="B180" s="135" t="s">
        <v>1080</v>
      </c>
      <c r="C180" s="121">
        <f>'FIN-BALANCE_CWS'!D37</f>
        <v>47327336.700000003</v>
      </c>
      <c r="D180" s="121">
        <f>'FIN-BALANCE_CWS'!E37</f>
        <v>43799278.750000052</v>
      </c>
      <c r="E180" s="121">
        <f>'FIN-BALANCE_CWS'!F37</f>
        <v>-78679054.812499955</v>
      </c>
      <c r="F180" s="121">
        <f>'FIN-BALANCE_CWS'!G37</f>
        <v>-180500027.75833338</v>
      </c>
      <c r="G180" s="121">
        <f>'FIN-BALANCE_CWS'!H37</f>
        <v>-301590472.16052079</v>
      </c>
      <c r="H180" s="121">
        <f>'FIN-BALANCE_CWS'!I37</f>
        <v>-464930896.16776276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1081</v>
      </c>
      <c r="C182" s="121">
        <f>'FIN-BALANCE_CWS'!D39</f>
        <v>47327336.700000003</v>
      </c>
      <c r="D182" s="121">
        <f>'FIN-BALANCE_CWS'!E39</f>
        <v>44459278.750000052</v>
      </c>
      <c r="E182" s="121">
        <f>'FIN-BALANCE_CWS'!F39</f>
        <v>-77599054.812499955</v>
      </c>
      <c r="F182" s="121">
        <f>'FIN-BALANCE_CWS'!G39</f>
        <v>-179469707.75833338</v>
      </c>
      <c r="G182" s="121">
        <f>'FIN-BALANCE_CWS'!H39</f>
        <v>-300610696.16052079</v>
      </c>
      <c r="H182" s="121">
        <f>'FIN-BALANCE_CWS'!I39</f>
        <v>-455876716.16776276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4" t="s">
        <v>35</v>
      </c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 t="s">
        <v>36</v>
      </c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1088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991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1089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852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1131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593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1100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547</v>
      </c>
      <c r="C12" s="234"/>
      <c r="H12" s="234"/>
      <c r="N12" s="234"/>
      <c r="S12" s="234"/>
      <c r="V12" s="234"/>
    </row>
    <row r="13" spans="1:37" x14ac:dyDescent="0.15">
      <c r="B13" s="47" t="s">
        <v>594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1090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850</v>
      </c>
      <c r="C17" s="234"/>
      <c r="H17" s="234"/>
      <c r="N17" s="234"/>
      <c r="S17" s="234"/>
      <c r="V17" s="234"/>
    </row>
    <row r="18" spans="2:23" x14ac:dyDescent="0.15">
      <c r="B18" s="16" t="s">
        <v>853</v>
      </c>
      <c r="C18" s="234"/>
      <c r="H18" s="234"/>
      <c r="N18" s="234"/>
      <c r="S18" s="234"/>
      <c r="V18" s="234"/>
    </row>
    <row r="19" spans="2:23" x14ac:dyDescent="0.15">
      <c r="B19" s="16" t="s">
        <v>851</v>
      </c>
      <c r="C19" s="234"/>
      <c r="H19" s="234"/>
      <c r="N19" s="234"/>
      <c r="S19" s="234"/>
      <c r="V19" s="234"/>
    </row>
    <row r="20" spans="2:23" x14ac:dyDescent="0.15">
      <c r="B20" s="47" t="s">
        <v>561</v>
      </c>
      <c r="C20" s="234"/>
      <c r="H20" s="234"/>
      <c r="N20" s="234"/>
      <c r="S20" s="234"/>
      <c r="V20" s="234"/>
    </row>
    <row r="21" spans="2:23" x14ac:dyDescent="0.15">
      <c r="B21" s="47" t="s">
        <v>845</v>
      </c>
      <c r="C21" s="234"/>
      <c r="H21" s="234"/>
      <c r="N21" s="234"/>
      <c r="S21" s="234"/>
      <c r="V21" s="234"/>
    </row>
    <row r="22" spans="2:23" x14ac:dyDescent="0.15">
      <c r="B22" s="47" t="s">
        <v>846</v>
      </c>
      <c r="C22" s="234"/>
      <c r="H22" s="234"/>
      <c r="N22" s="234"/>
      <c r="S22" s="234"/>
      <c r="V22" s="234"/>
    </row>
    <row r="23" spans="2:23" x14ac:dyDescent="0.15">
      <c r="B23" s="47" t="s">
        <v>847</v>
      </c>
      <c r="C23" s="234"/>
      <c r="H23" s="234"/>
      <c r="N23" s="234"/>
      <c r="S23" s="234"/>
      <c r="V23" s="234"/>
    </row>
    <row r="24" spans="2:23" x14ac:dyDescent="0.15">
      <c r="B24" s="47" t="s">
        <v>848</v>
      </c>
      <c r="C24" s="234"/>
      <c r="H24" s="234"/>
      <c r="N24" s="234"/>
      <c r="S24" s="234"/>
      <c r="V24" s="234"/>
    </row>
    <row r="25" spans="2:23" x14ac:dyDescent="0.15">
      <c r="B25" s="47" t="s">
        <v>849</v>
      </c>
      <c r="C25" s="234"/>
      <c r="H25" s="234"/>
      <c r="N25" s="234"/>
      <c r="S25" s="234"/>
      <c r="V25" s="234"/>
    </row>
    <row r="26" spans="2:23" ht="18" x14ac:dyDescent="0.2">
      <c r="B26" s="14" t="s">
        <v>854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585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544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545</v>
      </c>
      <c r="C29" s="234"/>
      <c r="H29" s="234"/>
      <c r="N29" s="234"/>
      <c r="S29" s="233"/>
      <c r="V29" s="234"/>
    </row>
    <row r="30" spans="2:23" x14ac:dyDescent="0.15">
      <c r="B30" s="47" t="s">
        <v>546</v>
      </c>
      <c r="C30" s="234"/>
      <c r="H30" s="234"/>
      <c r="N30" s="234"/>
      <c r="S30" s="233"/>
      <c r="V30" s="234"/>
    </row>
    <row r="31" spans="2:23" x14ac:dyDescent="0.15">
      <c r="B31" s="14" t="s">
        <v>855</v>
      </c>
      <c r="C31" s="234"/>
      <c r="H31" s="234"/>
      <c r="N31" s="234"/>
      <c r="S31" s="233"/>
      <c r="V31" s="234"/>
    </row>
    <row r="32" spans="2:23" x14ac:dyDescent="0.15">
      <c r="B32" s="47" t="s">
        <v>570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730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731</v>
      </c>
      <c r="C34" s="234"/>
      <c r="H34" s="234"/>
      <c r="N34" s="234"/>
      <c r="S34" s="233"/>
      <c r="V34" s="234"/>
    </row>
    <row r="35" spans="2:22" x14ac:dyDescent="0.15">
      <c r="B35" s="47" t="s">
        <v>732</v>
      </c>
      <c r="C35" s="234"/>
      <c r="H35" s="234"/>
      <c r="N35" s="234"/>
      <c r="S35" s="234"/>
      <c r="V35" s="233"/>
    </row>
    <row r="36" spans="2:22" x14ac:dyDescent="0.15">
      <c r="B36" s="47" t="s">
        <v>733</v>
      </c>
      <c r="C36" s="234"/>
      <c r="H36" s="234"/>
      <c r="N36" s="234"/>
      <c r="S36" s="234"/>
      <c r="V36" s="233"/>
    </row>
    <row r="37" spans="2:22" x14ac:dyDescent="0.15">
      <c r="B37" s="16" t="s">
        <v>856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555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568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556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567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767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592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587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582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557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558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559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560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565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582</v>
      </c>
      <c r="C61" s="234"/>
      <c r="H61" s="234"/>
      <c r="N61" s="234"/>
      <c r="S61" s="234"/>
      <c r="V61" s="234"/>
    </row>
    <row r="62" spans="2:22" x14ac:dyDescent="0.15">
      <c r="B62" s="106" t="s">
        <v>562</v>
      </c>
      <c r="C62" s="234"/>
      <c r="H62" s="234"/>
      <c r="N62" s="234"/>
      <c r="S62" s="234"/>
      <c r="V62" s="234"/>
    </row>
    <row r="63" spans="2:22" x14ac:dyDescent="0.15">
      <c r="B63" s="106" t="s">
        <v>548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566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582</v>
      </c>
      <c r="C66" s="234"/>
      <c r="H66" s="234"/>
      <c r="N66" s="234"/>
      <c r="S66" s="234"/>
      <c r="V66" s="234"/>
    </row>
    <row r="67" spans="2:22" x14ac:dyDescent="0.15">
      <c r="B67" s="106" t="s">
        <v>562</v>
      </c>
      <c r="C67" s="234"/>
      <c r="H67" s="234"/>
      <c r="N67" s="234"/>
      <c r="S67" s="234"/>
      <c r="V67" s="234"/>
    </row>
    <row r="68" spans="2:22" x14ac:dyDescent="0.15">
      <c r="B68" s="106" t="s">
        <v>548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563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536</v>
      </c>
      <c r="C72" s="234"/>
      <c r="H72" s="234"/>
      <c r="N72" s="234"/>
      <c r="S72" s="234"/>
      <c r="V72" s="234"/>
    </row>
    <row r="73" spans="2:22" x14ac:dyDescent="0.15">
      <c r="B73" s="47" t="s">
        <v>564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1136</v>
      </c>
      <c r="C76" s="234"/>
      <c r="H76" s="234"/>
      <c r="N76" s="234"/>
      <c r="S76" s="234"/>
      <c r="V76" s="234"/>
    </row>
    <row r="77" spans="2:22" x14ac:dyDescent="0.15">
      <c r="B77" s="47" t="s">
        <v>1137</v>
      </c>
      <c r="C77" s="234"/>
      <c r="H77" s="234"/>
      <c r="N77" s="234"/>
      <c r="S77" s="234"/>
      <c r="V77" s="234"/>
    </row>
    <row r="78" spans="2:22" x14ac:dyDescent="0.15">
      <c r="B78" s="16" t="s">
        <v>422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555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763</v>
      </c>
      <c r="C82" s="234"/>
      <c r="H82" s="234"/>
      <c r="N82" s="234"/>
      <c r="S82" s="234"/>
      <c r="V82" s="234"/>
    </row>
    <row r="83" spans="2:22" x14ac:dyDescent="0.15">
      <c r="B83" s="106" t="s">
        <v>535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532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533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534</v>
      </c>
      <c r="C86" s="234"/>
      <c r="H86" s="234"/>
      <c r="N86" s="234"/>
      <c r="S86" s="234"/>
      <c r="V86" s="234"/>
    </row>
    <row r="87" spans="2:22" x14ac:dyDescent="0.15">
      <c r="B87" s="106" t="s">
        <v>542</v>
      </c>
      <c r="C87" s="234"/>
      <c r="H87" s="234"/>
      <c r="N87" s="234"/>
      <c r="S87" s="234"/>
      <c r="V87" s="234"/>
    </row>
    <row r="88" spans="2:22" x14ac:dyDescent="0.15">
      <c r="B88" s="106" t="s">
        <v>543</v>
      </c>
      <c r="C88" s="234"/>
      <c r="H88" s="234"/>
      <c r="N88" s="234"/>
      <c r="S88" s="234"/>
      <c r="V88" s="234"/>
    </row>
    <row r="89" spans="2:22" x14ac:dyDescent="0.15">
      <c r="B89" s="106" t="s">
        <v>439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440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764</v>
      </c>
      <c r="C92" s="234"/>
      <c r="H92" s="234"/>
      <c r="N92" s="234"/>
      <c r="S92" s="234"/>
      <c r="V92" s="234"/>
    </row>
    <row r="93" spans="2:22" x14ac:dyDescent="0.15">
      <c r="B93" s="106" t="s">
        <v>535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532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533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534</v>
      </c>
      <c r="C96" s="234"/>
      <c r="H96" s="234"/>
      <c r="N96" s="234"/>
      <c r="S96" s="234"/>
      <c r="V96" s="234"/>
    </row>
    <row r="97" spans="2:22" x14ac:dyDescent="0.15">
      <c r="B97" s="106" t="s">
        <v>542</v>
      </c>
      <c r="C97" s="234"/>
      <c r="H97" s="234"/>
      <c r="N97" s="234"/>
      <c r="S97" s="234"/>
      <c r="V97" s="234"/>
    </row>
    <row r="98" spans="2:22" x14ac:dyDescent="0.15">
      <c r="B98" s="106" t="s">
        <v>543</v>
      </c>
      <c r="C98" s="234"/>
      <c r="H98" s="234"/>
      <c r="N98" s="234"/>
      <c r="S98" s="234"/>
      <c r="V98" s="234"/>
    </row>
    <row r="99" spans="2:22" x14ac:dyDescent="0.15">
      <c r="B99" s="106" t="s">
        <v>588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584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569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589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445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590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575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583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537</v>
      </c>
      <c r="C116" s="234"/>
      <c r="H116" s="234"/>
      <c r="N116" s="234"/>
      <c r="S116" s="234"/>
      <c r="V116" s="234"/>
    </row>
    <row r="117" spans="2:25" x14ac:dyDescent="0.15">
      <c r="B117" s="47" t="s">
        <v>538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591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400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574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575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540</v>
      </c>
      <c r="C124" s="234"/>
      <c r="H124" s="234"/>
      <c r="N124" s="234"/>
      <c r="S124" s="234"/>
      <c r="V124" s="234"/>
    </row>
    <row r="125" spans="2:25" x14ac:dyDescent="0.15">
      <c r="B125" s="47" t="s">
        <v>585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544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545</v>
      </c>
      <c r="C127" s="234"/>
      <c r="H127" s="234"/>
      <c r="N127" s="234"/>
      <c r="S127" s="233"/>
      <c r="V127" s="234"/>
    </row>
    <row r="128" spans="2:25" x14ac:dyDescent="0.15">
      <c r="B128" s="47" t="s">
        <v>546</v>
      </c>
      <c r="C128" s="234"/>
      <c r="H128" s="234"/>
      <c r="N128" s="234"/>
      <c r="S128" s="233"/>
      <c r="V128" s="234"/>
    </row>
    <row r="129" spans="2:22" x14ac:dyDescent="0.15">
      <c r="B129" s="47" t="s">
        <v>570</v>
      </c>
      <c r="C129" s="234"/>
      <c r="H129" s="234"/>
      <c r="N129" s="234"/>
      <c r="S129" s="234"/>
      <c r="V129" s="234"/>
    </row>
    <row r="130" spans="2:22" x14ac:dyDescent="0.15">
      <c r="B130" s="47" t="s">
        <v>730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731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732</v>
      </c>
      <c r="C132" s="234"/>
      <c r="H132" s="234"/>
      <c r="N132" s="234"/>
      <c r="S132" s="233"/>
      <c r="V132" s="234"/>
    </row>
    <row r="133" spans="2:22" x14ac:dyDescent="0.15">
      <c r="B133" s="47" t="s">
        <v>733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573</v>
      </c>
      <c r="C136" s="234"/>
      <c r="H136" s="234"/>
      <c r="N136" s="234"/>
      <c r="S136" s="234"/>
      <c r="V136" s="234"/>
    </row>
    <row r="137" spans="2:22" x14ac:dyDescent="0.15">
      <c r="B137" s="47" t="s">
        <v>572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539</v>
      </c>
      <c r="C138" s="234"/>
      <c r="H138" s="233"/>
      <c r="N138" s="234"/>
      <c r="S138" s="234"/>
      <c r="V138" s="234"/>
    </row>
    <row r="139" spans="2:22" x14ac:dyDescent="0.15">
      <c r="B139" s="47" t="s">
        <v>541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571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576</v>
      </c>
      <c r="C143" s="234"/>
      <c r="H143" s="234"/>
      <c r="N143" s="234"/>
      <c r="S143" s="234"/>
      <c r="V143" s="234"/>
    </row>
    <row r="144" spans="2:22" x14ac:dyDescent="0.15">
      <c r="B144" s="106" t="s">
        <v>578</v>
      </c>
      <c r="C144" s="233"/>
      <c r="H144" s="234"/>
      <c r="N144" s="234"/>
      <c r="S144" s="234"/>
      <c r="V144" s="234"/>
    </row>
    <row r="145" spans="2:22" x14ac:dyDescent="0.15">
      <c r="B145" s="106" t="s">
        <v>579</v>
      </c>
      <c r="C145" s="233"/>
      <c r="H145" s="234"/>
      <c r="N145" s="234"/>
      <c r="S145" s="234"/>
      <c r="V145" s="234"/>
    </row>
    <row r="146" spans="2:22" x14ac:dyDescent="0.15">
      <c r="B146" s="106" t="s">
        <v>580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577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586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581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1133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553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602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502</v>
      </c>
      <c r="D7" s="50">
        <f>D111</f>
        <v>0</v>
      </c>
      <c r="E7" s="50">
        <f>SUM(E111:P111)</f>
        <v>339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2527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504</v>
      </c>
      <c r="J9" s="37"/>
      <c r="K9" s="37"/>
      <c r="BM9" s="65"/>
    </row>
    <row r="10" spans="1:65" s="33" customFormat="1" x14ac:dyDescent="0.15">
      <c r="B10" s="47" t="s">
        <v>504</v>
      </c>
      <c r="D10" s="70">
        <f>D114</f>
        <v>0</v>
      </c>
      <c r="E10" s="70">
        <f>SUM(E114:P114)</f>
        <v>5552820</v>
      </c>
      <c r="F10" s="70">
        <f>SUM(Q114:AB114)</f>
        <v>4781700</v>
      </c>
      <c r="G10" s="70">
        <f>SUM(AC114:AN114)</f>
        <v>2983500</v>
      </c>
      <c r="H10" s="70">
        <f>SUM(AO114:AZ114)</f>
        <v>3638700</v>
      </c>
      <c r="I10" s="70">
        <f>SUM(BA114:BL114)</f>
        <v>4299975</v>
      </c>
      <c r="J10" s="65">
        <f>SUM(D10:I10)</f>
        <v>21256695</v>
      </c>
      <c r="K10" s="144">
        <f>J10-BM114</f>
        <v>0</v>
      </c>
      <c r="L10" s="70" t="s">
        <v>634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4068000</v>
      </c>
      <c r="F11" s="70">
        <f>SUM(Q115:AB115)</f>
        <v>3477600</v>
      </c>
      <c r="G11" s="70">
        <f>SUM(AC115:AN115)</f>
        <v>5686200</v>
      </c>
      <c r="H11" s="70">
        <f>SUM(AO115:AZ115)</f>
        <v>5441256</v>
      </c>
      <c r="I11" s="70">
        <f>SUM(BA115:BL115)</f>
        <v>5189163.7000000011</v>
      </c>
      <c r="J11" s="65">
        <f>SUM(D11:I11)</f>
        <v>23862219.700000003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1484820</v>
      </c>
      <c r="F12" s="70">
        <f>SUM(Q116:AB116)</f>
        <v>1304100</v>
      </c>
      <c r="G12" s="70">
        <f>SUM(AC116:AN116)</f>
        <v>-2702700</v>
      </c>
      <c r="H12" s="70">
        <f>SUM(AO116:AZ116)</f>
        <v>-1802556</v>
      </c>
      <c r="I12" s="70">
        <f>SUM(BA116:BL116)</f>
        <v>-889188.6999999996</v>
      </c>
      <c r="J12" s="65">
        <f>SUM(D12:I12)</f>
        <v>-2605524.6999999997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0.26739926739926739</v>
      </c>
      <c r="F13" s="46">
        <f>F12/F10</f>
        <v>0.27272727272727271</v>
      </c>
      <c r="G13" s="46">
        <f>G12/G10</f>
        <v>-0.90588235294117647</v>
      </c>
      <c r="H13" s="46">
        <f>H12/H10</f>
        <v>-0.49538461538461537</v>
      </c>
      <c r="I13" s="46">
        <f>I12/I10</f>
        <v>-0.20678927203065126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374</v>
      </c>
      <c r="J15" s="37"/>
      <c r="K15" s="37"/>
      <c r="BM15" s="65"/>
    </row>
    <row r="16" spans="1:65" s="33" customFormat="1" x14ac:dyDescent="0.15">
      <c r="B16" s="47" t="s">
        <v>374</v>
      </c>
      <c r="D16" s="70">
        <f>D120</f>
        <v>0</v>
      </c>
      <c r="E16" s="70">
        <f>SUM(E120:P120)</f>
        <v>5274360</v>
      </c>
      <c r="F16" s="70">
        <f>SUM(Q120:AB120)</f>
        <v>35250</v>
      </c>
      <c r="G16" s="70">
        <f>SUM(AC120:AN120)</f>
        <v>48450</v>
      </c>
      <c r="H16" s="70">
        <f>SUM(AO120:AZ120)</f>
        <v>38430</v>
      </c>
      <c r="I16" s="70">
        <f>SUM(BA120:BL120)</f>
        <v>18900</v>
      </c>
      <c r="J16" s="65">
        <f>SUM(D16:I16)</f>
        <v>5415390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375</v>
      </c>
      <c r="D17" s="70">
        <f>D121</f>
        <v>0</v>
      </c>
      <c r="E17" s="70">
        <f>SUM(E121:P121)</f>
        <v>0</v>
      </c>
      <c r="F17" s="70">
        <f>SUM(Q121:AB121)</f>
        <v>11000</v>
      </c>
      <c r="G17" s="70">
        <f>SUM(AC121:AN121)</f>
        <v>16700</v>
      </c>
      <c r="H17" s="70">
        <f>SUM(AO121:AZ121)</f>
        <v>27650</v>
      </c>
      <c r="I17" s="70">
        <f>SUM(BA121:BL121)</f>
        <v>29750</v>
      </c>
      <c r="J17" s="65">
        <f>SUM(D17:I17)</f>
        <v>85100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379</v>
      </c>
      <c r="D18" s="70">
        <f>D122</f>
        <v>0</v>
      </c>
      <c r="E18" s="70">
        <f>SUM(E122:P122)</f>
        <v>5274360</v>
      </c>
      <c r="F18" s="70">
        <f>SUM(Q122:AB122)</f>
        <v>46250</v>
      </c>
      <c r="G18" s="70">
        <f>SUM(AC122:AN122)</f>
        <v>65150</v>
      </c>
      <c r="H18" s="70">
        <f>SUM(AO122:AZ122)</f>
        <v>66080</v>
      </c>
      <c r="I18" s="70">
        <f>SUM(BA122:BL122)</f>
        <v>48650</v>
      </c>
      <c r="J18" s="65">
        <f>SUM(D18:I18)</f>
        <v>5500490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503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378</v>
      </c>
      <c r="D21" s="70">
        <f>D125</f>
        <v>0</v>
      </c>
      <c r="E21" s="70">
        <f>SUM(E125:P125)</f>
        <v>0</v>
      </c>
      <c r="F21" s="70">
        <f>SUM(Q125:AB125)</f>
        <v>3350</v>
      </c>
      <c r="G21" s="70">
        <f>SUM(AC125:AN125)</f>
        <v>8925</v>
      </c>
      <c r="H21" s="70">
        <f>SUM(AO125:AZ125)</f>
        <v>12500</v>
      </c>
      <c r="I21" s="70">
        <f>SUM(BA125:BL125)</f>
        <v>14975</v>
      </c>
      <c r="J21" s="65">
        <f>SUM(D21:I21)</f>
        <v>39750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377</v>
      </c>
      <c r="D22" s="70">
        <f>D126</f>
        <v>0</v>
      </c>
      <c r="E22" s="70">
        <f>SUM(E126:P126)</f>
        <v>0</v>
      </c>
      <c r="F22" s="70">
        <f>SUM(Q126:AB126)</f>
        <v>37293.75</v>
      </c>
      <c r="G22" s="70">
        <f>SUM(AC126:AN126)</f>
        <v>110542.5</v>
      </c>
      <c r="H22" s="70">
        <f>SUM(AO126:AZ126)</f>
        <v>218295</v>
      </c>
      <c r="I22" s="70">
        <f>SUM(BA126:BL126)</f>
        <v>339592.5</v>
      </c>
      <c r="J22" s="65">
        <f>SUM(D22:I22)</f>
        <v>705723.75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380</v>
      </c>
      <c r="D23" s="70">
        <f>D127</f>
        <v>0</v>
      </c>
      <c r="E23" s="70">
        <f>SUM(E127:P127)</f>
        <v>0</v>
      </c>
      <c r="F23" s="70">
        <f>SUM(Q127:AB127)</f>
        <v>40643.75</v>
      </c>
      <c r="G23" s="70">
        <f>SUM(AC127:AN127)</f>
        <v>119467.5</v>
      </c>
      <c r="H23" s="70">
        <f>SUM(AO127:AZ127)</f>
        <v>230795</v>
      </c>
      <c r="I23" s="70">
        <f>SUM(BA127:BL127)</f>
        <v>354567.5</v>
      </c>
      <c r="J23" s="65">
        <f>SUM(D23:I23)</f>
        <v>745473.75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381</v>
      </c>
      <c r="D25" s="104">
        <f>D129</f>
        <v>0</v>
      </c>
      <c r="E25" s="104">
        <f>SUM(E129:P129)</f>
        <v>6759180</v>
      </c>
      <c r="F25" s="104">
        <f>SUM(Q129:AB129)</f>
        <v>1390993.75</v>
      </c>
      <c r="G25" s="104">
        <f>SUM(AC129:AN129)</f>
        <v>-2518082.5</v>
      </c>
      <c r="H25" s="104">
        <f>SUM(AO129:AZ129)</f>
        <v>-1505681</v>
      </c>
      <c r="I25" s="104">
        <f>SUM(BA129:BL129)</f>
        <v>-485971.19999999984</v>
      </c>
      <c r="J25" s="38">
        <f>SUM(D25:I25)</f>
        <v>3640439.0500000003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501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417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418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444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464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465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607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433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434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435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437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438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505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399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745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524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24168979.5</v>
      </c>
      <c r="F46" s="158">
        <f>SUM(Q150:AB150)</f>
        <v>33634774.84375</v>
      </c>
      <c r="G46" s="158">
        <f>SUM(AC150:AN150)</f>
        <v>43137047.9375</v>
      </c>
      <c r="H46" s="158">
        <f>SUM(AO150:AZ150)</f>
        <v>52762357.974999994</v>
      </c>
      <c r="I46" s="158">
        <f>SUM(BA150:BL150)</f>
        <v>81587850.719999984</v>
      </c>
      <c r="J46" s="159">
        <f>SUM(D46:I46)</f>
        <v>235291010.97624999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405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525</v>
      </c>
      <c r="D50" s="160">
        <f>D154</f>
        <v>0</v>
      </c>
      <c r="E50" s="160">
        <f>SUM(E154:P154)</f>
        <v>52968979.5</v>
      </c>
      <c r="F50" s="160">
        <f>SUM(Q154:AB154)</f>
        <v>67234774.84375</v>
      </c>
      <c r="G50" s="160">
        <f>SUM(AC154:AN154)</f>
        <v>76737047.9375</v>
      </c>
      <c r="H50" s="160">
        <f>SUM(AO154:AZ154)</f>
        <v>93562357.974999994</v>
      </c>
      <c r="I50" s="160">
        <f>SUM(BA154:BL154)</f>
        <v>129587850.71999998</v>
      </c>
      <c r="J50" s="144">
        <f>SUM(D50:I50)</f>
        <v>420091010.97624999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508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405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509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510</v>
      </c>
      <c r="J59" s="35"/>
      <c r="K59" s="35"/>
      <c r="BM59" s="167"/>
    </row>
    <row r="60" spans="1:65" hidden="1" x14ac:dyDescent="0.15">
      <c r="B60" s="47" t="s">
        <v>406</v>
      </c>
      <c r="D60" s="161">
        <f>D164</f>
        <v>0</v>
      </c>
      <c r="E60" s="161">
        <f>SUM(E164:P164)</f>
        <v>10593795.9</v>
      </c>
      <c r="F60" s="161">
        <f>SUM(Q164:AB164)</f>
        <v>13446954.96875</v>
      </c>
      <c r="G60" s="161">
        <f>SUM(AC164:AN164)</f>
        <v>15347409.587500002</v>
      </c>
      <c r="H60" s="161">
        <f>SUM(AO164:AZ164)</f>
        <v>18712471.594999995</v>
      </c>
      <c r="I60" s="161">
        <f>SUM(BA164:BL164)</f>
        <v>25917570.144000005</v>
      </c>
      <c r="J60" s="159">
        <f>SUM(D60:I60)</f>
        <v>84018202.195250005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506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511</v>
      </c>
      <c r="D63" s="161">
        <f>D167</f>
        <v>0</v>
      </c>
      <c r="E63" s="161">
        <f>SUM(E167:P167)</f>
        <v>17342883.900000002</v>
      </c>
      <c r="F63" s="161">
        <f>SUM(Q167:AB167)</f>
        <v>20196042.96875</v>
      </c>
      <c r="G63" s="161">
        <f>SUM(AC167:AN167)</f>
        <v>22096497.587499999</v>
      </c>
      <c r="H63" s="161">
        <f>SUM(AO167:AZ167)</f>
        <v>25461559.595000003</v>
      </c>
      <c r="I63" s="161">
        <f>SUM(BA167:BL167)</f>
        <v>32666658.144000005</v>
      </c>
      <c r="J63" s="159">
        <f>SUM(D63:I63)</f>
        <v>117763642.19525002</v>
      </c>
      <c r="K63" s="144">
        <f>J63-BM167</f>
        <v>0</v>
      </c>
      <c r="L63" s="161" t="s">
        <v>624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507</v>
      </c>
      <c r="D65" s="130">
        <f>D169</f>
        <v>0</v>
      </c>
      <c r="E65" s="130">
        <f>SUM(E169:P169)</f>
        <v>112311863.40000002</v>
      </c>
      <c r="F65" s="130">
        <f>SUM(Q169:AB169)</f>
        <v>123430817.8125</v>
      </c>
      <c r="G65" s="130">
        <f>SUM(AC169:AN169)</f>
        <v>98833545.525000006</v>
      </c>
      <c r="H65" s="130">
        <f>SUM(AO169:AZ169)</f>
        <v>119023917.56999999</v>
      </c>
      <c r="I65" s="130">
        <f>SUM(BA169:BL169)</f>
        <v>162254508.86399999</v>
      </c>
      <c r="J65" s="38">
        <f>SUM(D65:I65)</f>
        <v>615854653.17150009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1034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616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1094</v>
      </c>
      <c r="C101" s="33"/>
      <c r="D101" s="130">
        <f>D205</f>
        <v>28592</v>
      </c>
      <c r="E101" s="130">
        <f>SUM(E205:P205)</f>
        <v>112805698.39999998</v>
      </c>
      <c r="F101" s="130">
        <f>SUM(Q205:AB205)</f>
        <v>123869327.31249997</v>
      </c>
      <c r="G101" s="130">
        <f>SUM(AC205:AN205)</f>
        <v>99302890.44583334</v>
      </c>
      <c r="H101" s="130">
        <f>SUM(AO205:AZ205)</f>
        <v>119584763.40218751</v>
      </c>
      <c r="I101" s="130">
        <f>SUM(BA205:BL205)</f>
        <v>162854452.80724218</v>
      </c>
      <c r="J101" s="38">
        <f>SUM(D101:I101)</f>
        <v>618445724.36776304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485</v>
      </c>
      <c r="D103" s="130">
        <f>D207</f>
        <v>-28592</v>
      </c>
      <c r="E103" s="130">
        <f>SUM(E207:P207)</f>
        <v>-106046518.39999998</v>
      </c>
      <c r="F103" s="130">
        <f>SUM(Q207:AB207)</f>
        <v>-122478333.56249997</v>
      </c>
      <c r="G103" s="130">
        <f>SUM(AC207:AN207)</f>
        <v>-101820972.94583333</v>
      </c>
      <c r="H103" s="130">
        <f>SUM(AO207:AZ207)</f>
        <v>-121090444.40218751</v>
      </c>
      <c r="I103" s="130">
        <f>SUM(BA207:BL207)</f>
        <v>-163340424.0072422</v>
      </c>
      <c r="J103" s="38">
        <f>SUM(D103:I103)</f>
        <v>-614805285.31776309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1032</v>
      </c>
      <c r="D104" s="130">
        <f>D103</f>
        <v>-28592</v>
      </c>
      <c r="E104" s="130">
        <f>E103+D104</f>
        <v>-106075110.39999998</v>
      </c>
      <c r="F104" s="130">
        <f>F103+E104</f>
        <v>-228553443.96249995</v>
      </c>
      <c r="G104" s="130">
        <f>G103+F104</f>
        <v>-330374416.9083333</v>
      </c>
      <c r="H104" s="130">
        <f>H103+G104</f>
        <v>-451464861.31052083</v>
      </c>
      <c r="I104" s="130">
        <f>I103+H104</f>
        <v>-614805285.31776309</v>
      </c>
      <c r="J104" s="38">
        <f>SUM(D104:I104)</f>
        <v>-1731301709.8991172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4" t="s">
        <v>35</v>
      </c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 t="s">
        <v>36</v>
      </c>
      <c r="R107" s="364"/>
      <c r="S107" s="364"/>
      <c r="T107" s="364"/>
      <c r="U107" s="364"/>
      <c r="V107" s="364"/>
      <c r="W107" s="364"/>
      <c r="X107" s="364"/>
      <c r="Y107" s="364"/>
      <c r="Z107" s="364"/>
      <c r="AA107" s="364"/>
      <c r="AB107" s="364"/>
      <c r="AC107" s="364" t="s">
        <v>37</v>
      </c>
      <c r="AD107" s="364"/>
      <c r="AE107" s="364"/>
      <c r="AF107" s="364"/>
      <c r="AG107" s="364"/>
      <c r="AH107" s="364"/>
      <c r="AI107" s="364"/>
      <c r="AJ107" s="364"/>
      <c r="AK107" s="364"/>
      <c r="AL107" s="364"/>
      <c r="AM107" s="364"/>
      <c r="AN107" s="364"/>
      <c r="AO107" s="364" t="s">
        <v>38</v>
      </c>
      <c r="AP107" s="364"/>
      <c r="AQ107" s="364"/>
      <c r="AR107" s="364"/>
      <c r="AS107" s="364"/>
      <c r="AT107" s="364"/>
      <c r="AU107" s="364"/>
      <c r="AV107" s="364"/>
      <c r="AW107" s="364"/>
      <c r="AX107" s="364"/>
      <c r="AY107" s="364"/>
      <c r="AZ107" s="364"/>
      <c r="BA107" s="364" t="s">
        <v>39</v>
      </c>
      <c r="BB107" s="364"/>
      <c r="BC107" s="364"/>
      <c r="BD107" s="364"/>
      <c r="BE107" s="364"/>
      <c r="BF107" s="364"/>
      <c r="BG107" s="364"/>
      <c r="BH107" s="364"/>
      <c r="BI107" s="364"/>
      <c r="BJ107" s="364"/>
      <c r="BK107" s="364"/>
      <c r="BL107" s="364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502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39</v>
      </c>
      <c r="I111" s="50">
        <f>'REV-REVCALC_CWS'!I6</f>
        <v>43</v>
      </c>
      <c r="J111" s="14">
        <f>'REV-REVCALC_CWS'!J6</f>
        <v>48</v>
      </c>
      <c r="K111" s="50">
        <f>'REV-REVCALC_CWS'!K6</f>
        <v>39</v>
      </c>
      <c r="L111" s="50">
        <f>'REV-REVCALC_CWS'!L6</f>
        <v>43</v>
      </c>
      <c r="M111" s="50">
        <f>'REV-REVCALC_CWS'!M6</f>
        <v>35</v>
      </c>
      <c r="N111" s="50">
        <f>'REV-REVCALC_CWS'!N6</f>
        <v>35</v>
      </c>
      <c r="O111" s="50">
        <f>'REV-REVCALC_CWS'!O6</f>
        <v>35</v>
      </c>
      <c r="P111" s="50">
        <f>'REV-REVCALC_CWS'!P6</f>
        <v>22</v>
      </c>
      <c r="Q111" s="50">
        <f>'REV-REVCALC_CWS'!Q6</f>
        <v>16</v>
      </c>
      <c r="R111" s="50">
        <f>'REV-REVCALC_CWS'!R6</f>
        <v>26</v>
      </c>
      <c r="S111" s="50">
        <f>'REV-REVCALC_CWS'!S6</f>
        <v>29</v>
      </c>
      <c r="T111" s="50">
        <f>'REV-REVCALC_CWS'!T6</f>
        <v>29</v>
      </c>
      <c r="U111" s="50">
        <f>'REV-REVCALC_CWS'!U6</f>
        <v>32</v>
      </c>
      <c r="V111" s="50">
        <f>'REV-REVCALC_CWS'!V6</f>
        <v>35</v>
      </c>
      <c r="W111" s="50">
        <f>'REV-REVCALC_CWS'!W6</f>
        <v>29</v>
      </c>
      <c r="X111" s="50">
        <f>'REV-REVCALC_CWS'!X6</f>
        <v>32</v>
      </c>
      <c r="Y111" s="50">
        <f>'REV-REVCALC_CWS'!Y6</f>
        <v>26</v>
      </c>
      <c r="Z111" s="50">
        <f>'REV-REVCALC_CWS'!Z6</f>
        <v>26</v>
      </c>
      <c r="AA111" s="50">
        <f>'REV-REVCALC_CWS'!AA6</f>
        <v>26</v>
      </c>
      <c r="AB111" s="50">
        <f>'REV-REVCALC_CWS'!AB6</f>
        <v>16</v>
      </c>
      <c r="AC111" s="50">
        <f>'REV-REVCALC_CWS'!AC6</f>
        <v>29</v>
      </c>
      <c r="AD111" s="50">
        <f>'REV-REVCALC_CWS'!AD6</f>
        <v>47</v>
      </c>
      <c r="AE111" s="50">
        <f>'REV-REVCALC_CWS'!AE6</f>
        <v>53</v>
      </c>
      <c r="AF111" s="50">
        <f>'REV-REVCALC_CWS'!AF6</f>
        <v>53</v>
      </c>
      <c r="AG111" s="50">
        <f>'REV-REVCALC_CWS'!AG6</f>
        <v>58</v>
      </c>
      <c r="AH111" s="50">
        <f>'REV-REVCALC_CWS'!AH6</f>
        <v>64</v>
      </c>
      <c r="AI111" s="50">
        <f>'REV-REVCALC_CWS'!AI6</f>
        <v>53</v>
      </c>
      <c r="AJ111" s="50">
        <f>'REV-REVCALC_CWS'!AJ6</f>
        <v>58</v>
      </c>
      <c r="AK111" s="50">
        <f>'REV-REVCALC_CWS'!AK6</f>
        <v>47</v>
      </c>
      <c r="AL111" s="50">
        <f>'REV-REVCALC_CWS'!AL6</f>
        <v>47</v>
      </c>
      <c r="AM111" s="50">
        <f>'REV-REVCALC_CWS'!AM6</f>
        <v>47</v>
      </c>
      <c r="AN111" s="50">
        <f>'REV-REVCALC_CWS'!AN6</f>
        <v>29</v>
      </c>
      <c r="AO111" s="50">
        <f>'REV-REVCALC_CWS'!AO6</f>
        <v>31</v>
      </c>
      <c r="AP111" s="50">
        <f>'REV-REVCALC_CWS'!AP6</f>
        <v>50</v>
      </c>
      <c r="AQ111" s="50">
        <f>'REV-REVCALC_CWS'!AQ6</f>
        <v>56</v>
      </c>
      <c r="AR111" s="50">
        <f>'REV-REVCALC_CWS'!AR6</f>
        <v>56</v>
      </c>
      <c r="AS111" s="50">
        <f>'REV-REVCALC_CWS'!AS6</f>
        <v>62</v>
      </c>
      <c r="AT111" s="50">
        <f>'REV-REVCALC_CWS'!AT6</f>
        <v>68</v>
      </c>
      <c r="AU111" s="50">
        <f>'REV-REVCALC_CWS'!AU6</f>
        <v>56</v>
      </c>
      <c r="AV111" s="50">
        <f>'REV-REVCALC_CWS'!AV6</f>
        <v>62</v>
      </c>
      <c r="AW111" s="50">
        <f>'REV-REVCALC_CWS'!AW6</f>
        <v>50</v>
      </c>
      <c r="AX111" s="50">
        <f>'REV-REVCALC_CWS'!AX6</f>
        <v>50</v>
      </c>
      <c r="AY111" s="50">
        <f>'REV-REVCALC_CWS'!AY6</f>
        <v>50</v>
      </c>
      <c r="AZ111" s="50">
        <f>'REV-REVCALC_CWS'!AZ6</f>
        <v>31</v>
      </c>
      <c r="BA111" s="50">
        <f>'REV-REVCALC_CWS'!BA6</f>
        <v>33</v>
      </c>
      <c r="BB111" s="50">
        <f>'REV-REVCALC_CWS'!BB6</f>
        <v>53</v>
      </c>
      <c r="BC111" s="50">
        <f>'REV-REVCALC_CWS'!BC6</f>
        <v>59</v>
      </c>
      <c r="BD111" s="50">
        <f>'REV-REVCALC_CWS'!BD6</f>
        <v>59</v>
      </c>
      <c r="BE111" s="50">
        <f>'REV-REVCALC_CWS'!BE6</f>
        <v>66</v>
      </c>
      <c r="BF111" s="50">
        <f>'REV-REVCALC_CWS'!BF6</f>
        <v>72</v>
      </c>
      <c r="BG111" s="50">
        <f>'REV-REVCALC_CWS'!BG6</f>
        <v>59</v>
      </c>
      <c r="BH111" s="50">
        <f>'REV-REVCALC_CWS'!BH6</f>
        <v>66</v>
      </c>
      <c r="BI111" s="50">
        <f>'REV-REVCALC_CWS'!BI6</f>
        <v>53</v>
      </c>
      <c r="BJ111" s="50">
        <f>'REV-REVCALC_CWS'!BJ6</f>
        <v>53</v>
      </c>
      <c r="BK111" s="50">
        <f>'REV-REVCALC_CWS'!BK6</f>
        <v>53</v>
      </c>
      <c r="BL111" s="50">
        <f>'REV-REVCALC_CWS'!BL6</f>
        <v>33</v>
      </c>
      <c r="BM111" s="167">
        <f>SUM(D111:BL111)</f>
        <v>2527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504</v>
      </c>
      <c r="BM113" s="65"/>
    </row>
    <row r="114" spans="2:65" s="33" customFormat="1" x14ac:dyDescent="0.15">
      <c r="B114" s="47" t="s">
        <v>504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638820</v>
      </c>
      <c r="I114" s="70">
        <f>'REV-REVCALC_CWS'!I10</f>
        <v>704340</v>
      </c>
      <c r="J114" s="70">
        <f>'REV-REVCALC_CWS'!J10</f>
        <v>786240</v>
      </c>
      <c r="K114" s="70">
        <f>'REV-REVCALC_CWS'!K10</f>
        <v>638820</v>
      </c>
      <c r="L114" s="70">
        <f>'REV-REVCALC_CWS'!L10</f>
        <v>704340</v>
      </c>
      <c r="M114" s="70">
        <f>'REV-REVCALC_CWS'!M10</f>
        <v>573300</v>
      </c>
      <c r="N114" s="70">
        <f>'REV-REVCALC_CWS'!N10</f>
        <v>573300</v>
      </c>
      <c r="O114" s="70">
        <f>'REV-REVCALC_CWS'!O10</f>
        <v>573300</v>
      </c>
      <c r="P114" s="70">
        <f>'REV-REVCALC_CWS'!P10</f>
        <v>360360</v>
      </c>
      <c r="Q114" s="70">
        <f>'REV-REVCALC_CWS'!Q10</f>
        <v>237600</v>
      </c>
      <c r="R114" s="70">
        <f>'REV-REVCALC_CWS'!R10</f>
        <v>386100</v>
      </c>
      <c r="S114" s="70">
        <f>'REV-REVCALC_CWS'!S10</f>
        <v>430650</v>
      </c>
      <c r="T114" s="70">
        <f>'REV-REVCALC_CWS'!T10</f>
        <v>430650</v>
      </c>
      <c r="U114" s="70">
        <f>'REV-REVCALC_CWS'!U10</f>
        <v>475200</v>
      </c>
      <c r="V114" s="70">
        <f>'REV-REVCALC_CWS'!V10</f>
        <v>519750</v>
      </c>
      <c r="W114" s="70">
        <f>'REV-REVCALC_CWS'!W10</f>
        <v>430650</v>
      </c>
      <c r="X114" s="70">
        <f>'REV-REVCALC_CWS'!X10</f>
        <v>475200</v>
      </c>
      <c r="Y114" s="70">
        <f>'REV-REVCALC_CWS'!Y10</f>
        <v>386100</v>
      </c>
      <c r="Z114" s="70">
        <f>'REV-REVCALC_CWS'!Z10</f>
        <v>386100</v>
      </c>
      <c r="AA114" s="70">
        <f>'REV-REVCALC_CWS'!AA10</f>
        <v>386100</v>
      </c>
      <c r="AB114" s="70">
        <f>'REV-REVCALC_CWS'!AB10</f>
        <v>237600</v>
      </c>
      <c r="AC114" s="70">
        <f>'REV-REVCALC_CWS'!AC10</f>
        <v>147900</v>
      </c>
      <c r="AD114" s="70">
        <f>'REV-REVCALC_CWS'!AD10</f>
        <v>239700</v>
      </c>
      <c r="AE114" s="70">
        <f>'REV-REVCALC_CWS'!AE10</f>
        <v>270300</v>
      </c>
      <c r="AF114" s="70">
        <f>'REV-REVCALC_CWS'!AF10</f>
        <v>270300</v>
      </c>
      <c r="AG114" s="70">
        <f>'REV-REVCALC_CWS'!AG10</f>
        <v>295800</v>
      </c>
      <c r="AH114" s="70">
        <f>'REV-REVCALC_CWS'!AH10</f>
        <v>326400</v>
      </c>
      <c r="AI114" s="70">
        <f>'REV-REVCALC_CWS'!AI10</f>
        <v>270300</v>
      </c>
      <c r="AJ114" s="70">
        <f>'REV-REVCALC_CWS'!AJ10</f>
        <v>295800</v>
      </c>
      <c r="AK114" s="70">
        <f>'REV-REVCALC_CWS'!AK10</f>
        <v>239700</v>
      </c>
      <c r="AL114" s="70">
        <f>'REV-REVCALC_CWS'!AL10</f>
        <v>239700</v>
      </c>
      <c r="AM114" s="70">
        <f>'REV-REVCALC_CWS'!AM10</f>
        <v>239700</v>
      </c>
      <c r="AN114" s="70">
        <f>'REV-REVCALC_CWS'!AN10</f>
        <v>147900</v>
      </c>
      <c r="AO114" s="70">
        <f>'REV-REVCALC_CWS'!AO10</f>
        <v>181350</v>
      </c>
      <c r="AP114" s="70">
        <f>'REV-REVCALC_CWS'!AP10</f>
        <v>292500</v>
      </c>
      <c r="AQ114" s="70">
        <f>'REV-REVCALC_CWS'!AQ10</f>
        <v>327600</v>
      </c>
      <c r="AR114" s="70">
        <f>'REV-REVCALC_CWS'!AR10</f>
        <v>327600</v>
      </c>
      <c r="AS114" s="70">
        <f>'REV-REVCALC_CWS'!AS10</f>
        <v>362700</v>
      </c>
      <c r="AT114" s="70">
        <f>'REV-REVCALC_CWS'!AT10</f>
        <v>397800</v>
      </c>
      <c r="AU114" s="70">
        <f>'REV-REVCALC_CWS'!AU10</f>
        <v>327600</v>
      </c>
      <c r="AV114" s="70">
        <f>'REV-REVCALC_CWS'!AV10</f>
        <v>362700</v>
      </c>
      <c r="AW114" s="70">
        <f>'REV-REVCALC_CWS'!AW10</f>
        <v>292500</v>
      </c>
      <c r="AX114" s="70">
        <f>'REV-REVCALC_CWS'!AX10</f>
        <v>292500</v>
      </c>
      <c r="AY114" s="70">
        <f>'REV-REVCALC_CWS'!AY10</f>
        <v>292500</v>
      </c>
      <c r="AZ114" s="70">
        <f>'REV-REVCALC_CWS'!AZ10</f>
        <v>181350</v>
      </c>
      <c r="BA114" s="70">
        <f>'REV-REVCALC_CWS'!BA10</f>
        <v>215325</v>
      </c>
      <c r="BB114" s="70">
        <f>'REV-REVCALC_CWS'!BB10</f>
        <v>345825</v>
      </c>
      <c r="BC114" s="70">
        <f>'REV-REVCALC_CWS'!BC10</f>
        <v>384975</v>
      </c>
      <c r="BD114" s="70">
        <f>'REV-REVCALC_CWS'!BD10</f>
        <v>384975</v>
      </c>
      <c r="BE114" s="70">
        <f>'REV-REVCALC_CWS'!BE10</f>
        <v>430650</v>
      </c>
      <c r="BF114" s="70">
        <f>'REV-REVCALC_CWS'!BF10</f>
        <v>469800</v>
      </c>
      <c r="BG114" s="70">
        <f>'REV-REVCALC_CWS'!BG10</f>
        <v>384975</v>
      </c>
      <c r="BH114" s="70">
        <f>'REV-REVCALC_CWS'!BH10</f>
        <v>430650</v>
      </c>
      <c r="BI114" s="70">
        <f>'REV-REVCALC_CWS'!BI10</f>
        <v>345825</v>
      </c>
      <c r="BJ114" s="70">
        <f>'REV-REVCALC_CWS'!BJ10</f>
        <v>345825</v>
      </c>
      <c r="BK114" s="70">
        <f>'REV-REVCALC_CWS'!BK10</f>
        <v>345825</v>
      </c>
      <c r="BL114" s="70">
        <f>'REV-REVCALC_CWS'!BL10</f>
        <v>215325</v>
      </c>
      <c r="BM114" s="167">
        <f>SUM(D114:BL114)</f>
        <v>21256695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468000</v>
      </c>
      <c r="I115" s="70">
        <f>'REV-REVCALC_CWS'!I19</f>
        <v>516000</v>
      </c>
      <c r="J115" s="70">
        <f>'REV-REVCALC_CWS'!J19</f>
        <v>576000</v>
      </c>
      <c r="K115" s="70">
        <f>'REV-REVCALC_CWS'!K19</f>
        <v>468000</v>
      </c>
      <c r="L115" s="70">
        <f>'REV-REVCALC_CWS'!L19</f>
        <v>516000</v>
      </c>
      <c r="M115" s="70">
        <f>'REV-REVCALC_CWS'!M19</f>
        <v>420000</v>
      </c>
      <c r="N115" s="70">
        <f>'REV-REVCALC_CWS'!N19</f>
        <v>420000</v>
      </c>
      <c r="O115" s="70">
        <f>'REV-REVCALC_CWS'!O19</f>
        <v>420000</v>
      </c>
      <c r="P115" s="70">
        <f>'REV-REVCALC_CWS'!P19</f>
        <v>264000</v>
      </c>
      <c r="Q115" s="70">
        <f>'REV-REVCALC_CWS'!Q19</f>
        <v>172800</v>
      </c>
      <c r="R115" s="70">
        <f>'REV-REVCALC_CWS'!R19</f>
        <v>280800</v>
      </c>
      <c r="S115" s="70">
        <f>'REV-REVCALC_CWS'!S19</f>
        <v>313200</v>
      </c>
      <c r="T115" s="70">
        <f>'REV-REVCALC_CWS'!T19</f>
        <v>313200</v>
      </c>
      <c r="U115" s="70">
        <f>'REV-REVCALC_CWS'!U19</f>
        <v>345600</v>
      </c>
      <c r="V115" s="70">
        <f>'REV-REVCALC_CWS'!V19</f>
        <v>378000</v>
      </c>
      <c r="W115" s="70">
        <f>'REV-REVCALC_CWS'!W19</f>
        <v>313200</v>
      </c>
      <c r="X115" s="70">
        <f>'REV-REVCALC_CWS'!X19</f>
        <v>345600</v>
      </c>
      <c r="Y115" s="70">
        <f>'REV-REVCALC_CWS'!Y19</f>
        <v>280800</v>
      </c>
      <c r="Z115" s="70">
        <f>'REV-REVCALC_CWS'!Z19</f>
        <v>280800</v>
      </c>
      <c r="AA115" s="70">
        <f>'REV-REVCALC_CWS'!AA19</f>
        <v>280800</v>
      </c>
      <c r="AB115" s="70">
        <f>'REV-REVCALC_CWS'!AB19</f>
        <v>172800</v>
      </c>
      <c r="AC115" s="70">
        <f>'REV-REVCALC_CWS'!AC19</f>
        <v>281880</v>
      </c>
      <c r="AD115" s="70">
        <f>'REV-REVCALC_CWS'!AD19</f>
        <v>456840</v>
      </c>
      <c r="AE115" s="70">
        <f>'REV-REVCALC_CWS'!AE19</f>
        <v>515160</v>
      </c>
      <c r="AF115" s="70">
        <f>'REV-REVCALC_CWS'!AF19</f>
        <v>515160</v>
      </c>
      <c r="AG115" s="70">
        <f>'REV-REVCALC_CWS'!AG19</f>
        <v>563760</v>
      </c>
      <c r="AH115" s="70">
        <f>'REV-REVCALC_CWS'!AH19</f>
        <v>622080</v>
      </c>
      <c r="AI115" s="70">
        <f>'REV-REVCALC_CWS'!AI19</f>
        <v>515160</v>
      </c>
      <c r="AJ115" s="70">
        <f>'REV-REVCALC_CWS'!AJ19</f>
        <v>563760</v>
      </c>
      <c r="AK115" s="70">
        <f>'REV-REVCALC_CWS'!AK19</f>
        <v>456840</v>
      </c>
      <c r="AL115" s="70">
        <f>'REV-REVCALC_CWS'!AL19</f>
        <v>456840</v>
      </c>
      <c r="AM115" s="70">
        <f>'REV-REVCALC_CWS'!AM19</f>
        <v>456840</v>
      </c>
      <c r="AN115" s="70">
        <f>'REV-REVCALC_CWS'!AN19</f>
        <v>281880</v>
      </c>
      <c r="AO115" s="70">
        <f>'REV-REVCALC_CWS'!AO19</f>
        <v>271188</v>
      </c>
      <c r="AP115" s="70">
        <f>'REV-REVCALC_CWS'!AP19</f>
        <v>437400</v>
      </c>
      <c r="AQ115" s="70">
        <f>'REV-REVCALC_CWS'!AQ19</f>
        <v>489888</v>
      </c>
      <c r="AR115" s="70">
        <f>'REV-REVCALC_CWS'!AR19</f>
        <v>489888</v>
      </c>
      <c r="AS115" s="70">
        <f>'REV-REVCALC_CWS'!AS19</f>
        <v>542376</v>
      </c>
      <c r="AT115" s="70">
        <f>'REV-REVCALC_CWS'!AT19</f>
        <v>594864</v>
      </c>
      <c r="AU115" s="70">
        <f>'REV-REVCALC_CWS'!AU19</f>
        <v>489888</v>
      </c>
      <c r="AV115" s="70">
        <f>'REV-REVCALC_CWS'!AV19</f>
        <v>542376</v>
      </c>
      <c r="AW115" s="70">
        <f>'REV-REVCALC_CWS'!AW19</f>
        <v>437400</v>
      </c>
      <c r="AX115" s="70">
        <f>'REV-REVCALC_CWS'!AX19</f>
        <v>437400</v>
      </c>
      <c r="AY115" s="70">
        <f>'REV-REVCALC_CWS'!AY19</f>
        <v>437400</v>
      </c>
      <c r="AZ115" s="70">
        <f>'REV-REVCALC_CWS'!AZ19</f>
        <v>271188</v>
      </c>
      <c r="BA115" s="70">
        <f>'REV-REVCALC_CWS'!BA19</f>
        <v>259851.9</v>
      </c>
      <c r="BB115" s="70">
        <f>'REV-REVCALC_CWS'!BB19</f>
        <v>417337.89999999997</v>
      </c>
      <c r="BC115" s="70">
        <f>'REV-REVCALC_CWS'!BC19</f>
        <v>464583.7</v>
      </c>
      <c r="BD115" s="70">
        <f>'REV-REVCALC_CWS'!BD19</f>
        <v>464583.7</v>
      </c>
      <c r="BE115" s="70">
        <f>'REV-REVCALC_CWS'!BE19</f>
        <v>519703.8</v>
      </c>
      <c r="BF115" s="70">
        <f>'REV-REVCALC_CWS'!BF19</f>
        <v>566949.6</v>
      </c>
      <c r="BG115" s="70">
        <f>'REV-REVCALC_CWS'!BG19</f>
        <v>464583.7</v>
      </c>
      <c r="BH115" s="70">
        <f>'REV-REVCALC_CWS'!BH19</f>
        <v>519703.8</v>
      </c>
      <c r="BI115" s="70">
        <f>'REV-REVCALC_CWS'!BI19</f>
        <v>417337.89999999997</v>
      </c>
      <c r="BJ115" s="70">
        <f>'REV-REVCALC_CWS'!BJ19</f>
        <v>417337.89999999997</v>
      </c>
      <c r="BK115" s="70">
        <f>'REV-REVCALC_CWS'!BK19</f>
        <v>417337.89999999997</v>
      </c>
      <c r="BL115" s="70">
        <f>'REV-REVCALC_CWS'!BL19</f>
        <v>259851.9</v>
      </c>
      <c r="BM115" s="167">
        <f>SUM(D115:BL115)</f>
        <v>23862219.699999992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170820</v>
      </c>
      <c r="I116" s="70">
        <f>'REV-REVCALC_CWS'!I21</f>
        <v>188340</v>
      </c>
      <c r="J116" s="70">
        <f>'REV-REVCALC_CWS'!J21</f>
        <v>210240</v>
      </c>
      <c r="K116" s="70">
        <f>'REV-REVCALC_CWS'!K21</f>
        <v>170820</v>
      </c>
      <c r="L116" s="70">
        <f>'REV-REVCALC_CWS'!L21</f>
        <v>188340</v>
      </c>
      <c r="M116" s="70">
        <f>'REV-REVCALC_CWS'!M21</f>
        <v>153300</v>
      </c>
      <c r="N116" s="70">
        <f>'REV-REVCALC_CWS'!N21</f>
        <v>153300</v>
      </c>
      <c r="O116" s="70">
        <f t="shared" ref="O116:AT116" si="8">O114-O115</f>
        <v>153300</v>
      </c>
      <c r="P116" s="70">
        <f t="shared" si="8"/>
        <v>96360</v>
      </c>
      <c r="Q116" s="70">
        <f t="shared" si="8"/>
        <v>64800</v>
      </c>
      <c r="R116" s="70">
        <f t="shared" si="8"/>
        <v>105300</v>
      </c>
      <c r="S116" s="70">
        <f t="shared" si="8"/>
        <v>117450</v>
      </c>
      <c r="T116" s="70">
        <f t="shared" si="8"/>
        <v>117450</v>
      </c>
      <c r="U116" s="70">
        <f t="shared" si="8"/>
        <v>129600</v>
      </c>
      <c r="V116" s="70">
        <f t="shared" si="8"/>
        <v>141750</v>
      </c>
      <c r="W116" s="70">
        <f t="shared" si="8"/>
        <v>117450</v>
      </c>
      <c r="X116" s="70">
        <f t="shared" si="8"/>
        <v>129600</v>
      </c>
      <c r="Y116" s="70">
        <f t="shared" si="8"/>
        <v>105300</v>
      </c>
      <c r="Z116" s="70">
        <f t="shared" si="8"/>
        <v>105300</v>
      </c>
      <c r="AA116" s="70">
        <f t="shared" si="8"/>
        <v>105300</v>
      </c>
      <c r="AB116" s="70">
        <f t="shared" si="8"/>
        <v>64800</v>
      </c>
      <c r="AC116" s="70">
        <f t="shared" si="8"/>
        <v>-133980</v>
      </c>
      <c r="AD116" s="70">
        <f t="shared" si="8"/>
        <v>-217140</v>
      </c>
      <c r="AE116" s="70">
        <f t="shared" si="8"/>
        <v>-244860</v>
      </c>
      <c r="AF116" s="70">
        <f t="shared" si="8"/>
        <v>-244860</v>
      </c>
      <c r="AG116" s="70">
        <f t="shared" si="8"/>
        <v>-267960</v>
      </c>
      <c r="AH116" s="70">
        <f t="shared" si="8"/>
        <v>-295680</v>
      </c>
      <c r="AI116" s="70">
        <f t="shared" si="8"/>
        <v>-244860</v>
      </c>
      <c r="AJ116" s="70">
        <f t="shared" si="8"/>
        <v>-267960</v>
      </c>
      <c r="AK116" s="70">
        <f t="shared" si="8"/>
        <v>-217140</v>
      </c>
      <c r="AL116" s="70">
        <f t="shared" si="8"/>
        <v>-217140</v>
      </c>
      <c r="AM116" s="70">
        <f t="shared" si="8"/>
        <v>-217140</v>
      </c>
      <c r="AN116" s="70">
        <f t="shared" si="8"/>
        <v>-133980</v>
      </c>
      <c r="AO116" s="70">
        <f t="shared" si="8"/>
        <v>-89838</v>
      </c>
      <c r="AP116" s="70">
        <f t="shared" si="8"/>
        <v>-144900</v>
      </c>
      <c r="AQ116" s="70">
        <f t="shared" si="8"/>
        <v>-162288</v>
      </c>
      <c r="AR116" s="70">
        <f t="shared" si="8"/>
        <v>-162288</v>
      </c>
      <c r="AS116" s="70">
        <f t="shared" si="8"/>
        <v>-179676</v>
      </c>
      <c r="AT116" s="70">
        <f t="shared" si="8"/>
        <v>-197064</v>
      </c>
      <c r="AU116" s="70">
        <f t="shared" ref="AU116:BL116" si="9">AU114-AU115</f>
        <v>-162288</v>
      </c>
      <c r="AV116" s="70">
        <f t="shared" si="9"/>
        <v>-179676</v>
      </c>
      <c r="AW116" s="70">
        <f t="shared" si="9"/>
        <v>-144900</v>
      </c>
      <c r="AX116" s="70">
        <f t="shared" si="9"/>
        <v>-144900</v>
      </c>
      <c r="AY116" s="70">
        <f t="shared" si="9"/>
        <v>-144900</v>
      </c>
      <c r="AZ116" s="70">
        <f t="shared" si="9"/>
        <v>-89838</v>
      </c>
      <c r="BA116" s="70">
        <f t="shared" si="9"/>
        <v>-44526.899999999994</v>
      </c>
      <c r="BB116" s="70">
        <f t="shared" si="9"/>
        <v>-71512.899999999965</v>
      </c>
      <c r="BC116" s="70">
        <f t="shared" si="9"/>
        <v>-79608.700000000012</v>
      </c>
      <c r="BD116" s="70">
        <f t="shared" si="9"/>
        <v>-79608.700000000012</v>
      </c>
      <c r="BE116" s="70">
        <f t="shared" si="9"/>
        <v>-89053.799999999988</v>
      </c>
      <c r="BF116" s="70">
        <f t="shared" si="9"/>
        <v>-97149.599999999977</v>
      </c>
      <c r="BG116" s="70">
        <f t="shared" si="9"/>
        <v>-79608.700000000012</v>
      </c>
      <c r="BH116" s="70">
        <f t="shared" si="9"/>
        <v>-89053.799999999988</v>
      </c>
      <c r="BI116" s="70">
        <f t="shared" si="9"/>
        <v>-71512.899999999965</v>
      </c>
      <c r="BJ116" s="70">
        <f t="shared" si="9"/>
        <v>-71512.899999999965</v>
      </c>
      <c r="BK116" s="70">
        <f t="shared" si="9"/>
        <v>-71512.899999999965</v>
      </c>
      <c r="BL116" s="70">
        <f t="shared" si="9"/>
        <v>-44526.899999999994</v>
      </c>
      <c r="BM116" s="167">
        <f>SUM(D116:BL116)</f>
        <v>-2605524.6999999993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0.26739926739926739</v>
      </c>
      <c r="I117" s="46">
        <f>'REV-REVCALC_CWS'!I22</f>
        <v>0.26739926739926739</v>
      </c>
      <c r="J117" s="46">
        <f>'REV-REVCALC_CWS'!J22</f>
        <v>0.26739926739926739</v>
      </c>
      <c r="K117" s="46">
        <f>'REV-REVCALC_CWS'!K22</f>
        <v>0.26739926739926739</v>
      </c>
      <c r="L117" s="46">
        <f>'REV-REVCALC_CWS'!L22</f>
        <v>0.26739926739926739</v>
      </c>
      <c r="M117" s="46">
        <f>'REV-REVCALC_CWS'!M22</f>
        <v>0.26739926739926739</v>
      </c>
      <c r="N117" s="46">
        <f>'REV-REVCALC_CWS'!N22</f>
        <v>0.26739926739926739</v>
      </c>
      <c r="O117" s="46">
        <f>'REV-REVCALC_CWS'!O22</f>
        <v>0.26739926739926739</v>
      </c>
      <c r="P117" s="46">
        <f>'REV-REVCALC_CWS'!P22</f>
        <v>0.26739926739926739</v>
      </c>
      <c r="Q117" s="46">
        <f>'REV-REVCALC_CWS'!Q22</f>
        <v>0.27272727272727271</v>
      </c>
      <c r="R117" s="46">
        <f>'REV-REVCALC_CWS'!R22</f>
        <v>0.27272727272727271</v>
      </c>
      <c r="S117" s="46">
        <f>'REV-REVCALC_CWS'!S22</f>
        <v>0.27272727272727271</v>
      </c>
      <c r="T117" s="46">
        <f>'REV-REVCALC_CWS'!T22</f>
        <v>0.27272727272727271</v>
      </c>
      <c r="U117" s="46">
        <f>'REV-REVCALC_CWS'!U22</f>
        <v>0.27272727272727271</v>
      </c>
      <c r="V117" s="46">
        <f>'REV-REVCALC_CWS'!V22</f>
        <v>0.27272727272727271</v>
      </c>
      <c r="W117" s="46">
        <f>'REV-REVCALC_CWS'!W22</f>
        <v>0.27272727272727271</v>
      </c>
      <c r="X117" s="46">
        <f>'REV-REVCALC_CWS'!X22</f>
        <v>0.27272727272727271</v>
      </c>
      <c r="Y117" s="46">
        <f>'REV-REVCALC_CWS'!Y22</f>
        <v>0.27272727272727271</v>
      </c>
      <c r="Z117" s="46">
        <f>'REV-REVCALC_CWS'!Z22</f>
        <v>0.27272727272727271</v>
      </c>
      <c r="AA117" s="46">
        <f>'REV-REVCALC_CWS'!AA22</f>
        <v>0.27272727272727271</v>
      </c>
      <c r="AB117" s="46">
        <f>'REV-REVCALC_CWS'!AB22</f>
        <v>0.27272727272727271</v>
      </c>
      <c r="AC117" s="46">
        <f>'REV-REVCALC_CWS'!AC22</f>
        <v>0</v>
      </c>
      <c r="AD117" s="46">
        <f>'REV-REVCALC_CWS'!AD22</f>
        <v>0</v>
      </c>
      <c r="AE117" s="46">
        <f>'REV-REVCALC_CWS'!AE22</f>
        <v>0</v>
      </c>
      <c r="AF117" s="46">
        <f>'REV-REVCALC_CWS'!AF22</f>
        <v>0</v>
      </c>
      <c r="AG117" s="46">
        <f>'REV-REVCALC_CWS'!AG22</f>
        <v>0</v>
      </c>
      <c r="AH117" s="46">
        <f>'REV-REVCALC_CWS'!AH22</f>
        <v>0</v>
      </c>
      <c r="AI117" s="46">
        <f>'REV-REVCALC_CWS'!AI22</f>
        <v>0</v>
      </c>
      <c r="AJ117" s="46">
        <f>'REV-REVCALC_CWS'!AJ22</f>
        <v>0</v>
      </c>
      <c r="AK117" s="46">
        <f>'REV-REVCALC_CWS'!AK22</f>
        <v>0</v>
      </c>
      <c r="AL117" s="46">
        <f>'REV-REVCALC_CWS'!AL22</f>
        <v>0</v>
      </c>
      <c r="AM117" s="46">
        <f>'REV-REVCALC_CWS'!AM22</f>
        <v>0</v>
      </c>
      <c r="AN117" s="46">
        <f>'REV-REVCALC_CWS'!AN22</f>
        <v>0</v>
      </c>
      <c r="AO117" s="46">
        <f>'REV-REVCALC_CWS'!AO22</f>
        <v>0</v>
      </c>
      <c r="AP117" s="46">
        <f>'REV-REVCALC_CWS'!AP22</f>
        <v>0</v>
      </c>
      <c r="AQ117" s="46">
        <f>'REV-REVCALC_CWS'!AQ22</f>
        <v>0</v>
      </c>
      <c r="AR117" s="46">
        <f>'REV-REVCALC_CWS'!AR22</f>
        <v>0</v>
      </c>
      <c r="AS117" s="46">
        <f>'REV-REVCALC_CWS'!AS22</f>
        <v>0</v>
      </c>
      <c r="AT117" s="46">
        <f>'REV-REVCALC_CWS'!AT22</f>
        <v>0</v>
      </c>
      <c r="AU117" s="46">
        <f>'REV-REVCALC_CWS'!AU22</f>
        <v>0</v>
      </c>
      <c r="AV117" s="46">
        <f>'REV-REVCALC_CWS'!AV22</f>
        <v>0</v>
      </c>
      <c r="AW117" s="46">
        <f>'REV-REVCALC_CWS'!AW22</f>
        <v>0</v>
      </c>
      <c r="AX117" s="46">
        <f>'REV-REVCALC_CWS'!AX22</f>
        <v>0</v>
      </c>
      <c r="AY117" s="46">
        <f>'REV-REVCALC_CWS'!AY22</f>
        <v>0</v>
      </c>
      <c r="AZ117" s="46">
        <f>'REV-REVCALC_CWS'!AZ22</f>
        <v>0</v>
      </c>
      <c r="BA117" s="46">
        <f>'REV-REVCALC_CWS'!BA22</f>
        <v>0</v>
      </c>
      <c r="BB117" s="46">
        <f>'REV-REVCALC_CWS'!BB22</f>
        <v>0</v>
      </c>
      <c r="BC117" s="46">
        <f>'REV-REVCALC_CWS'!BC22</f>
        <v>0</v>
      </c>
      <c r="BD117" s="46">
        <f>'REV-REVCALC_CWS'!BD22</f>
        <v>0</v>
      </c>
      <c r="BE117" s="46">
        <f>'REV-REVCALC_CWS'!BE22</f>
        <v>0</v>
      </c>
      <c r="BF117" s="46">
        <f>'REV-REVCALC_CWS'!BF22</f>
        <v>0</v>
      </c>
      <c r="BG117" s="46">
        <f>'REV-REVCALC_CWS'!BG22</f>
        <v>0</v>
      </c>
      <c r="BH117" s="46">
        <f>'REV-REVCALC_CWS'!BH22</f>
        <v>0</v>
      </c>
      <c r="BI117" s="46">
        <f>'REV-REVCALC_CWS'!BI22</f>
        <v>0</v>
      </c>
      <c r="BJ117" s="46">
        <f>'REV-REVCALC_CWS'!BJ22</f>
        <v>0</v>
      </c>
      <c r="BK117" s="46">
        <f>'REV-REVCALC_CWS'!BK22</f>
        <v>0</v>
      </c>
      <c r="BL117" s="46">
        <f>'REV-REVCALC_CWS'!BL22</f>
        <v>0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374</v>
      </c>
      <c r="BM119" s="65"/>
    </row>
    <row r="120" spans="2:65" s="33" customFormat="1" x14ac:dyDescent="0.15">
      <c r="B120" s="47" t="s">
        <v>374</v>
      </c>
      <c r="D120" s="70">
        <f>'REV-REVCALC_CWS'!D34</f>
        <v>0</v>
      </c>
      <c r="E120" s="70">
        <f>'REV-REVCALC_CWS'!E34</f>
        <v>0</v>
      </c>
      <c r="F120" s="70">
        <f>'REV-REVCALC_CWS'!F34</f>
        <v>0</v>
      </c>
      <c r="G120" s="70">
        <f>'REV-REVCALC_CWS'!G34</f>
        <v>0</v>
      </c>
      <c r="H120" s="70">
        <f>'REV-REVCALC_CWS'!H34</f>
        <v>606970</v>
      </c>
      <c r="I120" s="70">
        <f>'REV-REVCALC_CWS'!I34</f>
        <v>669760</v>
      </c>
      <c r="J120" s="70">
        <f>'REV-REVCALC_CWS'!J34</f>
        <v>753480</v>
      </c>
      <c r="K120" s="70">
        <f>'REV-REVCALC_CWS'!K34</f>
        <v>606970</v>
      </c>
      <c r="L120" s="70">
        <f>'REV-REVCALC_CWS'!L34</f>
        <v>669760</v>
      </c>
      <c r="M120" s="70">
        <f>'REV-REVCALC_CWS'!M34</f>
        <v>544180</v>
      </c>
      <c r="N120" s="70">
        <f>'REV-REVCALC_CWS'!N34</f>
        <v>544180</v>
      </c>
      <c r="O120" s="70">
        <f>'REV-REVCALC_CWS'!O34</f>
        <v>544180</v>
      </c>
      <c r="P120" s="70">
        <f>'REV-REVCALC_CWS'!P34</f>
        <v>334880</v>
      </c>
      <c r="Q120" s="70">
        <f>'REV-REVCALC_CWS'!Q34</f>
        <v>1687.5</v>
      </c>
      <c r="R120" s="70">
        <f>'REV-REVCALC_CWS'!R34</f>
        <v>2812.5</v>
      </c>
      <c r="S120" s="70">
        <f>'REV-REVCALC_CWS'!S34</f>
        <v>3187.5</v>
      </c>
      <c r="T120" s="70">
        <f>'REV-REVCALC_CWS'!T34</f>
        <v>3187.5</v>
      </c>
      <c r="U120" s="70">
        <f>'REV-REVCALC_CWS'!U34</f>
        <v>3562.5</v>
      </c>
      <c r="V120" s="70">
        <f>'REV-REVCALC_CWS'!V34</f>
        <v>3937.5</v>
      </c>
      <c r="W120" s="70">
        <f>'REV-REVCALC_CWS'!W34</f>
        <v>3187.5</v>
      </c>
      <c r="X120" s="70">
        <f>'REV-REVCALC_CWS'!X34</f>
        <v>3562.5</v>
      </c>
      <c r="Y120" s="70">
        <f>'REV-REVCALC_CWS'!Y34</f>
        <v>2812.5</v>
      </c>
      <c r="Z120" s="70">
        <f>'REV-REVCALC_CWS'!Z34</f>
        <v>2812.5</v>
      </c>
      <c r="AA120" s="70">
        <f>'REV-REVCALC_CWS'!AA34</f>
        <v>2812.5</v>
      </c>
      <c r="AB120" s="70">
        <f>'REV-REVCALC_CWS'!AB34</f>
        <v>1687.5</v>
      </c>
      <c r="AC120" s="70">
        <f>'REV-REVCALC_CWS'!AC34</f>
        <v>2337.5</v>
      </c>
      <c r="AD120" s="70">
        <f>'REV-REVCALC_CWS'!AD34</f>
        <v>3825</v>
      </c>
      <c r="AE120" s="70">
        <f>'REV-REVCALC_CWS'!AE34</f>
        <v>4462.5</v>
      </c>
      <c r="AF120" s="70">
        <f>'REV-REVCALC_CWS'!AF34</f>
        <v>4462.5</v>
      </c>
      <c r="AG120" s="70">
        <f>'REV-REVCALC_CWS'!AG34</f>
        <v>4887.5</v>
      </c>
      <c r="AH120" s="70">
        <f>'REV-REVCALC_CWS'!AH34</f>
        <v>5312.5</v>
      </c>
      <c r="AI120" s="70">
        <f>'REV-REVCALC_CWS'!AI34</f>
        <v>4462.5</v>
      </c>
      <c r="AJ120" s="70">
        <f>'REV-REVCALC_CWS'!AJ34</f>
        <v>4887.5</v>
      </c>
      <c r="AK120" s="70">
        <f>'REV-REVCALC_CWS'!AK34</f>
        <v>3825</v>
      </c>
      <c r="AL120" s="70">
        <f>'REV-REVCALC_CWS'!AL34</f>
        <v>3825</v>
      </c>
      <c r="AM120" s="70">
        <f>'REV-REVCALC_CWS'!AM34</f>
        <v>3825</v>
      </c>
      <c r="AN120" s="70">
        <f>'REV-REVCALC_CWS'!AN34</f>
        <v>2337.5</v>
      </c>
      <c r="AO120" s="70">
        <f>'REV-REVCALC_CWS'!AO34</f>
        <v>1890</v>
      </c>
      <c r="AP120" s="70">
        <f>'REV-REVCALC_CWS'!AP34</f>
        <v>3150</v>
      </c>
      <c r="AQ120" s="70">
        <f>'REV-REVCALC_CWS'!AQ34</f>
        <v>3465</v>
      </c>
      <c r="AR120" s="70">
        <f>'REV-REVCALC_CWS'!AR34</f>
        <v>3465</v>
      </c>
      <c r="AS120" s="70">
        <f>'REV-REVCALC_CWS'!AS34</f>
        <v>3780</v>
      </c>
      <c r="AT120" s="70">
        <f>'REV-REVCALC_CWS'!AT34</f>
        <v>4095</v>
      </c>
      <c r="AU120" s="70">
        <f>'REV-REVCALC_CWS'!AU34</f>
        <v>3465</v>
      </c>
      <c r="AV120" s="70">
        <f>'REV-REVCALC_CWS'!AV34</f>
        <v>3780</v>
      </c>
      <c r="AW120" s="70">
        <f>'REV-REVCALC_CWS'!AW34</f>
        <v>3150</v>
      </c>
      <c r="AX120" s="70">
        <f>'REV-REVCALC_CWS'!AX34</f>
        <v>3150</v>
      </c>
      <c r="AY120" s="70">
        <f>'REV-REVCALC_CWS'!AY34</f>
        <v>3150</v>
      </c>
      <c r="AZ120" s="70">
        <f>'REV-REVCALC_CWS'!AZ34</f>
        <v>1890</v>
      </c>
      <c r="BA120" s="70">
        <f>'REV-REVCALC_CWS'!BA34</f>
        <v>945</v>
      </c>
      <c r="BB120" s="70">
        <f>'REV-REVCALC_CWS'!BB34</f>
        <v>1575</v>
      </c>
      <c r="BC120" s="70">
        <f>'REV-REVCALC_CWS'!BC34</f>
        <v>1575</v>
      </c>
      <c r="BD120" s="70">
        <f>'REV-REVCALC_CWS'!BD34</f>
        <v>1575</v>
      </c>
      <c r="BE120" s="70">
        <f>'REV-REVCALC_CWS'!BE34</f>
        <v>1890</v>
      </c>
      <c r="BF120" s="70">
        <f>'REV-REVCALC_CWS'!BF34</f>
        <v>2205</v>
      </c>
      <c r="BG120" s="70">
        <f>'REV-REVCALC_CWS'!BG34</f>
        <v>1575</v>
      </c>
      <c r="BH120" s="70">
        <f>'REV-REVCALC_CWS'!BH34</f>
        <v>1890</v>
      </c>
      <c r="BI120" s="70">
        <f>'REV-REVCALC_CWS'!BI34</f>
        <v>1575</v>
      </c>
      <c r="BJ120" s="70">
        <f>'REV-REVCALC_CWS'!BJ34</f>
        <v>1575</v>
      </c>
      <c r="BK120" s="70">
        <f>'REV-REVCALC_CWS'!BK34</f>
        <v>1575</v>
      </c>
      <c r="BL120" s="70">
        <f>'REV-REVCALC_CWS'!BL34</f>
        <v>945</v>
      </c>
      <c r="BM120" s="167">
        <f>SUM(D120:BL120)</f>
        <v>5415390</v>
      </c>
    </row>
    <row r="121" spans="2:65" s="33" customFormat="1" x14ac:dyDescent="0.15">
      <c r="B121" s="47" t="s">
        <v>375</v>
      </c>
      <c r="D121" s="70">
        <f>'REV-REVCALC_CWS'!D35</f>
        <v>0</v>
      </c>
      <c r="E121" s="70">
        <f>'REV-REVCALC_CWS'!E35</f>
        <v>0</v>
      </c>
      <c r="F121" s="70">
        <f>'REV-REVCALC_CWS'!F35</f>
        <v>0</v>
      </c>
      <c r="G121" s="70">
        <f>'REV-REVCALC_CWS'!G35</f>
        <v>0</v>
      </c>
      <c r="H121" s="70">
        <f>'REV-REVCALC_CWS'!H35</f>
        <v>0</v>
      </c>
      <c r="I121" s="70">
        <f>'REV-REVCALC_CWS'!I35</f>
        <v>0</v>
      </c>
      <c r="J121" s="70">
        <f>'REV-REVCALC_CWS'!J35</f>
        <v>0</v>
      </c>
      <c r="K121" s="70">
        <f>'REV-REVCALC_CWS'!K35</f>
        <v>0</v>
      </c>
      <c r="L121" s="70">
        <f>'REV-REVCALC_CWS'!L35</f>
        <v>0</v>
      </c>
      <c r="M121" s="70">
        <f>'REV-REVCALC_CWS'!M35</f>
        <v>0</v>
      </c>
      <c r="N121" s="70">
        <f>'REV-REVCALC_CWS'!N35</f>
        <v>0</v>
      </c>
      <c r="O121" s="70">
        <f>'REV-REVCALC_CWS'!O35</f>
        <v>0</v>
      </c>
      <c r="P121" s="70">
        <f>'REV-REVCALC_CWS'!P35</f>
        <v>0</v>
      </c>
      <c r="Q121" s="70">
        <f>'REV-REVCALC_CWS'!Q35</f>
        <v>225</v>
      </c>
      <c r="R121" s="70">
        <f>'REV-REVCALC_CWS'!R35</f>
        <v>375</v>
      </c>
      <c r="S121" s="70">
        <f>'REV-REVCALC_CWS'!S35</f>
        <v>425</v>
      </c>
      <c r="T121" s="70">
        <f>'REV-REVCALC_CWS'!T35</f>
        <v>1150</v>
      </c>
      <c r="U121" s="70">
        <f>'REV-REVCALC_CWS'!U35</f>
        <v>1275</v>
      </c>
      <c r="V121" s="70">
        <f>'REV-REVCALC_CWS'!V35</f>
        <v>1425</v>
      </c>
      <c r="W121" s="70">
        <f>'REV-REVCALC_CWS'!W35</f>
        <v>1150</v>
      </c>
      <c r="X121" s="70">
        <f>'REV-REVCALC_CWS'!X35</f>
        <v>1275</v>
      </c>
      <c r="Y121" s="70">
        <f>'REV-REVCALC_CWS'!Y35</f>
        <v>1025</v>
      </c>
      <c r="Z121" s="70">
        <f>'REV-REVCALC_CWS'!Z35</f>
        <v>1025</v>
      </c>
      <c r="AA121" s="70">
        <f>'REV-REVCALC_CWS'!AA35</f>
        <v>1025</v>
      </c>
      <c r="AB121" s="70">
        <f>'REV-REVCALC_CWS'!AB35</f>
        <v>625</v>
      </c>
      <c r="AC121" s="70">
        <f>'REV-REVCALC_CWS'!AC35</f>
        <v>500</v>
      </c>
      <c r="AD121" s="70">
        <f>'REV-REVCALC_CWS'!AD35</f>
        <v>825</v>
      </c>
      <c r="AE121" s="70">
        <f>'REV-REVCALC_CWS'!AE35</f>
        <v>950</v>
      </c>
      <c r="AF121" s="70">
        <f>'REV-REVCALC_CWS'!AF35</f>
        <v>1675</v>
      </c>
      <c r="AG121" s="70">
        <f>'REV-REVCALC_CWS'!AG35</f>
        <v>1850</v>
      </c>
      <c r="AH121" s="70">
        <f>'REV-REVCALC_CWS'!AH35</f>
        <v>2050</v>
      </c>
      <c r="AI121" s="70">
        <f>'REV-REVCALC_CWS'!AI35</f>
        <v>1675</v>
      </c>
      <c r="AJ121" s="70">
        <f>'REV-REVCALC_CWS'!AJ35</f>
        <v>1850</v>
      </c>
      <c r="AK121" s="70">
        <f>'REV-REVCALC_CWS'!AK35</f>
        <v>1475</v>
      </c>
      <c r="AL121" s="70">
        <f>'REV-REVCALC_CWS'!AL35</f>
        <v>1475</v>
      </c>
      <c r="AM121" s="70">
        <f>'REV-REVCALC_CWS'!AM35</f>
        <v>1475</v>
      </c>
      <c r="AN121" s="70">
        <f>'REV-REVCALC_CWS'!AN35</f>
        <v>900</v>
      </c>
      <c r="AO121" s="70">
        <f>'REV-REVCALC_CWS'!AO35</f>
        <v>910</v>
      </c>
      <c r="AP121" s="70">
        <f>'REV-REVCALC_CWS'!AP35</f>
        <v>1505</v>
      </c>
      <c r="AQ121" s="70">
        <f>'REV-REVCALC_CWS'!AQ35</f>
        <v>1715</v>
      </c>
      <c r="AR121" s="70">
        <f>'REV-REVCALC_CWS'!AR35</f>
        <v>2730</v>
      </c>
      <c r="AS121" s="70">
        <f>'REV-REVCALC_CWS'!AS35</f>
        <v>3010</v>
      </c>
      <c r="AT121" s="70">
        <f>'REV-REVCALC_CWS'!AT35</f>
        <v>3325</v>
      </c>
      <c r="AU121" s="70">
        <f>'REV-REVCALC_CWS'!AU35</f>
        <v>2730</v>
      </c>
      <c r="AV121" s="70">
        <f>'REV-REVCALC_CWS'!AV35</f>
        <v>3010</v>
      </c>
      <c r="AW121" s="70">
        <f>'REV-REVCALC_CWS'!AW35</f>
        <v>2415</v>
      </c>
      <c r="AX121" s="70">
        <f>'REV-REVCALC_CWS'!AX35</f>
        <v>2415</v>
      </c>
      <c r="AY121" s="70">
        <f>'REV-REVCALC_CWS'!AY35</f>
        <v>2415</v>
      </c>
      <c r="AZ121" s="70">
        <f>'REV-REVCALC_CWS'!AZ35</f>
        <v>1470</v>
      </c>
      <c r="BA121" s="70">
        <f>'REV-REVCALC_CWS'!BA35</f>
        <v>1015</v>
      </c>
      <c r="BB121" s="70">
        <f>'REV-REVCALC_CWS'!BB35</f>
        <v>1680</v>
      </c>
      <c r="BC121" s="70">
        <f>'REV-REVCALC_CWS'!BC35</f>
        <v>1890</v>
      </c>
      <c r="BD121" s="70">
        <f>'REV-REVCALC_CWS'!BD35</f>
        <v>2905</v>
      </c>
      <c r="BE121" s="70">
        <f>'REV-REVCALC_CWS'!BE35</f>
        <v>3220</v>
      </c>
      <c r="BF121" s="70">
        <f>'REV-REVCALC_CWS'!BF35</f>
        <v>3570</v>
      </c>
      <c r="BG121" s="70">
        <f>'REV-REVCALC_CWS'!BG35</f>
        <v>2905</v>
      </c>
      <c r="BH121" s="70">
        <f>'REV-REVCALC_CWS'!BH35</f>
        <v>3220</v>
      </c>
      <c r="BI121" s="70">
        <f>'REV-REVCALC_CWS'!BI35</f>
        <v>2590</v>
      </c>
      <c r="BJ121" s="70">
        <f>'REV-REVCALC_CWS'!BJ35</f>
        <v>2590</v>
      </c>
      <c r="BK121" s="70">
        <f>'REV-REVCALC_CWS'!BK35</f>
        <v>2590</v>
      </c>
      <c r="BL121" s="70">
        <f>'REV-REVCALC_CWS'!BL35</f>
        <v>1575</v>
      </c>
      <c r="BM121" s="167">
        <f>SUM(D121:BL121)</f>
        <v>85100</v>
      </c>
    </row>
    <row r="122" spans="2:65" s="33" customFormat="1" x14ac:dyDescent="0.15">
      <c r="B122" s="14" t="s">
        <v>379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606970</v>
      </c>
      <c r="I122" s="70">
        <f t="shared" si="10"/>
        <v>669760</v>
      </c>
      <c r="J122" s="70">
        <f t="shared" si="10"/>
        <v>753480</v>
      </c>
      <c r="K122" s="70">
        <f t="shared" si="10"/>
        <v>606970</v>
      </c>
      <c r="L122" s="70">
        <f t="shared" si="10"/>
        <v>669760</v>
      </c>
      <c r="M122" s="70">
        <f t="shared" si="10"/>
        <v>544180</v>
      </c>
      <c r="N122" s="70">
        <f t="shared" si="10"/>
        <v>544180</v>
      </c>
      <c r="O122" s="70">
        <f t="shared" si="10"/>
        <v>544180</v>
      </c>
      <c r="P122" s="70">
        <f t="shared" si="10"/>
        <v>334880</v>
      </c>
      <c r="Q122" s="70">
        <f t="shared" si="10"/>
        <v>1912.5</v>
      </c>
      <c r="R122" s="70">
        <f t="shared" si="10"/>
        <v>3187.5</v>
      </c>
      <c r="S122" s="70">
        <f t="shared" si="10"/>
        <v>3612.5</v>
      </c>
      <c r="T122" s="70">
        <f t="shared" si="10"/>
        <v>4337.5</v>
      </c>
      <c r="U122" s="70">
        <f t="shared" si="10"/>
        <v>4837.5</v>
      </c>
      <c r="V122" s="70">
        <f t="shared" si="10"/>
        <v>5362.5</v>
      </c>
      <c r="W122" s="70">
        <f t="shared" si="10"/>
        <v>4337.5</v>
      </c>
      <c r="X122" s="70">
        <f t="shared" si="10"/>
        <v>4837.5</v>
      </c>
      <c r="Y122" s="70">
        <f t="shared" si="10"/>
        <v>3837.5</v>
      </c>
      <c r="Z122" s="70">
        <f t="shared" si="10"/>
        <v>3837.5</v>
      </c>
      <c r="AA122" s="70">
        <f t="shared" si="10"/>
        <v>3837.5</v>
      </c>
      <c r="AB122" s="70">
        <f t="shared" si="10"/>
        <v>2312.5</v>
      </c>
      <c r="AC122" s="70">
        <f t="shared" si="10"/>
        <v>2837.5</v>
      </c>
      <c r="AD122" s="70">
        <f t="shared" si="10"/>
        <v>4650</v>
      </c>
      <c r="AE122" s="70">
        <f t="shared" si="10"/>
        <v>5412.5</v>
      </c>
      <c r="AF122" s="70">
        <f t="shared" si="10"/>
        <v>6137.5</v>
      </c>
      <c r="AG122" s="70">
        <f t="shared" si="10"/>
        <v>6737.5</v>
      </c>
      <c r="AH122" s="70">
        <f t="shared" si="10"/>
        <v>7362.5</v>
      </c>
      <c r="AI122" s="70">
        <f t="shared" si="10"/>
        <v>6137.5</v>
      </c>
      <c r="AJ122" s="70">
        <f t="shared" si="10"/>
        <v>6737.5</v>
      </c>
      <c r="AK122" s="70">
        <f t="shared" si="10"/>
        <v>5300</v>
      </c>
      <c r="AL122" s="70">
        <f t="shared" si="10"/>
        <v>5300</v>
      </c>
      <c r="AM122" s="70">
        <f t="shared" si="10"/>
        <v>5300</v>
      </c>
      <c r="AN122" s="70">
        <f t="shared" si="10"/>
        <v>3237.5</v>
      </c>
      <c r="AO122" s="70">
        <f t="shared" si="10"/>
        <v>2800</v>
      </c>
      <c r="AP122" s="70">
        <f t="shared" si="10"/>
        <v>4655</v>
      </c>
      <c r="AQ122" s="70">
        <f t="shared" si="10"/>
        <v>5180</v>
      </c>
      <c r="AR122" s="70">
        <f t="shared" si="10"/>
        <v>6195</v>
      </c>
      <c r="AS122" s="70">
        <f t="shared" si="10"/>
        <v>6790</v>
      </c>
      <c r="AT122" s="70">
        <f t="shared" si="10"/>
        <v>7420</v>
      </c>
      <c r="AU122" s="70">
        <f t="shared" si="10"/>
        <v>6195</v>
      </c>
      <c r="AV122" s="70">
        <f t="shared" si="10"/>
        <v>6790</v>
      </c>
      <c r="AW122" s="70">
        <f t="shared" si="10"/>
        <v>5565</v>
      </c>
      <c r="AX122" s="70">
        <f t="shared" si="10"/>
        <v>5565</v>
      </c>
      <c r="AY122" s="70">
        <f t="shared" si="10"/>
        <v>5565</v>
      </c>
      <c r="AZ122" s="70">
        <f t="shared" si="10"/>
        <v>3360</v>
      </c>
      <c r="BA122" s="70">
        <f t="shared" si="10"/>
        <v>1960</v>
      </c>
      <c r="BB122" s="70">
        <f t="shared" si="10"/>
        <v>3255</v>
      </c>
      <c r="BC122" s="70">
        <f t="shared" si="10"/>
        <v>3465</v>
      </c>
      <c r="BD122" s="70">
        <f t="shared" si="10"/>
        <v>4480</v>
      </c>
      <c r="BE122" s="70">
        <f t="shared" si="10"/>
        <v>5110</v>
      </c>
      <c r="BF122" s="70">
        <f t="shared" si="10"/>
        <v>5775</v>
      </c>
      <c r="BG122" s="70">
        <f t="shared" si="10"/>
        <v>4480</v>
      </c>
      <c r="BH122" s="70">
        <f t="shared" si="10"/>
        <v>5110</v>
      </c>
      <c r="BI122" s="70">
        <f t="shared" si="10"/>
        <v>4165</v>
      </c>
      <c r="BJ122" s="70">
        <f t="shared" si="10"/>
        <v>4165</v>
      </c>
      <c r="BK122" s="70">
        <f t="shared" si="10"/>
        <v>4165</v>
      </c>
      <c r="BL122" s="70">
        <f t="shared" si="10"/>
        <v>2520</v>
      </c>
      <c r="BM122" s="167">
        <f>SUM(D122:BL122)</f>
        <v>5500490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503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378</v>
      </c>
      <c r="D125" s="70">
        <f>'REV-REVCALC_CWS'!D38</f>
        <v>0</v>
      </c>
      <c r="E125" s="70">
        <f>'REV-REVCALC_CWS'!E38</f>
        <v>0</v>
      </c>
      <c r="F125" s="70">
        <f>'REV-REVCALC_CWS'!F38</f>
        <v>0</v>
      </c>
      <c r="G125" s="70">
        <f>'REV-REVCALC_CWS'!G38</f>
        <v>0</v>
      </c>
      <c r="H125" s="70">
        <f>'REV-REVCALC_CWS'!H38</f>
        <v>0</v>
      </c>
      <c r="I125" s="70">
        <f>'REV-REVCALC_CWS'!I38</f>
        <v>0</v>
      </c>
      <c r="J125" s="70">
        <f>'REV-REVCALC_CWS'!J38</f>
        <v>0</v>
      </c>
      <c r="K125" s="70">
        <f>'REV-REVCALC_CWS'!K38</f>
        <v>0</v>
      </c>
      <c r="L125" s="70">
        <f>'REV-REVCALC_CWS'!L38</f>
        <v>0</v>
      </c>
      <c r="M125" s="70">
        <f>'REV-REVCALC_CWS'!M38</f>
        <v>0</v>
      </c>
      <c r="N125" s="70">
        <f>'REV-REVCALC_CWS'!N38</f>
        <v>0</v>
      </c>
      <c r="O125" s="70">
        <f>'REV-REVCALC_CWS'!O38</f>
        <v>0</v>
      </c>
      <c r="P125" s="70">
        <f>'REV-REVCALC_CWS'!P38</f>
        <v>0</v>
      </c>
      <c r="Q125" s="70">
        <f>'REV-REVCALC_CWS'!Q38</f>
        <v>175</v>
      </c>
      <c r="R125" s="70">
        <f>'REV-REVCALC_CWS'!R38</f>
        <v>275</v>
      </c>
      <c r="S125" s="70">
        <f>'REV-REVCALC_CWS'!S38</f>
        <v>300</v>
      </c>
      <c r="T125" s="70">
        <f>'REV-REVCALC_CWS'!T38</f>
        <v>300</v>
      </c>
      <c r="U125" s="70">
        <f>'REV-REVCALC_CWS'!U38</f>
        <v>325</v>
      </c>
      <c r="V125" s="70">
        <f>'REV-REVCALC_CWS'!V38</f>
        <v>350</v>
      </c>
      <c r="W125" s="70">
        <f>'REV-REVCALC_CWS'!W38</f>
        <v>300</v>
      </c>
      <c r="X125" s="70">
        <f>'REV-REVCALC_CWS'!X38</f>
        <v>325</v>
      </c>
      <c r="Y125" s="70">
        <f>'REV-REVCALC_CWS'!Y38</f>
        <v>275</v>
      </c>
      <c r="Z125" s="70">
        <f>'REV-REVCALC_CWS'!Z38</f>
        <v>275</v>
      </c>
      <c r="AA125" s="70">
        <f>'REV-REVCALC_CWS'!AA38</f>
        <v>275</v>
      </c>
      <c r="AB125" s="70">
        <f>'REV-REVCALC_CWS'!AB38</f>
        <v>175</v>
      </c>
      <c r="AC125" s="70">
        <f>'REV-REVCALC_CWS'!AC38</f>
        <v>450</v>
      </c>
      <c r="AD125" s="70">
        <f>'REV-REVCALC_CWS'!AD38</f>
        <v>725</v>
      </c>
      <c r="AE125" s="70">
        <f>'REV-REVCALC_CWS'!AE38</f>
        <v>800</v>
      </c>
      <c r="AF125" s="70">
        <f>'REV-REVCALC_CWS'!AF38</f>
        <v>800</v>
      </c>
      <c r="AG125" s="70">
        <f>'REV-REVCALC_CWS'!AG38</f>
        <v>875</v>
      </c>
      <c r="AH125" s="70">
        <f>'REV-REVCALC_CWS'!AH38</f>
        <v>975</v>
      </c>
      <c r="AI125" s="70">
        <f>'REV-REVCALC_CWS'!AI38</f>
        <v>800</v>
      </c>
      <c r="AJ125" s="70">
        <f>'REV-REVCALC_CWS'!AJ38</f>
        <v>875</v>
      </c>
      <c r="AK125" s="70">
        <f>'REV-REVCALC_CWS'!AK38</f>
        <v>725</v>
      </c>
      <c r="AL125" s="70">
        <f>'REV-REVCALC_CWS'!AL38</f>
        <v>725</v>
      </c>
      <c r="AM125" s="70">
        <f>'REV-REVCALC_CWS'!AM38</f>
        <v>725</v>
      </c>
      <c r="AN125" s="70">
        <f>'REV-REVCALC_CWS'!AN38</f>
        <v>450</v>
      </c>
      <c r="AO125" s="70">
        <f>'REV-REVCALC_CWS'!AO38</f>
        <v>625</v>
      </c>
      <c r="AP125" s="70">
        <f>'REV-REVCALC_CWS'!AP38</f>
        <v>1000</v>
      </c>
      <c r="AQ125" s="70">
        <f>'REV-REVCALC_CWS'!AQ38</f>
        <v>1125</v>
      </c>
      <c r="AR125" s="70">
        <f>'REV-REVCALC_CWS'!AR38</f>
        <v>1125</v>
      </c>
      <c r="AS125" s="70">
        <f>'REV-REVCALC_CWS'!AS38</f>
        <v>1250</v>
      </c>
      <c r="AT125" s="70">
        <f>'REV-REVCALC_CWS'!AT38</f>
        <v>1375</v>
      </c>
      <c r="AU125" s="70">
        <f>'REV-REVCALC_CWS'!AU38</f>
        <v>1125</v>
      </c>
      <c r="AV125" s="70">
        <f>'REV-REVCALC_CWS'!AV38</f>
        <v>1250</v>
      </c>
      <c r="AW125" s="70">
        <f>'REV-REVCALC_CWS'!AW38</f>
        <v>1000</v>
      </c>
      <c r="AX125" s="70">
        <f>'REV-REVCALC_CWS'!AX38</f>
        <v>1000</v>
      </c>
      <c r="AY125" s="70">
        <f>'REV-REVCALC_CWS'!AY38</f>
        <v>1000</v>
      </c>
      <c r="AZ125" s="70">
        <f>'REV-REVCALC_CWS'!AZ38</f>
        <v>625</v>
      </c>
      <c r="BA125" s="70">
        <f>'REV-REVCALC_CWS'!BA38</f>
        <v>750</v>
      </c>
      <c r="BB125" s="70">
        <f>'REV-REVCALC_CWS'!BB38</f>
        <v>1200</v>
      </c>
      <c r="BC125" s="70">
        <f>'REV-REVCALC_CWS'!BC38</f>
        <v>1350</v>
      </c>
      <c r="BD125" s="70">
        <f>'REV-REVCALC_CWS'!BD38</f>
        <v>1350</v>
      </c>
      <c r="BE125" s="70">
        <f>'REV-REVCALC_CWS'!BE38</f>
        <v>1500</v>
      </c>
      <c r="BF125" s="70">
        <f>'REV-REVCALC_CWS'!BF38</f>
        <v>1625</v>
      </c>
      <c r="BG125" s="70">
        <f>'REV-REVCALC_CWS'!BG38</f>
        <v>1350</v>
      </c>
      <c r="BH125" s="70">
        <f>'REV-REVCALC_CWS'!BH38</f>
        <v>1500</v>
      </c>
      <c r="BI125" s="70">
        <f>'REV-REVCALC_CWS'!BI38</f>
        <v>1200</v>
      </c>
      <c r="BJ125" s="70">
        <f>'REV-REVCALC_CWS'!BJ38</f>
        <v>1200</v>
      </c>
      <c r="BK125" s="70">
        <f>'REV-REVCALC_CWS'!BK38</f>
        <v>1200</v>
      </c>
      <c r="BL125" s="70">
        <f>'REV-REVCALC_CWS'!BL38</f>
        <v>750</v>
      </c>
      <c r="BM125" s="167">
        <f>SUM(D125:BL125)</f>
        <v>39750</v>
      </c>
    </row>
    <row r="126" spans="2:65" s="33" customFormat="1" x14ac:dyDescent="0.15">
      <c r="B126" s="47" t="s">
        <v>377</v>
      </c>
      <c r="D126" s="70">
        <f>'REV-REVCALC_CWS'!D39</f>
        <v>0</v>
      </c>
      <c r="E126" s="70">
        <f>'REV-REVCALC_CWS'!E39</f>
        <v>0</v>
      </c>
      <c r="F126" s="70">
        <f>'REV-REVCALC_CWS'!F39</f>
        <v>0</v>
      </c>
      <c r="G126" s="70">
        <f>'REV-REVCALC_CWS'!G39</f>
        <v>0</v>
      </c>
      <c r="H126" s="70">
        <f>'REV-REVCALC_CWS'!H39</f>
        <v>0</v>
      </c>
      <c r="I126" s="70">
        <f>'REV-REVCALC_CWS'!I39</f>
        <v>0</v>
      </c>
      <c r="J126" s="70">
        <f>'REV-REVCALC_CWS'!J39</f>
        <v>0</v>
      </c>
      <c r="K126" s="70">
        <f>'REV-REVCALC_CWS'!K39</f>
        <v>0</v>
      </c>
      <c r="L126" s="70">
        <f>'REV-REVCALC_CWS'!L39</f>
        <v>0</v>
      </c>
      <c r="M126" s="70">
        <f>'REV-REVCALC_CWS'!M39</f>
        <v>0</v>
      </c>
      <c r="N126" s="70">
        <f>'REV-REVCALC_CWS'!N39</f>
        <v>0</v>
      </c>
      <c r="O126" s="70">
        <f>'REV-REVCALC_CWS'!O39</f>
        <v>0</v>
      </c>
      <c r="P126" s="70">
        <f>'REV-REVCALC_CWS'!P39</f>
        <v>0</v>
      </c>
      <c r="Q126" s="70">
        <f>'REV-REVCALC_CWS'!Q39</f>
        <v>1181.25</v>
      </c>
      <c r="R126" s="70">
        <f>'REV-REVCALC_CWS'!R39</f>
        <v>1856.25</v>
      </c>
      <c r="S126" s="70">
        <f>'REV-REVCALC_CWS'!S39</f>
        <v>2025</v>
      </c>
      <c r="T126" s="70">
        <f>'REV-REVCALC_CWS'!T39</f>
        <v>3712.5</v>
      </c>
      <c r="U126" s="70">
        <f>'REV-REVCALC_CWS'!U39</f>
        <v>4050</v>
      </c>
      <c r="V126" s="70">
        <f>'REV-REVCALC_CWS'!V39</f>
        <v>4387.5</v>
      </c>
      <c r="W126" s="70">
        <f>'REV-REVCALC_CWS'!W39</f>
        <v>3712.5</v>
      </c>
      <c r="X126" s="70">
        <f>'REV-REVCALC_CWS'!X39</f>
        <v>4050</v>
      </c>
      <c r="Y126" s="70">
        <f>'REV-REVCALC_CWS'!Y39</f>
        <v>3375</v>
      </c>
      <c r="Z126" s="70">
        <f>'REV-REVCALC_CWS'!Z39</f>
        <v>3375</v>
      </c>
      <c r="AA126" s="70">
        <f>'REV-REVCALC_CWS'!AA39</f>
        <v>3375</v>
      </c>
      <c r="AB126" s="70">
        <f>'REV-REVCALC_CWS'!AB39</f>
        <v>2193.75</v>
      </c>
      <c r="AC126" s="70">
        <f>'REV-REVCALC_CWS'!AC39</f>
        <v>4781.25</v>
      </c>
      <c r="AD126" s="70">
        <f>'REV-REVCALC_CWS'!AD39</f>
        <v>7650</v>
      </c>
      <c r="AE126" s="70">
        <f>'REV-REVCALC_CWS'!AE39</f>
        <v>8415</v>
      </c>
      <c r="AF126" s="70">
        <f>'REV-REVCALC_CWS'!AF39</f>
        <v>10327.5</v>
      </c>
      <c r="AG126" s="70">
        <f>'REV-REVCALC_CWS'!AG39</f>
        <v>11283.75</v>
      </c>
      <c r="AH126" s="70">
        <f>'REV-REVCALC_CWS'!AH39</f>
        <v>12431.25</v>
      </c>
      <c r="AI126" s="70">
        <f>'REV-REVCALC_CWS'!AI39</f>
        <v>10327.5</v>
      </c>
      <c r="AJ126" s="70">
        <f>'REV-REVCALC_CWS'!AJ39</f>
        <v>11283.75</v>
      </c>
      <c r="AK126" s="70">
        <f>'REV-REVCALC_CWS'!AK39</f>
        <v>9371.25</v>
      </c>
      <c r="AL126" s="70">
        <f>'REV-REVCALC_CWS'!AL39</f>
        <v>9371.25</v>
      </c>
      <c r="AM126" s="70">
        <f>'REV-REVCALC_CWS'!AM39</f>
        <v>9371.25</v>
      </c>
      <c r="AN126" s="70">
        <f>'REV-REVCALC_CWS'!AN39</f>
        <v>5928.75</v>
      </c>
      <c r="AO126" s="70">
        <f>'REV-REVCALC_CWS'!AO39</f>
        <v>10125</v>
      </c>
      <c r="AP126" s="70">
        <f>'REV-REVCALC_CWS'!AP39</f>
        <v>16200</v>
      </c>
      <c r="AQ126" s="70">
        <f>'REV-REVCALC_CWS'!AQ39</f>
        <v>18022.5</v>
      </c>
      <c r="AR126" s="70">
        <f>'REV-REVCALC_CWS'!AR39</f>
        <v>20047.5</v>
      </c>
      <c r="AS126" s="70">
        <f>'REV-REVCALC_CWS'!AS39</f>
        <v>22072.5</v>
      </c>
      <c r="AT126" s="70">
        <f>'REV-REVCALC_CWS'!AT39</f>
        <v>24300</v>
      </c>
      <c r="AU126" s="70">
        <f>'REV-REVCALC_CWS'!AU39</f>
        <v>20047.5</v>
      </c>
      <c r="AV126" s="70">
        <f>'REV-REVCALC_CWS'!AV39</f>
        <v>22072.5</v>
      </c>
      <c r="AW126" s="70">
        <f>'REV-REVCALC_CWS'!AW39</f>
        <v>18022.5</v>
      </c>
      <c r="AX126" s="70">
        <f>'REV-REVCALC_CWS'!AX39</f>
        <v>18022.5</v>
      </c>
      <c r="AY126" s="70">
        <f>'REV-REVCALC_CWS'!AY39</f>
        <v>18022.5</v>
      </c>
      <c r="AZ126" s="70">
        <f>'REV-REVCALC_CWS'!AZ39</f>
        <v>11340</v>
      </c>
      <c r="BA126" s="70">
        <f>'REV-REVCALC_CWS'!BA39</f>
        <v>16200</v>
      </c>
      <c r="BB126" s="70">
        <f>'REV-REVCALC_CWS'!BB39</f>
        <v>25920</v>
      </c>
      <c r="BC126" s="70">
        <f>'REV-REVCALC_CWS'!BC39</f>
        <v>28957.5</v>
      </c>
      <c r="BD126" s="70">
        <f>'REV-REVCALC_CWS'!BD39</f>
        <v>30982.5</v>
      </c>
      <c r="BE126" s="70">
        <f>'REV-REVCALC_CWS'!BE39</f>
        <v>34222.5</v>
      </c>
      <c r="BF126" s="70">
        <f>'REV-REVCALC_CWS'!BF39</f>
        <v>37462.5</v>
      </c>
      <c r="BG126" s="70">
        <f>'REV-REVCALC_CWS'!BG39</f>
        <v>30982.5</v>
      </c>
      <c r="BH126" s="70">
        <f>'REV-REVCALC_CWS'!BH39</f>
        <v>34222.5</v>
      </c>
      <c r="BI126" s="70">
        <f>'REV-REVCALC_CWS'!BI39</f>
        <v>27742.5</v>
      </c>
      <c r="BJ126" s="70">
        <f>'REV-REVCALC_CWS'!BJ39</f>
        <v>27742.5</v>
      </c>
      <c r="BK126" s="70">
        <f>'REV-REVCALC_CWS'!BK39</f>
        <v>27742.5</v>
      </c>
      <c r="BL126" s="70">
        <f>'REV-REVCALC_CWS'!BL39</f>
        <v>17415</v>
      </c>
      <c r="BM126" s="167">
        <f>SUM(D126:BL126)</f>
        <v>705723.75</v>
      </c>
    </row>
    <row r="127" spans="2:65" s="33" customFormat="1" x14ac:dyDescent="0.15">
      <c r="B127" s="14" t="s">
        <v>380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0</v>
      </c>
      <c r="I127" s="70">
        <f t="shared" si="11"/>
        <v>0</v>
      </c>
      <c r="J127" s="70">
        <f t="shared" si="11"/>
        <v>0</v>
      </c>
      <c r="K127" s="70">
        <f t="shared" si="11"/>
        <v>0</v>
      </c>
      <c r="L127" s="70">
        <f t="shared" si="11"/>
        <v>0</v>
      </c>
      <c r="M127" s="70">
        <f t="shared" si="11"/>
        <v>0</v>
      </c>
      <c r="N127" s="70">
        <f t="shared" si="11"/>
        <v>0</v>
      </c>
      <c r="O127" s="70">
        <f t="shared" si="11"/>
        <v>0</v>
      </c>
      <c r="P127" s="70">
        <f t="shared" si="11"/>
        <v>0</v>
      </c>
      <c r="Q127" s="70">
        <f t="shared" si="11"/>
        <v>1356.25</v>
      </c>
      <c r="R127" s="70">
        <f t="shared" si="11"/>
        <v>2131.25</v>
      </c>
      <c r="S127" s="70">
        <f t="shared" si="11"/>
        <v>2325</v>
      </c>
      <c r="T127" s="70">
        <f t="shared" si="11"/>
        <v>4012.5</v>
      </c>
      <c r="U127" s="70">
        <f t="shared" si="11"/>
        <v>4375</v>
      </c>
      <c r="V127" s="70">
        <f t="shared" si="11"/>
        <v>4737.5</v>
      </c>
      <c r="W127" s="70">
        <f t="shared" si="11"/>
        <v>4012.5</v>
      </c>
      <c r="X127" s="70">
        <f t="shared" si="11"/>
        <v>4375</v>
      </c>
      <c r="Y127" s="70">
        <f t="shared" si="11"/>
        <v>3650</v>
      </c>
      <c r="Z127" s="70">
        <f t="shared" si="11"/>
        <v>3650</v>
      </c>
      <c r="AA127" s="70">
        <f t="shared" si="11"/>
        <v>3650</v>
      </c>
      <c r="AB127" s="70">
        <f t="shared" si="11"/>
        <v>2368.75</v>
      </c>
      <c r="AC127" s="70">
        <f t="shared" si="11"/>
        <v>5231.25</v>
      </c>
      <c r="AD127" s="70">
        <f t="shared" si="11"/>
        <v>8375</v>
      </c>
      <c r="AE127" s="70">
        <f t="shared" si="11"/>
        <v>9215</v>
      </c>
      <c r="AF127" s="70">
        <f t="shared" si="11"/>
        <v>11127.5</v>
      </c>
      <c r="AG127" s="70">
        <f t="shared" si="11"/>
        <v>12158.75</v>
      </c>
      <c r="AH127" s="70">
        <f t="shared" si="11"/>
        <v>13406.25</v>
      </c>
      <c r="AI127" s="70">
        <f t="shared" si="11"/>
        <v>11127.5</v>
      </c>
      <c r="AJ127" s="70">
        <f t="shared" si="11"/>
        <v>12158.75</v>
      </c>
      <c r="AK127" s="70">
        <f t="shared" si="11"/>
        <v>10096.25</v>
      </c>
      <c r="AL127" s="70">
        <f t="shared" si="11"/>
        <v>10096.25</v>
      </c>
      <c r="AM127" s="70">
        <f t="shared" si="11"/>
        <v>10096.25</v>
      </c>
      <c r="AN127" s="70">
        <f t="shared" si="11"/>
        <v>6378.75</v>
      </c>
      <c r="AO127" s="70">
        <f t="shared" si="11"/>
        <v>10750</v>
      </c>
      <c r="AP127" s="70">
        <f t="shared" si="11"/>
        <v>17200</v>
      </c>
      <c r="AQ127" s="70">
        <f t="shared" si="11"/>
        <v>19147.5</v>
      </c>
      <c r="AR127" s="70">
        <f t="shared" si="11"/>
        <v>21172.5</v>
      </c>
      <c r="AS127" s="70">
        <f t="shared" si="11"/>
        <v>23322.5</v>
      </c>
      <c r="AT127" s="70">
        <f t="shared" si="11"/>
        <v>25675</v>
      </c>
      <c r="AU127" s="70">
        <f t="shared" si="11"/>
        <v>21172.5</v>
      </c>
      <c r="AV127" s="70">
        <f t="shared" si="11"/>
        <v>23322.5</v>
      </c>
      <c r="AW127" s="70">
        <f t="shared" si="11"/>
        <v>19022.5</v>
      </c>
      <c r="AX127" s="70">
        <f t="shared" si="11"/>
        <v>19022.5</v>
      </c>
      <c r="AY127" s="70">
        <f t="shared" si="11"/>
        <v>19022.5</v>
      </c>
      <c r="AZ127" s="70">
        <f t="shared" si="11"/>
        <v>11965</v>
      </c>
      <c r="BA127" s="70">
        <f t="shared" si="11"/>
        <v>16950</v>
      </c>
      <c r="BB127" s="70">
        <f t="shared" si="11"/>
        <v>27120</v>
      </c>
      <c r="BC127" s="70">
        <f t="shared" si="11"/>
        <v>30307.5</v>
      </c>
      <c r="BD127" s="70">
        <f t="shared" si="11"/>
        <v>32332.5</v>
      </c>
      <c r="BE127" s="70">
        <f t="shared" si="11"/>
        <v>35722.5</v>
      </c>
      <c r="BF127" s="70">
        <f t="shared" si="11"/>
        <v>39087.5</v>
      </c>
      <c r="BG127" s="70">
        <f t="shared" si="11"/>
        <v>32332.5</v>
      </c>
      <c r="BH127" s="70">
        <f t="shared" si="11"/>
        <v>35722.5</v>
      </c>
      <c r="BI127" s="70">
        <f t="shared" si="11"/>
        <v>28942.5</v>
      </c>
      <c r="BJ127" s="70">
        <f t="shared" si="11"/>
        <v>28942.5</v>
      </c>
      <c r="BK127" s="70">
        <f t="shared" si="11"/>
        <v>28942.5</v>
      </c>
      <c r="BL127" s="70">
        <f t="shared" si="11"/>
        <v>18165</v>
      </c>
      <c r="BM127" s="167">
        <f>SUM(D127:BL127)</f>
        <v>745473.75</v>
      </c>
    </row>
    <row r="128" spans="2:65" s="33" customFormat="1" x14ac:dyDescent="0.15">
      <c r="BM128" s="65"/>
    </row>
    <row r="129" spans="1:65" s="33" customFormat="1" x14ac:dyDescent="0.15">
      <c r="B129" s="14" t="s">
        <v>381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777790</v>
      </c>
      <c r="I129" s="104">
        <f t="shared" si="12"/>
        <v>858100</v>
      </c>
      <c r="J129" s="104">
        <f t="shared" si="12"/>
        <v>963720</v>
      </c>
      <c r="K129" s="104">
        <f t="shared" si="12"/>
        <v>777790</v>
      </c>
      <c r="L129" s="104">
        <f t="shared" si="12"/>
        <v>858100</v>
      </c>
      <c r="M129" s="104">
        <f t="shared" si="12"/>
        <v>697480</v>
      </c>
      <c r="N129" s="104">
        <f t="shared" si="12"/>
        <v>697480</v>
      </c>
      <c r="O129" s="104">
        <f t="shared" si="12"/>
        <v>697480</v>
      </c>
      <c r="P129" s="104">
        <f t="shared" si="12"/>
        <v>431240</v>
      </c>
      <c r="Q129" s="104">
        <f t="shared" si="12"/>
        <v>68068.75</v>
      </c>
      <c r="R129" s="104">
        <f t="shared" si="12"/>
        <v>110618.75</v>
      </c>
      <c r="S129" s="104">
        <f t="shared" si="12"/>
        <v>123387.5</v>
      </c>
      <c r="T129" s="104">
        <f t="shared" si="12"/>
        <v>125800</v>
      </c>
      <c r="U129" s="104">
        <f t="shared" si="12"/>
        <v>138812.5</v>
      </c>
      <c r="V129" s="104">
        <f t="shared" si="12"/>
        <v>151850</v>
      </c>
      <c r="W129" s="104">
        <f t="shared" si="12"/>
        <v>125800</v>
      </c>
      <c r="X129" s="104">
        <f t="shared" si="12"/>
        <v>138812.5</v>
      </c>
      <c r="Y129" s="104">
        <f t="shared" si="12"/>
        <v>112787.5</v>
      </c>
      <c r="Z129" s="104">
        <f t="shared" si="12"/>
        <v>112787.5</v>
      </c>
      <c r="AA129" s="104">
        <f t="shared" si="12"/>
        <v>112787.5</v>
      </c>
      <c r="AB129" s="104">
        <f t="shared" si="12"/>
        <v>69481.25</v>
      </c>
      <c r="AC129" s="104">
        <f t="shared" si="12"/>
        <v>-125911.25</v>
      </c>
      <c r="AD129" s="104">
        <f t="shared" si="12"/>
        <v>-204115</v>
      </c>
      <c r="AE129" s="104">
        <f t="shared" si="12"/>
        <v>-230232.5</v>
      </c>
      <c r="AF129" s="104">
        <f t="shared" si="12"/>
        <v>-227595</v>
      </c>
      <c r="AG129" s="104">
        <f t="shared" si="12"/>
        <v>-249063.75</v>
      </c>
      <c r="AH129" s="104">
        <f t="shared" si="12"/>
        <v>-274911.25</v>
      </c>
      <c r="AI129" s="104">
        <f t="shared" si="12"/>
        <v>-227595</v>
      </c>
      <c r="AJ129" s="104">
        <f t="shared" ref="AJ129:BL129" si="13">AJ127+AJ122+AJ116</f>
        <v>-249063.75</v>
      </c>
      <c r="AK129" s="104">
        <f t="shared" si="13"/>
        <v>-201743.75</v>
      </c>
      <c r="AL129" s="104">
        <f t="shared" si="13"/>
        <v>-201743.75</v>
      </c>
      <c r="AM129" s="104">
        <f t="shared" si="13"/>
        <v>-201743.75</v>
      </c>
      <c r="AN129" s="104">
        <f t="shared" si="13"/>
        <v>-124363.75</v>
      </c>
      <c r="AO129" s="104">
        <f t="shared" si="13"/>
        <v>-76288</v>
      </c>
      <c r="AP129" s="104">
        <f t="shared" si="13"/>
        <v>-123045</v>
      </c>
      <c r="AQ129" s="104">
        <f t="shared" si="13"/>
        <v>-137960.5</v>
      </c>
      <c r="AR129" s="104">
        <f t="shared" si="13"/>
        <v>-134920.5</v>
      </c>
      <c r="AS129" s="104">
        <f t="shared" si="13"/>
        <v>-149563.5</v>
      </c>
      <c r="AT129" s="104">
        <f t="shared" si="13"/>
        <v>-163969</v>
      </c>
      <c r="AU129" s="104">
        <f t="shared" si="13"/>
        <v>-134920.5</v>
      </c>
      <c r="AV129" s="104">
        <f t="shared" si="13"/>
        <v>-149563.5</v>
      </c>
      <c r="AW129" s="104">
        <f t="shared" si="13"/>
        <v>-120312.5</v>
      </c>
      <c r="AX129" s="104">
        <f t="shared" si="13"/>
        <v>-120312.5</v>
      </c>
      <c r="AY129" s="104">
        <f t="shared" si="13"/>
        <v>-120312.5</v>
      </c>
      <c r="AZ129" s="104">
        <f t="shared" si="13"/>
        <v>-74513</v>
      </c>
      <c r="BA129" s="104">
        <f t="shared" si="13"/>
        <v>-25616.899999999994</v>
      </c>
      <c r="BB129" s="104">
        <f t="shared" si="13"/>
        <v>-41137.899999999965</v>
      </c>
      <c r="BC129" s="104">
        <f t="shared" si="13"/>
        <v>-45836.200000000012</v>
      </c>
      <c r="BD129" s="104">
        <f t="shared" si="13"/>
        <v>-42796.200000000012</v>
      </c>
      <c r="BE129" s="104">
        <f t="shared" si="13"/>
        <v>-48221.299999999988</v>
      </c>
      <c r="BF129" s="104">
        <f t="shared" si="13"/>
        <v>-52287.099999999977</v>
      </c>
      <c r="BG129" s="104">
        <f t="shared" si="13"/>
        <v>-42796.200000000012</v>
      </c>
      <c r="BH129" s="104">
        <f t="shared" si="13"/>
        <v>-48221.299999999988</v>
      </c>
      <c r="BI129" s="104">
        <f t="shared" si="13"/>
        <v>-38405.399999999965</v>
      </c>
      <c r="BJ129" s="104">
        <f t="shared" si="13"/>
        <v>-38405.399999999965</v>
      </c>
      <c r="BK129" s="104">
        <f t="shared" si="13"/>
        <v>-38405.399999999965</v>
      </c>
      <c r="BL129" s="104">
        <f t="shared" si="13"/>
        <v>-23841.899999999994</v>
      </c>
      <c r="BM129" s="167">
        <f>SUM(D129:BL129)</f>
        <v>3640439.0500000003</v>
      </c>
    </row>
    <row r="130" spans="1:65" s="33" customFormat="1" x14ac:dyDescent="0.15">
      <c r="BM130" s="65"/>
    </row>
    <row r="131" spans="1:65" x14ac:dyDescent="0.15">
      <c r="B131" s="16" t="s">
        <v>501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417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418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444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464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465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433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434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435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437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438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505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399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524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2019444.75</v>
      </c>
      <c r="I150" s="158">
        <f>STAFF_CWS!L210</f>
        <v>2021452.5</v>
      </c>
      <c r="J150" s="158">
        <f>STAFF_CWS!M210</f>
        <v>2024093</v>
      </c>
      <c r="K150" s="158">
        <f>STAFF_CWS!N210</f>
        <v>2019444.75</v>
      </c>
      <c r="L150" s="158">
        <f>STAFF_CWS!O210</f>
        <v>2021452.5</v>
      </c>
      <c r="M150" s="158">
        <f>STAFF_CWS!P210</f>
        <v>2017437</v>
      </c>
      <c r="N150" s="158">
        <f>STAFF_CWS!Q210</f>
        <v>2017437</v>
      </c>
      <c r="O150" s="158">
        <f>STAFF_CWS!R210</f>
        <v>2017437</v>
      </c>
      <c r="P150" s="158">
        <f>STAFF_CWS!S210</f>
        <v>2010781</v>
      </c>
      <c r="Q150" s="158">
        <f>STAFF_CWS!T210</f>
        <v>2801701.71875</v>
      </c>
      <c r="R150" s="158">
        <f>STAFF_CWS!U210</f>
        <v>2802765.46875</v>
      </c>
      <c r="S150" s="158">
        <f>STAFF_CWS!V210</f>
        <v>2803084.6875</v>
      </c>
      <c r="T150" s="158">
        <f>STAFF_CWS!W210</f>
        <v>2803145</v>
      </c>
      <c r="U150" s="158">
        <f>STAFF_CWS!X210</f>
        <v>2803470.3125</v>
      </c>
      <c r="V150" s="158">
        <f>STAFF_CWS!Y210</f>
        <v>2803796.25</v>
      </c>
      <c r="W150" s="158">
        <f>STAFF_CWS!Z210</f>
        <v>2803145</v>
      </c>
      <c r="X150" s="158">
        <f>STAFF_CWS!AA210</f>
        <v>2803470.3125</v>
      </c>
      <c r="Y150" s="158">
        <f>STAFF_CWS!AB210</f>
        <v>2802819.6875</v>
      </c>
      <c r="Z150" s="158">
        <f>STAFF_CWS!AC210</f>
        <v>2802819.6875</v>
      </c>
      <c r="AA150" s="158">
        <f>STAFF_CWS!AD210</f>
        <v>2802819.6875</v>
      </c>
      <c r="AB150" s="158">
        <f>STAFF_CWS!AE210</f>
        <v>2801737.03125</v>
      </c>
      <c r="AC150" s="158">
        <f>STAFF_CWS!AF210</f>
        <v>3596852.21875</v>
      </c>
      <c r="AD150" s="158">
        <f>STAFF_CWS!AG210</f>
        <v>3594897.125</v>
      </c>
      <c r="AE150" s="158">
        <f>STAFF_CWS!AH210</f>
        <v>3594244.1875</v>
      </c>
      <c r="AF150" s="158">
        <f>STAFF_CWS!AI210</f>
        <v>3594310.125</v>
      </c>
      <c r="AG150" s="158">
        <f>STAFF_CWS!AJ210</f>
        <v>3593773.40625</v>
      </c>
      <c r="AH150" s="158">
        <f>STAFF_CWS!AK210</f>
        <v>3593127.21875</v>
      </c>
      <c r="AI150" s="158">
        <f>STAFF_CWS!AL210</f>
        <v>3594310.125</v>
      </c>
      <c r="AJ150" s="158">
        <f>STAFF_CWS!AM210</f>
        <v>3593773.40625</v>
      </c>
      <c r="AK150" s="158">
        <f>STAFF_CWS!AN210</f>
        <v>3594956.40625</v>
      </c>
      <c r="AL150" s="158">
        <f>STAFF_CWS!AO210</f>
        <v>3594956.40625</v>
      </c>
      <c r="AM150" s="158">
        <f>STAFF_CWS!AP210</f>
        <v>3594956.40625</v>
      </c>
      <c r="AN150" s="158">
        <f>STAFF_CWS!AQ210</f>
        <v>3596890.90625</v>
      </c>
      <c r="AO150" s="158">
        <f>STAFF_CWS!AR210</f>
        <v>4398092.8</v>
      </c>
      <c r="AP150" s="158">
        <f>STAFF_CWS!AS210</f>
        <v>4396923.875</v>
      </c>
      <c r="AQ150" s="158">
        <f>STAFF_CWS!AT210</f>
        <v>4396550.9874999998</v>
      </c>
      <c r="AR150" s="158">
        <f>STAFF_CWS!AU210</f>
        <v>4396626.9874999998</v>
      </c>
      <c r="AS150" s="158">
        <f>STAFF_CWS!AV210</f>
        <v>4396260.9124999996</v>
      </c>
      <c r="AT150" s="158">
        <f>STAFF_CWS!AW210</f>
        <v>4395900.7750000004</v>
      </c>
      <c r="AU150" s="158">
        <f>STAFF_CWS!AX210</f>
        <v>4396626.9874999998</v>
      </c>
      <c r="AV150" s="158">
        <f>STAFF_CWS!AY210</f>
        <v>4396260.9124999996</v>
      </c>
      <c r="AW150" s="158">
        <f>STAFF_CWS!AZ210</f>
        <v>4396992.1875</v>
      </c>
      <c r="AX150" s="158">
        <f>STAFF_CWS!BA210</f>
        <v>4396992.1875</v>
      </c>
      <c r="AY150" s="158">
        <f>STAFF_CWS!BB210</f>
        <v>4396992.1875</v>
      </c>
      <c r="AZ150" s="158">
        <f>STAFF_CWS!BC210</f>
        <v>4398137.1749999998</v>
      </c>
      <c r="BA150" s="158">
        <f>STAFF_CWS!BD210</f>
        <v>6799359.5774999997</v>
      </c>
      <c r="BB150" s="158">
        <f>STAFF_CWS!BE210</f>
        <v>6798971.5525000002</v>
      </c>
      <c r="BC150" s="158">
        <f>STAFF_CWS!BF210</f>
        <v>6798854.0949999997</v>
      </c>
      <c r="BD150" s="158">
        <f>STAFF_CWS!BG210</f>
        <v>6798930.0949999997</v>
      </c>
      <c r="BE150" s="158">
        <f>STAFF_CWS!BH210</f>
        <v>6798794.4675000003</v>
      </c>
      <c r="BF150" s="158">
        <f>STAFF_CWS!BI210</f>
        <v>6798692.8224999998</v>
      </c>
      <c r="BG150" s="158">
        <f>STAFF_CWS!BJ210</f>
        <v>6798930.0949999997</v>
      </c>
      <c r="BH150" s="158">
        <f>STAFF_CWS!BK210</f>
        <v>6798794.4675000003</v>
      </c>
      <c r="BI150" s="158">
        <f>STAFF_CWS!BL210</f>
        <v>6799039.8650000002</v>
      </c>
      <c r="BJ150" s="158">
        <f>STAFF_CWS!BM210</f>
        <v>6799039.8650000002</v>
      </c>
      <c r="BK150" s="158">
        <f>STAFF_CWS!BN210</f>
        <v>6799039.8650000002</v>
      </c>
      <c r="BL150" s="158">
        <f>STAFF_CWS!BO210</f>
        <v>6799403.9524999997</v>
      </c>
      <c r="BM150" s="167">
        <f>SUM(D150:BL150)</f>
        <v>235291010.97624999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405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525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4419444.75</v>
      </c>
      <c r="I154" s="160">
        <f t="shared" si="17"/>
        <v>4421452.5</v>
      </c>
      <c r="J154" s="168">
        <f t="shared" si="17"/>
        <v>4424093</v>
      </c>
      <c r="K154" s="160">
        <f t="shared" si="17"/>
        <v>4419444.75</v>
      </c>
      <c r="L154" s="160">
        <f t="shared" si="17"/>
        <v>4421452.5</v>
      </c>
      <c r="M154" s="160">
        <f t="shared" si="17"/>
        <v>4417437</v>
      </c>
      <c r="N154" s="160">
        <f t="shared" si="17"/>
        <v>4417437</v>
      </c>
      <c r="O154" s="160">
        <f t="shared" si="17"/>
        <v>4417437</v>
      </c>
      <c r="P154" s="160">
        <f t="shared" si="17"/>
        <v>4410781</v>
      </c>
      <c r="Q154" s="160">
        <f t="shared" si="17"/>
        <v>5601701.71875</v>
      </c>
      <c r="R154" s="160">
        <f t="shared" si="17"/>
        <v>5602765.46875</v>
      </c>
      <c r="S154" s="160">
        <f t="shared" si="17"/>
        <v>5603084.6875</v>
      </c>
      <c r="T154" s="160">
        <f t="shared" si="17"/>
        <v>5603145</v>
      </c>
      <c r="U154" s="160">
        <f t="shared" si="17"/>
        <v>5603470.3125</v>
      </c>
      <c r="V154" s="160">
        <f t="shared" si="17"/>
        <v>5603796.25</v>
      </c>
      <c r="W154" s="160">
        <f t="shared" si="17"/>
        <v>5603145</v>
      </c>
      <c r="X154" s="160">
        <f t="shared" si="17"/>
        <v>5603470.3125</v>
      </c>
      <c r="Y154" s="160">
        <f t="shared" si="17"/>
        <v>5602819.6875</v>
      </c>
      <c r="Z154" s="160">
        <f t="shared" si="17"/>
        <v>5602819.6875</v>
      </c>
      <c r="AA154" s="160">
        <f t="shared" si="17"/>
        <v>5602819.6875</v>
      </c>
      <c r="AB154" s="160">
        <f t="shared" si="17"/>
        <v>5601737.03125</v>
      </c>
      <c r="AC154" s="160">
        <f t="shared" si="17"/>
        <v>6396852.21875</v>
      </c>
      <c r="AD154" s="160">
        <f t="shared" si="17"/>
        <v>6394897.125</v>
      </c>
      <c r="AE154" s="160">
        <f t="shared" si="17"/>
        <v>6394244.1875</v>
      </c>
      <c r="AF154" s="160">
        <f t="shared" si="17"/>
        <v>6394310.125</v>
      </c>
      <c r="AG154" s="160">
        <f t="shared" si="17"/>
        <v>6393773.40625</v>
      </c>
      <c r="AH154" s="160">
        <f t="shared" si="17"/>
        <v>6393127.21875</v>
      </c>
      <c r="AI154" s="160">
        <f t="shared" si="17"/>
        <v>6394310.125</v>
      </c>
      <c r="AJ154" s="160">
        <f t="shared" si="17"/>
        <v>6393773.40625</v>
      </c>
      <c r="AK154" s="160">
        <f t="shared" si="17"/>
        <v>6394956.40625</v>
      </c>
      <c r="AL154" s="160">
        <f t="shared" si="17"/>
        <v>6394956.40625</v>
      </c>
      <c r="AM154" s="160">
        <f t="shared" si="17"/>
        <v>6394956.40625</v>
      </c>
      <c r="AN154" s="160">
        <f t="shared" si="17"/>
        <v>6396890.90625</v>
      </c>
      <c r="AO154" s="160">
        <f t="shared" si="17"/>
        <v>7798092.7999999998</v>
      </c>
      <c r="AP154" s="160">
        <f t="shared" si="17"/>
        <v>7796923.875</v>
      </c>
      <c r="AQ154" s="160">
        <f t="shared" si="17"/>
        <v>7796550.9874999998</v>
      </c>
      <c r="AR154" s="160">
        <f t="shared" si="17"/>
        <v>7796626.9874999998</v>
      </c>
      <c r="AS154" s="160">
        <f t="shared" si="17"/>
        <v>7796260.9124999996</v>
      </c>
      <c r="AT154" s="160">
        <f t="shared" si="17"/>
        <v>7795900.7750000004</v>
      </c>
      <c r="AU154" s="160">
        <f t="shared" si="17"/>
        <v>7796626.9874999998</v>
      </c>
      <c r="AV154" s="160">
        <f t="shared" si="17"/>
        <v>7796260.9124999996</v>
      </c>
      <c r="AW154" s="160">
        <f t="shared" si="17"/>
        <v>7796992.1875</v>
      </c>
      <c r="AX154" s="160">
        <f t="shared" si="17"/>
        <v>7796992.1875</v>
      </c>
      <c r="AY154" s="160">
        <f t="shared" si="17"/>
        <v>7796992.1875</v>
      </c>
      <c r="AZ154" s="160">
        <f t="shared" si="17"/>
        <v>7798137.1749999998</v>
      </c>
      <c r="BA154" s="160">
        <f t="shared" si="17"/>
        <v>10799359.577500001</v>
      </c>
      <c r="BB154" s="160">
        <f t="shared" si="17"/>
        <v>10798971.5525</v>
      </c>
      <c r="BC154" s="160">
        <f t="shared" si="17"/>
        <v>10798854.094999999</v>
      </c>
      <c r="BD154" s="160">
        <f t="shared" si="17"/>
        <v>10798930.094999999</v>
      </c>
      <c r="BE154" s="160">
        <f t="shared" si="17"/>
        <v>10798794.467500001</v>
      </c>
      <c r="BF154" s="160">
        <f t="shared" si="17"/>
        <v>10798692.8225</v>
      </c>
      <c r="BG154" s="160">
        <f t="shared" si="17"/>
        <v>10798930.094999999</v>
      </c>
      <c r="BH154" s="160">
        <f t="shared" si="17"/>
        <v>10798794.467500001</v>
      </c>
      <c r="BI154" s="160">
        <f t="shared" si="17"/>
        <v>10799039.865</v>
      </c>
      <c r="BJ154" s="160">
        <f t="shared" si="17"/>
        <v>10799039.865</v>
      </c>
      <c r="BK154" s="160">
        <f t="shared" si="17"/>
        <v>10799039.865</v>
      </c>
      <c r="BL154" s="160">
        <f t="shared" si="17"/>
        <v>10799403.952500001</v>
      </c>
      <c r="BM154" s="167">
        <f>SUM(D154:BL154)</f>
        <v>420091010.97625005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508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405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509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510</v>
      </c>
      <c r="J163" s="14"/>
      <c r="BM163" s="167"/>
    </row>
    <row r="164" spans="1:65" x14ac:dyDescent="0.15">
      <c r="B164" s="47" t="s">
        <v>406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883888.95000000007</v>
      </c>
      <c r="I164" s="161">
        <f>STAFF_CWS!L224+STAFF_CWS!L289+STAFF_CWS!L372+STAFF_CWS!L545</f>
        <v>884290.5</v>
      </c>
      <c r="J164" s="158">
        <f>STAFF_CWS!M224+STAFF_CWS!M289+STAFF_CWS!M372+STAFF_CWS!M545</f>
        <v>884818.6</v>
      </c>
      <c r="K164" s="161">
        <f>STAFF_CWS!N224+STAFF_CWS!N289+STAFF_CWS!N372+STAFF_CWS!N545</f>
        <v>883888.95000000007</v>
      </c>
      <c r="L164" s="161">
        <f>STAFF_CWS!O224+STAFF_CWS!O289+STAFF_CWS!O372+STAFF_CWS!O545</f>
        <v>884290.5</v>
      </c>
      <c r="M164" s="161">
        <f>STAFF_CWS!P224+STAFF_CWS!P289+STAFF_CWS!P372+STAFF_CWS!P545</f>
        <v>883487.39999999991</v>
      </c>
      <c r="N164" s="161">
        <f>STAFF_CWS!Q224+STAFF_CWS!Q289+STAFF_CWS!Q372+STAFF_CWS!Q545</f>
        <v>883487.39999999991</v>
      </c>
      <c r="O164" s="161">
        <f>STAFF_CWS!R224+STAFF_CWS!R289+STAFF_CWS!R372+STAFF_CWS!R545</f>
        <v>883487.39999999991</v>
      </c>
      <c r="P164" s="161">
        <f>STAFF_CWS!S224+STAFF_CWS!S289+STAFF_CWS!S372+STAFF_CWS!S545</f>
        <v>882156.2</v>
      </c>
      <c r="Q164" s="161">
        <f>STAFF_CWS!T224+STAFF_CWS!T289+STAFF_CWS!T372+STAFF_CWS!T545</f>
        <v>1120340.34375</v>
      </c>
      <c r="R164" s="161">
        <f>STAFF_CWS!U224+STAFF_CWS!U289+STAFF_CWS!U372+STAFF_CWS!U545</f>
        <v>1120553.09375</v>
      </c>
      <c r="S164" s="161">
        <f>STAFF_CWS!V224+STAFF_CWS!V289+STAFF_CWS!V372+STAFF_CWS!V545</f>
        <v>1120616.9375</v>
      </c>
      <c r="T164" s="161">
        <f>STAFF_CWS!W224+STAFF_CWS!W289+STAFF_CWS!W372+STAFF_CWS!W545</f>
        <v>1120629</v>
      </c>
      <c r="U164" s="161">
        <f>STAFF_CWS!X224+STAFF_CWS!X289+STAFF_CWS!X372+STAFF_CWS!X545</f>
        <v>1120694.0625</v>
      </c>
      <c r="V164" s="161">
        <f>STAFF_CWS!Y224+STAFF_CWS!Y289+STAFF_CWS!Y372+STAFF_CWS!Y545</f>
        <v>1120759.25</v>
      </c>
      <c r="W164" s="161">
        <f>STAFF_CWS!Z224+STAFF_CWS!Z289+STAFF_CWS!Z372+STAFF_CWS!Z545</f>
        <v>1120629</v>
      </c>
      <c r="X164" s="161">
        <f>STAFF_CWS!AA224+STAFF_CWS!AA289+STAFF_CWS!AA372+STAFF_CWS!AA545</f>
        <v>1120694.0625</v>
      </c>
      <c r="Y164" s="161">
        <f>STAFF_CWS!AB224+STAFF_CWS!AB289+STAFF_CWS!AB372+STAFF_CWS!AB545</f>
        <v>1120563.9375</v>
      </c>
      <c r="Z164" s="161">
        <f>STAFF_CWS!AC224+STAFF_CWS!AC289+STAFF_CWS!AC372+STAFF_CWS!AC545</f>
        <v>1120563.9375</v>
      </c>
      <c r="AA164" s="161">
        <f>STAFF_CWS!AD224+STAFF_CWS!AD289+STAFF_CWS!AD372+STAFF_CWS!AD545</f>
        <v>1120563.9375</v>
      </c>
      <c r="AB164" s="161">
        <f>STAFF_CWS!AE224+STAFF_CWS!AE289+STAFF_CWS!AE372+STAFF_CWS!AE545</f>
        <v>1120347.40625</v>
      </c>
      <c r="AC164" s="161">
        <f>STAFF_CWS!AF224+STAFF_CWS!AF289+STAFF_CWS!AF372+STAFF_CWS!AF545</f>
        <v>1279370.4437500001</v>
      </c>
      <c r="AD164" s="161">
        <f>STAFF_CWS!AG224+STAFF_CWS!AG289+STAFF_CWS!AG372+STAFF_CWS!AG545</f>
        <v>1278979.425</v>
      </c>
      <c r="AE164" s="161">
        <f>STAFF_CWS!AH224+STAFF_CWS!AH289+STAFF_CWS!AH372+STAFF_CWS!AH545</f>
        <v>1278848.8375000001</v>
      </c>
      <c r="AF164" s="161">
        <f>STAFF_CWS!AI224+STAFF_CWS!AI289+STAFF_CWS!AI372+STAFF_CWS!AI545</f>
        <v>1278862.0249999999</v>
      </c>
      <c r="AG164" s="161">
        <f>STAFF_CWS!AJ224+STAFF_CWS!AJ289+STAFF_CWS!AJ372+STAFF_CWS!AJ545</f>
        <v>1278754.6812499999</v>
      </c>
      <c r="AH164" s="161">
        <f>STAFF_CWS!AK224+STAFF_CWS!AK289+STAFF_CWS!AK372+STAFF_CWS!AK545</f>
        <v>1278625.4437500001</v>
      </c>
      <c r="AI164" s="161">
        <f>STAFF_CWS!AL224+STAFF_CWS!AL289+STAFF_CWS!AL372+STAFF_CWS!AL545</f>
        <v>1278862.0249999999</v>
      </c>
      <c r="AJ164" s="161">
        <f>STAFF_CWS!AM224+STAFF_CWS!AM289+STAFF_CWS!AM372+STAFF_CWS!AM545</f>
        <v>1278754.6812499999</v>
      </c>
      <c r="AK164" s="161">
        <f>STAFF_CWS!AN224+STAFF_CWS!AN289+STAFF_CWS!AN372+STAFF_CWS!AN545</f>
        <v>1278991.28125</v>
      </c>
      <c r="AL164" s="161">
        <f>STAFF_CWS!AO224+STAFF_CWS!AO289+STAFF_CWS!AO372+STAFF_CWS!AO545</f>
        <v>1278991.28125</v>
      </c>
      <c r="AM164" s="161">
        <f>STAFF_CWS!AP224+STAFF_CWS!AP289+STAFF_CWS!AP372+STAFF_CWS!AP545</f>
        <v>1278991.28125</v>
      </c>
      <c r="AN164" s="161">
        <f>STAFF_CWS!AQ224+STAFF_CWS!AQ289+STAFF_CWS!AQ372+STAFF_CWS!AQ545</f>
        <v>1279378.1812499999</v>
      </c>
      <c r="AO164" s="161">
        <f>STAFF_CWS!AR224+STAFF_CWS!AR289+STAFF_CWS!AR372+STAFF_CWS!AR545</f>
        <v>1559618.5600000001</v>
      </c>
      <c r="AP164" s="161">
        <f>STAFF_CWS!AS224+STAFF_CWS!AS289+STAFF_CWS!AS372+STAFF_CWS!AS545</f>
        <v>1559384.7750000001</v>
      </c>
      <c r="AQ164" s="161">
        <f>STAFF_CWS!AT224+STAFF_CWS!AT289+STAFF_CWS!AT372+STAFF_CWS!AT545</f>
        <v>1559310.1974999998</v>
      </c>
      <c r="AR164" s="161">
        <f>STAFF_CWS!AU224+STAFF_CWS!AU289+STAFF_CWS!AU372+STAFF_CWS!AU545</f>
        <v>1559325.3975</v>
      </c>
      <c r="AS164" s="161">
        <f>STAFF_CWS!AV224+STAFF_CWS!AV289+STAFF_CWS!AV372+STAFF_CWS!AV545</f>
        <v>1559252.1824999999</v>
      </c>
      <c r="AT164" s="161">
        <f>STAFF_CWS!AW224+STAFF_CWS!AW289+STAFF_CWS!AW372+STAFF_CWS!AW545</f>
        <v>1559180.155</v>
      </c>
      <c r="AU164" s="161">
        <f>STAFF_CWS!AX224+STAFF_CWS!AX289+STAFF_CWS!AX372+STAFF_CWS!AX545</f>
        <v>1559325.3975</v>
      </c>
      <c r="AV164" s="161">
        <f>STAFF_CWS!AY224+STAFF_CWS!AY289+STAFF_CWS!AY372+STAFF_CWS!AY545</f>
        <v>1559252.1824999999</v>
      </c>
      <c r="AW164" s="161">
        <f>STAFF_CWS!AZ224+STAFF_CWS!AZ289+STAFF_CWS!AZ372+STAFF_CWS!AZ545</f>
        <v>1559398.4375</v>
      </c>
      <c r="AX164" s="161">
        <f>STAFF_CWS!BA224+STAFF_CWS!BA289+STAFF_CWS!BA372+STAFF_CWS!BA545</f>
        <v>1559398.4375</v>
      </c>
      <c r="AY164" s="161">
        <f>STAFF_CWS!BB224+STAFF_CWS!BB289+STAFF_CWS!BB372+STAFF_CWS!BB545</f>
        <v>1559398.4375</v>
      </c>
      <c r="AZ164" s="161">
        <f>STAFF_CWS!BC224+STAFF_CWS!BC289+STAFF_CWS!BC372+STAFF_CWS!BC545</f>
        <v>1559627.4350000001</v>
      </c>
      <c r="BA164" s="161">
        <f>STAFF_CWS!BD224+STAFF_CWS!BD289+STAFF_CWS!BD372+STAFF_CWS!BD545</f>
        <v>2159871.9155000001</v>
      </c>
      <c r="BB164" s="161">
        <f>STAFF_CWS!BE224+STAFF_CWS!BE289+STAFF_CWS!BE372+STAFF_CWS!BE545</f>
        <v>2159794.3105000001</v>
      </c>
      <c r="BC164" s="161">
        <f>STAFF_CWS!BF224+STAFF_CWS!BF289+STAFF_CWS!BF372+STAFF_CWS!BF545</f>
        <v>2159770.8190000001</v>
      </c>
      <c r="BD164" s="161">
        <f>STAFF_CWS!BG224+STAFF_CWS!BG289+STAFF_CWS!BG372+STAFF_CWS!BG545</f>
        <v>2159786.0190000003</v>
      </c>
      <c r="BE164" s="161">
        <f>STAFF_CWS!BH224+STAFF_CWS!BH289+STAFF_CWS!BH372+STAFF_CWS!BH545</f>
        <v>2159758.8935000002</v>
      </c>
      <c r="BF164" s="161">
        <f>STAFF_CWS!BI224+STAFF_CWS!BI289+STAFF_CWS!BI372+STAFF_CWS!BI545</f>
        <v>2159738.5644999999</v>
      </c>
      <c r="BG164" s="161">
        <f>STAFF_CWS!BJ224+STAFF_CWS!BJ289+STAFF_CWS!BJ372+STAFF_CWS!BJ545</f>
        <v>2159786.0190000003</v>
      </c>
      <c r="BH164" s="161">
        <f>STAFF_CWS!BK224+STAFF_CWS!BK289+STAFF_CWS!BK372+STAFF_CWS!BK545</f>
        <v>2159758.8935000002</v>
      </c>
      <c r="BI164" s="161">
        <f>STAFF_CWS!BL224+STAFF_CWS!BL289+STAFF_CWS!BL372+STAFF_CWS!BL545</f>
        <v>2159807.9730000002</v>
      </c>
      <c r="BJ164" s="161">
        <f>STAFF_CWS!BM224+STAFF_CWS!BM289+STAFF_CWS!BM372+STAFF_CWS!BM545</f>
        <v>2159807.9730000002</v>
      </c>
      <c r="BK164" s="161">
        <f>STAFF_CWS!BN224+STAFF_CWS!BN289+STAFF_CWS!BN372+STAFF_CWS!BN545</f>
        <v>2159807.9730000002</v>
      </c>
      <c r="BL164" s="161">
        <f>STAFF_CWS!BO224+STAFF_CWS!BO289+STAFF_CWS!BO372+STAFF_CWS!BO545</f>
        <v>2159880.7905000001</v>
      </c>
      <c r="BM164" s="167">
        <f>SUM(D164:BL164)</f>
        <v>84018202.195250005</v>
      </c>
    </row>
    <row r="165" spans="1:65" s="157" customFormat="1" x14ac:dyDescent="0.15">
      <c r="A165" s="156"/>
      <c r="B165" s="47" t="s">
        <v>506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511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1446312.9500000002</v>
      </c>
      <c r="I167" s="161">
        <f t="shared" si="19"/>
        <v>1446714.5</v>
      </c>
      <c r="J167" s="158">
        <f t="shared" si="19"/>
        <v>1447242.6</v>
      </c>
      <c r="K167" s="161">
        <f t="shared" si="19"/>
        <v>1446312.9500000002</v>
      </c>
      <c r="L167" s="161">
        <f t="shared" si="19"/>
        <v>1446714.5</v>
      </c>
      <c r="M167" s="161">
        <f t="shared" si="19"/>
        <v>1445911.4</v>
      </c>
      <c r="N167" s="161">
        <f t="shared" si="19"/>
        <v>1445911.4</v>
      </c>
      <c r="O167" s="161">
        <f t="shared" si="19"/>
        <v>1445911.4</v>
      </c>
      <c r="P167" s="161">
        <f t="shared" si="19"/>
        <v>1444580.2</v>
      </c>
      <c r="Q167" s="161">
        <f t="shared" si="19"/>
        <v>1682764.34375</v>
      </c>
      <c r="R167" s="161">
        <f t="shared" si="19"/>
        <v>1682977.09375</v>
      </c>
      <c r="S167" s="161">
        <f t="shared" si="19"/>
        <v>1683040.9375</v>
      </c>
      <c r="T167" s="161">
        <f t="shared" si="19"/>
        <v>1683053</v>
      </c>
      <c r="U167" s="161">
        <f t="shared" si="19"/>
        <v>1683118.0625</v>
      </c>
      <c r="V167" s="161">
        <f t="shared" si="19"/>
        <v>1683183.25</v>
      </c>
      <c r="W167" s="161">
        <f t="shared" si="19"/>
        <v>1683053</v>
      </c>
      <c r="X167" s="161">
        <f t="shared" si="19"/>
        <v>1683118.0625</v>
      </c>
      <c r="Y167" s="161">
        <f t="shared" si="19"/>
        <v>1682987.9375</v>
      </c>
      <c r="Z167" s="161">
        <f t="shared" si="19"/>
        <v>1682987.9375</v>
      </c>
      <c r="AA167" s="161">
        <f t="shared" si="19"/>
        <v>1682987.9375</v>
      </c>
      <c r="AB167" s="161">
        <f t="shared" si="19"/>
        <v>1682771.40625</v>
      </c>
      <c r="AC167" s="161">
        <f t="shared" si="19"/>
        <v>1841794.4437500001</v>
      </c>
      <c r="AD167" s="161">
        <f t="shared" si="19"/>
        <v>1841403.425</v>
      </c>
      <c r="AE167" s="161">
        <f t="shared" si="19"/>
        <v>1841272.8375000001</v>
      </c>
      <c r="AF167" s="161">
        <f t="shared" si="19"/>
        <v>1841286.0249999999</v>
      </c>
      <c r="AG167" s="161">
        <f t="shared" si="19"/>
        <v>1841178.6812499999</v>
      </c>
      <c r="AH167" s="161">
        <f t="shared" si="19"/>
        <v>1841049.4437500001</v>
      </c>
      <c r="AI167" s="161">
        <f t="shared" si="19"/>
        <v>1841286.0249999999</v>
      </c>
      <c r="AJ167" s="161">
        <f t="shared" si="19"/>
        <v>1841178.6812499999</v>
      </c>
      <c r="AK167" s="161">
        <f t="shared" si="19"/>
        <v>1841415.28125</v>
      </c>
      <c r="AL167" s="161">
        <f t="shared" si="19"/>
        <v>1841415.28125</v>
      </c>
      <c r="AM167" s="161">
        <f t="shared" si="19"/>
        <v>1841415.28125</v>
      </c>
      <c r="AN167" s="161">
        <f t="shared" si="19"/>
        <v>1841802.1812499999</v>
      </c>
      <c r="AO167" s="161">
        <f t="shared" si="19"/>
        <v>2122042.56</v>
      </c>
      <c r="AP167" s="161">
        <f t="shared" si="19"/>
        <v>2121808.7750000004</v>
      </c>
      <c r="AQ167" s="161">
        <f t="shared" si="19"/>
        <v>2121734.1974999998</v>
      </c>
      <c r="AR167" s="161">
        <f t="shared" si="19"/>
        <v>2121749.3975</v>
      </c>
      <c r="AS167" s="161">
        <f t="shared" si="19"/>
        <v>2121676.1825000001</v>
      </c>
      <c r="AT167" s="161">
        <f t="shared" si="19"/>
        <v>2121604.1550000003</v>
      </c>
      <c r="AU167" s="161">
        <f t="shared" si="19"/>
        <v>2121749.3975</v>
      </c>
      <c r="AV167" s="161">
        <f t="shared" si="19"/>
        <v>2121676.1825000001</v>
      </c>
      <c r="AW167" s="161">
        <f t="shared" si="19"/>
        <v>2121822.4375</v>
      </c>
      <c r="AX167" s="161">
        <f t="shared" si="19"/>
        <v>2121822.4375</v>
      </c>
      <c r="AY167" s="161">
        <f t="shared" si="19"/>
        <v>2121822.4375</v>
      </c>
      <c r="AZ167" s="161">
        <f t="shared" si="19"/>
        <v>2122051.4350000001</v>
      </c>
      <c r="BA167" s="161">
        <f t="shared" si="19"/>
        <v>2722295.9155000001</v>
      </c>
      <c r="BB167" s="161">
        <f t="shared" si="19"/>
        <v>2722218.3105000001</v>
      </c>
      <c r="BC167" s="161">
        <f t="shared" si="19"/>
        <v>2722194.8190000001</v>
      </c>
      <c r="BD167" s="161">
        <f t="shared" si="19"/>
        <v>2722210.0190000003</v>
      </c>
      <c r="BE167" s="161">
        <f t="shared" si="19"/>
        <v>2722182.8935000002</v>
      </c>
      <c r="BF167" s="161">
        <f t="shared" si="19"/>
        <v>2722162.5644999999</v>
      </c>
      <c r="BG167" s="161">
        <f t="shared" si="19"/>
        <v>2722210.0190000003</v>
      </c>
      <c r="BH167" s="161">
        <f t="shared" si="19"/>
        <v>2722182.8935000002</v>
      </c>
      <c r="BI167" s="161">
        <f t="shared" si="19"/>
        <v>2722231.9730000002</v>
      </c>
      <c r="BJ167" s="161">
        <f t="shared" si="19"/>
        <v>2722231.9730000002</v>
      </c>
      <c r="BK167" s="161">
        <f t="shared" si="19"/>
        <v>2722231.9730000002</v>
      </c>
      <c r="BL167" s="161">
        <f t="shared" si="19"/>
        <v>2722304.7905000001</v>
      </c>
      <c r="BM167" s="167">
        <f>SUM(D167:BL167)</f>
        <v>117763642.19525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507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9365757.6999999993</v>
      </c>
      <c r="I169" s="130">
        <f t="shared" si="20"/>
        <v>9368167</v>
      </c>
      <c r="J169" s="104">
        <f t="shared" si="20"/>
        <v>9371335.5999999996</v>
      </c>
      <c r="K169" s="130">
        <f t="shared" si="20"/>
        <v>9365757.6999999993</v>
      </c>
      <c r="L169" s="130">
        <f t="shared" si="20"/>
        <v>9368167</v>
      </c>
      <c r="M169" s="130">
        <f t="shared" si="20"/>
        <v>9363348.4000000004</v>
      </c>
      <c r="N169" s="130">
        <f t="shared" si="20"/>
        <v>9363348.4000000004</v>
      </c>
      <c r="O169" s="130">
        <f t="shared" si="20"/>
        <v>9363348.4000000004</v>
      </c>
      <c r="P169" s="130">
        <f t="shared" si="20"/>
        <v>9355361.1999999993</v>
      </c>
      <c r="Q169" s="130">
        <f t="shared" si="20"/>
        <v>10784466.0625</v>
      </c>
      <c r="R169" s="130">
        <f t="shared" si="20"/>
        <v>10785742.5625</v>
      </c>
      <c r="S169" s="130">
        <f t="shared" si="20"/>
        <v>10786125.625</v>
      </c>
      <c r="T169" s="130">
        <f t="shared" si="20"/>
        <v>10786198</v>
      </c>
      <c r="U169" s="130">
        <f t="shared" si="20"/>
        <v>10786588.375</v>
      </c>
      <c r="V169" s="130">
        <f t="shared" si="20"/>
        <v>10786979.5</v>
      </c>
      <c r="W169" s="130">
        <f t="shared" si="20"/>
        <v>9786198</v>
      </c>
      <c r="X169" s="130">
        <f t="shared" si="20"/>
        <v>9786588.375</v>
      </c>
      <c r="Y169" s="130">
        <f t="shared" si="20"/>
        <v>9785807.625</v>
      </c>
      <c r="Z169" s="130">
        <f t="shared" si="20"/>
        <v>9785807.625</v>
      </c>
      <c r="AA169" s="130">
        <f t="shared" si="20"/>
        <v>9785807.625</v>
      </c>
      <c r="AB169" s="130">
        <f t="shared" si="20"/>
        <v>9784508.4375</v>
      </c>
      <c r="AC169" s="130">
        <f t="shared" si="20"/>
        <v>8238646.6624999996</v>
      </c>
      <c r="AD169" s="130">
        <f t="shared" si="20"/>
        <v>8236300.5499999998</v>
      </c>
      <c r="AE169" s="130">
        <f t="shared" si="20"/>
        <v>8235517.0250000004</v>
      </c>
      <c r="AF169" s="130">
        <f t="shared" si="20"/>
        <v>8235596.1500000004</v>
      </c>
      <c r="AG169" s="130">
        <f t="shared" si="20"/>
        <v>8234952.0875000004</v>
      </c>
      <c r="AH169" s="130">
        <f t="shared" si="20"/>
        <v>8234176.6624999996</v>
      </c>
      <c r="AI169" s="130">
        <f t="shared" si="20"/>
        <v>8235596.1500000004</v>
      </c>
      <c r="AJ169" s="130">
        <f t="shared" ref="AJ169:BL169" si="21">AJ167+AJ161+AJ154</f>
        <v>8234952.0875000004</v>
      </c>
      <c r="AK169" s="130">
        <f t="shared" si="21"/>
        <v>8236371.6875</v>
      </c>
      <c r="AL169" s="130">
        <f t="shared" si="21"/>
        <v>8236371.6875</v>
      </c>
      <c r="AM169" s="130">
        <f t="shared" si="21"/>
        <v>8236371.6875</v>
      </c>
      <c r="AN169" s="130">
        <f t="shared" si="21"/>
        <v>8238693.0875000004</v>
      </c>
      <c r="AO169" s="130">
        <f t="shared" si="21"/>
        <v>9920135.3599999994</v>
      </c>
      <c r="AP169" s="130">
        <f t="shared" si="21"/>
        <v>9918732.6500000004</v>
      </c>
      <c r="AQ169" s="130">
        <f t="shared" si="21"/>
        <v>9918285.1849999987</v>
      </c>
      <c r="AR169" s="130">
        <f t="shared" si="21"/>
        <v>9918376.3849999998</v>
      </c>
      <c r="AS169" s="130">
        <f t="shared" si="21"/>
        <v>9917937.0949999988</v>
      </c>
      <c r="AT169" s="130">
        <f t="shared" si="21"/>
        <v>9917504.9299999997</v>
      </c>
      <c r="AU169" s="130">
        <f t="shared" si="21"/>
        <v>9918376.3849999998</v>
      </c>
      <c r="AV169" s="130">
        <f t="shared" si="21"/>
        <v>9917937.0949999988</v>
      </c>
      <c r="AW169" s="130">
        <f t="shared" si="21"/>
        <v>9918814.625</v>
      </c>
      <c r="AX169" s="130">
        <f t="shared" si="21"/>
        <v>9918814.625</v>
      </c>
      <c r="AY169" s="130">
        <f t="shared" si="21"/>
        <v>9918814.625</v>
      </c>
      <c r="AZ169" s="130">
        <f t="shared" si="21"/>
        <v>9920188.6099999994</v>
      </c>
      <c r="BA169" s="130">
        <f t="shared" si="21"/>
        <v>13521655.493000001</v>
      </c>
      <c r="BB169" s="130">
        <f t="shared" si="21"/>
        <v>13521189.863</v>
      </c>
      <c r="BC169" s="130">
        <f t="shared" si="21"/>
        <v>13521048.913999999</v>
      </c>
      <c r="BD169" s="130">
        <f t="shared" si="21"/>
        <v>13521140.114</v>
      </c>
      <c r="BE169" s="130">
        <f t="shared" si="21"/>
        <v>13520977.361000001</v>
      </c>
      <c r="BF169" s="130">
        <f t="shared" si="21"/>
        <v>13520855.387</v>
      </c>
      <c r="BG169" s="130">
        <f t="shared" si="21"/>
        <v>13521140.114</v>
      </c>
      <c r="BH169" s="130">
        <f t="shared" si="21"/>
        <v>13520977.361000001</v>
      </c>
      <c r="BI169" s="130">
        <f t="shared" si="21"/>
        <v>13521271.838</v>
      </c>
      <c r="BJ169" s="130">
        <f t="shared" si="21"/>
        <v>13521271.838</v>
      </c>
      <c r="BK169" s="130">
        <f t="shared" si="21"/>
        <v>13521271.838</v>
      </c>
      <c r="BL169" s="130">
        <f t="shared" si="21"/>
        <v>13521708.743000001</v>
      </c>
      <c r="BM169" s="167">
        <f>SUM(D169:BL169)</f>
        <v>615854653.17150021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1034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9384049.3666666653</v>
      </c>
      <c r="I205" s="130">
        <f t="shared" si="22"/>
        <v>9422098.666666666</v>
      </c>
      <c r="J205" s="104">
        <f t="shared" si="22"/>
        <v>9426377.2666666657</v>
      </c>
      <c r="K205" s="130">
        <f t="shared" si="22"/>
        <v>9453589.3666666653</v>
      </c>
      <c r="L205" s="130">
        <f t="shared" si="22"/>
        <v>9423658.666666666</v>
      </c>
      <c r="M205" s="130">
        <f t="shared" si="22"/>
        <v>9413230.0666666664</v>
      </c>
      <c r="N205" s="130">
        <f t="shared" si="22"/>
        <v>9401095.0666666664</v>
      </c>
      <c r="O205" s="130">
        <f t="shared" si="22"/>
        <v>9387120.0666666664</v>
      </c>
      <c r="P205" s="130">
        <f t="shared" si="22"/>
        <v>9379217.8666666653</v>
      </c>
      <c r="Q205" s="130">
        <f t="shared" si="22"/>
        <v>10825869.354166666</v>
      </c>
      <c r="R205" s="130">
        <f t="shared" si="22"/>
        <v>10812840.854166666</v>
      </c>
      <c r="S205" s="130">
        <f t="shared" si="22"/>
        <v>10812673.916666666</v>
      </c>
      <c r="T205" s="130">
        <f t="shared" si="22"/>
        <v>10832311.291666666</v>
      </c>
      <c r="U205" s="130">
        <f t="shared" si="22"/>
        <v>10816736.666666666</v>
      </c>
      <c r="V205" s="130">
        <f t="shared" si="22"/>
        <v>10821837.791666666</v>
      </c>
      <c r="W205" s="130">
        <f t="shared" si="22"/>
        <v>9822917.958333334</v>
      </c>
      <c r="X205" s="130">
        <f t="shared" si="22"/>
        <v>9823663.333333334</v>
      </c>
      <c r="Y205" s="130">
        <f t="shared" si="22"/>
        <v>9820012.583333334</v>
      </c>
      <c r="Z205" s="130">
        <f t="shared" si="22"/>
        <v>9838527.583333334</v>
      </c>
      <c r="AA205" s="130">
        <f t="shared" si="22"/>
        <v>9820012.583333334</v>
      </c>
      <c r="AB205" s="130">
        <f t="shared" si="22"/>
        <v>9821923.395833334</v>
      </c>
      <c r="AC205" s="130">
        <f t="shared" si="22"/>
        <v>8278205.5447916659</v>
      </c>
      <c r="AD205" s="130">
        <f t="shared" si="22"/>
        <v>8275716.098958333</v>
      </c>
      <c r="AE205" s="130">
        <f t="shared" si="22"/>
        <v>8268812.5739583336</v>
      </c>
      <c r="AF205" s="130">
        <f t="shared" si="22"/>
        <v>8290996.6989583336</v>
      </c>
      <c r="AG205" s="130">
        <f t="shared" si="22"/>
        <v>8268247.6364583336</v>
      </c>
      <c r="AH205" s="130">
        <f t="shared" si="22"/>
        <v>8273772.2114583328</v>
      </c>
      <c r="AI205" s="130">
        <f t="shared" si="22"/>
        <v>8270246.6989583336</v>
      </c>
      <c r="AJ205" s="130">
        <f t="shared" ref="AJ205:BL205" si="23">AJ203+AJ201+AJ199+AJ197+AJ191+AJ185+AJ178+AJ172+AJ169+AJ147+AJ138</f>
        <v>8272047.6364583336</v>
      </c>
      <c r="AK205" s="130">
        <f t="shared" si="23"/>
        <v>8269667.2364583332</v>
      </c>
      <c r="AL205" s="130">
        <f t="shared" si="23"/>
        <v>8290272.2364583332</v>
      </c>
      <c r="AM205" s="130">
        <f t="shared" si="23"/>
        <v>8269667.2364583332</v>
      </c>
      <c r="AN205" s="130">
        <f t="shared" si="23"/>
        <v>8275238.6364583336</v>
      </c>
      <c r="AO205" s="130">
        <f t="shared" si="23"/>
        <v>9967596.6793489587</v>
      </c>
      <c r="AP205" s="130">
        <f t="shared" si="23"/>
        <v>9963638.9693489596</v>
      </c>
      <c r="AQ205" s="130">
        <f t="shared" si="23"/>
        <v>9959391.5043489579</v>
      </c>
      <c r="AR205" s="130">
        <f t="shared" si="23"/>
        <v>9981587.704348959</v>
      </c>
      <c r="AS205" s="130">
        <f t="shared" si="23"/>
        <v>9959043.4143489581</v>
      </c>
      <c r="AT205" s="130">
        <f t="shared" si="23"/>
        <v>9964911.249348959</v>
      </c>
      <c r="AU205" s="130">
        <f t="shared" si="23"/>
        <v>9960837.704348959</v>
      </c>
      <c r="AV205" s="130">
        <f t="shared" si="23"/>
        <v>9962843.4143489581</v>
      </c>
      <c r="AW205" s="130">
        <f t="shared" si="23"/>
        <v>9959920.9443489593</v>
      </c>
      <c r="AX205" s="130">
        <f t="shared" si="23"/>
        <v>9980525.9443489593</v>
      </c>
      <c r="AY205" s="130">
        <f t="shared" si="23"/>
        <v>9959920.9443489593</v>
      </c>
      <c r="AZ205" s="130">
        <f t="shared" si="23"/>
        <v>9964544.9293489587</v>
      </c>
      <c r="BA205" s="130">
        <f t="shared" si="23"/>
        <v>13572839.15493685</v>
      </c>
      <c r="BB205" s="130">
        <f t="shared" si="23"/>
        <v>13569818.524936849</v>
      </c>
      <c r="BC205" s="130">
        <f t="shared" si="23"/>
        <v>13565877.575936848</v>
      </c>
      <c r="BD205" s="130">
        <f t="shared" si="23"/>
        <v>13588073.775936849</v>
      </c>
      <c r="BE205" s="130">
        <f t="shared" si="23"/>
        <v>13565806.022936851</v>
      </c>
      <c r="BF205" s="130">
        <f t="shared" si="23"/>
        <v>13571984.048936849</v>
      </c>
      <c r="BG205" s="130">
        <f t="shared" si="23"/>
        <v>13567323.775936849</v>
      </c>
      <c r="BH205" s="130">
        <f t="shared" si="23"/>
        <v>13569606.022936851</v>
      </c>
      <c r="BI205" s="130">
        <f t="shared" si="23"/>
        <v>13566100.499936849</v>
      </c>
      <c r="BJ205" s="130">
        <f t="shared" si="23"/>
        <v>13586705.499936849</v>
      </c>
      <c r="BK205" s="130">
        <f t="shared" si="23"/>
        <v>13566100.499936849</v>
      </c>
      <c r="BL205" s="130">
        <f t="shared" si="23"/>
        <v>13564217.40493685</v>
      </c>
      <c r="BM205" s="167">
        <f>SUM(D205:BL205)</f>
        <v>618445724.3677628</v>
      </c>
    </row>
    <row r="206" spans="1:65" x14ac:dyDescent="0.15">
      <c r="J206" s="33"/>
    </row>
    <row r="207" spans="1:65" x14ac:dyDescent="0.15">
      <c r="B207" s="14" t="s">
        <v>485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-8606259.3666666653</v>
      </c>
      <c r="I207" s="130">
        <f t="shared" si="24"/>
        <v>-8563998.666666666</v>
      </c>
      <c r="J207" s="104">
        <f t="shared" si="24"/>
        <v>-8462657.2666666657</v>
      </c>
      <c r="K207" s="130">
        <f t="shared" si="24"/>
        <v>-8675799.3666666653</v>
      </c>
      <c r="L207" s="130">
        <f t="shared" si="24"/>
        <v>-8565558.666666666</v>
      </c>
      <c r="M207" s="130">
        <f t="shared" si="24"/>
        <v>-8715750.0666666664</v>
      </c>
      <c r="N207" s="130">
        <f t="shared" si="24"/>
        <v>-8703615.0666666664</v>
      </c>
      <c r="O207" s="130">
        <f t="shared" si="24"/>
        <v>-8689640.0666666664</v>
      </c>
      <c r="P207" s="130">
        <f t="shared" si="24"/>
        <v>-8947977.8666666653</v>
      </c>
      <c r="Q207" s="130">
        <f t="shared" si="24"/>
        <v>-10757800.604166666</v>
      </c>
      <c r="R207" s="130">
        <f t="shared" si="24"/>
        <v>-10702222.104166666</v>
      </c>
      <c r="S207" s="130">
        <f t="shared" si="24"/>
        <v>-10689286.416666666</v>
      </c>
      <c r="T207" s="130">
        <f t="shared" si="24"/>
        <v>-10706511.291666666</v>
      </c>
      <c r="U207" s="130">
        <f t="shared" si="24"/>
        <v>-10677924.166666666</v>
      </c>
      <c r="V207" s="130">
        <f t="shared" si="24"/>
        <v>-10669987.791666666</v>
      </c>
      <c r="W207" s="130">
        <f t="shared" si="24"/>
        <v>-9697117.958333334</v>
      </c>
      <c r="X207" s="130">
        <f t="shared" si="24"/>
        <v>-9684850.833333334</v>
      </c>
      <c r="Y207" s="130">
        <f t="shared" si="24"/>
        <v>-9707225.083333334</v>
      </c>
      <c r="Z207" s="130">
        <f t="shared" si="24"/>
        <v>-9725740.083333334</v>
      </c>
      <c r="AA207" s="130">
        <f t="shared" si="24"/>
        <v>-9707225.083333334</v>
      </c>
      <c r="AB207" s="130">
        <f t="shared" si="24"/>
        <v>-9752442.145833334</v>
      </c>
      <c r="AC207" s="130">
        <f t="shared" si="24"/>
        <v>-8404116.7947916649</v>
      </c>
      <c r="AD207" s="130">
        <f t="shared" si="24"/>
        <v>-8479831.0989583321</v>
      </c>
      <c r="AE207" s="130">
        <f t="shared" si="24"/>
        <v>-8499045.0739583336</v>
      </c>
      <c r="AF207" s="130">
        <f t="shared" si="24"/>
        <v>-8518591.6989583336</v>
      </c>
      <c r="AG207" s="130">
        <f t="shared" si="24"/>
        <v>-8517311.3864583336</v>
      </c>
      <c r="AH207" s="130">
        <f t="shared" si="24"/>
        <v>-8548683.4614583328</v>
      </c>
      <c r="AI207" s="130">
        <f t="shared" si="24"/>
        <v>-8497841.6989583336</v>
      </c>
      <c r="AJ207" s="130">
        <f t="shared" ref="AJ207:BL207" si="25">AJ129-AJ205</f>
        <v>-8521111.3864583336</v>
      </c>
      <c r="AK207" s="130">
        <f t="shared" si="25"/>
        <v>-8471410.9864583332</v>
      </c>
      <c r="AL207" s="130">
        <f t="shared" si="25"/>
        <v>-8492015.9864583332</v>
      </c>
      <c r="AM207" s="130">
        <f t="shared" si="25"/>
        <v>-8471410.9864583332</v>
      </c>
      <c r="AN207" s="130">
        <f t="shared" si="25"/>
        <v>-8399602.3864583336</v>
      </c>
      <c r="AO207" s="130">
        <f t="shared" si="25"/>
        <v>-10043884.679348959</v>
      </c>
      <c r="AP207" s="130">
        <f t="shared" si="25"/>
        <v>-10086683.96934896</v>
      </c>
      <c r="AQ207" s="130">
        <f t="shared" si="25"/>
        <v>-10097352.004348958</v>
      </c>
      <c r="AR207" s="130">
        <f t="shared" si="25"/>
        <v>-10116508.204348959</v>
      </c>
      <c r="AS207" s="130">
        <f t="shared" si="25"/>
        <v>-10108606.914348958</v>
      </c>
      <c r="AT207" s="130">
        <f t="shared" si="25"/>
        <v>-10128880.249348959</v>
      </c>
      <c r="AU207" s="130">
        <f t="shared" si="25"/>
        <v>-10095758.204348959</v>
      </c>
      <c r="AV207" s="130">
        <f t="shared" si="25"/>
        <v>-10112406.914348958</v>
      </c>
      <c r="AW207" s="130">
        <f t="shared" si="25"/>
        <v>-10080233.444348959</v>
      </c>
      <c r="AX207" s="130">
        <f t="shared" si="25"/>
        <v>-10100838.444348959</v>
      </c>
      <c r="AY207" s="130">
        <f t="shared" si="25"/>
        <v>-10080233.444348959</v>
      </c>
      <c r="AZ207" s="130">
        <f t="shared" si="25"/>
        <v>-10039057.929348959</v>
      </c>
      <c r="BA207" s="130">
        <f t="shared" si="25"/>
        <v>-13598456.05493685</v>
      </c>
      <c r="BB207" s="130">
        <f t="shared" si="25"/>
        <v>-13610956.42493685</v>
      </c>
      <c r="BC207" s="130">
        <f t="shared" si="25"/>
        <v>-13611713.775936848</v>
      </c>
      <c r="BD207" s="130">
        <f t="shared" si="25"/>
        <v>-13630869.975936849</v>
      </c>
      <c r="BE207" s="130">
        <f t="shared" si="25"/>
        <v>-13614027.322936852</v>
      </c>
      <c r="BF207" s="130">
        <f t="shared" si="25"/>
        <v>-13624271.148936849</v>
      </c>
      <c r="BG207" s="130">
        <f t="shared" si="25"/>
        <v>-13610119.975936849</v>
      </c>
      <c r="BH207" s="130">
        <f t="shared" si="25"/>
        <v>-13617827.322936852</v>
      </c>
      <c r="BI207" s="130">
        <f t="shared" si="25"/>
        <v>-13604505.899936849</v>
      </c>
      <c r="BJ207" s="130">
        <f t="shared" si="25"/>
        <v>-13625110.899936849</v>
      </c>
      <c r="BK207" s="130">
        <f t="shared" si="25"/>
        <v>-13604505.899936849</v>
      </c>
      <c r="BL207" s="130">
        <f t="shared" si="25"/>
        <v>-13588059.30493685</v>
      </c>
      <c r="BM207" s="167">
        <f>SUM(D207:BL207)</f>
        <v>-614805285.31776285</v>
      </c>
    </row>
    <row r="208" spans="1:65" x14ac:dyDescent="0.15">
      <c r="B208" s="14" t="s">
        <v>1032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-36750113.366666667</v>
      </c>
      <c r="I208" s="130">
        <f t="shared" si="26"/>
        <v>-45314112.033333331</v>
      </c>
      <c r="J208" s="104">
        <f t="shared" si="26"/>
        <v>-53776769.299999997</v>
      </c>
      <c r="K208" s="130">
        <f t="shared" si="26"/>
        <v>-62452568.666666664</v>
      </c>
      <c r="L208" s="130">
        <f t="shared" si="26"/>
        <v>-71018127.333333328</v>
      </c>
      <c r="M208" s="130">
        <f t="shared" si="26"/>
        <v>-79733877.399999991</v>
      </c>
      <c r="N208" s="130">
        <f t="shared" si="26"/>
        <v>-88437492.466666654</v>
      </c>
      <c r="O208" s="130">
        <f t="shared" si="26"/>
        <v>-97127132.533333316</v>
      </c>
      <c r="P208" s="130">
        <f t="shared" si="26"/>
        <v>-106075110.39999998</v>
      </c>
      <c r="Q208" s="130">
        <f t="shared" si="26"/>
        <v>-116832911.00416665</v>
      </c>
      <c r="R208" s="130">
        <f t="shared" si="26"/>
        <v>-127535133.10833332</v>
      </c>
      <c r="S208" s="130">
        <f t="shared" si="26"/>
        <v>-138224419.52499998</v>
      </c>
      <c r="T208" s="130">
        <f t="shared" si="26"/>
        <v>-148930930.81666663</v>
      </c>
      <c r="U208" s="130">
        <f t="shared" si="26"/>
        <v>-159608854.98333329</v>
      </c>
      <c r="V208" s="130">
        <f t="shared" si="26"/>
        <v>-170278842.77499995</v>
      </c>
      <c r="W208" s="130">
        <f t="shared" si="26"/>
        <v>-179975960.73333329</v>
      </c>
      <c r="X208" s="130">
        <f t="shared" si="26"/>
        <v>-189660811.56666663</v>
      </c>
      <c r="Y208" s="130">
        <f t="shared" si="26"/>
        <v>-199368036.64999998</v>
      </c>
      <c r="Z208" s="130">
        <f t="shared" si="26"/>
        <v>-209093776.73333332</v>
      </c>
      <c r="AA208" s="130">
        <f t="shared" si="26"/>
        <v>-218801001.81666666</v>
      </c>
      <c r="AB208" s="130">
        <f t="shared" si="26"/>
        <v>-228553443.96250001</v>
      </c>
      <c r="AC208" s="130">
        <f t="shared" si="26"/>
        <v>-236957560.75729167</v>
      </c>
      <c r="AD208" s="130">
        <f t="shared" si="26"/>
        <v>-245437391.85625002</v>
      </c>
      <c r="AE208" s="130">
        <f t="shared" si="26"/>
        <v>-253936436.93020836</v>
      </c>
      <c r="AF208" s="130">
        <f t="shared" si="26"/>
        <v>-262455028.62916669</v>
      </c>
      <c r="AG208" s="130">
        <f t="shared" si="26"/>
        <v>-270972340.015625</v>
      </c>
      <c r="AH208" s="130">
        <f t="shared" si="26"/>
        <v>-279521023.47708333</v>
      </c>
      <c r="AI208" s="130">
        <f t="shared" si="26"/>
        <v>-288018865.17604166</v>
      </c>
      <c r="AJ208" s="130">
        <f t="shared" si="26"/>
        <v>-296539976.5625</v>
      </c>
      <c r="AK208" s="130">
        <f t="shared" ref="AK208:BL208" si="27">AK207+AJ208</f>
        <v>-305011387.54895836</v>
      </c>
      <c r="AL208" s="130">
        <f t="shared" si="27"/>
        <v>-313503403.53541672</v>
      </c>
      <c r="AM208" s="130">
        <f t="shared" si="27"/>
        <v>-321974814.52187508</v>
      </c>
      <c r="AN208" s="130">
        <f t="shared" si="27"/>
        <v>-330374416.90833342</v>
      </c>
      <c r="AO208" s="130">
        <f t="shared" si="27"/>
        <v>-340418301.58768237</v>
      </c>
      <c r="AP208" s="130">
        <f t="shared" si="27"/>
        <v>-350504985.55703133</v>
      </c>
      <c r="AQ208" s="130">
        <f t="shared" si="27"/>
        <v>-360602337.56138027</v>
      </c>
      <c r="AR208" s="130">
        <f t="shared" si="27"/>
        <v>-370718845.76572925</v>
      </c>
      <c r="AS208" s="130">
        <f t="shared" si="27"/>
        <v>-380827452.68007821</v>
      </c>
      <c r="AT208" s="130">
        <f t="shared" si="27"/>
        <v>-390956332.92942715</v>
      </c>
      <c r="AU208" s="130">
        <f t="shared" si="27"/>
        <v>-401052091.13377613</v>
      </c>
      <c r="AV208" s="130">
        <f t="shared" si="27"/>
        <v>-411164498.04812509</v>
      </c>
      <c r="AW208" s="130">
        <f t="shared" si="27"/>
        <v>-421244731.49247402</v>
      </c>
      <c r="AX208" s="130">
        <f t="shared" si="27"/>
        <v>-431345569.93682295</v>
      </c>
      <c r="AY208" s="130">
        <f t="shared" si="27"/>
        <v>-441425803.38117188</v>
      </c>
      <c r="AZ208" s="130">
        <f t="shared" si="27"/>
        <v>-451464861.31052083</v>
      </c>
      <c r="BA208" s="130">
        <f t="shared" si="27"/>
        <v>-465063317.36545765</v>
      </c>
      <c r="BB208" s="130">
        <f t="shared" si="27"/>
        <v>-478674273.79039448</v>
      </c>
      <c r="BC208" s="130">
        <f t="shared" si="27"/>
        <v>-492285987.56633133</v>
      </c>
      <c r="BD208" s="130">
        <f t="shared" si="27"/>
        <v>-505916857.54226816</v>
      </c>
      <c r="BE208" s="130">
        <f t="shared" si="27"/>
        <v>-519530884.86520499</v>
      </c>
      <c r="BF208" s="130">
        <f t="shared" si="27"/>
        <v>-533155156.01414186</v>
      </c>
      <c r="BG208" s="130">
        <f t="shared" si="27"/>
        <v>-546765275.99007869</v>
      </c>
      <c r="BH208" s="130">
        <f t="shared" si="27"/>
        <v>-560383103.31301558</v>
      </c>
      <c r="BI208" s="130">
        <f t="shared" si="27"/>
        <v>-573987609.21295238</v>
      </c>
      <c r="BJ208" s="130">
        <f t="shared" si="27"/>
        <v>-587612720.11288917</v>
      </c>
      <c r="BK208" s="130">
        <f t="shared" si="27"/>
        <v>-601217226.01282597</v>
      </c>
      <c r="BL208" s="130">
        <f t="shared" si="27"/>
        <v>-614805285.31776285</v>
      </c>
      <c r="BM208" s="167">
        <f>SUM(D208:BL208)</f>
        <v>-17419744725.247959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859</v>
      </c>
    </row>
    <row r="3" spans="2:63" x14ac:dyDescent="0.15">
      <c r="B3" s="136" t="s">
        <v>468</v>
      </c>
    </row>
    <row r="4" spans="2:63" x14ac:dyDescent="0.15">
      <c r="B4" s="135" t="s">
        <v>860</v>
      </c>
    </row>
    <row r="5" spans="2:63" x14ac:dyDescent="0.15">
      <c r="B5" s="136" t="s">
        <v>485</v>
      </c>
      <c r="C5" s="121">
        <f>C35</f>
        <v>-28592</v>
      </c>
      <c r="D5" s="121">
        <f>SUM(D35:O35)</f>
        <v>-106046518.39999998</v>
      </c>
      <c r="E5" s="121">
        <f>SUM(P35:AA35)</f>
        <v>-122478333.56249997</v>
      </c>
      <c r="F5" s="121">
        <f>SUM(AB35:AM35)</f>
        <v>-101820972.94583333</v>
      </c>
      <c r="G5" s="121">
        <f>SUM(AN35:AY35)</f>
        <v>-121090444.40218751</v>
      </c>
      <c r="H5" s="121">
        <f>SUM(AZ35:BK35)</f>
        <v>-163340424.0072422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468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861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500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487</v>
      </c>
      <c r="C9" s="121">
        <f>C39</f>
        <v>0</v>
      </c>
      <c r="D9" s="121">
        <f>SUM(D39:O39)</f>
        <v>-695240</v>
      </c>
      <c r="E9" s="121">
        <f>SUM(P39:AA39)</f>
        <v>452958.75</v>
      </c>
      <c r="F9" s="121">
        <f>SUM(AB39:AM39)</f>
        <v>84765</v>
      </c>
      <c r="G9" s="121">
        <f>SUM(AN39:AY39)</f>
        <v>-39158.75</v>
      </c>
      <c r="H9" s="121">
        <f>SUM(AZ39:BK39)</f>
        <v>-39335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488</v>
      </c>
      <c r="C10" s="121">
        <f>C40</f>
        <v>0</v>
      </c>
      <c r="D10" s="121">
        <f>SUM(D40:O40)</f>
        <v>-852000</v>
      </c>
      <c r="E10" s="121">
        <f>SUM(P40:AA40)</f>
        <v>-626400</v>
      </c>
      <c r="F10" s="121">
        <f>SUM(AB40:AM40)</f>
        <v>-77760</v>
      </c>
      <c r="G10" s="121">
        <f>SUM(AN40:AY40)</f>
        <v>-69984</v>
      </c>
      <c r="H10" s="121">
        <f>SUM(AZ40:BK40)</f>
        <v>-11849166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489</v>
      </c>
      <c r="C11" s="121">
        <f>C41</f>
        <v>0</v>
      </c>
      <c r="D11" s="121">
        <f>SUM(D41:O41)</f>
        <v>660000</v>
      </c>
      <c r="E11" s="121">
        <f>SUM(P41:AA41)</f>
        <v>420000</v>
      </c>
      <c r="F11" s="121">
        <f>SUM(AB41:AM41)</f>
        <v>-49680</v>
      </c>
      <c r="G11" s="121">
        <f>SUM(AN41:AY41)</f>
        <v>-50544</v>
      </c>
      <c r="H11" s="121">
        <f>SUM(AZ41:BK41)</f>
        <v>8074404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844</v>
      </c>
      <c r="C13" s="121">
        <f t="shared" ref="C13:H13" si="0">SUM(C8:C12)</f>
        <v>0</v>
      </c>
      <c r="D13" s="121">
        <f t="shared" si="0"/>
        <v>-868965</v>
      </c>
      <c r="E13" s="121">
        <f t="shared" si="0"/>
        <v>266958.75</v>
      </c>
      <c r="F13" s="121">
        <f t="shared" si="0"/>
        <v>-21666.666666666657</v>
      </c>
      <c r="G13" s="121">
        <f t="shared" si="0"/>
        <v>-138586.75</v>
      </c>
      <c r="H13" s="121">
        <f t="shared" si="0"/>
        <v>-3792997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1066</v>
      </c>
      <c r="C15" s="121">
        <f t="shared" ref="C15:H15" si="1">C5+C13</f>
        <v>-28592</v>
      </c>
      <c r="D15" s="121">
        <f t="shared" si="1"/>
        <v>-106915483.39999998</v>
      </c>
      <c r="E15" s="121">
        <f t="shared" si="1"/>
        <v>-122211374.81249997</v>
      </c>
      <c r="F15" s="121">
        <f t="shared" si="1"/>
        <v>-101842639.6125</v>
      </c>
      <c r="G15" s="121">
        <f t="shared" si="1"/>
        <v>-121229031.15218751</v>
      </c>
      <c r="H15" s="121">
        <f t="shared" si="1"/>
        <v>-167133421.0072422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863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490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1068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865</v>
      </c>
      <c r="C22" s="121"/>
      <c r="D22" s="121"/>
      <c r="E22" s="121"/>
      <c r="F22" s="121"/>
      <c r="G22" s="121"/>
      <c r="H22" s="121"/>
      <c r="I22" s="121"/>
      <c r="J22" s="121">
        <f>+D23+C23</f>
        <v>149874389.15000004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1079</v>
      </c>
      <c r="C23" s="121">
        <f>C53</f>
        <v>47355928.700000003</v>
      </c>
      <c r="D23" s="121">
        <f>SUM(D53:O53)</f>
        <v>102518460.45000003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468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491</v>
      </c>
      <c r="C25" s="121">
        <f>+C23+C20+C15</f>
        <v>47327336.700000003</v>
      </c>
      <c r="D25" s="121">
        <f t="shared" ref="D25:H25" si="3">+D23+D20+D15</f>
        <v>-4495522.9499999434</v>
      </c>
      <c r="E25" s="121">
        <f t="shared" si="3"/>
        <v>-122218374.81249997</v>
      </c>
      <c r="F25" s="121">
        <f t="shared" si="3"/>
        <v>-101837139.6125</v>
      </c>
      <c r="G25" s="121">
        <f t="shared" si="3"/>
        <v>-121229031.15218751</v>
      </c>
      <c r="H25" s="121">
        <f t="shared" si="3"/>
        <v>-167133421.0072422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493</v>
      </c>
      <c r="C27" s="121">
        <v>0</v>
      </c>
      <c r="D27" s="121">
        <f>+C28</f>
        <v>47327336.700000003</v>
      </c>
      <c r="E27" s="121">
        <f t="shared" ref="E27:H27" si="4">+D28</f>
        <v>42831813.75000006</v>
      </c>
      <c r="F27" s="121">
        <f t="shared" si="4"/>
        <v>-79386561.062499911</v>
      </c>
      <c r="G27" s="121">
        <f t="shared" si="4"/>
        <v>-181223700.67499989</v>
      </c>
      <c r="H27" s="121">
        <f t="shared" si="4"/>
        <v>-302452731.82718742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492</v>
      </c>
      <c r="C28" s="121">
        <f>C25</f>
        <v>47327336.700000003</v>
      </c>
      <c r="D28" s="121">
        <f>+D27+D25</f>
        <v>42831813.75000006</v>
      </c>
      <c r="E28" s="121">
        <f t="shared" ref="E28:H28" si="5">+E27+E25</f>
        <v>-79386561.062499911</v>
      </c>
      <c r="F28" s="121">
        <f t="shared" si="5"/>
        <v>-181223700.67499989</v>
      </c>
      <c r="G28" s="121">
        <f t="shared" si="5"/>
        <v>-302452731.82718742</v>
      </c>
      <c r="H28" s="121">
        <f t="shared" si="5"/>
        <v>-469586152.83442962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4" t="s">
        <v>35</v>
      </c>
      <c r="E30" s="364"/>
      <c r="F30" s="364"/>
      <c r="G30" s="364"/>
      <c r="H30" s="364"/>
      <c r="I30" s="364"/>
      <c r="J30" s="364"/>
      <c r="K30" s="364"/>
      <c r="L30" s="364"/>
      <c r="M30" s="364"/>
      <c r="N30" s="364"/>
      <c r="O30" s="364"/>
      <c r="P30" s="364" t="s">
        <v>36</v>
      </c>
      <c r="Q30" s="364"/>
      <c r="R30" s="364"/>
      <c r="S30" s="364"/>
      <c r="T30" s="364"/>
      <c r="U30" s="364"/>
      <c r="V30" s="364"/>
      <c r="W30" s="364"/>
      <c r="X30" s="364"/>
      <c r="Y30" s="364"/>
      <c r="Z30" s="364"/>
      <c r="AA30" s="364"/>
      <c r="AB30" s="364" t="s">
        <v>37</v>
      </c>
      <c r="AC30" s="364"/>
      <c r="AD30" s="364"/>
      <c r="AE30" s="364"/>
      <c r="AF30" s="364"/>
      <c r="AG30" s="364"/>
      <c r="AH30" s="364"/>
      <c r="AI30" s="364"/>
      <c r="AJ30" s="364"/>
      <c r="AK30" s="364"/>
      <c r="AL30" s="364"/>
      <c r="AM30" s="364"/>
      <c r="AN30" s="364" t="s">
        <v>38</v>
      </c>
      <c r="AO30" s="364"/>
      <c r="AP30" s="364"/>
      <c r="AQ30" s="364"/>
      <c r="AR30" s="364"/>
      <c r="AS30" s="364"/>
      <c r="AT30" s="364"/>
      <c r="AU30" s="364"/>
      <c r="AV30" s="364"/>
      <c r="AW30" s="364"/>
      <c r="AX30" s="364"/>
      <c r="AY30" s="364"/>
      <c r="AZ30" s="364" t="s">
        <v>39</v>
      </c>
      <c r="BA30" s="364"/>
      <c r="BB30" s="364"/>
      <c r="BC30" s="364"/>
      <c r="BD30" s="364"/>
      <c r="BE30" s="364"/>
      <c r="BF30" s="364"/>
      <c r="BG30" s="364"/>
      <c r="BH30" s="364"/>
      <c r="BI30" s="364"/>
      <c r="BJ30" s="364"/>
      <c r="BK30" s="364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859</v>
      </c>
      <c r="C32" s="75"/>
      <c r="D32" s="364" t="s">
        <v>35</v>
      </c>
      <c r="E32" s="364"/>
      <c r="F32" s="364"/>
      <c r="G32" s="364"/>
      <c r="H32" s="364"/>
      <c r="I32" s="364"/>
      <c r="J32" s="364"/>
      <c r="K32" s="364"/>
      <c r="L32" s="364"/>
      <c r="M32" s="364"/>
      <c r="N32" s="364"/>
      <c r="O32" s="364"/>
      <c r="P32" s="364" t="s">
        <v>36</v>
      </c>
      <c r="Q32" s="364"/>
      <c r="R32" s="364"/>
      <c r="S32" s="364"/>
      <c r="T32" s="364"/>
      <c r="U32" s="364"/>
      <c r="V32" s="364"/>
      <c r="W32" s="364"/>
      <c r="X32" s="364"/>
      <c r="Y32" s="364"/>
      <c r="Z32" s="364"/>
      <c r="AA32" s="364"/>
      <c r="AB32" s="364" t="s">
        <v>37</v>
      </c>
      <c r="AC32" s="364"/>
      <c r="AD32" s="364"/>
      <c r="AE32" s="364"/>
      <c r="AF32" s="364"/>
      <c r="AG32" s="364"/>
      <c r="AH32" s="364"/>
      <c r="AI32" s="364"/>
      <c r="AJ32" s="364"/>
      <c r="AK32" s="364"/>
      <c r="AL32" s="364"/>
      <c r="AM32" s="364"/>
      <c r="AN32" s="364" t="s">
        <v>38</v>
      </c>
      <c r="AO32" s="364"/>
      <c r="AP32" s="364"/>
      <c r="AQ32" s="364"/>
      <c r="AR32" s="364"/>
      <c r="AS32" s="364"/>
      <c r="AT32" s="364"/>
      <c r="AU32" s="364"/>
      <c r="AV32" s="364"/>
      <c r="AW32" s="364"/>
      <c r="AX32" s="364"/>
      <c r="AY32" s="364"/>
      <c r="AZ32" s="364" t="s">
        <v>39</v>
      </c>
      <c r="BA32" s="364"/>
      <c r="BB32" s="364"/>
      <c r="BC32" s="364"/>
      <c r="BD32" s="364"/>
      <c r="BE32" s="364"/>
      <c r="BF32" s="364"/>
      <c r="BG32" s="364"/>
      <c r="BH32" s="364"/>
      <c r="BI32" s="364"/>
      <c r="BJ32" s="364"/>
      <c r="BK32" s="364"/>
    </row>
    <row r="33" spans="2:63" x14ac:dyDescent="0.15">
      <c r="B33" s="136" t="s">
        <v>468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860</v>
      </c>
    </row>
    <row r="35" spans="2:63" x14ac:dyDescent="0.15">
      <c r="B35" s="136" t="s">
        <v>485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-8606259.3666666653</v>
      </c>
      <c r="H35" s="121">
        <f>'FIN-P&amp;L_CWS'!I207</f>
        <v>-8563998.666666666</v>
      </c>
      <c r="I35" s="121">
        <f>'FIN-P&amp;L_CWS'!J207</f>
        <v>-8462657.2666666657</v>
      </c>
      <c r="J35" s="121">
        <f>'FIN-P&amp;L_CWS'!K207</f>
        <v>-8675799.3666666653</v>
      </c>
      <c r="K35" s="121">
        <f>'FIN-P&amp;L_CWS'!L207</f>
        <v>-8565558.666666666</v>
      </c>
      <c r="L35" s="121">
        <f>'FIN-P&amp;L_CWS'!M207</f>
        <v>-8715750.0666666664</v>
      </c>
      <c r="M35" s="121">
        <f>'FIN-P&amp;L_CWS'!N207</f>
        <v>-8703615.0666666664</v>
      </c>
      <c r="N35" s="121">
        <f>'FIN-P&amp;L_CWS'!O207</f>
        <v>-8689640.0666666664</v>
      </c>
      <c r="O35" s="121">
        <f>'FIN-P&amp;L_CWS'!P207</f>
        <v>-8947977.8666666653</v>
      </c>
      <c r="P35" s="121">
        <f>'FIN-P&amp;L_CWS'!Q207</f>
        <v>-10757800.604166666</v>
      </c>
      <c r="Q35" s="121">
        <f>'FIN-P&amp;L_CWS'!R207</f>
        <v>-10702222.104166666</v>
      </c>
      <c r="R35" s="121">
        <f>'FIN-P&amp;L_CWS'!S207</f>
        <v>-10689286.416666666</v>
      </c>
      <c r="S35" s="121">
        <f>'FIN-P&amp;L_CWS'!T207</f>
        <v>-10706511.291666666</v>
      </c>
      <c r="T35" s="121">
        <f>'FIN-P&amp;L_CWS'!U207</f>
        <v>-10677924.166666666</v>
      </c>
      <c r="U35" s="121">
        <f>'FIN-P&amp;L_CWS'!V207</f>
        <v>-10669987.791666666</v>
      </c>
      <c r="V35" s="121">
        <f>'FIN-P&amp;L_CWS'!W207</f>
        <v>-9697117.958333334</v>
      </c>
      <c r="W35" s="121">
        <f>'FIN-P&amp;L_CWS'!X207</f>
        <v>-9684850.833333334</v>
      </c>
      <c r="X35" s="121">
        <f>'FIN-P&amp;L_CWS'!Y207</f>
        <v>-9707225.083333334</v>
      </c>
      <c r="Y35" s="121">
        <f>'FIN-P&amp;L_CWS'!Z207</f>
        <v>-9725740.083333334</v>
      </c>
      <c r="Z35" s="121">
        <f>'FIN-P&amp;L_CWS'!AA207</f>
        <v>-9707225.083333334</v>
      </c>
      <c r="AA35" s="121">
        <f>'FIN-P&amp;L_CWS'!AB207</f>
        <v>-9752442.145833334</v>
      </c>
      <c r="AB35" s="121">
        <f>'FIN-P&amp;L_CWS'!AC207</f>
        <v>-8404116.7947916649</v>
      </c>
      <c r="AC35" s="121">
        <f>'FIN-P&amp;L_CWS'!AD207</f>
        <v>-8479831.0989583321</v>
      </c>
      <c r="AD35" s="121">
        <f>'FIN-P&amp;L_CWS'!AE207</f>
        <v>-8499045.0739583336</v>
      </c>
      <c r="AE35" s="121">
        <f>'FIN-P&amp;L_CWS'!AF207</f>
        <v>-8518591.6989583336</v>
      </c>
      <c r="AF35" s="121">
        <f>'FIN-P&amp;L_CWS'!AG207</f>
        <v>-8517311.3864583336</v>
      </c>
      <c r="AG35" s="121">
        <f>'FIN-P&amp;L_CWS'!AH207</f>
        <v>-8548683.4614583328</v>
      </c>
      <c r="AH35" s="121">
        <f>'FIN-P&amp;L_CWS'!AI207</f>
        <v>-8497841.6989583336</v>
      </c>
      <c r="AI35" s="121">
        <f>'FIN-P&amp;L_CWS'!AJ207</f>
        <v>-8521111.3864583336</v>
      </c>
      <c r="AJ35" s="121">
        <f>'FIN-P&amp;L_CWS'!AK207</f>
        <v>-8471410.9864583332</v>
      </c>
      <c r="AK35" s="121">
        <f>'FIN-P&amp;L_CWS'!AL207</f>
        <v>-8492015.9864583332</v>
      </c>
      <c r="AL35" s="121">
        <f>'FIN-P&amp;L_CWS'!AM207</f>
        <v>-8471410.9864583332</v>
      </c>
      <c r="AM35" s="121">
        <f>'FIN-P&amp;L_CWS'!AN207</f>
        <v>-8399602.3864583336</v>
      </c>
      <c r="AN35" s="121">
        <f>'FIN-P&amp;L_CWS'!AO207</f>
        <v>-10043884.679348959</v>
      </c>
      <c r="AO35" s="121">
        <f>'FIN-P&amp;L_CWS'!AP207</f>
        <v>-10086683.96934896</v>
      </c>
      <c r="AP35" s="121">
        <f>'FIN-P&amp;L_CWS'!AQ207</f>
        <v>-10097352.004348958</v>
      </c>
      <c r="AQ35" s="121">
        <f>'FIN-P&amp;L_CWS'!AR207</f>
        <v>-10116508.204348959</v>
      </c>
      <c r="AR35" s="121">
        <f>'FIN-P&amp;L_CWS'!AS207</f>
        <v>-10108606.914348958</v>
      </c>
      <c r="AS35" s="121">
        <f>'FIN-P&amp;L_CWS'!AT207</f>
        <v>-10128880.249348959</v>
      </c>
      <c r="AT35" s="121">
        <f>'FIN-P&amp;L_CWS'!AU207</f>
        <v>-10095758.204348959</v>
      </c>
      <c r="AU35" s="121">
        <f>'FIN-P&amp;L_CWS'!AV207</f>
        <v>-10112406.914348958</v>
      </c>
      <c r="AV35" s="121">
        <f>'FIN-P&amp;L_CWS'!AW207</f>
        <v>-10080233.444348959</v>
      </c>
      <c r="AW35" s="121">
        <f>'FIN-P&amp;L_CWS'!AX207</f>
        <v>-10100838.444348959</v>
      </c>
      <c r="AX35" s="121">
        <f>'FIN-P&amp;L_CWS'!AY207</f>
        <v>-10080233.444348959</v>
      </c>
      <c r="AY35" s="121">
        <f>'FIN-P&amp;L_CWS'!AZ207</f>
        <v>-10039057.929348959</v>
      </c>
      <c r="AZ35" s="121">
        <f>'FIN-P&amp;L_CWS'!BA207</f>
        <v>-13598456.05493685</v>
      </c>
      <c r="BA35" s="121">
        <f>'FIN-P&amp;L_CWS'!BB207</f>
        <v>-13610956.42493685</v>
      </c>
      <c r="BB35" s="121">
        <f>'FIN-P&amp;L_CWS'!BC207</f>
        <v>-13611713.775936848</v>
      </c>
      <c r="BC35" s="121">
        <f>'FIN-P&amp;L_CWS'!BD207</f>
        <v>-13630869.975936849</v>
      </c>
      <c r="BD35" s="121">
        <f>'FIN-P&amp;L_CWS'!BE207</f>
        <v>-13614027.322936852</v>
      </c>
      <c r="BE35" s="121">
        <f>'FIN-P&amp;L_CWS'!BF207</f>
        <v>-13624271.148936849</v>
      </c>
      <c r="BF35" s="121">
        <f>'FIN-P&amp;L_CWS'!BG207</f>
        <v>-13610119.975936849</v>
      </c>
      <c r="BG35" s="121">
        <f>'FIN-P&amp;L_CWS'!BH207</f>
        <v>-13617827.322936852</v>
      </c>
      <c r="BH35" s="121">
        <f>'FIN-P&amp;L_CWS'!BI207</f>
        <v>-13604505.899936849</v>
      </c>
      <c r="BI35" s="121">
        <f>'FIN-P&amp;L_CWS'!BJ207</f>
        <v>-13625110.899936849</v>
      </c>
      <c r="BJ35" s="121">
        <f>'FIN-P&amp;L_CWS'!BK207</f>
        <v>-13604505.899936849</v>
      </c>
      <c r="BK35" s="121">
        <f>'FIN-P&amp;L_CWS'!BL207</f>
        <v>-13588059.30493685</v>
      </c>
    </row>
    <row r="36" spans="2:63" x14ac:dyDescent="0.15">
      <c r="B36" s="136" t="s">
        <v>468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861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500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487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-1245790</v>
      </c>
      <c r="H39" s="121">
        <f>'REV-AR_CWS'!H20*-1</f>
        <v>-128310</v>
      </c>
      <c r="I39" s="121">
        <f>'REV-AR_CWS'!I20*-1</f>
        <v>-165620</v>
      </c>
      <c r="J39" s="121">
        <f>'REV-AR_CWS'!J20*-1</f>
        <v>293930</v>
      </c>
      <c r="K39" s="121">
        <f>'REV-AR_CWS'!K20*-1</f>
        <v>-128310</v>
      </c>
      <c r="L39" s="121">
        <f>'REV-AR_CWS'!L20*-1</f>
        <v>256620</v>
      </c>
      <c r="M39" s="121">
        <f>'REV-AR_CWS'!M20*-1</f>
        <v>0</v>
      </c>
      <c r="N39" s="121">
        <f>'REV-AR_CWS'!N20*-1</f>
        <v>0</v>
      </c>
      <c r="O39" s="121">
        <f>'REV-AR_CWS'!O20*-1</f>
        <v>422240</v>
      </c>
      <c r="P39" s="121">
        <f>'REV-AR_CWS'!P20*-1</f>
        <v>454371.25</v>
      </c>
      <c r="Q39" s="121">
        <f>'REV-AR_CWS'!Q20*-1</f>
        <v>-150550</v>
      </c>
      <c r="R39" s="121">
        <f>'REV-AR_CWS'!R20*-1</f>
        <v>-45168.75</v>
      </c>
      <c r="S39" s="121">
        <f>'REV-AR_CWS'!S20*-1</f>
        <v>-2412.5</v>
      </c>
      <c r="T39" s="121">
        <f>'REV-AR_CWS'!T20*-1</f>
        <v>-45412.5</v>
      </c>
      <c r="U39" s="121">
        <f>'REV-AR_CWS'!U20*-1</f>
        <v>-45437.5</v>
      </c>
      <c r="V39" s="121">
        <f>'REV-AR_CWS'!V20*-1</f>
        <v>90850</v>
      </c>
      <c r="W39" s="121">
        <f>'REV-AR_CWS'!W20*-1</f>
        <v>-45412.5</v>
      </c>
      <c r="X39" s="121">
        <f>'REV-AR_CWS'!X20*-1</f>
        <v>90825</v>
      </c>
      <c r="Y39" s="121">
        <f>'REV-AR_CWS'!Y20*-1</f>
        <v>0</v>
      </c>
      <c r="Z39" s="121">
        <f>'REV-AR_CWS'!Z20*-1</f>
        <v>0</v>
      </c>
      <c r="AA39" s="121">
        <f>'REV-AR_CWS'!AA20*-1</f>
        <v>151306.25</v>
      </c>
      <c r="AB39" s="121">
        <f>'REV-AR_CWS'!AB20*-1</f>
        <v>86312.5</v>
      </c>
      <c r="AC39" s="121">
        <f>'REV-AR_CWS'!AC20*-1</f>
        <v>-96756.25</v>
      </c>
      <c r="AD39" s="121">
        <f>'REV-AR_CWS'!AD20*-1</f>
        <v>-32202.5</v>
      </c>
      <c r="AE39" s="121">
        <f>'REV-AR_CWS'!AE20*-1</f>
        <v>-2637.5</v>
      </c>
      <c r="AF39" s="121">
        <f>'REV-AR_CWS'!AF20*-1</f>
        <v>-27131.25</v>
      </c>
      <c r="AG39" s="121">
        <f>'REV-AR_CWS'!AG20*-1</f>
        <v>-32472.5</v>
      </c>
      <c r="AH39" s="121">
        <f>'REV-AR_CWS'!AH20*-1</f>
        <v>59603.75</v>
      </c>
      <c r="AI39" s="121">
        <f>'REV-AR_CWS'!AI20*-1</f>
        <v>-27131.25</v>
      </c>
      <c r="AJ39" s="121">
        <f>'REV-AR_CWS'!AJ20*-1</f>
        <v>59600</v>
      </c>
      <c r="AK39" s="121">
        <f>'REV-AR_CWS'!AK20*-1</f>
        <v>0</v>
      </c>
      <c r="AL39" s="121">
        <f>'REV-AR_CWS'!AL20*-1</f>
        <v>0</v>
      </c>
      <c r="AM39" s="121">
        <f>'REV-AR_CWS'!AM20*-1</f>
        <v>97580</v>
      </c>
      <c r="AN39" s="121">
        <f>'REV-AR_CWS'!AN20*-1</f>
        <v>-37383.75</v>
      </c>
      <c r="AO39" s="121">
        <f>'REV-AR_CWS'!AO20*-1</f>
        <v>-119455</v>
      </c>
      <c r="AP39" s="121">
        <f>'REV-AR_CWS'!AP20*-1</f>
        <v>-37572.5</v>
      </c>
      <c r="AQ39" s="121">
        <f>'REV-AR_CWS'!AQ20*-1</f>
        <v>-3040</v>
      </c>
      <c r="AR39" s="121">
        <f>'REV-AR_CWS'!AR20*-1</f>
        <v>-37845</v>
      </c>
      <c r="AS39" s="121">
        <f>'REV-AR_CWS'!AS20*-1</f>
        <v>-38082.5</v>
      </c>
      <c r="AT39" s="121">
        <f>'REV-AR_CWS'!AT20*-1</f>
        <v>75927.5</v>
      </c>
      <c r="AU39" s="121">
        <f>'REV-AR_CWS'!AU20*-1</f>
        <v>-37845</v>
      </c>
      <c r="AV39" s="121">
        <f>'REV-AR_CWS'!AV20*-1</f>
        <v>75725</v>
      </c>
      <c r="AW39" s="121">
        <f>'REV-AR_CWS'!AW20*-1</f>
        <v>0</v>
      </c>
      <c r="AX39" s="121">
        <f>'REV-AR_CWS'!AX20*-1</f>
        <v>0</v>
      </c>
      <c r="AY39" s="121">
        <f>'REV-AR_CWS'!AY20*-1</f>
        <v>120412.5</v>
      </c>
      <c r="AZ39" s="121">
        <f>'REV-AR_CWS'!AZ20*-1</f>
        <v>-37560</v>
      </c>
      <c r="BA39" s="121">
        <f>'REV-AR_CWS'!BA20*-1</f>
        <v>-141965</v>
      </c>
      <c r="BB39" s="121">
        <f>'REV-AR_CWS'!BB20*-1</f>
        <v>-42547.5</v>
      </c>
      <c r="BC39" s="121">
        <f>'REV-AR_CWS'!BC20*-1</f>
        <v>-3040</v>
      </c>
      <c r="BD39" s="121">
        <f>'REV-AR_CWS'!BD20*-1</f>
        <v>-49695</v>
      </c>
      <c r="BE39" s="121">
        <f>'REV-AR_CWS'!BE20*-1</f>
        <v>-43180</v>
      </c>
      <c r="BF39" s="121">
        <f>'REV-AR_CWS'!BF20*-1</f>
        <v>92875</v>
      </c>
      <c r="BG39" s="121">
        <f>'REV-AR_CWS'!BG20*-1</f>
        <v>-49695</v>
      </c>
      <c r="BH39" s="121">
        <f>'REV-AR_CWS'!BH20*-1</f>
        <v>92550</v>
      </c>
      <c r="BI39" s="121">
        <f>'REV-AR_CWS'!BI20*-1</f>
        <v>0</v>
      </c>
      <c r="BJ39" s="121">
        <f>'REV-AR_CWS'!BJ20*-1</f>
        <v>0</v>
      </c>
      <c r="BK39" s="121">
        <f>'REV-AR_CWS'!BK20*-1</f>
        <v>142922.5</v>
      </c>
    </row>
    <row r="40" spans="2:63" x14ac:dyDescent="0.15">
      <c r="B40" s="127" t="s">
        <v>488</v>
      </c>
      <c r="C40" s="121">
        <f>'COGS-INVENTORY_CWS'!C43*-1</f>
        <v>0</v>
      </c>
      <c r="D40" s="121">
        <f>'COGS-INVENTORY_CWS'!D43*-1</f>
        <v>-468000</v>
      </c>
      <c r="E40" s="121">
        <f>'COGS-INVENTORY_CWS'!E43*-1</f>
        <v>-516000</v>
      </c>
      <c r="F40" s="121">
        <f>'COGS-INVENTORY_CWS'!F43*-1</f>
        <v>-576000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156000</v>
      </c>
      <c r="J40" s="121">
        <f>'COGS-INVENTORY_CWS'!J43*-1</f>
        <v>48000</v>
      </c>
      <c r="K40" s="121">
        <f>'COGS-INVENTORY_CWS'!K43*-1</f>
        <v>96000</v>
      </c>
      <c r="L40" s="121">
        <f>'COGS-INVENTORY_CWS'!L43*-1</f>
        <v>156000</v>
      </c>
      <c r="M40" s="121">
        <f>'COGS-INVENTORY_CWS'!M43*-1</f>
        <v>228000</v>
      </c>
      <c r="N40" s="121">
        <f>'COGS-INVENTORY_CWS'!N43*-1</f>
        <v>108000</v>
      </c>
      <c r="O40" s="121">
        <f>'COGS-INVENTORY_CWS'!O43*-1</f>
        <v>-84000</v>
      </c>
      <c r="P40" s="121">
        <f>'COGS-INVENTORY_CWS'!P43*-1</f>
        <v>-140400</v>
      </c>
      <c r="Q40" s="121">
        <f>'COGS-INVENTORY_CWS'!Q43*-1</f>
        <v>-64800</v>
      </c>
      <c r="R40" s="121">
        <f>'COGS-INVENTORY_CWS'!R43*-1</f>
        <v>-64800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97200</v>
      </c>
      <c r="V40" s="121">
        <f>'COGS-INVENTORY_CWS'!V43*-1</f>
        <v>32400</v>
      </c>
      <c r="W40" s="121">
        <f>'COGS-INVENTORY_CWS'!W43*-1</f>
        <v>64800</v>
      </c>
      <c r="X40" s="121">
        <f>'COGS-INVENTORY_CWS'!X43*-1</f>
        <v>108000</v>
      </c>
      <c r="Y40" s="121">
        <f>'COGS-INVENTORY_CWS'!Y43*-1</f>
        <v>-32400</v>
      </c>
      <c r="Z40" s="121">
        <f>'COGS-INVENTORY_CWS'!Z43*-1</f>
        <v>-226800</v>
      </c>
      <c r="AA40" s="121">
        <f>'COGS-INVENTORY_CWS'!AA43*-1</f>
        <v>-399600</v>
      </c>
      <c r="AB40" s="121">
        <f>'COGS-INVENTORY_CWS'!AB43*-1</f>
        <v>-233280</v>
      </c>
      <c r="AC40" s="121">
        <f>'COGS-INVENTORY_CWS'!AC43*-1</f>
        <v>-106920</v>
      </c>
      <c r="AD40" s="121">
        <f>'COGS-INVENTORY_CWS'!AD43*-1</f>
        <v>-106920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165240</v>
      </c>
      <c r="AH40" s="121">
        <f>'COGS-INVENTORY_CWS'!AH43*-1</f>
        <v>58320</v>
      </c>
      <c r="AI40" s="121">
        <f>'COGS-INVENTORY_CWS'!AI43*-1</f>
        <v>106920</v>
      </c>
      <c r="AJ40" s="121">
        <f>'COGS-INVENTORY_CWS'!AJ43*-1</f>
        <v>174960</v>
      </c>
      <c r="AK40" s="121">
        <f>'COGS-INVENTORY_CWS'!AK43*-1</f>
        <v>155520</v>
      </c>
      <c r="AL40" s="121">
        <f>'COGS-INVENTORY_CWS'!AL43*-1</f>
        <v>-29160</v>
      </c>
      <c r="AM40" s="121">
        <f>'COGS-INVENTORY_CWS'!AM43*-1</f>
        <v>-262440</v>
      </c>
      <c r="AN40" s="121">
        <f>'COGS-INVENTORY_CWS'!AN43*-1</f>
        <v>-218700</v>
      </c>
      <c r="AO40" s="121">
        <f>'COGS-INVENTORY_CWS'!AO43*-1</f>
        <v>-104976</v>
      </c>
      <c r="AP40" s="121">
        <f>'COGS-INVENTORY_CWS'!AP43*-1</f>
        <v>-104976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157464</v>
      </c>
      <c r="AT40" s="121">
        <f>'COGS-INVENTORY_CWS'!AT43*-1</f>
        <v>52488</v>
      </c>
      <c r="AU40" s="121">
        <f>'COGS-INVENTORY_CWS'!AU43*-1</f>
        <v>104976</v>
      </c>
      <c r="AV40" s="121">
        <f>'COGS-INVENTORY_CWS'!AV43*-1</f>
        <v>166212</v>
      </c>
      <c r="AW40" s="121">
        <f>'COGS-INVENTORY_CWS'!AW43*-1</f>
        <v>148716</v>
      </c>
      <c r="AX40" s="121">
        <f>'COGS-INVENTORY_CWS'!AX43*-1</f>
        <v>-26244</v>
      </c>
      <c r="AY40" s="121">
        <f>'COGS-INVENTORY_CWS'!AY43*-1</f>
        <v>-244944</v>
      </c>
      <c r="AZ40" s="121">
        <f>'COGS-INVENTORY_CWS'!AZ43*-1</f>
        <v>-204703.19999999998</v>
      </c>
      <c r="BA40" s="121">
        <f>'COGS-INVENTORY_CWS'!BA43*-1</f>
        <v>-102351.60000000003</v>
      </c>
      <c r="BB40" s="121">
        <f>'COGS-INVENTORY_CWS'!BB43*-1</f>
        <v>-102351.60000000003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149590.80000000005</v>
      </c>
      <c r="BF40" s="121">
        <f>'COGS-INVENTORY_CWS'!BF43*-1</f>
        <v>47239.200000000012</v>
      </c>
      <c r="BG40" s="121">
        <f>'COGS-INVENTORY_CWS'!BG43*-1</f>
        <v>102351.60000000003</v>
      </c>
      <c r="BH40" s="121">
        <f>'COGS-INVENTORY_CWS'!BH43*-1</f>
        <v>157463.99999999997</v>
      </c>
      <c r="BI40" s="121">
        <f>'COGS-INVENTORY_CWS'!BI43*-1</f>
        <v>-3519320.4</v>
      </c>
      <c r="BJ40" s="121">
        <f>'COGS-INVENTORY_CWS'!BJ43*-1</f>
        <v>-3519320.4</v>
      </c>
      <c r="BK40" s="121">
        <f>'COGS-INVENTORY_CWS'!BK43*-1</f>
        <v>-4857764.4000000004</v>
      </c>
    </row>
    <row r="41" spans="2:63" x14ac:dyDescent="0.15">
      <c r="B41" s="127" t="s">
        <v>489</v>
      </c>
      <c r="C41" s="121">
        <f>'COGS-INVENTORY_CWS'!C70</f>
        <v>0</v>
      </c>
      <c r="D41" s="121">
        <f>'COGS-INVENTORY_CWS'!D70</f>
        <v>468000</v>
      </c>
      <c r="E41" s="121">
        <f>'COGS-INVENTORY_CWS'!E70</f>
        <v>516000</v>
      </c>
      <c r="F41" s="121">
        <f>'COGS-INVENTORY_CWS'!F70</f>
        <v>108000</v>
      </c>
      <c r="G41" s="121">
        <f>'COGS-INVENTORY_CWS'!G70</f>
        <v>-48000</v>
      </c>
      <c r="H41" s="121">
        <f>'COGS-INVENTORY_CWS'!H70</f>
        <v>-60000</v>
      </c>
      <c r="I41" s="121">
        <f>'COGS-INVENTORY_CWS'!I70</f>
        <v>-48000</v>
      </c>
      <c r="J41" s="121">
        <f>'COGS-INVENTORY_CWS'!J70</f>
        <v>-96000</v>
      </c>
      <c r="K41" s="121">
        <f>'COGS-INVENTORY_CWS'!K70</f>
        <v>0</v>
      </c>
      <c r="L41" s="121">
        <f>'COGS-INVENTORY_CWS'!L70</f>
        <v>-156000</v>
      </c>
      <c r="M41" s="121">
        <f>'COGS-INVENTORY_CWS'!M70</f>
        <v>-228000</v>
      </c>
      <c r="N41" s="121">
        <f>'COGS-INVENTORY_CWS'!N70</f>
        <v>48000</v>
      </c>
      <c r="O41" s="121">
        <f>'COGS-INVENTORY_CWS'!O70</f>
        <v>156000</v>
      </c>
      <c r="P41" s="121">
        <f>'COGS-INVENTORY_CWS'!P70</f>
        <v>1200</v>
      </c>
      <c r="Q41" s="121">
        <f>'COGS-INVENTORY_CWS'!Q70</f>
        <v>-2400</v>
      </c>
      <c r="R41" s="121">
        <f>'COGS-INVENTORY_CWS'!R70</f>
        <v>64800</v>
      </c>
      <c r="S41" s="121">
        <f>'COGS-INVENTORY_CWS'!S70</f>
        <v>-32400</v>
      </c>
      <c r="T41" s="121">
        <f>'COGS-INVENTORY_CWS'!T70</f>
        <v>-32400</v>
      </c>
      <c r="U41" s="121">
        <f>'COGS-INVENTORY_CWS'!U70</f>
        <v>-32400</v>
      </c>
      <c r="V41" s="121">
        <f>'COGS-INVENTORY_CWS'!V70</f>
        <v>-64800</v>
      </c>
      <c r="W41" s="121">
        <f>'COGS-INVENTORY_CWS'!W70</f>
        <v>0</v>
      </c>
      <c r="X41" s="121">
        <f>'COGS-INVENTORY_CWS'!X70</f>
        <v>-108000</v>
      </c>
      <c r="Y41" s="121">
        <f>'COGS-INVENTORY_CWS'!Y70</f>
        <v>32400</v>
      </c>
      <c r="Z41" s="121">
        <f>'COGS-INVENTORY_CWS'!Z70</f>
        <v>334800</v>
      </c>
      <c r="AA41" s="121">
        <f>'COGS-INVENTORY_CWS'!AA70</f>
        <v>259200</v>
      </c>
      <c r="AB41" s="121">
        <f>'COGS-INVENTORY_CWS'!AB70</f>
        <v>7560</v>
      </c>
      <c r="AC41" s="121">
        <f>'COGS-INVENTORY_CWS'!AC70</f>
        <v>-8640</v>
      </c>
      <c r="AD41" s="121">
        <f>'COGS-INVENTORY_CWS'!AD70</f>
        <v>106920</v>
      </c>
      <c r="AE41" s="121">
        <f>'COGS-INVENTORY_CWS'!AE70</f>
        <v>-48600</v>
      </c>
      <c r="AF41" s="121">
        <f>'COGS-INVENTORY_CWS'!AF70</f>
        <v>-58320</v>
      </c>
      <c r="AG41" s="121">
        <f>'COGS-INVENTORY_CWS'!AG70</f>
        <v>-58320</v>
      </c>
      <c r="AH41" s="121">
        <f>'COGS-INVENTORY_CWS'!AH70</f>
        <v>-106920</v>
      </c>
      <c r="AI41" s="121">
        <f>'COGS-INVENTORY_CWS'!AI70</f>
        <v>0</v>
      </c>
      <c r="AJ41" s="121">
        <f>'COGS-INVENTORY_CWS'!AJ70</f>
        <v>-174960</v>
      </c>
      <c r="AK41" s="121">
        <f>'COGS-INVENTORY_CWS'!AK70</f>
        <v>-155520</v>
      </c>
      <c r="AL41" s="121">
        <f>'COGS-INVENTORY_CWS'!AL70</f>
        <v>204120</v>
      </c>
      <c r="AM41" s="121">
        <f>'COGS-INVENTORY_CWS'!AM70</f>
        <v>243000</v>
      </c>
      <c r="AN41" s="121">
        <f>'COGS-INVENTORY_CWS'!AN70</f>
        <v>3888</v>
      </c>
      <c r="AO41" s="121">
        <f>'COGS-INVENTORY_CWS'!AO70</f>
        <v>-1944</v>
      </c>
      <c r="AP41" s="121">
        <f>'COGS-INVENTORY_CWS'!AP70</f>
        <v>104976</v>
      </c>
      <c r="AQ41" s="121">
        <f>'COGS-INVENTORY_CWS'!AQ70</f>
        <v>-52488</v>
      </c>
      <c r="AR41" s="121">
        <f>'COGS-INVENTORY_CWS'!AR70</f>
        <v>-52488</v>
      </c>
      <c r="AS41" s="121">
        <f>'COGS-INVENTORY_CWS'!AS70</f>
        <v>-52488</v>
      </c>
      <c r="AT41" s="121">
        <f>'COGS-INVENTORY_CWS'!AT70</f>
        <v>-104976</v>
      </c>
      <c r="AU41" s="121">
        <f>'COGS-INVENTORY_CWS'!AU70</f>
        <v>0</v>
      </c>
      <c r="AV41" s="121">
        <f>'COGS-INVENTORY_CWS'!AV70</f>
        <v>-166212</v>
      </c>
      <c r="AW41" s="121">
        <f>'COGS-INVENTORY_CWS'!AW70</f>
        <v>-148716</v>
      </c>
      <c r="AX41" s="121">
        <f>'COGS-INVENTORY_CWS'!AX70</f>
        <v>192456</v>
      </c>
      <c r="AY41" s="121">
        <f>'COGS-INVENTORY_CWS'!AY70</f>
        <v>227448</v>
      </c>
      <c r="AZ41" s="121">
        <f>'COGS-INVENTORY_CWS'!AZ70</f>
        <v>874.80000000004657</v>
      </c>
      <c r="BA41" s="121">
        <f>'COGS-INVENTORY_CWS'!BA70</f>
        <v>3499.1999999999534</v>
      </c>
      <c r="BB41" s="121">
        <f>'COGS-INVENTORY_CWS'!BB70</f>
        <v>102351.59999999986</v>
      </c>
      <c r="BC41" s="121">
        <f>'COGS-INVENTORY_CWS'!BC70</f>
        <v>-55112.399999999907</v>
      </c>
      <c r="BD41" s="121">
        <f>'COGS-INVENTORY_CWS'!BD70</f>
        <v>-47239.20000000007</v>
      </c>
      <c r="BE41" s="121">
        <f>'COGS-INVENTORY_CWS'!BE70</f>
        <v>-47239.20000000007</v>
      </c>
      <c r="BF41" s="121">
        <f>'COGS-INVENTORY_CWS'!BF70</f>
        <v>-102351.59999999986</v>
      </c>
      <c r="BG41" s="121">
        <f>'COGS-INVENTORY_CWS'!BG70</f>
        <v>0</v>
      </c>
      <c r="BH41" s="121">
        <f>'COGS-INVENTORY_CWS'!BH70</f>
        <v>-157464</v>
      </c>
      <c r="BI41" s="121">
        <f>'COGS-INVENTORY_CWS'!BI70</f>
        <v>3519320.4000000008</v>
      </c>
      <c r="BJ41" s="121">
        <f>'COGS-INVENTORY_CWS'!BJ70</f>
        <v>3676784.4000000004</v>
      </c>
      <c r="BK41" s="121">
        <f>'COGS-INVENTORY_CWS'!BK70</f>
        <v>1180979.9999999991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844</v>
      </c>
      <c r="C43" s="121">
        <f>SUM(C38:C42)</f>
        <v>0</v>
      </c>
      <c r="D43" s="121">
        <f>SUM(D38:D42)</f>
        <v>716.66666666668607</v>
      </c>
      <c r="E43" s="121">
        <f>SUM(E38:E42)</f>
        <v>1308.3333333333139</v>
      </c>
      <c r="F43" s="121">
        <f t="shared" ref="F43:BK43" si="6">SUM(F38:F42)</f>
        <v>-466525</v>
      </c>
      <c r="G43" s="121">
        <f t="shared" si="6"/>
        <v>-1292148.3333333333</v>
      </c>
      <c r="H43" s="121">
        <f t="shared" si="6"/>
        <v>-186668.33333333331</v>
      </c>
      <c r="I43" s="121">
        <f t="shared" si="6"/>
        <v>-55978.333333333343</v>
      </c>
      <c r="J43" s="121">
        <f t="shared" si="6"/>
        <v>247571.66666666669</v>
      </c>
      <c r="K43" s="121">
        <f t="shared" si="6"/>
        <v>-30668.333333333328</v>
      </c>
      <c r="L43" s="121">
        <f t="shared" si="6"/>
        <v>258261.66666666663</v>
      </c>
      <c r="M43" s="121">
        <f t="shared" si="6"/>
        <v>1641.666666666657</v>
      </c>
      <c r="N43" s="121">
        <f t="shared" si="6"/>
        <v>157641.66666666669</v>
      </c>
      <c r="O43" s="121">
        <f t="shared" si="6"/>
        <v>495881.66666666669</v>
      </c>
      <c r="P43" s="121">
        <f t="shared" si="6"/>
        <v>316812.91666666669</v>
      </c>
      <c r="Q43" s="121">
        <f t="shared" si="6"/>
        <v>-216108.33333333334</v>
      </c>
      <c r="R43" s="121">
        <f t="shared" si="6"/>
        <v>-43527.083333333343</v>
      </c>
      <c r="S43" s="121">
        <f t="shared" si="6"/>
        <v>-33170.833333333336</v>
      </c>
      <c r="T43" s="121">
        <f t="shared" si="6"/>
        <v>-76170.833333333343</v>
      </c>
      <c r="U43" s="121">
        <f t="shared" si="6"/>
        <v>21004.166666666664</v>
      </c>
      <c r="V43" s="121">
        <f t="shared" si="6"/>
        <v>60208.333333333328</v>
      </c>
      <c r="W43" s="121">
        <f t="shared" si="6"/>
        <v>21145.833333333336</v>
      </c>
      <c r="X43" s="121">
        <f t="shared" si="6"/>
        <v>92583.333333333314</v>
      </c>
      <c r="Y43" s="121">
        <f t="shared" si="6"/>
        <v>1758.3333333333321</v>
      </c>
      <c r="Z43" s="121">
        <f t="shared" si="6"/>
        <v>109758.33333333334</v>
      </c>
      <c r="AA43" s="121">
        <f t="shared" si="6"/>
        <v>12664.583333333343</v>
      </c>
      <c r="AB43" s="121">
        <f t="shared" si="6"/>
        <v>-137740.83333333331</v>
      </c>
      <c r="AC43" s="121">
        <f t="shared" si="6"/>
        <v>-210557.91666666669</v>
      </c>
      <c r="AD43" s="121">
        <f t="shared" si="6"/>
        <v>-30444.166666666657</v>
      </c>
      <c r="AE43" s="121">
        <f t="shared" si="6"/>
        <v>-49479.166666666664</v>
      </c>
      <c r="AF43" s="121">
        <f t="shared" si="6"/>
        <v>-83692.916666666672</v>
      </c>
      <c r="AG43" s="121">
        <f t="shared" si="6"/>
        <v>76205.833333333343</v>
      </c>
      <c r="AH43" s="121">
        <f t="shared" si="6"/>
        <v>12762.083333333343</v>
      </c>
      <c r="AI43" s="121">
        <f t="shared" si="6"/>
        <v>81547.083333333328</v>
      </c>
      <c r="AJ43" s="121">
        <f t="shared" si="6"/>
        <v>61358.333333333343</v>
      </c>
      <c r="AK43" s="121">
        <f t="shared" si="6"/>
        <v>1758.333333333343</v>
      </c>
      <c r="AL43" s="121">
        <f t="shared" si="6"/>
        <v>176718.33333333334</v>
      </c>
      <c r="AM43" s="121">
        <f t="shared" si="6"/>
        <v>79898.333333333314</v>
      </c>
      <c r="AN43" s="121">
        <f t="shared" si="6"/>
        <v>-250437.41666666666</v>
      </c>
      <c r="AO43" s="121">
        <f t="shared" si="6"/>
        <v>-224616.66666666669</v>
      </c>
      <c r="AP43" s="121">
        <f t="shared" si="6"/>
        <v>-35814.166666666657</v>
      </c>
      <c r="AQ43" s="121">
        <f t="shared" si="6"/>
        <v>-53769.666666666664</v>
      </c>
      <c r="AR43" s="121">
        <f t="shared" si="6"/>
        <v>-88574.666666666657</v>
      </c>
      <c r="AS43" s="121">
        <f t="shared" si="6"/>
        <v>68651.833333333343</v>
      </c>
      <c r="AT43" s="121">
        <f t="shared" si="6"/>
        <v>25197.833333333328</v>
      </c>
      <c r="AU43" s="121">
        <f t="shared" si="6"/>
        <v>68889.333333333343</v>
      </c>
      <c r="AV43" s="121">
        <f t="shared" si="6"/>
        <v>77483.333333333314</v>
      </c>
      <c r="AW43" s="121">
        <f t="shared" si="6"/>
        <v>1758.333333333343</v>
      </c>
      <c r="AX43" s="121">
        <f t="shared" si="6"/>
        <v>167970.33333333334</v>
      </c>
      <c r="AY43" s="121">
        <f t="shared" si="6"/>
        <v>104674.83333333333</v>
      </c>
      <c r="AZ43" s="121">
        <f t="shared" si="6"/>
        <v>-239630.06666666659</v>
      </c>
      <c r="BA43" s="121">
        <f t="shared" si="6"/>
        <v>-239059.06666666674</v>
      </c>
      <c r="BB43" s="121">
        <f t="shared" si="6"/>
        <v>-40789.166666666832</v>
      </c>
      <c r="BC43" s="121">
        <f t="shared" si="6"/>
        <v>-56394.066666666571</v>
      </c>
      <c r="BD43" s="121">
        <f t="shared" si="6"/>
        <v>-95175.866666666727</v>
      </c>
      <c r="BE43" s="121">
        <f t="shared" si="6"/>
        <v>60929.93333333332</v>
      </c>
      <c r="BF43" s="121">
        <f t="shared" si="6"/>
        <v>39520.933333333465</v>
      </c>
      <c r="BG43" s="121">
        <f t="shared" si="6"/>
        <v>54414.933333333371</v>
      </c>
      <c r="BH43" s="121">
        <f t="shared" si="6"/>
        <v>94308.333333333314</v>
      </c>
      <c r="BI43" s="121">
        <f t="shared" si="6"/>
        <v>1758.3333333344199</v>
      </c>
      <c r="BJ43" s="121">
        <f t="shared" si="6"/>
        <v>159222.33333333395</v>
      </c>
      <c r="BK43" s="121">
        <f t="shared" si="6"/>
        <v>-3532103.5666666683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1066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-9831214</v>
      </c>
      <c r="G45" s="121">
        <f t="shared" si="7"/>
        <v>-9898407.6999999993</v>
      </c>
      <c r="H45" s="121">
        <f t="shared" si="7"/>
        <v>-8750667</v>
      </c>
      <c r="I45" s="121">
        <f t="shared" si="7"/>
        <v>-8518635.5999999996</v>
      </c>
      <c r="J45" s="121">
        <f t="shared" si="7"/>
        <v>-8428227.6999999993</v>
      </c>
      <c r="K45" s="121">
        <f t="shared" si="7"/>
        <v>-8596227</v>
      </c>
      <c r="L45" s="121">
        <f t="shared" si="7"/>
        <v>-8457488.4000000004</v>
      </c>
      <c r="M45" s="121">
        <f t="shared" si="7"/>
        <v>-8701973.4000000004</v>
      </c>
      <c r="N45" s="121">
        <f t="shared" si="7"/>
        <v>-8531998.4000000004</v>
      </c>
      <c r="O45" s="121">
        <f t="shared" si="7"/>
        <v>-8452096.1999999993</v>
      </c>
      <c r="P45" s="121">
        <f t="shared" si="7"/>
        <v>-10440987.6875</v>
      </c>
      <c r="Q45" s="121">
        <f t="shared" si="7"/>
        <v>-10918330.4375</v>
      </c>
      <c r="R45" s="121">
        <f t="shared" si="7"/>
        <v>-10732813.5</v>
      </c>
      <c r="S45" s="121">
        <f t="shared" si="7"/>
        <v>-10739682.125</v>
      </c>
      <c r="T45" s="121">
        <f t="shared" si="7"/>
        <v>-10754095</v>
      </c>
      <c r="U45" s="121">
        <f t="shared" si="7"/>
        <v>-10648983.625</v>
      </c>
      <c r="V45" s="121">
        <f t="shared" si="7"/>
        <v>-9636909.625</v>
      </c>
      <c r="W45" s="121">
        <f t="shared" si="7"/>
        <v>-9663705</v>
      </c>
      <c r="X45" s="121">
        <f t="shared" si="7"/>
        <v>-9614641.75</v>
      </c>
      <c r="Y45" s="121">
        <f t="shared" si="7"/>
        <v>-9723981.75</v>
      </c>
      <c r="Z45" s="121">
        <f t="shared" si="7"/>
        <v>-9597466.75</v>
      </c>
      <c r="AA45" s="121">
        <f t="shared" si="7"/>
        <v>-9739777.5625</v>
      </c>
      <c r="AB45" s="121">
        <f t="shared" si="7"/>
        <v>-8541857.6281249989</v>
      </c>
      <c r="AC45" s="121">
        <f t="shared" si="7"/>
        <v>-8690389.0156249981</v>
      </c>
      <c r="AD45" s="121">
        <f t="shared" si="7"/>
        <v>-8529489.2406249996</v>
      </c>
      <c r="AE45" s="121">
        <f t="shared" si="7"/>
        <v>-8568070.8656249996</v>
      </c>
      <c r="AF45" s="121">
        <f t="shared" si="7"/>
        <v>-8601004.3031249996</v>
      </c>
      <c r="AG45" s="121">
        <f t="shared" si="7"/>
        <v>-8472477.6281249989</v>
      </c>
      <c r="AH45" s="121">
        <f t="shared" si="7"/>
        <v>-8485079.6156249996</v>
      </c>
      <c r="AI45" s="121">
        <f t="shared" ref="AI45:BK45" si="8">AI35+AI43</f>
        <v>-8439564.3031249996</v>
      </c>
      <c r="AJ45" s="121">
        <f t="shared" si="8"/>
        <v>-8410052.6531249993</v>
      </c>
      <c r="AK45" s="121">
        <f t="shared" si="8"/>
        <v>-8490257.6531249993</v>
      </c>
      <c r="AL45" s="121">
        <f t="shared" si="8"/>
        <v>-8294692.6531250002</v>
      </c>
      <c r="AM45" s="121">
        <f t="shared" si="8"/>
        <v>-8319704.0531250006</v>
      </c>
      <c r="AN45" s="121">
        <f t="shared" si="8"/>
        <v>-10294322.096015625</v>
      </c>
      <c r="AO45" s="121">
        <f t="shared" si="8"/>
        <v>-10311300.636015626</v>
      </c>
      <c r="AP45" s="121">
        <f t="shared" si="8"/>
        <v>-10133166.171015624</v>
      </c>
      <c r="AQ45" s="121">
        <f t="shared" si="8"/>
        <v>-10170277.871015625</v>
      </c>
      <c r="AR45" s="121">
        <f t="shared" si="8"/>
        <v>-10197181.581015624</v>
      </c>
      <c r="AS45" s="121">
        <f t="shared" si="8"/>
        <v>-10060228.416015625</v>
      </c>
      <c r="AT45" s="121">
        <f t="shared" si="8"/>
        <v>-10070560.371015625</v>
      </c>
      <c r="AU45" s="121">
        <f t="shared" si="8"/>
        <v>-10043517.581015624</v>
      </c>
      <c r="AV45" s="121">
        <f t="shared" si="8"/>
        <v>-10002750.111015625</v>
      </c>
      <c r="AW45" s="121">
        <f t="shared" si="8"/>
        <v>-10099080.111015625</v>
      </c>
      <c r="AX45" s="121">
        <f t="shared" si="8"/>
        <v>-9912263.1110156253</v>
      </c>
      <c r="AY45" s="121">
        <f t="shared" si="8"/>
        <v>-9934383.0960156247</v>
      </c>
      <c r="AZ45" s="121">
        <f t="shared" si="8"/>
        <v>-13838086.121603517</v>
      </c>
      <c r="BA45" s="121">
        <f t="shared" si="8"/>
        <v>-13850015.491603516</v>
      </c>
      <c r="BB45" s="121">
        <f t="shared" si="8"/>
        <v>-13652502.942603514</v>
      </c>
      <c r="BC45" s="121">
        <f t="shared" si="8"/>
        <v>-13687264.042603515</v>
      </c>
      <c r="BD45" s="121">
        <f t="shared" si="8"/>
        <v>-13709203.189603519</v>
      </c>
      <c r="BE45" s="121">
        <f t="shared" si="8"/>
        <v>-13563341.215603516</v>
      </c>
      <c r="BF45" s="121">
        <f t="shared" si="8"/>
        <v>-13570599.042603515</v>
      </c>
      <c r="BG45" s="121">
        <f t="shared" si="8"/>
        <v>-13563412.389603518</v>
      </c>
      <c r="BH45" s="121">
        <f t="shared" si="8"/>
        <v>-13510197.566603515</v>
      </c>
      <c r="BI45" s="121">
        <f t="shared" si="8"/>
        <v>-13623352.566603515</v>
      </c>
      <c r="BJ45" s="121">
        <f t="shared" si="8"/>
        <v>-13445283.566603515</v>
      </c>
      <c r="BK45" s="121">
        <f t="shared" si="8"/>
        <v>-17120162.871603519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863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490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1067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865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1079</v>
      </c>
      <c r="C53" s="121">
        <f>'FIN-VALUE_CWS'!C13</f>
        <v>47355928.700000003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51234550.500000015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51283909.950000018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468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491</v>
      </c>
      <c r="C55" s="121">
        <f>+C45+C50+C53</f>
        <v>47327336.700000003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-9841214</v>
      </c>
      <c r="G55" s="121">
        <f t="shared" si="10"/>
        <v>-9908407.6999999993</v>
      </c>
      <c r="H55" s="121">
        <f t="shared" si="10"/>
        <v>42483883.500000015</v>
      </c>
      <c r="I55" s="121">
        <f t="shared" si="10"/>
        <v>-8518635.5999999996</v>
      </c>
      <c r="J55" s="121">
        <f t="shared" si="10"/>
        <v>-8428227.6999999993</v>
      </c>
      <c r="K55" s="121">
        <f t="shared" si="10"/>
        <v>-8596227</v>
      </c>
      <c r="L55" s="121">
        <f t="shared" si="10"/>
        <v>-8457488.4000000004</v>
      </c>
      <c r="M55" s="121">
        <f t="shared" si="10"/>
        <v>-8701973.4000000004</v>
      </c>
      <c r="N55" s="121">
        <f t="shared" si="10"/>
        <v>42751911.550000019</v>
      </c>
      <c r="O55" s="121">
        <f t="shared" si="10"/>
        <v>-8452096.1999999993</v>
      </c>
      <c r="P55" s="121">
        <f t="shared" si="10"/>
        <v>-10440987.6875</v>
      </c>
      <c r="Q55" s="121">
        <f t="shared" si="10"/>
        <v>-10918330.4375</v>
      </c>
      <c r="R55" s="121">
        <f t="shared" si="10"/>
        <v>-10732813.5</v>
      </c>
      <c r="S55" s="121">
        <f t="shared" si="10"/>
        <v>-10739682.125</v>
      </c>
      <c r="T55" s="121">
        <f t="shared" si="10"/>
        <v>-10754095</v>
      </c>
      <c r="U55" s="121">
        <f t="shared" si="10"/>
        <v>-10648983.625</v>
      </c>
      <c r="V55" s="121">
        <f t="shared" si="10"/>
        <v>-9643909.625</v>
      </c>
      <c r="W55" s="121">
        <f t="shared" si="10"/>
        <v>-9663705</v>
      </c>
      <c r="X55" s="121">
        <f t="shared" si="10"/>
        <v>-9614641.75</v>
      </c>
      <c r="Y55" s="121">
        <f t="shared" si="10"/>
        <v>-9723981.75</v>
      </c>
      <c r="Z55" s="121">
        <f t="shared" si="10"/>
        <v>-9597466.75</v>
      </c>
      <c r="AA55" s="121">
        <f t="shared" si="10"/>
        <v>-9739777.5625</v>
      </c>
      <c r="AB55" s="121">
        <f t="shared" si="10"/>
        <v>-8536357.6281249989</v>
      </c>
      <c r="AC55" s="121">
        <f t="shared" si="10"/>
        <v>-8690389.0156249981</v>
      </c>
      <c r="AD55" s="121">
        <f t="shared" si="10"/>
        <v>-8529489.2406249996</v>
      </c>
      <c r="AE55" s="121">
        <f t="shared" si="10"/>
        <v>-8568070.8656249996</v>
      </c>
      <c r="AF55" s="121">
        <f t="shared" si="10"/>
        <v>-8601004.3031249996</v>
      </c>
      <c r="AG55" s="121">
        <f t="shared" si="10"/>
        <v>-8472477.6281249989</v>
      </c>
      <c r="AH55" s="121">
        <f t="shared" si="10"/>
        <v>-8485079.6156249996</v>
      </c>
      <c r="AI55" s="121">
        <f t="shared" si="10"/>
        <v>-8439564.3031249996</v>
      </c>
      <c r="AJ55" s="121">
        <f t="shared" si="10"/>
        <v>-8410052.6531249993</v>
      </c>
      <c r="AK55" s="121">
        <f t="shared" si="10"/>
        <v>-8490257.6531249993</v>
      </c>
      <c r="AL55" s="121">
        <f t="shared" si="10"/>
        <v>-8294692.6531250002</v>
      </c>
      <c r="AM55" s="121">
        <f t="shared" si="10"/>
        <v>-8319704.0531250006</v>
      </c>
      <c r="AN55" s="121">
        <f t="shared" si="10"/>
        <v>-10294322.096015625</v>
      </c>
      <c r="AO55" s="121">
        <f t="shared" si="10"/>
        <v>-10311300.636015626</v>
      </c>
      <c r="AP55" s="121">
        <f t="shared" si="10"/>
        <v>-10133166.171015624</v>
      </c>
      <c r="AQ55" s="121">
        <f t="shared" si="10"/>
        <v>-10170277.871015625</v>
      </c>
      <c r="AR55" s="121">
        <f t="shared" si="10"/>
        <v>-10197181.581015624</v>
      </c>
      <c r="AS55" s="121">
        <f t="shared" si="10"/>
        <v>-10060228.416015625</v>
      </c>
      <c r="AT55" s="121">
        <f t="shared" si="10"/>
        <v>-10070560.371015625</v>
      </c>
      <c r="AU55" s="121">
        <f t="shared" si="10"/>
        <v>-10043517.581015624</v>
      </c>
      <c r="AV55" s="121">
        <f t="shared" si="10"/>
        <v>-10002750.111015625</v>
      </c>
      <c r="AW55" s="121">
        <f t="shared" si="10"/>
        <v>-10099080.111015625</v>
      </c>
      <c r="AX55" s="121">
        <f t="shared" si="10"/>
        <v>-9912263.1110156253</v>
      </c>
      <c r="AY55" s="121">
        <f t="shared" si="10"/>
        <v>-9934383.0960156247</v>
      </c>
      <c r="AZ55" s="121">
        <f t="shared" si="10"/>
        <v>-13838086.121603517</v>
      </c>
      <c r="BA55" s="121">
        <f t="shared" si="10"/>
        <v>-13850015.491603516</v>
      </c>
      <c r="BB55" s="121">
        <f t="shared" si="10"/>
        <v>-13652502.942603514</v>
      </c>
      <c r="BC55" s="121">
        <f t="shared" si="10"/>
        <v>-13687264.042603515</v>
      </c>
      <c r="BD55" s="121">
        <f t="shared" si="10"/>
        <v>-13709203.189603519</v>
      </c>
      <c r="BE55" s="121">
        <f t="shared" si="10"/>
        <v>-13563341.215603516</v>
      </c>
      <c r="BF55" s="121">
        <f t="shared" si="10"/>
        <v>-13570599.042603515</v>
      </c>
      <c r="BG55" s="121">
        <f t="shared" si="10"/>
        <v>-13563412.389603518</v>
      </c>
      <c r="BH55" s="121">
        <f t="shared" si="10"/>
        <v>-13510197.566603515</v>
      </c>
      <c r="BI55" s="121">
        <f t="shared" si="10"/>
        <v>-13623352.566603515</v>
      </c>
      <c r="BJ55" s="121">
        <f t="shared" si="10"/>
        <v>-13445283.566603515</v>
      </c>
      <c r="BK55" s="121">
        <f t="shared" si="10"/>
        <v>-17120162.871603519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493</v>
      </c>
      <c r="C57" s="121">
        <v>0</v>
      </c>
      <c r="D57" s="121">
        <f t="shared" ref="D57:AI57" si="11">C58</f>
        <v>47327336.700000003</v>
      </c>
      <c r="E57" s="121">
        <f t="shared" si="11"/>
        <v>37896112.700000003</v>
      </c>
      <c r="F57" s="121">
        <f t="shared" si="11"/>
        <v>28500288.700000003</v>
      </c>
      <c r="G57" s="121">
        <f t="shared" si="11"/>
        <v>18659074.700000003</v>
      </c>
      <c r="H57" s="121">
        <f t="shared" si="11"/>
        <v>8750667.0000000037</v>
      </c>
      <c r="I57" s="121">
        <f t="shared" si="11"/>
        <v>51234550.500000015</v>
      </c>
      <c r="J57" s="121">
        <f t="shared" si="11"/>
        <v>42715914.900000013</v>
      </c>
      <c r="K57" s="121">
        <f t="shared" si="11"/>
        <v>34287687.200000018</v>
      </c>
      <c r="L57" s="121">
        <f t="shared" si="11"/>
        <v>25691460.200000018</v>
      </c>
      <c r="M57" s="121">
        <f t="shared" si="11"/>
        <v>17233971.800000019</v>
      </c>
      <c r="N57" s="121">
        <f t="shared" si="11"/>
        <v>8531998.400000019</v>
      </c>
      <c r="O57" s="121">
        <f t="shared" si="11"/>
        <v>51283909.95000004</v>
      </c>
      <c r="P57" s="121">
        <f t="shared" si="11"/>
        <v>42831813.750000045</v>
      </c>
      <c r="Q57" s="121">
        <f t="shared" si="11"/>
        <v>32390826.062500045</v>
      </c>
      <c r="R57" s="121">
        <f t="shared" si="11"/>
        <v>21472495.625000045</v>
      </c>
      <c r="S57" s="121">
        <f t="shared" si="11"/>
        <v>10739682.125000045</v>
      </c>
      <c r="T57" s="121">
        <f t="shared" si="11"/>
        <v>4.4703483581542969E-8</v>
      </c>
      <c r="U57" s="121">
        <f t="shared" si="11"/>
        <v>-10754094.999999955</v>
      </c>
      <c r="V57" s="121">
        <f t="shared" si="11"/>
        <v>-21403078.624999955</v>
      </c>
      <c r="W57" s="121">
        <f t="shared" si="11"/>
        <v>-31046988.249999955</v>
      </c>
      <c r="X57" s="121">
        <f t="shared" si="11"/>
        <v>-40710693.249999955</v>
      </c>
      <c r="Y57" s="121">
        <f t="shared" si="11"/>
        <v>-50325334.999999955</v>
      </c>
      <c r="Z57" s="121">
        <f t="shared" si="11"/>
        <v>-60049316.749999955</v>
      </c>
      <c r="AA57" s="121">
        <f t="shared" si="11"/>
        <v>-69646783.499999955</v>
      </c>
      <c r="AB57" s="121">
        <f t="shared" si="11"/>
        <v>-79386561.062499955</v>
      </c>
      <c r="AC57" s="121">
        <f t="shared" si="11"/>
        <v>-87922918.690624952</v>
      </c>
      <c r="AD57" s="121">
        <f t="shared" si="11"/>
        <v>-96613307.706249952</v>
      </c>
      <c r="AE57" s="121">
        <f t="shared" si="11"/>
        <v>-105142796.94687495</v>
      </c>
      <c r="AF57" s="121">
        <f t="shared" si="11"/>
        <v>-113710867.81249994</v>
      </c>
      <c r="AG57" s="121">
        <f t="shared" si="11"/>
        <v>-122311872.11562493</v>
      </c>
      <c r="AH57" s="121">
        <f t="shared" si="11"/>
        <v>-130784349.74374993</v>
      </c>
      <c r="AI57" s="121">
        <f t="shared" si="11"/>
        <v>-139269429.35937494</v>
      </c>
      <c r="AJ57" s="121">
        <f t="shared" ref="AJ57:BK57" si="12">AI58</f>
        <v>-147708993.66249993</v>
      </c>
      <c r="AK57" s="121">
        <f t="shared" si="12"/>
        <v>-156119046.31562492</v>
      </c>
      <c r="AL57" s="121">
        <f t="shared" si="12"/>
        <v>-164609303.96874991</v>
      </c>
      <c r="AM57" s="121">
        <f t="shared" si="12"/>
        <v>-172903996.6218749</v>
      </c>
      <c r="AN57" s="121">
        <f t="shared" si="12"/>
        <v>-181223700.67499989</v>
      </c>
      <c r="AO57" s="121">
        <f t="shared" si="12"/>
        <v>-191518022.77101552</v>
      </c>
      <c r="AP57" s="121">
        <f t="shared" si="12"/>
        <v>-201829323.40703115</v>
      </c>
      <c r="AQ57" s="121">
        <f t="shared" si="12"/>
        <v>-211962489.57804677</v>
      </c>
      <c r="AR57" s="121">
        <f t="shared" si="12"/>
        <v>-222132767.44906241</v>
      </c>
      <c r="AS57" s="121">
        <f t="shared" si="12"/>
        <v>-232329949.03007802</v>
      </c>
      <c r="AT57" s="121">
        <f t="shared" si="12"/>
        <v>-242390177.44609365</v>
      </c>
      <c r="AU57" s="121">
        <f t="shared" si="12"/>
        <v>-252460737.81710929</v>
      </c>
      <c r="AV57" s="121">
        <f t="shared" si="12"/>
        <v>-262504255.3981249</v>
      </c>
      <c r="AW57" s="121">
        <f t="shared" si="12"/>
        <v>-272507005.50914055</v>
      </c>
      <c r="AX57" s="121">
        <f t="shared" si="12"/>
        <v>-282606085.62015617</v>
      </c>
      <c r="AY57" s="121">
        <f t="shared" si="12"/>
        <v>-292518348.73117179</v>
      </c>
      <c r="AZ57" s="121">
        <f t="shared" si="12"/>
        <v>-302452731.82718742</v>
      </c>
      <c r="BA57" s="121">
        <f t="shared" si="12"/>
        <v>-316290817.94879091</v>
      </c>
      <c r="BB57" s="121">
        <f t="shared" si="12"/>
        <v>-330140833.4403944</v>
      </c>
      <c r="BC57" s="121">
        <f t="shared" si="12"/>
        <v>-343793336.38299793</v>
      </c>
      <c r="BD57" s="121">
        <f t="shared" si="12"/>
        <v>-357480600.42560142</v>
      </c>
      <c r="BE57" s="121">
        <f t="shared" si="12"/>
        <v>-371189803.61520493</v>
      </c>
      <c r="BF57" s="121">
        <f t="shared" si="12"/>
        <v>-384753144.83080846</v>
      </c>
      <c r="BG57" s="121">
        <f t="shared" si="12"/>
        <v>-398323743.87341195</v>
      </c>
      <c r="BH57" s="121">
        <f t="shared" si="12"/>
        <v>-411887156.26301545</v>
      </c>
      <c r="BI57" s="121">
        <f t="shared" si="12"/>
        <v>-425397353.82961899</v>
      </c>
      <c r="BJ57" s="121">
        <f t="shared" si="12"/>
        <v>-439020706.39622253</v>
      </c>
      <c r="BK57" s="121">
        <f t="shared" si="12"/>
        <v>-452465989.96282607</v>
      </c>
      <c r="BL57" s="130"/>
    </row>
    <row r="58" spans="2:64" x14ac:dyDescent="0.15">
      <c r="B58" s="136" t="s">
        <v>492</v>
      </c>
      <c r="C58" s="121">
        <f>C55</f>
        <v>47327336.700000003</v>
      </c>
      <c r="D58" s="121">
        <f t="shared" ref="D58:AI58" si="13">D57+D55</f>
        <v>37896112.700000003</v>
      </c>
      <c r="E58" s="121">
        <f t="shared" si="13"/>
        <v>28500288.700000003</v>
      </c>
      <c r="F58" s="121">
        <f t="shared" si="13"/>
        <v>18659074.700000003</v>
      </c>
      <c r="G58" s="121">
        <f t="shared" si="13"/>
        <v>8750667.0000000037</v>
      </c>
      <c r="H58" s="121">
        <f t="shared" si="13"/>
        <v>51234550.500000015</v>
      </c>
      <c r="I58" s="121">
        <f t="shared" si="13"/>
        <v>42715914.900000013</v>
      </c>
      <c r="J58" s="121">
        <f t="shared" si="13"/>
        <v>34287687.200000018</v>
      </c>
      <c r="K58" s="121">
        <f t="shared" si="13"/>
        <v>25691460.200000018</v>
      </c>
      <c r="L58" s="121">
        <f t="shared" si="13"/>
        <v>17233971.800000019</v>
      </c>
      <c r="M58" s="121">
        <f t="shared" si="13"/>
        <v>8531998.400000019</v>
      </c>
      <c r="N58" s="121">
        <f t="shared" si="13"/>
        <v>51283909.95000004</v>
      </c>
      <c r="O58" s="121">
        <f t="shared" si="13"/>
        <v>42831813.750000045</v>
      </c>
      <c r="P58" s="121">
        <f t="shared" si="13"/>
        <v>32390826.062500045</v>
      </c>
      <c r="Q58" s="121">
        <f t="shared" si="13"/>
        <v>21472495.625000045</v>
      </c>
      <c r="R58" s="121">
        <f t="shared" si="13"/>
        <v>10739682.125000045</v>
      </c>
      <c r="S58" s="121">
        <f t="shared" si="13"/>
        <v>4.4703483581542969E-8</v>
      </c>
      <c r="T58" s="121">
        <f t="shared" si="13"/>
        <v>-10754094.999999955</v>
      </c>
      <c r="U58" s="121">
        <f t="shared" si="13"/>
        <v>-21403078.624999955</v>
      </c>
      <c r="V58" s="121">
        <f t="shared" si="13"/>
        <v>-31046988.249999955</v>
      </c>
      <c r="W58" s="121">
        <f t="shared" si="13"/>
        <v>-40710693.249999955</v>
      </c>
      <c r="X58" s="121">
        <f t="shared" si="13"/>
        <v>-50325334.999999955</v>
      </c>
      <c r="Y58" s="121">
        <f t="shared" si="13"/>
        <v>-60049316.749999955</v>
      </c>
      <c r="Z58" s="121">
        <f t="shared" si="13"/>
        <v>-69646783.499999955</v>
      </c>
      <c r="AA58" s="121">
        <f t="shared" si="13"/>
        <v>-79386561.062499955</v>
      </c>
      <c r="AB58" s="121">
        <f t="shared" si="13"/>
        <v>-87922918.690624952</v>
      </c>
      <c r="AC58" s="121">
        <f t="shared" si="13"/>
        <v>-96613307.706249952</v>
      </c>
      <c r="AD58" s="121">
        <f t="shared" si="13"/>
        <v>-105142796.94687495</v>
      </c>
      <c r="AE58" s="121">
        <f t="shared" si="13"/>
        <v>-113710867.81249994</v>
      </c>
      <c r="AF58" s="121">
        <f t="shared" si="13"/>
        <v>-122311872.11562493</v>
      </c>
      <c r="AG58" s="121">
        <f t="shared" si="13"/>
        <v>-130784349.74374993</v>
      </c>
      <c r="AH58" s="121">
        <f t="shared" si="13"/>
        <v>-139269429.35937494</v>
      </c>
      <c r="AI58" s="121">
        <f t="shared" si="13"/>
        <v>-147708993.66249993</v>
      </c>
      <c r="AJ58" s="121">
        <f t="shared" ref="AJ58:BK58" si="14">AJ57+AJ55</f>
        <v>-156119046.31562492</v>
      </c>
      <c r="AK58" s="121">
        <f t="shared" si="14"/>
        <v>-164609303.96874991</v>
      </c>
      <c r="AL58" s="121">
        <f t="shared" si="14"/>
        <v>-172903996.6218749</v>
      </c>
      <c r="AM58" s="121">
        <f t="shared" si="14"/>
        <v>-181223700.67499989</v>
      </c>
      <c r="AN58" s="121">
        <f t="shared" si="14"/>
        <v>-191518022.77101552</v>
      </c>
      <c r="AO58" s="121">
        <f t="shared" si="14"/>
        <v>-201829323.40703115</v>
      </c>
      <c r="AP58" s="121">
        <f t="shared" si="14"/>
        <v>-211962489.57804677</v>
      </c>
      <c r="AQ58" s="121">
        <f t="shared" si="14"/>
        <v>-222132767.44906241</v>
      </c>
      <c r="AR58" s="121">
        <f t="shared" si="14"/>
        <v>-232329949.03007802</v>
      </c>
      <c r="AS58" s="121">
        <f t="shared" si="14"/>
        <v>-242390177.44609365</v>
      </c>
      <c r="AT58" s="121">
        <f t="shared" si="14"/>
        <v>-252460737.81710929</v>
      </c>
      <c r="AU58" s="121">
        <f t="shared" si="14"/>
        <v>-262504255.3981249</v>
      </c>
      <c r="AV58" s="121">
        <f t="shared" si="14"/>
        <v>-272507005.50914055</v>
      </c>
      <c r="AW58" s="121">
        <f t="shared" si="14"/>
        <v>-282606085.62015617</v>
      </c>
      <c r="AX58" s="121">
        <f t="shared" si="14"/>
        <v>-292518348.73117179</v>
      </c>
      <c r="AY58" s="121">
        <f t="shared" si="14"/>
        <v>-302452731.82718742</v>
      </c>
      <c r="AZ58" s="121">
        <f t="shared" si="14"/>
        <v>-316290817.94879091</v>
      </c>
      <c r="BA58" s="121">
        <f t="shared" si="14"/>
        <v>-330140833.4403944</v>
      </c>
      <c r="BB58" s="121">
        <f t="shared" si="14"/>
        <v>-343793336.38299793</v>
      </c>
      <c r="BC58" s="121">
        <f t="shared" si="14"/>
        <v>-357480600.42560142</v>
      </c>
      <c r="BD58" s="121">
        <f t="shared" si="14"/>
        <v>-371189803.61520493</v>
      </c>
      <c r="BE58" s="121">
        <f t="shared" si="14"/>
        <v>-384753144.83080846</v>
      </c>
      <c r="BF58" s="121">
        <f t="shared" si="14"/>
        <v>-398323743.87341195</v>
      </c>
      <c r="BG58" s="121">
        <f t="shared" si="14"/>
        <v>-411887156.26301545</v>
      </c>
      <c r="BH58" s="121">
        <f t="shared" si="14"/>
        <v>-425397353.82961899</v>
      </c>
      <c r="BI58" s="121">
        <f t="shared" si="14"/>
        <v>-439020706.39622253</v>
      </c>
      <c r="BJ58" s="121">
        <f t="shared" si="14"/>
        <v>-452465989.96282607</v>
      </c>
      <c r="BK58" s="121">
        <f t="shared" si="14"/>
        <v>-469586152.83442962</v>
      </c>
      <c r="BL58" s="130"/>
    </row>
    <row r="60" spans="2:64" x14ac:dyDescent="0.15">
      <c r="B60" s="138" t="s">
        <v>1093</v>
      </c>
      <c r="C60" s="130">
        <f>C53</f>
        <v>47355928.700000003</v>
      </c>
      <c r="D60" s="130">
        <f t="shared" ref="D60:AI60" si="15">D53+C60</f>
        <v>47355928.700000003</v>
      </c>
      <c r="E60" s="130">
        <f t="shared" si="15"/>
        <v>47355928.700000003</v>
      </c>
      <c r="F60" s="130">
        <f t="shared" si="15"/>
        <v>47355928.700000003</v>
      </c>
      <c r="G60" s="130">
        <f t="shared" si="15"/>
        <v>47355928.700000003</v>
      </c>
      <c r="H60" s="130">
        <f t="shared" si="15"/>
        <v>98590479.200000018</v>
      </c>
      <c r="I60" s="130">
        <f t="shared" si="15"/>
        <v>98590479.200000018</v>
      </c>
      <c r="J60" s="130">
        <f t="shared" si="15"/>
        <v>98590479.200000018</v>
      </c>
      <c r="K60" s="130">
        <f t="shared" si="15"/>
        <v>98590479.200000018</v>
      </c>
      <c r="L60" s="130">
        <f t="shared" si="15"/>
        <v>98590479.200000018</v>
      </c>
      <c r="M60" s="130">
        <f t="shared" si="15"/>
        <v>98590479.200000018</v>
      </c>
      <c r="N60" s="130">
        <f t="shared" si="15"/>
        <v>149874389.15000004</v>
      </c>
      <c r="O60" s="130">
        <f t="shared" si="15"/>
        <v>149874389.15000004</v>
      </c>
      <c r="P60" s="130">
        <f t="shared" si="15"/>
        <v>149874389.15000004</v>
      </c>
      <c r="Q60" s="130">
        <f t="shared" si="15"/>
        <v>149874389.15000004</v>
      </c>
      <c r="R60" s="130">
        <f t="shared" si="15"/>
        <v>149874389.15000004</v>
      </c>
      <c r="S60" s="130">
        <f t="shared" si="15"/>
        <v>149874389.15000004</v>
      </c>
      <c r="T60" s="130">
        <f t="shared" si="15"/>
        <v>149874389.15000004</v>
      </c>
      <c r="U60" s="130">
        <f t="shared" si="15"/>
        <v>149874389.15000004</v>
      </c>
      <c r="V60" s="130">
        <f t="shared" si="15"/>
        <v>149874389.15000004</v>
      </c>
      <c r="W60" s="130">
        <f t="shared" si="15"/>
        <v>149874389.15000004</v>
      </c>
      <c r="X60" s="130">
        <f t="shared" si="15"/>
        <v>149874389.15000004</v>
      </c>
      <c r="Y60" s="130">
        <f t="shared" si="15"/>
        <v>149874389.15000004</v>
      </c>
      <c r="Z60" s="130">
        <f t="shared" si="15"/>
        <v>149874389.15000004</v>
      </c>
      <c r="AA60" s="130">
        <f t="shared" si="15"/>
        <v>149874389.15000004</v>
      </c>
      <c r="AB60" s="130">
        <f t="shared" si="15"/>
        <v>149874389.15000004</v>
      </c>
      <c r="AC60" s="130">
        <f t="shared" si="15"/>
        <v>149874389.15000004</v>
      </c>
      <c r="AD60" s="130">
        <f t="shared" si="15"/>
        <v>149874389.15000004</v>
      </c>
      <c r="AE60" s="130">
        <f t="shared" si="15"/>
        <v>149874389.15000004</v>
      </c>
      <c r="AF60" s="130">
        <f t="shared" si="15"/>
        <v>149874389.15000004</v>
      </c>
      <c r="AG60" s="130">
        <f t="shared" si="15"/>
        <v>149874389.15000004</v>
      </c>
      <c r="AH60" s="130">
        <f t="shared" si="15"/>
        <v>149874389.15000004</v>
      </c>
      <c r="AI60" s="130">
        <f t="shared" si="15"/>
        <v>149874389.15000004</v>
      </c>
      <c r="AJ60" s="130">
        <f t="shared" ref="AJ60:BK60" si="16">AJ53+AI60</f>
        <v>149874389.15000004</v>
      </c>
      <c r="AK60" s="130">
        <f t="shared" si="16"/>
        <v>149874389.15000004</v>
      </c>
      <c r="AL60" s="130">
        <f t="shared" si="16"/>
        <v>149874389.15000004</v>
      </c>
      <c r="AM60" s="130">
        <f t="shared" si="16"/>
        <v>149874389.15000004</v>
      </c>
      <c r="AN60" s="130">
        <f t="shared" si="16"/>
        <v>149874389.15000004</v>
      </c>
      <c r="AO60" s="130">
        <f t="shared" si="16"/>
        <v>149874389.15000004</v>
      </c>
      <c r="AP60" s="130">
        <f t="shared" si="16"/>
        <v>149874389.15000004</v>
      </c>
      <c r="AQ60" s="130">
        <f t="shared" si="16"/>
        <v>149874389.15000004</v>
      </c>
      <c r="AR60" s="130">
        <f t="shared" si="16"/>
        <v>149874389.15000004</v>
      </c>
      <c r="AS60" s="130">
        <f t="shared" si="16"/>
        <v>149874389.15000004</v>
      </c>
      <c r="AT60" s="130">
        <f t="shared" si="16"/>
        <v>149874389.15000004</v>
      </c>
      <c r="AU60" s="130">
        <f t="shared" si="16"/>
        <v>149874389.15000004</v>
      </c>
      <c r="AV60" s="130">
        <f t="shared" si="16"/>
        <v>149874389.15000004</v>
      </c>
      <c r="AW60" s="130">
        <f t="shared" si="16"/>
        <v>149874389.15000004</v>
      </c>
      <c r="AX60" s="130">
        <f t="shared" si="16"/>
        <v>149874389.15000004</v>
      </c>
      <c r="AY60" s="130">
        <f t="shared" si="16"/>
        <v>149874389.15000004</v>
      </c>
      <c r="AZ60" s="130">
        <f t="shared" si="16"/>
        <v>149874389.15000004</v>
      </c>
      <c r="BA60" s="130">
        <f t="shared" si="16"/>
        <v>149874389.15000004</v>
      </c>
      <c r="BB60" s="130">
        <f t="shared" si="16"/>
        <v>149874389.15000004</v>
      </c>
      <c r="BC60" s="130">
        <f t="shared" si="16"/>
        <v>149874389.15000004</v>
      </c>
      <c r="BD60" s="130">
        <f t="shared" si="16"/>
        <v>149874389.15000004</v>
      </c>
      <c r="BE60" s="130">
        <f t="shared" si="16"/>
        <v>149874389.15000004</v>
      </c>
      <c r="BF60" s="130">
        <f t="shared" si="16"/>
        <v>149874389.15000004</v>
      </c>
      <c r="BG60" s="130">
        <f t="shared" si="16"/>
        <v>149874389.15000004</v>
      </c>
      <c r="BH60" s="130">
        <f t="shared" si="16"/>
        <v>149874389.15000004</v>
      </c>
      <c r="BI60" s="130">
        <f t="shared" si="16"/>
        <v>149874389.15000004</v>
      </c>
      <c r="BJ60" s="130">
        <f t="shared" si="16"/>
        <v>149874389.15000004</v>
      </c>
      <c r="BK60" s="130">
        <f t="shared" si="16"/>
        <v>149874389.15000004</v>
      </c>
    </row>
    <row r="62" spans="2:64" x14ac:dyDescent="0.15">
      <c r="B62" s="261" t="s">
        <v>1035</v>
      </c>
    </row>
    <row r="63" spans="2:64" x14ac:dyDescent="0.15">
      <c r="B63" s="261"/>
    </row>
    <row r="64" spans="2:64" x14ac:dyDescent="0.15">
      <c r="B64" s="135" t="s">
        <v>865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1079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468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491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-9841214</v>
      </c>
      <c r="G67" s="121">
        <f t="shared" si="17"/>
        <v>-9908407.6999999993</v>
      </c>
      <c r="H67" s="121">
        <f t="shared" si="17"/>
        <v>-8750667</v>
      </c>
      <c r="I67" s="121">
        <f t="shared" si="17"/>
        <v>-8518635.5999999996</v>
      </c>
      <c r="J67" s="121">
        <f t="shared" si="17"/>
        <v>-8428227.6999999993</v>
      </c>
      <c r="K67" s="121">
        <f t="shared" si="17"/>
        <v>-8596227</v>
      </c>
      <c r="L67" s="121">
        <f t="shared" si="17"/>
        <v>-8457488.4000000004</v>
      </c>
      <c r="M67" s="121">
        <f t="shared" si="17"/>
        <v>-8701973.4000000004</v>
      </c>
      <c r="N67" s="121">
        <f t="shared" si="17"/>
        <v>-8531998.4000000004</v>
      </c>
      <c r="O67" s="121">
        <f t="shared" si="17"/>
        <v>-8452096.1999999993</v>
      </c>
      <c r="P67" s="121">
        <f t="shared" si="17"/>
        <v>-10440987.6875</v>
      </c>
      <c r="Q67" s="121">
        <f t="shared" si="17"/>
        <v>-10918330.4375</v>
      </c>
      <c r="R67" s="121">
        <f t="shared" si="17"/>
        <v>-10732813.5</v>
      </c>
      <c r="S67" s="121">
        <f t="shared" si="17"/>
        <v>-10739682.125</v>
      </c>
      <c r="T67" s="121">
        <f t="shared" si="17"/>
        <v>-10754095</v>
      </c>
      <c r="U67" s="121">
        <f t="shared" si="17"/>
        <v>-10648983.625</v>
      </c>
      <c r="V67" s="121">
        <f t="shared" si="17"/>
        <v>-9643909.625</v>
      </c>
      <c r="W67" s="121">
        <f t="shared" si="17"/>
        <v>-9663705</v>
      </c>
      <c r="X67" s="121">
        <f t="shared" si="17"/>
        <v>-9614641.75</v>
      </c>
      <c r="Y67" s="121">
        <f t="shared" si="17"/>
        <v>-9723981.75</v>
      </c>
      <c r="Z67" s="121">
        <f t="shared" si="17"/>
        <v>-9597466.75</v>
      </c>
      <c r="AA67" s="121">
        <f t="shared" si="17"/>
        <v>-9739777.5625</v>
      </c>
      <c r="AB67" s="121">
        <f t="shared" si="17"/>
        <v>-8536357.6281249989</v>
      </c>
      <c r="AC67" s="121">
        <f t="shared" si="17"/>
        <v>-8690389.0156249981</v>
      </c>
      <c r="AD67" s="121">
        <f t="shared" si="17"/>
        <v>-8529489.2406249996</v>
      </c>
      <c r="AE67" s="121">
        <f t="shared" si="17"/>
        <v>-8568070.8656249996</v>
      </c>
      <c r="AF67" s="121">
        <f t="shared" si="17"/>
        <v>-8601004.3031249996</v>
      </c>
      <c r="AG67" s="121">
        <f t="shared" si="17"/>
        <v>-8472477.6281249989</v>
      </c>
      <c r="AH67" s="121">
        <f t="shared" si="17"/>
        <v>-8485079.6156249996</v>
      </c>
      <c r="AI67" s="121">
        <f t="shared" si="17"/>
        <v>-8439564.3031249996</v>
      </c>
      <c r="AJ67" s="121">
        <f t="shared" si="17"/>
        <v>-8410052.6531249993</v>
      </c>
      <c r="AK67" s="121">
        <f t="shared" si="17"/>
        <v>-8490257.6531249993</v>
      </c>
      <c r="AL67" s="121">
        <f t="shared" si="17"/>
        <v>-8294692.6531250002</v>
      </c>
      <c r="AM67" s="121">
        <f t="shared" si="17"/>
        <v>-8319704.0531250006</v>
      </c>
      <c r="AN67" s="121">
        <f t="shared" si="17"/>
        <v>-10294322.096015625</v>
      </c>
      <c r="AO67" s="121">
        <f t="shared" si="17"/>
        <v>-10311300.636015626</v>
      </c>
      <c r="AP67" s="121">
        <f t="shared" si="17"/>
        <v>-10133166.171015624</v>
      </c>
      <c r="AQ67" s="121">
        <f t="shared" si="17"/>
        <v>-10170277.871015625</v>
      </c>
      <c r="AR67" s="121">
        <f t="shared" si="17"/>
        <v>-10197181.581015624</v>
      </c>
      <c r="AS67" s="121">
        <f t="shared" si="17"/>
        <v>-10060228.416015625</v>
      </c>
      <c r="AT67" s="121">
        <f t="shared" si="17"/>
        <v>-10070560.371015625</v>
      </c>
      <c r="AU67" s="121">
        <f t="shared" si="17"/>
        <v>-10043517.581015624</v>
      </c>
      <c r="AV67" s="121">
        <f t="shared" si="17"/>
        <v>-10002750.111015625</v>
      </c>
      <c r="AW67" s="121">
        <f t="shared" si="17"/>
        <v>-10099080.111015625</v>
      </c>
      <c r="AX67" s="121">
        <f t="shared" si="17"/>
        <v>-9912263.1110156253</v>
      </c>
      <c r="AY67" s="121">
        <f t="shared" si="17"/>
        <v>-9934383.0960156247</v>
      </c>
      <c r="AZ67" s="121">
        <f t="shared" si="17"/>
        <v>-13838086.121603517</v>
      </c>
      <c r="BA67" s="121">
        <f t="shared" si="17"/>
        <v>-13850015.491603516</v>
      </c>
      <c r="BB67" s="121">
        <f t="shared" si="17"/>
        <v>-13652502.942603514</v>
      </c>
      <c r="BC67" s="121">
        <f t="shared" si="17"/>
        <v>-13687264.042603515</v>
      </c>
      <c r="BD67" s="121">
        <f t="shared" si="17"/>
        <v>-13709203.189603519</v>
      </c>
      <c r="BE67" s="121">
        <f t="shared" si="17"/>
        <v>-13563341.215603516</v>
      </c>
      <c r="BF67" s="121">
        <f t="shared" si="17"/>
        <v>-13570599.042603515</v>
      </c>
      <c r="BG67" s="121">
        <f t="shared" si="17"/>
        <v>-13563412.389603518</v>
      </c>
      <c r="BH67" s="121">
        <f t="shared" si="17"/>
        <v>-13510197.566603515</v>
      </c>
      <c r="BI67" s="121">
        <f t="shared" si="17"/>
        <v>-13623352.566603515</v>
      </c>
      <c r="BJ67" s="121">
        <f t="shared" si="17"/>
        <v>-13445283.566603515</v>
      </c>
      <c r="BK67" s="121">
        <f t="shared" si="17"/>
        <v>-17120162.871603519</v>
      </c>
      <c r="BL67" s="48">
        <f>SUM(C67:BK67)</f>
        <v>-619460541.98442984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493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-28696854</v>
      </c>
      <c r="H69" s="121">
        <f t="shared" si="18"/>
        <v>-38605261.700000003</v>
      </c>
      <c r="I69" s="121">
        <f t="shared" si="18"/>
        <v>-47355928.700000003</v>
      </c>
      <c r="J69" s="121">
        <f t="shared" si="18"/>
        <v>-55874564.300000004</v>
      </c>
      <c r="K69" s="121">
        <f t="shared" si="18"/>
        <v>-64302792</v>
      </c>
      <c r="L69" s="121">
        <f t="shared" si="18"/>
        <v>-72899019</v>
      </c>
      <c r="M69" s="121">
        <f t="shared" si="18"/>
        <v>-81356507.400000006</v>
      </c>
      <c r="N69" s="121">
        <f t="shared" si="18"/>
        <v>-90058480.800000012</v>
      </c>
      <c r="O69" s="121">
        <f t="shared" si="18"/>
        <v>-98590479.200000018</v>
      </c>
      <c r="P69" s="121">
        <f t="shared" si="18"/>
        <v>-107042575.40000002</v>
      </c>
      <c r="Q69" s="121">
        <f t="shared" si="18"/>
        <v>-117483563.08750002</v>
      </c>
      <c r="R69" s="121">
        <f t="shared" si="18"/>
        <v>-128401893.52500002</v>
      </c>
      <c r="S69" s="121">
        <f t="shared" si="18"/>
        <v>-139134707.02500004</v>
      </c>
      <c r="T69" s="121">
        <f t="shared" si="18"/>
        <v>-149874389.15000004</v>
      </c>
      <c r="U69" s="121">
        <f t="shared" si="18"/>
        <v>-160628484.15000004</v>
      </c>
      <c r="V69" s="121">
        <f t="shared" si="18"/>
        <v>-171277467.77500004</v>
      </c>
      <c r="W69" s="121">
        <f t="shared" si="18"/>
        <v>-180921377.40000004</v>
      </c>
      <c r="X69" s="121">
        <f t="shared" si="18"/>
        <v>-190585082.40000004</v>
      </c>
      <c r="Y69" s="121">
        <f t="shared" si="18"/>
        <v>-200199724.15000004</v>
      </c>
      <c r="Z69" s="121">
        <f t="shared" si="18"/>
        <v>-209923705.90000004</v>
      </c>
      <c r="AA69" s="121">
        <f t="shared" si="18"/>
        <v>-219521172.65000004</v>
      </c>
      <c r="AB69" s="121">
        <f t="shared" si="18"/>
        <v>-229260950.21250004</v>
      </c>
      <c r="AC69" s="121">
        <f t="shared" si="18"/>
        <v>-237797307.84062505</v>
      </c>
      <c r="AD69" s="121">
        <f t="shared" si="18"/>
        <v>-246487696.85625005</v>
      </c>
      <c r="AE69" s="121">
        <f t="shared" si="18"/>
        <v>-255017186.09687504</v>
      </c>
      <c r="AF69" s="121">
        <f t="shared" si="18"/>
        <v>-263585256.96250004</v>
      </c>
      <c r="AG69" s="121">
        <f t="shared" si="18"/>
        <v>-272186261.26562506</v>
      </c>
      <c r="AH69" s="121">
        <f t="shared" si="18"/>
        <v>-280658738.89375007</v>
      </c>
      <c r="AI69" s="121">
        <f t="shared" si="18"/>
        <v>-289143818.5093751</v>
      </c>
      <c r="AJ69" s="121">
        <f t="shared" ref="AJ69:BK69" si="19">AI70</f>
        <v>-297583382.81250012</v>
      </c>
      <c r="AK69" s="121">
        <f t="shared" si="19"/>
        <v>-305993435.46562511</v>
      </c>
      <c r="AL69" s="121">
        <f t="shared" si="19"/>
        <v>-314483693.1187501</v>
      </c>
      <c r="AM69" s="121">
        <f t="shared" si="19"/>
        <v>-322778385.77187508</v>
      </c>
      <c r="AN69" s="121">
        <f t="shared" si="19"/>
        <v>-331098089.82500011</v>
      </c>
      <c r="AO69" s="121">
        <f t="shared" si="19"/>
        <v>-341392411.92101574</v>
      </c>
      <c r="AP69" s="121">
        <f t="shared" si="19"/>
        <v>-351703712.55703139</v>
      </c>
      <c r="AQ69" s="121">
        <f t="shared" si="19"/>
        <v>-361836878.72804701</v>
      </c>
      <c r="AR69" s="121">
        <f t="shared" si="19"/>
        <v>-372007156.59906262</v>
      </c>
      <c r="AS69" s="121">
        <f t="shared" si="19"/>
        <v>-382204338.18007827</v>
      </c>
      <c r="AT69" s="121">
        <f t="shared" si="19"/>
        <v>-392264566.59609389</v>
      </c>
      <c r="AU69" s="121">
        <f t="shared" si="19"/>
        <v>-402335126.9671095</v>
      </c>
      <c r="AV69" s="121">
        <f t="shared" si="19"/>
        <v>-412378644.54812515</v>
      </c>
      <c r="AW69" s="121">
        <f t="shared" si="19"/>
        <v>-422381394.65914077</v>
      </c>
      <c r="AX69" s="121">
        <f t="shared" si="19"/>
        <v>-432480474.77015638</v>
      </c>
      <c r="AY69" s="121">
        <f t="shared" si="19"/>
        <v>-442392737.881172</v>
      </c>
      <c r="AZ69" s="121">
        <f t="shared" si="19"/>
        <v>-452327120.97718763</v>
      </c>
      <c r="BA69" s="121">
        <f t="shared" si="19"/>
        <v>-466165207.09879112</v>
      </c>
      <c r="BB69" s="121">
        <f t="shared" si="19"/>
        <v>-480015222.59039462</v>
      </c>
      <c r="BC69" s="121">
        <f t="shared" si="19"/>
        <v>-493667725.53299814</v>
      </c>
      <c r="BD69" s="121">
        <f t="shared" si="19"/>
        <v>-507354989.57560164</v>
      </c>
      <c r="BE69" s="121">
        <f t="shared" si="19"/>
        <v>-521064192.76520514</v>
      </c>
      <c r="BF69" s="121">
        <f t="shared" si="19"/>
        <v>-534627533.98080868</v>
      </c>
      <c r="BG69" s="121">
        <f t="shared" si="19"/>
        <v>-548198133.02341223</v>
      </c>
      <c r="BH69" s="121">
        <f t="shared" si="19"/>
        <v>-561761545.41301572</v>
      </c>
      <c r="BI69" s="121">
        <f t="shared" si="19"/>
        <v>-575271742.97961926</v>
      </c>
      <c r="BJ69" s="121">
        <f t="shared" si="19"/>
        <v>-588895095.54622281</v>
      </c>
      <c r="BK69" s="121">
        <f t="shared" si="19"/>
        <v>-602340379.11282635</v>
      </c>
    </row>
    <row r="70" spans="2:64" x14ac:dyDescent="0.15">
      <c r="B70" s="136" t="s">
        <v>492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-28696854</v>
      </c>
      <c r="G70" s="121">
        <f t="shared" si="20"/>
        <v>-38605261.700000003</v>
      </c>
      <c r="H70" s="121">
        <f t="shared" si="20"/>
        <v>-47355928.700000003</v>
      </c>
      <c r="I70" s="121">
        <f t="shared" si="20"/>
        <v>-55874564.300000004</v>
      </c>
      <c r="J70" s="121">
        <f t="shared" si="20"/>
        <v>-64302792</v>
      </c>
      <c r="K70" s="121">
        <f t="shared" si="20"/>
        <v>-72899019</v>
      </c>
      <c r="L70" s="121">
        <f t="shared" si="20"/>
        <v>-81356507.400000006</v>
      </c>
      <c r="M70" s="121">
        <f t="shared" si="20"/>
        <v>-90058480.800000012</v>
      </c>
      <c r="N70" s="121">
        <f t="shared" si="20"/>
        <v>-98590479.200000018</v>
      </c>
      <c r="O70" s="121">
        <f t="shared" si="20"/>
        <v>-107042575.40000002</v>
      </c>
      <c r="P70" s="121">
        <f t="shared" si="20"/>
        <v>-117483563.08750002</v>
      </c>
      <c r="Q70" s="121">
        <f t="shared" si="20"/>
        <v>-128401893.52500002</v>
      </c>
      <c r="R70" s="121">
        <f t="shared" si="20"/>
        <v>-139134707.02500004</v>
      </c>
      <c r="S70" s="121">
        <f t="shared" si="20"/>
        <v>-149874389.15000004</v>
      </c>
      <c r="T70" s="121">
        <f t="shared" si="20"/>
        <v>-160628484.15000004</v>
      </c>
      <c r="U70" s="121">
        <f t="shared" si="20"/>
        <v>-171277467.77500004</v>
      </c>
      <c r="V70" s="121">
        <f t="shared" si="20"/>
        <v>-180921377.40000004</v>
      </c>
      <c r="W70" s="121">
        <f t="shared" si="20"/>
        <v>-190585082.40000004</v>
      </c>
      <c r="X70" s="121">
        <f t="shared" si="20"/>
        <v>-200199724.15000004</v>
      </c>
      <c r="Y70" s="121">
        <f t="shared" si="20"/>
        <v>-209923705.90000004</v>
      </c>
      <c r="Z70" s="121">
        <f t="shared" si="20"/>
        <v>-219521172.65000004</v>
      </c>
      <c r="AA70" s="121">
        <f t="shared" si="20"/>
        <v>-229260950.21250004</v>
      </c>
      <c r="AB70" s="121">
        <f t="shared" si="20"/>
        <v>-237797307.84062505</v>
      </c>
      <c r="AC70" s="121">
        <f t="shared" si="20"/>
        <v>-246487696.85625005</v>
      </c>
      <c r="AD70" s="121">
        <f t="shared" si="20"/>
        <v>-255017186.09687504</v>
      </c>
      <c r="AE70" s="121">
        <f t="shared" si="20"/>
        <v>-263585256.96250004</v>
      </c>
      <c r="AF70" s="121">
        <f t="shared" si="20"/>
        <v>-272186261.26562506</v>
      </c>
      <c r="AG70" s="121">
        <f t="shared" si="20"/>
        <v>-280658738.89375007</v>
      </c>
      <c r="AH70" s="121">
        <f t="shared" si="20"/>
        <v>-289143818.5093751</v>
      </c>
      <c r="AI70" s="121">
        <f t="shared" si="20"/>
        <v>-297583382.81250012</v>
      </c>
      <c r="AJ70" s="121">
        <f t="shared" ref="AJ70:BK70" si="21">AJ69+AJ67</f>
        <v>-305993435.46562511</v>
      </c>
      <c r="AK70" s="121">
        <f t="shared" si="21"/>
        <v>-314483693.1187501</v>
      </c>
      <c r="AL70" s="121">
        <f t="shared" si="21"/>
        <v>-322778385.77187508</v>
      </c>
      <c r="AM70" s="121">
        <f t="shared" si="21"/>
        <v>-331098089.82500011</v>
      </c>
      <c r="AN70" s="121">
        <f t="shared" si="21"/>
        <v>-341392411.92101574</v>
      </c>
      <c r="AO70" s="121">
        <f t="shared" si="21"/>
        <v>-351703712.55703139</v>
      </c>
      <c r="AP70" s="121">
        <f t="shared" si="21"/>
        <v>-361836878.72804701</v>
      </c>
      <c r="AQ70" s="121">
        <f t="shared" si="21"/>
        <v>-372007156.59906262</v>
      </c>
      <c r="AR70" s="121">
        <f t="shared" si="21"/>
        <v>-382204338.18007827</v>
      </c>
      <c r="AS70" s="121">
        <f t="shared" si="21"/>
        <v>-392264566.59609389</v>
      </c>
      <c r="AT70" s="121">
        <f t="shared" si="21"/>
        <v>-402335126.9671095</v>
      </c>
      <c r="AU70" s="121">
        <f t="shared" si="21"/>
        <v>-412378644.54812515</v>
      </c>
      <c r="AV70" s="121">
        <f t="shared" si="21"/>
        <v>-422381394.65914077</v>
      </c>
      <c r="AW70" s="121">
        <f t="shared" si="21"/>
        <v>-432480474.77015638</v>
      </c>
      <c r="AX70" s="121">
        <f t="shared" si="21"/>
        <v>-442392737.881172</v>
      </c>
      <c r="AY70" s="121">
        <f t="shared" si="21"/>
        <v>-452327120.97718763</v>
      </c>
      <c r="AZ70" s="121">
        <f t="shared" si="21"/>
        <v>-466165207.09879112</v>
      </c>
      <c r="BA70" s="121">
        <f t="shared" si="21"/>
        <v>-480015222.59039462</v>
      </c>
      <c r="BB70" s="121">
        <f t="shared" si="21"/>
        <v>-493667725.53299814</v>
      </c>
      <c r="BC70" s="121">
        <f t="shared" si="21"/>
        <v>-507354989.57560164</v>
      </c>
      <c r="BD70" s="121">
        <f t="shared" si="21"/>
        <v>-521064192.76520514</v>
      </c>
      <c r="BE70" s="121">
        <f t="shared" si="21"/>
        <v>-534627533.98080868</v>
      </c>
      <c r="BF70" s="121">
        <f t="shared" si="21"/>
        <v>-548198133.02341223</v>
      </c>
      <c r="BG70" s="121">
        <f t="shared" si="21"/>
        <v>-561761545.41301572</v>
      </c>
      <c r="BH70" s="121">
        <f t="shared" si="21"/>
        <v>-575271742.97961926</v>
      </c>
      <c r="BI70" s="121">
        <f t="shared" si="21"/>
        <v>-588895095.54622281</v>
      </c>
      <c r="BJ70" s="121">
        <f t="shared" si="21"/>
        <v>-602340379.11282635</v>
      </c>
      <c r="BK70" s="121">
        <f t="shared" si="21"/>
        <v>-619460541.98442984</v>
      </c>
      <c r="BL70" s="130">
        <f>+BK58-BK70</f>
        <v>149874389.15000021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1134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47327336.700000003</v>
      </c>
      <c r="E7" s="121">
        <f>P50</f>
        <v>42831813.750000045</v>
      </c>
      <c r="F7" s="121">
        <f>AB50</f>
        <v>-79386561.062499955</v>
      </c>
      <c r="G7" s="121">
        <f>AN50</f>
        <v>-181223700.67499989</v>
      </c>
      <c r="H7" s="121">
        <f>AZ50</f>
        <v>-302452731.82718742</v>
      </c>
      <c r="I7" s="121">
        <f>BL50</f>
        <v>-469586152.83442962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695240</v>
      </c>
      <c r="F8" s="121">
        <f>AB51</f>
        <v>242281.25</v>
      </c>
      <c r="G8" s="121">
        <f>AN51</f>
        <v>157516.25</v>
      </c>
      <c r="H8" s="121">
        <f>AZ51</f>
        <v>196675</v>
      </c>
      <c r="I8" s="121">
        <f>BL51</f>
        <v>236010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1478400</v>
      </c>
      <c r="G9" s="121">
        <f>AN52</f>
        <v>1556160</v>
      </c>
      <c r="H9" s="121">
        <f>AZ52</f>
        <v>1626144</v>
      </c>
      <c r="I9" s="121">
        <f>BL52</f>
        <v>13475310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47327336.700000003</v>
      </c>
      <c r="E10" s="121">
        <f>P53</f>
        <v>44379053.750000045</v>
      </c>
      <c r="F10" s="121">
        <f>AB53</f>
        <v>-77665879.812499955</v>
      </c>
      <c r="G10" s="121">
        <f>SUM(G7:G9)</f>
        <v>-179510024.42499989</v>
      </c>
      <c r="H10" s="121">
        <f>SUM(H7:H9)</f>
        <v>-300629912.82718742</v>
      </c>
      <c r="I10" s="121">
        <f>SUM(I7:I9)</f>
        <v>-455874832.83442962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468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468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47327336.700000003</v>
      </c>
      <c r="E17" s="121">
        <f>E15+E10</f>
        <v>44459278.750000045</v>
      </c>
      <c r="F17" s="121">
        <f>F15+F10</f>
        <v>-77599054.812499955</v>
      </c>
      <c r="G17" s="121">
        <f>G15+G10</f>
        <v>-179469707.75833324</v>
      </c>
      <c r="H17" s="121">
        <f>H15+H10</f>
        <v>-300610696.16052073</v>
      </c>
      <c r="I17" s="121">
        <f>I15+I10</f>
        <v>-455876716.16776294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1080000</v>
      </c>
      <c r="G23" s="121">
        <f>AN66</f>
        <v>1030320</v>
      </c>
      <c r="H23" s="121">
        <f>AZ66</f>
        <v>979776</v>
      </c>
      <c r="I23" s="121">
        <f>BL66</f>
        <v>9054180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1080000</v>
      </c>
      <c r="G25" s="121">
        <f>SUM(G23:G24)</f>
        <v>1030320</v>
      </c>
      <c r="H25" s="121">
        <f>SUM(H23:H24)</f>
        <v>979776</v>
      </c>
      <c r="I25" s="121">
        <f>SUM(I23:I24)</f>
        <v>9054180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468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1080000</v>
      </c>
      <c r="G31" s="121">
        <f>G29+G25</f>
        <v>1030320</v>
      </c>
      <c r="H31" s="121">
        <f>H29+H25</f>
        <v>979776</v>
      </c>
      <c r="I31" s="121">
        <f>I29+I25</f>
        <v>9054180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468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47355928.700000003</v>
      </c>
      <c r="E34" s="121">
        <f>P77</f>
        <v>149874389.15000004</v>
      </c>
      <c r="F34" s="121">
        <f>AB77</f>
        <v>149874389.15000004</v>
      </c>
      <c r="G34" s="121">
        <f>AN77</f>
        <v>149874389.15000004</v>
      </c>
      <c r="H34" s="121">
        <f>AZ77</f>
        <v>149874389.15000004</v>
      </c>
      <c r="I34" s="121">
        <f>BL77</f>
        <v>149874389.15000004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-97127132.533333316</v>
      </c>
      <c r="F35" s="121">
        <f>AB78</f>
        <v>-218801001.81666666</v>
      </c>
      <c r="G35" s="121">
        <f>AN78</f>
        <v>-321974814.52187508</v>
      </c>
      <c r="H35" s="121">
        <f>AZ78</f>
        <v>-441425803.38117188</v>
      </c>
      <c r="I35" s="121">
        <f>BL78</f>
        <v>-601217226.01282597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-8947977.8666666653</v>
      </c>
      <c r="F36" s="121">
        <f>AB79</f>
        <v>-9752442.145833334</v>
      </c>
      <c r="G36" s="121">
        <f>AN79</f>
        <v>-8399602.3864583336</v>
      </c>
      <c r="H36" s="121">
        <f>AZ79</f>
        <v>-10039057.929348959</v>
      </c>
      <c r="I36" s="121">
        <f>BL79</f>
        <v>-13588059.30493685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47327336.700000003</v>
      </c>
      <c r="E37" s="121">
        <f>P80</f>
        <v>43799278.750000052</v>
      </c>
      <c r="F37" s="121">
        <f>AB80</f>
        <v>-78679054.812499955</v>
      </c>
      <c r="G37" s="121">
        <f>AN80</f>
        <v>-180500027.75833338</v>
      </c>
      <c r="H37" s="121">
        <f>AZ80</f>
        <v>-301590472.16052079</v>
      </c>
      <c r="I37" s="121">
        <f>BL80</f>
        <v>-464930896.16776276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47327336.700000003</v>
      </c>
      <c r="E39" s="121">
        <f>E37+E31</f>
        <v>44459278.750000052</v>
      </c>
      <c r="F39" s="121">
        <f>F37+F31</f>
        <v>-77599054.812499955</v>
      </c>
      <c r="G39" s="121">
        <f>G37+G31</f>
        <v>-179469707.75833338</v>
      </c>
      <c r="H39" s="121">
        <f>H37+H31</f>
        <v>-300610696.16052079</v>
      </c>
      <c r="I39" s="121">
        <f>I37+I31</f>
        <v>-455876716.16776276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997</v>
      </c>
      <c r="C42" s="322"/>
      <c r="D42" s="276" t="s">
        <v>64</v>
      </c>
      <c r="E42" s="364" t="s">
        <v>35</v>
      </c>
      <c r="F42" s="364"/>
      <c r="G42" s="364"/>
      <c r="H42" s="364"/>
      <c r="I42" s="364"/>
      <c r="J42" s="364"/>
      <c r="K42" s="364"/>
      <c r="L42" s="364"/>
      <c r="M42" s="364"/>
      <c r="N42" s="364"/>
      <c r="O42" s="364"/>
      <c r="P42" s="364"/>
      <c r="Q42" s="364" t="s">
        <v>36</v>
      </c>
      <c r="R42" s="364"/>
      <c r="S42" s="364"/>
      <c r="T42" s="364"/>
      <c r="U42" s="364"/>
      <c r="V42" s="364"/>
      <c r="W42" s="364"/>
      <c r="X42" s="364"/>
      <c r="Y42" s="364"/>
      <c r="Z42" s="364"/>
      <c r="AA42" s="364"/>
      <c r="AB42" s="364"/>
      <c r="AC42" s="364" t="s">
        <v>37</v>
      </c>
      <c r="AD42" s="364"/>
      <c r="AE42" s="364"/>
      <c r="AF42" s="364"/>
      <c r="AG42" s="364"/>
      <c r="AH42" s="364"/>
      <c r="AI42" s="364"/>
      <c r="AJ42" s="364"/>
      <c r="AK42" s="364"/>
      <c r="AL42" s="364"/>
      <c r="AM42" s="364"/>
      <c r="AN42" s="364"/>
      <c r="AO42" s="364" t="s">
        <v>38</v>
      </c>
      <c r="AP42" s="364"/>
      <c r="AQ42" s="364"/>
      <c r="AR42" s="364"/>
      <c r="AS42" s="364"/>
      <c r="AT42" s="364"/>
      <c r="AU42" s="364"/>
      <c r="AV42" s="364"/>
      <c r="AW42" s="364"/>
      <c r="AX42" s="364"/>
      <c r="AY42" s="364"/>
      <c r="AZ42" s="364"/>
      <c r="BA42" s="364" t="s">
        <v>39</v>
      </c>
      <c r="BB42" s="364"/>
      <c r="BC42" s="364"/>
      <c r="BD42" s="364"/>
      <c r="BE42" s="364"/>
      <c r="BF42" s="364"/>
      <c r="BG42" s="364"/>
      <c r="BH42" s="364"/>
      <c r="BI42" s="364"/>
      <c r="BJ42" s="364"/>
      <c r="BK42" s="364"/>
      <c r="BL42" s="364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469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470</v>
      </c>
      <c r="C47" s="135"/>
    </row>
    <row r="48" spans="2:64" x14ac:dyDescent="0.15">
      <c r="B48" s="306"/>
      <c r="C48" s="135"/>
    </row>
    <row r="49" spans="2:64" x14ac:dyDescent="0.15">
      <c r="B49" s="306" t="s">
        <v>471</v>
      </c>
      <c r="C49" s="135"/>
    </row>
    <row r="50" spans="2:64" x14ac:dyDescent="0.15">
      <c r="B50" s="309" t="s">
        <v>467</v>
      </c>
      <c r="C50" s="136"/>
      <c r="D50" s="121">
        <f>IF($D42="Y",'FIN-CASHFLOW_CWS'!C58,'FIN-CASHFLOW_CWS'!C70)</f>
        <v>47327336.700000003</v>
      </c>
      <c r="E50" s="121">
        <f>IF($D42="Y",'FIN-CASHFLOW_CWS'!D58,'FIN-CASHFLOW_CWS'!D70)</f>
        <v>37896112.700000003</v>
      </c>
      <c r="F50" s="121">
        <f>IF($D42="Y",'FIN-CASHFLOW_CWS'!E58,'FIN-CASHFLOW_CWS'!E70)</f>
        <v>28500288.700000003</v>
      </c>
      <c r="G50" s="121">
        <f>IF($D42="Y",'FIN-CASHFLOW_CWS'!F58,'FIN-CASHFLOW_CWS'!F70)</f>
        <v>18659074.700000003</v>
      </c>
      <c r="H50" s="121">
        <f>IF($D42="Y",'FIN-CASHFLOW_CWS'!G58,'FIN-CASHFLOW_CWS'!G70)</f>
        <v>8750667.0000000037</v>
      </c>
      <c r="I50" s="121">
        <f>IF($D42="Y",'FIN-CASHFLOW_CWS'!H58,'FIN-CASHFLOW_CWS'!H70)</f>
        <v>51234550.500000015</v>
      </c>
      <c r="J50" s="121">
        <f>IF($D42="Y",'FIN-CASHFLOW_CWS'!I58,'FIN-CASHFLOW_CWS'!I70)</f>
        <v>42715914.900000013</v>
      </c>
      <c r="K50" s="121">
        <f>IF($D42="Y",'FIN-CASHFLOW_CWS'!J58,'FIN-CASHFLOW_CWS'!J70)</f>
        <v>34287687.200000018</v>
      </c>
      <c r="L50" s="121">
        <f>IF($D42="Y",'FIN-CASHFLOW_CWS'!K58,'FIN-CASHFLOW_CWS'!K70)</f>
        <v>25691460.200000018</v>
      </c>
      <c r="M50" s="121">
        <f>IF($D42="Y",'FIN-CASHFLOW_CWS'!L58,'FIN-CASHFLOW_CWS'!L70)</f>
        <v>17233971.800000019</v>
      </c>
      <c r="N50" s="121">
        <f>IF($D42="Y",'FIN-CASHFLOW_CWS'!M58,'FIN-CASHFLOW_CWS'!M70)</f>
        <v>8531998.400000019</v>
      </c>
      <c r="O50" s="121">
        <f>IF($D42="Y",'FIN-CASHFLOW_CWS'!N58,'FIN-CASHFLOW_CWS'!N70)</f>
        <v>51283909.95000004</v>
      </c>
      <c r="P50" s="121">
        <f>IF($D42="Y",'FIN-CASHFLOW_CWS'!O58,'FIN-CASHFLOW_CWS'!O70)</f>
        <v>42831813.750000045</v>
      </c>
      <c r="Q50" s="121">
        <f>IF($D42="Y",'FIN-CASHFLOW_CWS'!P58,'FIN-CASHFLOW_CWS'!P70)</f>
        <v>32390826.062500045</v>
      </c>
      <c r="R50" s="121">
        <f>IF($D42="Y",'FIN-CASHFLOW_CWS'!Q58,'FIN-CASHFLOW_CWS'!Q70)</f>
        <v>21472495.625000045</v>
      </c>
      <c r="S50" s="121">
        <f>IF($D42="Y",'FIN-CASHFLOW_CWS'!R58,'FIN-CASHFLOW_CWS'!R70)</f>
        <v>10739682.125000045</v>
      </c>
      <c r="T50" s="121">
        <f>IF($D42="Y",'FIN-CASHFLOW_CWS'!S58,'FIN-CASHFLOW_CWS'!S70)</f>
        <v>4.4703483581542969E-8</v>
      </c>
      <c r="U50" s="121">
        <f>IF($D42="Y",'FIN-CASHFLOW_CWS'!T58,'FIN-CASHFLOW_CWS'!T70)</f>
        <v>-10754094.999999955</v>
      </c>
      <c r="V50" s="121">
        <f>IF($D42="Y",'FIN-CASHFLOW_CWS'!U58,'FIN-CASHFLOW_CWS'!U70)</f>
        <v>-21403078.624999955</v>
      </c>
      <c r="W50" s="121">
        <f>IF($D42="Y",'FIN-CASHFLOW_CWS'!V58,'FIN-CASHFLOW_CWS'!V70)</f>
        <v>-31046988.249999955</v>
      </c>
      <c r="X50" s="121">
        <f>IF($D42="Y",'FIN-CASHFLOW_CWS'!W58,'FIN-CASHFLOW_CWS'!W70)</f>
        <v>-40710693.249999955</v>
      </c>
      <c r="Y50" s="121">
        <f>IF($D42="Y",'FIN-CASHFLOW_CWS'!X58,'FIN-CASHFLOW_CWS'!X70)</f>
        <v>-50325334.999999955</v>
      </c>
      <c r="Z50" s="121">
        <f>IF($D42="Y",'FIN-CASHFLOW_CWS'!Y58,'FIN-CASHFLOW_CWS'!Y70)</f>
        <v>-60049316.749999955</v>
      </c>
      <c r="AA50" s="121">
        <f>IF($D42="Y",'FIN-CASHFLOW_CWS'!Z58,'FIN-CASHFLOW_CWS'!Z70)</f>
        <v>-69646783.499999955</v>
      </c>
      <c r="AB50" s="121">
        <f>IF($D42="Y",'FIN-CASHFLOW_CWS'!AA58,'FIN-CASHFLOW_CWS'!AA70)</f>
        <v>-79386561.062499955</v>
      </c>
      <c r="AC50" s="121">
        <f>IF($D42="Y",'FIN-CASHFLOW_CWS'!AB58,'FIN-CASHFLOW_CWS'!AB70)</f>
        <v>-87922918.690624952</v>
      </c>
      <c r="AD50" s="121">
        <f>IF($D42="Y",'FIN-CASHFLOW_CWS'!AC58,'FIN-CASHFLOW_CWS'!AC70)</f>
        <v>-96613307.706249952</v>
      </c>
      <c r="AE50" s="121">
        <f>IF($D42="Y",'FIN-CASHFLOW_CWS'!AD58,'FIN-CASHFLOW_CWS'!AD70)</f>
        <v>-105142796.94687495</v>
      </c>
      <c r="AF50" s="121">
        <f>IF($D42="Y",'FIN-CASHFLOW_CWS'!AE58,'FIN-CASHFLOW_CWS'!AE70)</f>
        <v>-113710867.81249994</v>
      </c>
      <c r="AG50" s="121">
        <f>IF($D42="Y",'FIN-CASHFLOW_CWS'!AF58,'FIN-CASHFLOW_CWS'!AF70)</f>
        <v>-122311872.11562493</v>
      </c>
      <c r="AH50" s="121">
        <f>IF($D42="Y",'FIN-CASHFLOW_CWS'!AG58,'FIN-CASHFLOW_CWS'!AG70)</f>
        <v>-130784349.74374993</v>
      </c>
      <c r="AI50" s="121">
        <f>IF($D42="Y",'FIN-CASHFLOW_CWS'!AH58,'FIN-CASHFLOW_CWS'!AH70)</f>
        <v>-139269429.35937494</v>
      </c>
      <c r="AJ50" s="121">
        <f>IF($D42="Y",'FIN-CASHFLOW_CWS'!AI58,'FIN-CASHFLOW_CWS'!AI70)</f>
        <v>-147708993.66249993</v>
      </c>
      <c r="AK50" s="121">
        <f>IF($D42="Y",'FIN-CASHFLOW_CWS'!AJ58,'FIN-CASHFLOW_CWS'!AJ70)</f>
        <v>-156119046.31562492</v>
      </c>
      <c r="AL50" s="121">
        <f>IF($D42="Y",'FIN-CASHFLOW_CWS'!AK58,'FIN-CASHFLOW_CWS'!AK70)</f>
        <v>-164609303.96874991</v>
      </c>
      <c r="AM50" s="121">
        <f>IF($D42="Y",'FIN-CASHFLOW_CWS'!AL58,'FIN-CASHFLOW_CWS'!AL70)</f>
        <v>-172903996.6218749</v>
      </c>
      <c r="AN50" s="121">
        <f>IF($D42="Y",'FIN-CASHFLOW_CWS'!AM58,'FIN-CASHFLOW_CWS'!AM70)</f>
        <v>-181223700.67499989</v>
      </c>
      <c r="AO50" s="121">
        <f>IF($D42="Y",'FIN-CASHFLOW_CWS'!AN58,'FIN-CASHFLOW_CWS'!AN70)</f>
        <v>-191518022.77101552</v>
      </c>
      <c r="AP50" s="121">
        <f>IF($D42="Y",'FIN-CASHFLOW_CWS'!AO58,'FIN-CASHFLOW_CWS'!AO70)</f>
        <v>-201829323.40703115</v>
      </c>
      <c r="AQ50" s="121">
        <f>IF($D42="Y",'FIN-CASHFLOW_CWS'!AP58,'FIN-CASHFLOW_CWS'!AP70)</f>
        <v>-211962489.57804677</v>
      </c>
      <c r="AR50" s="121">
        <f>IF($D42="Y",'FIN-CASHFLOW_CWS'!AQ58,'FIN-CASHFLOW_CWS'!AQ70)</f>
        <v>-222132767.44906241</v>
      </c>
      <c r="AS50" s="121">
        <f>IF($D42="Y",'FIN-CASHFLOW_CWS'!AR58,'FIN-CASHFLOW_CWS'!AR70)</f>
        <v>-232329949.03007802</v>
      </c>
      <c r="AT50" s="121">
        <f>IF($D42="Y",'FIN-CASHFLOW_CWS'!AS58,'FIN-CASHFLOW_CWS'!AS70)</f>
        <v>-242390177.44609365</v>
      </c>
      <c r="AU50" s="121">
        <f>IF($D42="Y",'FIN-CASHFLOW_CWS'!AT58,'FIN-CASHFLOW_CWS'!AT70)</f>
        <v>-252460737.81710929</v>
      </c>
      <c r="AV50" s="121">
        <f>IF($D42="Y",'FIN-CASHFLOW_CWS'!AU58,'FIN-CASHFLOW_CWS'!AU70)</f>
        <v>-262504255.3981249</v>
      </c>
      <c r="AW50" s="121">
        <f>IF($D42="Y",'FIN-CASHFLOW_CWS'!AV58,'FIN-CASHFLOW_CWS'!AV70)</f>
        <v>-272507005.50914055</v>
      </c>
      <c r="AX50" s="121">
        <f>IF($D42="Y",'FIN-CASHFLOW_CWS'!AW58,'FIN-CASHFLOW_CWS'!AW70)</f>
        <v>-282606085.62015617</v>
      </c>
      <c r="AY50" s="121">
        <f>IF($D42="Y",'FIN-CASHFLOW_CWS'!AX58,'FIN-CASHFLOW_CWS'!AX70)</f>
        <v>-292518348.73117179</v>
      </c>
      <c r="AZ50" s="121">
        <f>IF($D42="Y",'FIN-CASHFLOW_CWS'!AY58,'FIN-CASHFLOW_CWS'!AY70)</f>
        <v>-302452731.82718742</v>
      </c>
      <c r="BA50" s="121">
        <f>IF($D42="Y",'FIN-CASHFLOW_CWS'!AZ58,'FIN-CASHFLOW_CWS'!AZ70)</f>
        <v>-316290817.94879091</v>
      </c>
      <c r="BB50" s="121">
        <f>IF($D42="Y",'FIN-CASHFLOW_CWS'!BA58,'FIN-CASHFLOW_CWS'!BA70)</f>
        <v>-330140833.4403944</v>
      </c>
      <c r="BC50" s="121">
        <f>IF($D42="Y",'FIN-CASHFLOW_CWS'!BB58,'FIN-CASHFLOW_CWS'!BB70)</f>
        <v>-343793336.38299793</v>
      </c>
      <c r="BD50" s="121">
        <f>IF($D42="Y",'FIN-CASHFLOW_CWS'!BC58,'FIN-CASHFLOW_CWS'!BC70)</f>
        <v>-357480600.42560142</v>
      </c>
      <c r="BE50" s="121">
        <f>IF($D42="Y",'FIN-CASHFLOW_CWS'!BD58,'FIN-CASHFLOW_CWS'!BD70)</f>
        <v>-371189803.61520493</v>
      </c>
      <c r="BF50" s="121">
        <f>IF($D42="Y",'FIN-CASHFLOW_CWS'!BE58,'FIN-CASHFLOW_CWS'!BE70)</f>
        <v>-384753144.83080846</v>
      </c>
      <c r="BG50" s="121">
        <f>IF($D42="Y",'FIN-CASHFLOW_CWS'!BF58,'FIN-CASHFLOW_CWS'!BF70)</f>
        <v>-398323743.87341195</v>
      </c>
      <c r="BH50" s="121">
        <f>IF($D42="Y",'FIN-CASHFLOW_CWS'!BG58,'FIN-CASHFLOW_CWS'!BG70)</f>
        <v>-411887156.26301545</v>
      </c>
      <c r="BI50" s="121">
        <f>IF($D42="Y",'FIN-CASHFLOW_CWS'!BH58,'FIN-CASHFLOW_CWS'!BH70)</f>
        <v>-425397353.82961899</v>
      </c>
      <c r="BJ50" s="121">
        <f>IF($D42="Y",'FIN-CASHFLOW_CWS'!BI58,'FIN-CASHFLOW_CWS'!BI70)</f>
        <v>-439020706.39622253</v>
      </c>
      <c r="BK50" s="121">
        <f>IF($D42="Y",'FIN-CASHFLOW_CWS'!BJ58,'FIN-CASHFLOW_CWS'!BJ70)</f>
        <v>-452465989.96282607</v>
      </c>
      <c r="BL50" s="121">
        <f>IF($D42="Y",'FIN-CASHFLOW_CWS'!BK58,'FIN-CASHFLOW_CWS'!BK70)</f>
        <v>-469586152.83442962</v>
      </c>
    </row>
    <row r="51" spans="2:64" x14ac:dyDescent="0.15">
      <c r="B51" s="309" t="s">
        <v>472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1245790</v>
      </c>
      <c r="I51" s="121">
        <f>'REV-AR_CWS'!H19</f>
        <v>1374100</v>
      </c>
      <c r="J51" s="121">
        <f>'REV-AR_CWS'!I19</f>
        <v>1539720</v>
      </c>
      <c r="K51" s="121">
        <f>'REV-AR_CWS'!J19</f>
        <v>1245790</v>
      </c>
      <c r="L51" s="121">
        <f>'REV-AR_CWS'!K19</f>
        <v>1374100</v>
      </c>
      <c r="M51" s="121">
        <f>'REV-AR_CWS'!L19</f>
        <v>1117480</v>
      </c>
      <c r="N51" s="121">
        <f>'REV-AR_CWS'!M19</f>
        <v>1117480</v>
      </c>
      <c r="O51" s="121">
        <f>'REV-AR_CWS'!N19</f>
        <v>1117480</v>
      </c>
      <c r="P51" s="121">
        <f>'REV-AR_CWS'!O19</f>
        <v>695240</v>
      </c>
      <c r="Q51" s="121">
        <f>'REV-AR_CWS'!P19</f>
        <v>240868.75</v>
      </c>
      <c r="R51" s="121">
        <f>'REV-AR_CWS'!Q19</f>
        <v>391418.75</v>
      </c>
      <c r="S51" s="121">
        <f>'REV-AR_CWS'!R19</f>
        <v>436587.5</v>
      </c>
      <c r="T51" s="121">
        <f>'REV-AR_CWS'!S19</f>
        <v>439000</v>
      </c>
      <c r="U51" s="121">
        <f>'REV-AR_CWS'!T19</f>
        <v>484412.5</v>
      </c>
      <c r="V51" s="121">
        <f>'REV-AR_CWS'!U19</f>
        <v>529850</v>
      </c>
      <c r="W51" s="121">
        <f>'REV-AR_CWS'!V19</f>
        <v>439000</v>
      </c>
      <c r="X51" s="121">
        <f>'REV-AR_CWS'!W19</f>
        <v>484412.5</v>
      </c>
      <c r="Y51" s="121">
        <f>'REV-AR_CWS'!X19</f>
        <v>393587.5</v>
      </c>
      <c r="Z51" s="121">
        <f>'REV-AR_CWS'!Y19</f>
        <v>393587.5</v>
      </c>
      <c r="AA51" s="121">
        <f>'REV-AR_CWS'!Z19</f>
        <v>393587.5</v>
      </c>
      <c r="AB51" s="121">
        <f>'REV-AR_CWS'!AA19</f>
        <v>242281.25</v>
      </c>
      <c r="AC51" s="121">
        <f>'REV-AR_CWS'!AB19</f>
        <v>155968.75</v>
      </c>
      <c r="AD51" s="121">
        <f>'REV-AR_CWS'!AC19</f>
        <v>252725</v>
      </c>
      <c r="AE51" s="121">
        <f>'REV-AR_CWS'!AD19</f>
        <v>284927.5</v>
      </c>
      <c r="AF51" s="121">
        <f>'REV-AR_CWS'!AE19</f>
        <v>287565</v>
      </c>
      <c r="AG51" s="121">
        <f>'REV-AR_CWS'!AF19</f>
        <v>314696.25</v>
      </c>
      <c r="AH51" s="121">
        <f>'REV-AR_CWS'!AG19</f>
        <v>347168.75</v>
      </c>
      <c r="AI51" s="121">
        <f>'REV-AR_CWS'!AH19</f>
        <v>287565</v>
      </c>
      <c r="AJ51" s="121">
        <f>'REV-AR_CWS'!AI19</f>
        <v>314696.25</v>
      </c>
      <c r="AK51" s="121">
        <f>'REV-AR_CWS'!AJ19</f>
        <v>255096.25</v>
      </c>
      <c r="AL51" s="121">
        <f>'REV-AR_CWS'!AK19</f>
        <v>255096.25</v>
      </c>
      <c r="AM51" s="121">
        <f>'REV-AR_CWS'!AL19</f>
        <v>255096.25</v>
      </c>
      <c r="AN51" s="121">
        <f>'REV-AR_CWS'!AM19</f>
        <v>157516.25</v>
      </c>
      <c r="AO51" s="121">
        <f>'REV-AR_CWS'!AN19</f>
        <v>194900</v>
      </c>
      <c r="AP51" s="121">
        <f>'REV-AR_CWS'!AO19</f>
        <v>314355</v>
      </c>
      <c r="AQ51" s="121">
        <f>'REV-AR_CWS'!AP19</f>
        <v>351927.5</v>
      </c>
      <c r="AR51" s="121">
        <f>'REV-AR_CWS'!AQ19</f>
        <v>354967.5</v>
      </c>
      <c r="AS51" s="121">
        <f>'REV-AR_CWS'!AR19</f>
        <v>392812.5</v>
      </c>
      <c r="AT51" s="121">
        <f>'REV-AR_CWS'!AS19</f>
        <v>430895</v>
      </c>
      <c r="AU51" s="121">
        <f>'REV-AR_CWS'!AT19</f>
        <v>354967.5</v>
      </c>
      <c r="AV51" s="121">
        <f>'REV-AR_CWS'!AU19</f>
        <v>392812.5</v>
      </c>
      <c r="AW51" s="121">
        <f>'REV-AR_CWS'!AV19</f>
        <v>317087.5</v>
      </c>
      <c r="AX51" s="121">
        <f>'REV-AR_CWS'!AW19</f>
        <v>317087.5</v>
      </c>
      <c r="AY51" s="121">
        <f>'REV-AR_CWS'!AX19</f>
        <v>317087.5</v>
      </c>
      <c r="AZ51" s="121">
        <f>'REV-AR_CWS'!AY19</f>
        <v>196675</v>
      </c>
      <c r="BA51" s="121">
        <f>'REV-AR_CWS'!AZ19</f>
        <v>234235</v>
      </c>
      <c r="BB51" s="121">
        <f>'REV-AR_CWS'!BA19</f>
        <v>376200</v>
      </c>
      <c r="BC51" s="121">
        <f>'REV-AR_CWS'!BB19</f>
        <v>418747.5</v>
      </c>
      <c r="BD51" s="121">
        <f>'REV-AR_CWS'!BC19</f>
        <v>421787.5</v>
      </c>
      <c r="BE51" s="121">
        <f>'REV-AR_CWS'!BD19</f>
        <v>471482.5</v>
      </c>
      <c r="BF51" s="121">
        <f>'REV-AR_CWS'!BE19</f>
        <v>514662.5</v>
      </c>
      <c r="BG51" s="121">
        <f>'REV-AR_CWS'!BF19</f>
        <v>421787.5</v>
      </c>
      <c r="BH51" s="121">
        <f>'REV-AR_CWS'!BG19</f>
        <v>471482.5</v>
      </c>
      <c r="BI51" s="121">
        <f>'REV-AR_CWS'!BH19</f>
        <v>378932.5</v>
      </c>
      <c r="BJ51" s="121">
        <f>'REV-AR_CWS'!BI19</f>
        <v>378932.5</v>
      </c>
      <c r="BK51" s="121">
        <f>'REV-AR_CWS'!BJ19</f>
        <v>378932.5</v>
      </c>
      <c r="BL51" s="121">
        <f>'REV-AR_CWS'!BK19</f>
        <v>236010</v>
      </c>
    </row>
    <row r="52" spans="2:64" x14ac:dyDescent="0.15">
      <c r="B52" s="309" t="s">
        <v>473</v>
      </c>
      <c r="C52" s="136"/>
      <c r="D52" s="121">
        <f>'COGS-INVENTORY_CWS'!C48</f>
        <v>0</v>
      </c>
      <c r="E52" s="121">
        <f>'COGS-INVENTORY_CWS'!D48</f>
        <v>468000</v>
      </c>
      <c r="F52" s="121">
        <f>'COGS-INVENTORY_CWS'!E48</f>
        <v>984000</v>
      </c>
      <c r="G52" s="121">
        <f>'COGS-INVENTORY_CWS'!F48</f>
        <v>1560000</v>
      </c>
      <c r="H52" s="121">
        <f>'COGS-INVENTORY_CWS'!G48</f>
        <v>1560000</v>
      </c>
      <c r="I52" s="121">
        <f>'COGS-INVENTORY_CWS'!H48</f>
        <v>1560000</v>
      </c>
      <c r="J52" s="121">
        <f>'COGS-INVENTORY_CWS'!I48</f>
        <v>1404000</v>
      </c>
      <c r="K52" s="121">
        <f>'COGS-INVENTORY_CWS'!J48</f>
        <v>1356000</v>
      </c>
      <c r="L52" s="121">
        <f>'COGS-INVENTORY_CWS'!K48</f>
        <v>1260000</v>
      </c>
      <c r="M52" s="121">
        <f>'COGS-INVENTORY_CWS'!L48</f>
        <v>1104000</v>
      </c>
      <c r="N52" s="121">
        <f>'COGS-INVENTORY_CWS'!M48</f>
        <v>876000</v>
      </c>
      <c r="O52" s="121">
        <f>'COGS-INVENTORY_CWS'!N48</f>
        <v>768000</v>
      </c>
      <c r="P52" s="121">
        <f>'COGS-INVENTORY_CWS'!O48</f>
        <v>852000</v>
      </c>
      <c r="Q52" s="121">
        <f>'COGS-INVENTORY_CWS'!P48</f>
        <v>992400</v>
      </c>
      <c r="R52" s="121">
        <f>'COGS-INVENTORY_CWS'!Q48</f>
        <v>1057200</v>
      </c>
      <c r="S52" s="121">
        <f>'COGS-INVENTORY_CWS'!R48</f>
        <v>1122000</v>
      </c>
      <c r="T52" s="121">
        <f>'COGS-INVENTORY_CWS'!S48</f>
        <v>1122000</v>
      </c>
      <c r="U52" s="121">
        <f>'COGS-INVENTORY_CWS'!T48</f>
        <v>1122000</v>
      </c>
      <c r="V52" s="121">
        <f>'COGS-INVENTORY_CWS'!U48</f>
        <v>1024800</v>
      </c>
      <c r="W52" s="121">
        <f>'COGS-INVENTORY_CWS'!V48</f>
        <v>992400</v>
      </c>
      <c r="X52" s="121">
        <f>'COGS-INVENTORY_CWS'!W48</f>
        <v>927600</v>
      </c>
      <c r="Y52" s="121">
        <f>'COGS-INVENTORY_CWS'!X48</f>
        <v>819600</v>
      </c>
      <c r="Z52" s="121">
        <f>'COGS-INVENTORY_CWS'!Y48</f>
        <v>852000</v>
      </c>
      <c r="AA52" s="121">
        <f>'COGS-INVENTORY_CWS'!Z48</f>
        <v>1078800</v>
      </c>
      <c r="AB52" s="121">
        <f>'COGS-INVENTORY_CWS'!AA48</f>
        <v>1478400</v>
      </c>
      <c r="AC52" s="121">
        <f>'COGS-INVENTORY_CWS'!AB48</f>
        <v>1711680</v>
      </c>
      <c r="AD52" s="121">
        <f>'COGS-INVENTORY_CWS'!AC48</f>
        <v>1818600</v>
      </c>
      <c r="AE52" s="121">
        <f>'COGS-INVENTORY_CWS'!AD48</f>
        <v>1925520</v>
      </c>
      <c r="AF52" s="121">
        <f>'COGS-INVENTORY_CWS'!AE48</f>
        <v>1925520</v>
      </c>
      <c r="AG52" s="121">
        <f>'COGS-INVENTORY_CWS'!AF48</f>
        <v>1925520</v>
      </c>
      <c r="AH52" s="121">
        <f>'COGS-INVENTORY_CWS'!AG48</f>
        <v>1760280</v>
      </c>
      <c r="AI52" s="121">
        <f>'COGS-INVENTORY_CWS'!AH48</f>
        <v>1701960</v>
      </c>
      <c r="AJ52" s="121">
        <f>'COGS-INVENTORY_CWS'!AI48</f>
        <v>1595040</v>
      </c>
      <c r="AK52" s="121">
        <f>'COGS-INVENTORY_CWS'!AJ48</f>
        <v>1420080</v>
      </c>
      <c r="AL52" s="121">
        <f>'COGS-INVENTORY_CWS'!AK48</f>
        <v>1264560</v>
      </c>
      <c r="AM52" s="121">
        <f>'COGS-INVENTORY_CWS'!AL48</f>
        <v>1293720</v>
      </c>
      <c r="AN52" s="121">
        <f>'COGS-INVENTORY_CWS'!AM48</f>
        <v>1556160</v>
      </c>
      <c r="AO52" s="121">
        <f>'COGS-INVENTORY_CWS'!AN48</f>
        <v>1774860</v>
      </c>
      <c r="AP52" s="121">
        <f>'COGS-INVENTORY_CWS'!AO48</f>
        <v>1879836</v>
      </c>
      <c r="AQ52" s="121">
        <f>'COGS-INVENTORY_CWS'!AP48</f>
        <v>1984812</v>
      </c>
      <c r="AR52" s="121">
        <f>'COGS-INVENTORY_CWS'!AQ48</f>
        <v>1984812</v>
      </c>
      <c r="AS52" s="121">
        <f>'COGS-INVENTORY_CWS'!AR48</f>
        <v>1984812</v>
      </c>
      <c r="AT52" s="121">
        <f>'COGS-INVENTORY_CWS'!AS48</f>
        <v>1827348</v>
      </c>
      <c r="AU52" s="121">
        <f>'COGS-INVENTORY_CWS'!AT48</f>
        <v>1774860</v>
      </c>
      <c r="AV52" s="121">
        <f>'COGS-INVENTORY_CWS'!AU48</f>
        <v>1669884</v>
      </c>
      <c r="AW52" s="121">
        <f>'COGS-INVENTORY_CWS'!AV48</f>
        <v>1503672</v>
      </c>
      <c r="AX52" s="121">
        <f>'COGS-INVENTORY_CWS'!AW48</f>
        <v>1354956</v>
      </c>
      <c r="AY52" s="121">
        <f>'COGS-INVENTORY_CWS'!AX48</f>
        <v>1381200</v>
      </c>
      <c r="AZ52" s="121">
        <f>'COGS-INVENTORY_CWS'!AY48</f>
        <v>1626144</v>
      </c>
      <c r="BA52" s="121">
        <f>'COGS-INVENTORY_CWS'!AZ48</f>
        <v>1830847.2</v>
      </c>
      <c r="BB52" s="121">
        <f>'COGS-INVENTORY_CWS'!BA48</f>
        <v>1933198.8</v>
      </c>
      <c r="BC52" s="121">
        <f>'COGS-INVENTORY_CWS'!BB48</f>
        <v>2035550.4000000001</v>
      </c>
      <c r="BD52" s="121">
        <f>'COGS-INVENTORY_CWS'!BC48</f>
        <v>2035550.4000000001</v>
      </c>
      <c r="BE52" s="121">
        <f>'COGS-INVENTORY_CWS'!BD48</f>
        <v>2035550.4000000001</v>
      </c>
      <c r="BF52" s="121">
        <f>'COGS-INVENTORY_CWS'!BE48</f>
        <v>1885959.6</v>
      </c>
      <c r="BG52" s="121">
        <f>'COGS-INVENTORY_CWS'!BF48</f>
        <v>1838720.4000000001</v>
      </c>
      <c r="BH52" s="121">
        <f>'COGS-INVENTORY_CWS'!BG48</f>
        <v>1736368.8</v>
      </c>
      <c r="BI52" s="121">
        <f>'COGS-INVENTORY_CWS'!BH48</f>
        <v>1578904.8</v>
      </c>
      <c r="BJ52" s="121">
        <f>'COGS-INVENTORY_CWS'!BI48</f>
        <v>5098225.2</v>
      </c>
      <c r="BK52" s="121">
        <f>'COGS-INVENTORY_CWS'!BJ48</f>
        <v>8617545.5999999996</v>
      </c>
      <c r="BL52" s="121">
        <f>'COGS-INVENTORY_CWS'!BK48</f>
        <v>13475310</v>
      </c>
    </row>
    <row r="53" spans="2:64" x14ac:dyDescent="0.15">
      <c r="B53" s="306" t="s">
        <v>474</v>
      </c>
      <c r="C53" s="135"/>
      <c r="D53" s="121">
        <f>SUM(D50:D52)</f>
        <v>47327336.700000003</v>
      </c>
      <c r="E53" s="121">
        <f>SUM(E50:E52)</f>
        <v>38364112.700000003</v>
      </c>
      <c r="F53" s="121">
        <f t="shared" ref="F53:BL53" si="3">SUM(F50:F52)</f>
        <v>29484288.700000003</v>
      </c>
      <c r="G53" s="121">
        <f t="shared" si="3"/>
        <v>20219074.700000003</v>
      </c>
      <c r="H53" s="121">
        <f t="shared" si="3"/>
        <v>11556457.000000004</v>
      </c>
      <c r="I53" s="121">
        <f t="shared" si="3"/>
        <v>54168650.500000015</v>
      </c>
      <c r="J53" s="121">
        <f t="shared" si="3"/>
        <v>45659634.900000013</v>
      </c>
      <c r="K53" s="121">
        <f t="shared" si="3"/>
        <v>36889477.200000018</v>
      </c>
      <c r="L53" s="121">
        <f t="shared" si="3"/>
        <v>28325560.200000018</v>
      </c>
      <c r="M53" s="121">
        <f t="shared" si="3"/>
        <v>19455451.800000019</v>
      </c>
      <c r="N53" s="121">
        <f t="shared" si="3"/>
        <v>10525478.400000019</v>
      </c>
      <c r="O53" s="121">
        <f t="shared" si="3"/>
        <v>53169389.95000004</v>
      </c>
      <c r="P53" s="121">
        <f t="shared" si="3"/>
        <v>44379053.750000045</v>
      </c>
      <c r="Q53" s="121">
        <f t="shared" si="3"/>
        <v>33624094.812500045</v>
      </c>
      <c r="R53" s="121">
        <f t="shared" si="3"/>
        <v>22921114.375000045</v>
      </c>
      <c r="S53" s="121">
        <f t="shared" si="3"/>
        <v>12298269.625000045</v>
      </c>
      <c r="T53" s="121">
        <f t="shared" si="3"/>
        <v>1561000.0000000447</v>
      </c>
      <c r="U53" s="121">
        <f t="shared" si="3"/>
        <v>-9147682.4999999553</v>
      </c>
      <c r="V53" s="121">
        <f t="shared" si="3"/>
        <v>-19848428.624999955</v>
      </c>
      <c r="W53" s="121">
        <f t="shared" si="3"/>
        <v>-29615588.249999955</v>
      </c>
      <c r="X53" s="121">
        <f t="shared" si="3"/>
        <v>-39298680.749999955</v>
      </c>
      <c r="Y53" s="121">
        <f t="shared" si="3"/>
        <v>-49112147.499999955</v>
      </c>
      <c r="Z53" s="121">
        <f t="shared" si="3"/>
        <v>-58803729.249999955</v>
      </c>
      <c r="AA53" s="121">
        <f t="shared" si="3"/>
        <v>-68174395.999999955</v>
      </c>
      <c r="AB53" s="121">
        <f t="shared" si="3"/>
        <v>-77665879.812499955</v>
      </c>
      <c r="AC53" s="121">
        <f t="shared" si="3"/>
        <v>-86055269.940624952</v>
      </c>
      <c r="AD53" s="121">
        <f t="shared" si="3"/>
        <v>-94541982.706249952</v>
      </c>
      <c r="AE53" s="121">
        <f t="shared" si="3"/>
        <v>-102932349.44687495</v>
      </c>
      <c r="AF53" s="121">
        <f t="shared" si="3"/>
        <v>-111497782.81249994</v>
      </c>
      <c r="AG53" s="121">
        <f t="shared" si="3"/>
        <v>-120071655.86562493</v>
      </c>
      <c r="AH53" s="121">
        <f t="shared" si="3"/>
        <v>-128676900.99374993</v>
      </c>
      <c r="AI53" s="121">
        <f t="shared" si="3"/>
        <v>-137279904.35937494</v>
      </c>
      <c r="AJ53" s="121">
        <f t="shared" si="3"/>
        <v>-145799257.41249993</v>
      </c>
      <c r="AK53" s="121">
        <f t="shared" si="3"/>
        <v>-154443870.06562492</v>
      </c>
      <c r="AL53" s="121">
        <f t="shared" si="3"/>
        <v>-163089647.71874991</v>
      </c>
      <c r="AM53" s="121">
        <f t="shared" si="3"/>
        <v>-171355180.3718749</v>
      </c>
      <c r="AN53" s="121">
        <f t="shared" si="3"/>
        <v>-179510024.42499989</v>
      </c>
      <c r="AO53" s="121">
        <f t="shared" si="3"/>
        <v>-189548262.77101552</v>
      </c>
      <c r="AP53" s="121">
        <f t="shared" si="3"/>
        <v>-199635132.40703115</v>
      </c>
      <c r="AQ53" s="121">
        <f t="shared" si="3"/>
        <v>-209625750.07804677</v>
      </c>
      <c r="AR53" s="121">
        <f t="shared" si="3"/>
        <v>-219792987.94906241</v>
      </c>
      <c r="AS53" s="121">
        <f t="shared" si="3"/>
        <v>-229952324.53007802</v>
      </c>
      <c r="AT53" s="121">
        <f t="shared" si="3"/>
        <v>-240131934.44609365</v>
      </c>
      <c r="AU53" s="121">
        <f t="shared" si="3"/>
        <v>-250330910.31710929</v>
      </c>
      <c r="AV53" s="121">
        <f t="shared" si="3"/>
        <v>-260441558.8981249</v>
      </c>
      <c r="AW53" s="121">
        <f t="shared" si="3"/>
        <v>-270686246.00914055</v>
      </c>
      <c r="AX53" s="121">
        <f t="shared" si="3"/>
        <v>-280934042.12015617</v>
      </c>
      <c r="AY53" s="121">
        <f t="shared" si="3"/>
        <v>-290820061.23117179</v>
      </c>
      <c r="AZ53" s="121">
        <f t="shared" si="3"/>
        <v>-300629912.82718742</v>
      </c>
      <c r="BA53" s="121">
        <f t="shared" si="3"/>
        <v>-314225735.74879092</v>
      </c>
      <c r="BB53" s="121">
        <f t="shared" si="3"/>
        <v>-327831434.64039439</v>
      </c>
      <c r="BC53" s="121">
        <f t="shared" si="3"/>
        <v>-341339038.48299795</v>
      </c>
      <c r="BD53" s="121">
        <f t="shared" si="3"/>
        <v>-355023262.52560145</v>
      </c>
      <c r="BE53" s="121">
        <f t="shared" si="3"/>
        <v>-368682770.71520495</v>
      </c>
      <c r="BF53" s="121">
        <f t="shared" si="3"/>
        <v>-382352522.73080844</v>
      </c>
      <c r="BG53" s="121">
        <f t="shared" si="3"/>
        <v>-396063235.97341198</v>
      </c>
      <c r="BH53" s="121">
        <f t="shared" si="3"/>
        <v>-409679304.96301544</v>
      </c>
      <c r="BI53" s="121">
        <f t="shared" si="3"/>
        <v>-423439516.52961898</v>
      </c>
      <c r="BJ53" s="121">
        <f t="shared" si="3"/>
        <v>-433543548.69622254</v>
      </c>
      <c r="BK53" s="121">
        <f t="shared" si="3"/>
        <v>-443469511.86282605</v>
      </c>
      <c r="BL53" s="121">
        <f t="shared" si="3"/>
        <v>-455874832.83442962</v>
      </c>
    </row>
    <row r="54" spans="2:64" x14ac:dyDescent="0.15">
      <c r="B54" s="309" t="s">
        <v>468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475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476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468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477</v>
      </c>
      <c r="C60" s="135"/>
      <c r="D60" s="121">
        <f t="shared" ref="D60:AI60" si="5">D58+D53</f>
        <v>47327336.700000003</v>
      </c>
      <c r="E60" s="121">
        <f t="shared" si="5"/>
        <v>38406396.033333339</v>
      </c>
      <c r="F60" s="121">
        <f t="shared" si="5"/>
        <v>29560763.700000003</v>
      </c>
      <c r="G60" s="121">
        <f t="shared" si="5"/>
        <v>20304074.700000003</v>
      </c>
      <c r="H60" s="121">
        <f t="shared" si="5"/>
        <v>11649815.333333338</v>
      </c>
      <c r="I60" s="121">
        <f t="shared" si="5"/>
        <v>54260367.166666679</v>
      </c>
      <c r="J60" s="121">
        <f t="shared" si="5"/>
        <v>45749709.900000013</v>
      </c>
      <c r="K60" s="121">
        <f t="shared" si="5"/>
        <v>36977910.533333354</v>
      </c>
      <c r="L60" s="121">
        <f t="shared" si="5"/>
        <v>28412351.866666686</v>
      </c>
      <c r="M60" s="121">
        <f t="shared" si="5"/>
        <v>19540601.800000019</v>
      </c>
      <c r="N60" s="121">
        <f t="shared" si="5"/>
        <v>10608986.733333353</v>
      </c>
      <c r="O60" s="121">
        <f t="shared" si="5"/>
        <v>53251256.616666704</v>
      </c>
      <c r="P60" s="121">
        <f t="shared" si="5"/>
        <v>44459278.750000045</v>
      </c>
      <c r="Q60" s="121">
        <f t="shared" si="5"/>
        <v>33702678.145833381</v>
      </c>
      <c r="R60" s="121">
        <f t="shared" si="5"/>
        <v>22998056.041666713</v>
      </c>
      <c r="S60" s="121">
        <f t="shared" si="5"/>
        <v>12373569.625000045</v>
      </c>
      <c r="T60" s="121">
        <f t="shared" si="5"/>
        <v>1634658.333333378</v>
      </c>
      <c r="U60" s="121">
        <f t="shared" si="5"/>
        <v>-9075665.8333332893</v>
      </c>
      <c r="V60" s="121">
        <f t="shared" si="5"/>
        <v>-19778053.624999955</v>
      </c>
      <c r="W60" s="121">
        <f t="shared" si="5"/>
        <v>-29539971.583333287</v>
      </c>
      <c r="X60" s="121">
        <f t="shared" si="5"/>
        <v>-39224822.416666619</v>
      </c>
      <c r="Y60" s="121">
        <f t="shared" si="5"/>
        <v>-49040047.499999955</v>
      </c>
      <c r="Z60" s="121">
        <f t="shared" si="5"/>
        <v>-58733387.583333291</v>
      </c>
      <c r="AA60" s="121">
        <f t="shared" si="5"/>
        <v>-68105812.666666627</v>
      </c>
      <c r="AB60" s="121">
        <f t="shared" si="5"/>
        <v>-77599054.812499955</v>
      </c>
      <c r="AC60" s="121">
        <f t="shared" si="5"/>
        <v>-85995611.607291624</v>
      </c>
      <c r="AD60" s="121">
        <f t="shared" si="5"/>
        <v>-94484082.706249952</v>
      </c>
      <c r="AE60" s="121">
        <f t="shared" si="5"/>
        <v>-102876207.78020827</v>
      </c>
      <c r="AF60" s="121">
        <f t="shared" si="5"/>
        <v>-111443399.47916661</v>
      </c>
      <c r="AG60" s="121">
        <f t="shared" si="5"/>
        <v>-120019030.86562493</v>
      </c>
      <c r="AH60" s="121">
        <f t="shared" si="5"/>
        <v>-128626034.32708326</v>
      </c>
      <c r="AI60" s="121">
        <f t="shared" si="5"/>
        <v>-137230796.0260416</v>
      </c>
      <c r="AJ60" s="121">
        <f t="shared" ref="AJ60:BL60" si="6">AJ58+AJ53</f>
        <v>-145751907.41249993</v>
      </c>
      <c r="AK60" s="121">
        <f t="shared" si="6"/>
        <v>-154398278.39895827</v>
      </c>
      <c r="AL60" s="121">
        <f t="shared" si="6"/>
        <v>-163045814.38541657</v>
      </c>
      <c r="AM60" s="121">
        <f t="shared" si="6"/>
        <v>-171313105.3718749</v>
      </c>
      <c r="AN60" s="121">
        <f t="shared" si="6"/>
        <v>-179469707.75833324</v>
      </c>
      <c r="AO60" s="121">
        <f t="shared" si="6"/>
        <v>-189509704.43768218</v>
      </c>
      <c r="AP60" s="121">
        <f t="shared" si="6"/>
        <v>-199598332.40703115</v>
      </c>
      <c r="AQ60" s="121">
        <f t="shared" si="6"/>
        <v>-209590708.41138011</v>
      </c>
      <c r="AR60" s="121">
        <f t="shared" si="6"/>
        <v>-219759704.61572906</v>
      </c>
      <c r="AS60" s="121">
        <f t="shared" si="6"/>
        <v>-229920799.53007802</v>
      </c>
      <c r="AT60" s="121">
        <f t="shared" si="6"/>
        <v>-240102167.77942699</v>
      </c>
      <c r="AU60" s="121">
        <f t="shared" si="6"/>
        <v>-250302901.98377594</v>
      </c>
      <c r="AV60" s="121">
        <f t="shared" si="6"/>
        <v>-260415308.8981249</v>
      </c>
      <c r="AW60" s="121">
        <f t="shared" si="6"/>
        <v>-270661754.34247386</v>
      </c>
      <c r="AX60" s="121">
        <f t="shared" si="6"/>
        <v>-280911308.78682286</v>
      </c>
      <c r="AY60" s="121">
        <f t="shared" si="6"/>
        <v>-290799086.23117179</v>
      </c>
      <c r="AZ60" s="121">
        <f t="shared" si="6"/>
        <v>-300610696.16052073</v>
      </c>
      <c r="BA60" s="121">
        <f t="shared" si="6"/>
        <v>-314208277.41545761</v>
      </c>
      <c r="BB60" s="121">
        <f t="shared" si="6"/>
        <v>-327815734.64039439</v>
      </c>
      <c r="BC60" s="121">
        <f t="shared" si="6"/>
        <v>-341325096.81633127</v>
      </c>
      <c r="BD60" s="121">
        <f t="shared" si="6"/>
        <v>-355011079.19226813</v>
      </c>
      <c r="BE60" s="121">
        <f t="shared" si="6"/>
        <v>-368672345.71520495</v>
      </c>
      <c r="BF60" s="121">
        <f t="shared" si="6"/>
        <v>-382343856.06414175</v>
      </c>
      <c r="BG60" s="121">
        <f t="shared" si="6"/>
        <v>-396056327.64007866</v>
      </c>
      <c r="BH60" s="121">
        <f t="shared" si="6"/>
        <v>-409674154.96301544</v>
      </c>
      <c r="BI60" s="121">
        <f t="shared" si="6"/>
        <v>-423436124.86295229</v>
      </c>
      <c r="BJ60" s="121">
        <f t="shared" si="6"/>
        <v>-433541915.36288923</v>
      </c>
      <c r="BK60" s="121">
        <f t="shared" si="6"/>
        <v>-443469636.86282605</v>
      </c>
      <c r="BL60" s="121">
        <f t="shared" si="6"/>
        <v>-455876716.16776294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1077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478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385</v>
      </c>
      <c r="C66" s="136"/>
      <c r="D66" s="121">
        <f>'COGS-INVENTORY_CWS'!C69</f>
        <v>0</v>
      </c>
      <c r="E66" s="121">
        <f>'COGS-INVENTORY_CWS'!D69</f>
        <v>468000</v>
      </c>
      <c r="F66" s="121">
        <f>'COGS-INVENTORY_CWS'!E69</f>
        <v>984000</v>
      </c>
      <c r="G66" s="121">
        <f>'COGS-INVENTORY_CWS'!F69</f>
        <v>1092000</v>
      </c>
      <c r="H66" s="121">
        <f>'COGS-INVENTORY_CWS'!G69</f>
        <v>1044000</v>
      </c>
      <c r="I66" s="121">
        <f>'COGS-INVENTORY_CWS'!H69</f>
        <v>984000</v>
      </c>
      <c r="J66" s="121">
        <f>'COGS-INVENTORY_CWS'!I69</f>
        <v>936000</v>
      </c>
      <c r="K66" s="121">
        <f>'COGS-INVENTORY_CWS'!J69</f>
        <v>840000</v>
      </c>
      <c r="L66" s="121">
        <f>'COGS-INVENTORY_CWS'!K69</f>
        <v>840000</v>
      </c>
      <c r="M66" s="121">
        <f>'COGS-INVENTORY_CWS'!L69</f>
        <v>684000</v>
      </c>
      <c r="N66" s="121">
        <f>'COGS-INVENTORY_CWS'!M69</f>
        <v>456000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661200</v>
      </c>
      <c r="R66" s="121">
        <f>'COGS-INVENTORY_CWS'!Q69</f>
        <v>658800</v>
      </c>
      <c r="S66" s="121">
        <f>'COGS-INVENTORY_CWS'!R69</f>
        <v>723600</v>
      </c>
      <c r="T66" s="121">
        <f>'COGS-INVENTORY_CWS'!S69</f>
        <v>691200</v>
      </c>
      <c r="U66" s="121">
        <f>'COGS-INVENTORY_CWS'!T69</f>
        <v>658800</v>
      </c>
      <c r="V66" s="121">
        <f>'COGS-INVENTORY_CWS'!U69</f>
        <v>626400</v>
      </c>
      <c r="W66" s="121">
        <f>'COGS-INVENTORY_CWS'!V69</f>
        <v>561600</v>
      </c>
      <c r="X66" s="121">
        <f>'COGS-INVENTORY_CWS'!W69</f>
        <v>561600</v>
      </c>
      <c r="Y66" s="121">
        <f>'COGS-INVENTORY_CWS'!X69</f>
        <v>453600</v>
      </c>
      <c r="Z66" s="121">
        <f>'COGS-INVENTORY_CWS'!Y69</f>
        <v>486000</v>
      </c>
      <c r="AA66" s="121">
        <f>'COGS-INVENTORY_CWS'!Z69</f>
        <v>820800</v>
      </c>
      <c r="AB66" s="121">
        <f>'COGS-INVENTORY_CWS'!AA69</f>
        <v>1080000</v>
      </c>
      <c r="AC66" s="121">
        <f>'COGS-INVENTORY_CWS'!AB69</f>
        <v>1087560</v>
      </c>
      <c r="AD66" s="121">
        <f>'COGS-INVENTORY_CWS'!AC69</f>
        <v>1078920</v>
      </c>
      <c r="AE66" s="121">
        <f>'COGS-INVENTORY_CWS'!AD69</f>
        <v>1185840</v>
      </c>
      <c r="AF66" s="121">
        <f>'COGS-INVENTORY_CWS'!AE69</f>
        <v>1137240</v>
      </c>
      <c r="AG66" s="121">
        <f>'COGS-INVENTORY_CWS'!AF69</f>
        <v>1078920</v>
      </c>
      <c r="AH66" s="121">
        <f>'COGS-INVENTORY_CWS'!AG69</f>
        <v>1020600</v>
      </c>
      <c r="AI66" s="121">
        <f>'COGS-INVENTORY_CWS'!AH69</f>
        <v>913680</v>
      </c>
      <c r="AJ66" s="121">
        <f>'COGS-INVENTORY_CWS'!AI69</f>
        <v>913680</v>
      </c>
      <c r="AK66" s="121">
        <f>'COGS-INVENTORY_CWS'!AJ69</f>
        <v>738720</v>
      </c>
      <c r="AL66" s="121">
        <f>'COGS-INVENTORY_CWS'!AK69</f>
        <v>583200</v>
      </c>
      <c r="AM66" s="121">
        <f>'COGS-INVENTORY_CWS'!AL69</f>
        <v>787320</v>
      </c>
      <c r="AN66" s="121">
        <f>'COGS-INVENTORY_CWS'!AM69</f>
        <v>1030320</v>
      </c>
      <c r="AO66" s="121">
        <f>'COGS-INVENTORY_CWS'!AN69</f>
        <v>1034208</v>
      </c>
      <c r="AP66" s="121">
        <f>'COGS-INVENTORY_CWS'!AO69</f>
        <v>1032264</v>
      </c>
      <c r="AQ66" s="121">
        <f>'COGS-INVENTORY_CWS'!AP69</f>
        <v>1137240</v>
      </c>
      <c r="AR66" s="121">
        <f>'COGS-INVENTORY_CWS'!AQ69</f>
        <v>1084752</v>
      </c>
      <c r="AS66" s="121">
        <f>'COGS-INVENTORY_CWS'!AR69</f>
        <v>1032264</v>
      </c>
      <c r="AT66" s="121">
        <f>'COGS-INVENTORY_CWS'!AS69</f>
        <v>979776</v>
      </c>
      <c r="AU66" s="121">
        <f>'COGS-INVENTORY_CWS'!AT69</f>
        <v>874800</v>
      </c>
      <c r="AV66" s="121">
        <f>'COGS-INVENTORY_CWS'!AU69</f>
        <v>874800</v>
      </c>
      <c r="AW66" s="121">
        <f>'COGS-INVENTORY_CWS'!AV69</f>
        <v>708588</v>
      </c>
      <c r="AX66" s="121">
        <f>'COGS-INVENTORY_CWS'!AW69</f>
        <v>559872</v>
      </c>
      <c r="AY66" s="121">
        <f>'COGS-INVENTORY_CWS'!AX69</f>
        <v>752328</v>
      </c>
      <c r="AZ66" s="121">
        <f>'COGS-INVENTORY_CWS'!AY69</f>
        <v>979776</v>
      </c>
      <c r="BA66" s="121">
        <f>'COGS-INVENTORY_CWS'!AZ69</f>
        <v>980650.8</v>
      </c>
      <c r="BB66" s="121">
        <f>'COGS-INVENTORY_CWS'!BA69</f>
        <v>984150</v>
      </c>
      <c r="BC66" s="121">
        <f>'COGS-INVENTORY_CWS'!BB69</f>
        <v>1086501.5999999999</v>
      </c>
      <c r="BD66" s="121">
        <f>'COGS-INVENTORY_CWS'!BC69</f>
        <v>1031389.2</v>
      </c>
      <c r="BE66" s="121">
        <f>'COGS-INVENTORY_CWS'!BD69</f>
        <v>984149.99999999988</v>
      </c>
      <c r="BF66" s="121">
        <f>'COGS-INVENTORY_CWS'!BE69</f>
        <v>936910.79999999981</v>
      </c>
      <c r="BG66" s="121">
        <f>'COGS-INVENTORY_CWS'!BF69</f>
        <v>834559.2</v>
      </c>
      <c r="BH66" s="121">
        <f>'COGS-INVENTORY_CWS'!BG69</f>
        <v>834559.19999999984</v>
      </c>
      <c r="BI66" s="121">
        <f>'COGS-INVENTORY_CWS'!BH69</f>
        <v>677095.19999999984</v>
      </c>
      <c r="BJ66" s="121">
        <f>'COGS-INVENTORY_CWS'!BI69</f>
        <v>4196415.6000000006</v>
      </c>
      <c r="BK66" s="121">
        <f>'COGS-INVENTORY_CWS'!BJ69</f>
        <v>7873200.0000000009</v>
      </c>
      <c r="BL66" s="121">
        <f>'COGS-INVENTORY_CWS'!BK69</f>
        <v>9054180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479</v>
      </c>
      <c r="C68" s="135"/>
      <c r="D68" s="121">
        <f>SUM(D66:D67)</f>
        <v>0</v>
      </c>
      <c r="E68" s="121">
        <f>SUM(E66:E67)</f>
        <v>468000</v>
      </c>
      <c r="F68" s="121">
        <f t="shared" ref="F68:BL68" si="7">SUM(F66:F67)</f>
        <v>984000</v>
      </c>
      <c r="G68" s="121">
        <f t="shared" si="7"/>
        <v>1092000</v>
      </c>
      <c r="H68" s="121">
        <f t="shared" si="7"/>
        <v>1044000</v>
      </c>
      <c r="I68" s="121">
        <f t="shared" si="7"/>
        <v>984000</v>
      </c>
      <c r="J68" s="121">
        <f t="shared" si="7"/>
        <v>936000</v>
      </c>
      <c r="K68" s="121">
        <f t="shared" si="7"/>
        <v>840000</v>
      </c>
      <c r="L68" s="121">
        <f t="shared" si="7"/>
        <v>840000</v>
      </c>
      <c r="M68" s="121">
        <f t="shared" si="7"/>
        <v>684000</v>
      </c>
      <c r="N68" s="121">
        <f t="shared" si="7"/>
        <v>456000</v>
      </c>
      <c r="O68" s="121">
        <f t="shared" si="7"/>
        <v>504000</v>
      </c>
      <c r="P68" s="121">
        <f t="shared" si="7"/>
        <v>660000</v>
      </c>
      <c r="Q68" s="121">
        <f t="shared" si="7"/>
        <v>661200</v>
      </c>
      <c r="R68" s="121">
        <f t="shared" si="7"/>
        <v>658800</v>
      </c>
      <c r="S68" s="121">
        <f t="shared" si="7"/>
        <v>723600</v>
      </c>
      <c r="T68" s="121">
        <f t="shared" si="7"/>
        <v>691200</v>
      </c>
      <c r="U68" s="121">
        <f t="shared" si="7"/>
        <v>658800</v>
      </c>
      <c r="V68" s="121">
        <f t="shared" si="7"/>
        <v>626400</v>
      </c>
      <c r="W68" s="121">
        <f t="shared" si="7"/>
        <v>561600</v>
      </c>
      <c r="X68" s="121">
        <f t="shared" si="7"/>
        <v>561600</v>
      </c>
      <c r="Y68" s="121">
        <f t="shared" si="7"/>
        <v>453600</v>
      </c>
      <c r="Z68" s="121">
        <f t="shared" si="7"/>
        <v>486000</v>
      </c>
      <c r="AA68" s="121">
        <f t="shared" si="7"/>
        <v>820800</v>
      </c>
      <c r="AB68" s="121">
        <f t="shared" si="7"/>
        <v>1080000</v>
      </c>
      <c r="AC68" s="121">
        <f t="shared" si="7"/>
        <v>1087560</v>
      </c>
      <c r="AD68" s="121">
        <f t="shared" si="7"/>
        <v>1078920</v>
      </c>
      <c r="AE68" s="121">
        <f t="shared" si="7"/>
        <v>1185840</v>
      </c>
      <c r="AF68" s="121">
        <f t="shared" si="7"/>
        <v>1137240</v>
      </c>
      <c r="AG68" s="121">
        <f t="shared" si="7"/>
        <v>1078920</v>
      </c>
      <c r="AH68" s="121">
        <f t="shared" si="7"/>
        <v>1020600</v>
      </c>
      <c r="AI68" s="121">
        <f t="shared" si="7"/>
        <v>913680</v>
      </c>
      <c r="AJ68" s="121">
        <f t="shared" si="7"/>
        <v>913680</v>
      </c>
      <c r="AK68" s="121">
        <f t="shared" si="7"/>
        <v>738720</v>
      </c>
      <c r="AL68" s="121">
        <f t="shared" si="7"/>
        <v>583200</v>
      </c>
      <c r="AM68" s="121">
        <f t="shared" si="7"/>
        <v>787320</v>
      </c>
      <c r="AN68" s="121">
        <f t="shared" si="7"/>
        <v>1030320</v>
      </c>
      <c r="AO68" s="121">
        <f t="shared" si="7"/>
        <v>1034208</v>
      </c>
      <c r="AP68" s="121">
        <f t="shared" si="7"/>
        <v>1032264</v>
      </c>
      <c r="AQ68" s="121">
        <f t="shared" si="7"/>
        <v>1137240</v>
      </c>
      <c r="AR68" s="121">
        <f t="shared" si="7"/>
        <v>1084752</v>
      </c>
      <c r="AS68" s="121">
        <f t="shared" si="7"/>
        <v>1032264</v>
      </c>
      <c r="AT68" s="121">
        <f t="shared" si="7"/>
        <v>979776</v>
      </c>
      <c r="AU68" s="121">
        <f t="shared" si="7"/>
        <v>874800</v>
      </c>
      <c r="AV68" s="121">
        <f t="shared" si="7"/>
        <v>874800</v>
      </c>
      <c r="AW68" s="121">
        <f t="shared" si="7"/>
        <v>708588</v>
      </c>
      <c r="AX68" s="121">
        <f t="shared" si="7"/>
        <v>559872</v>
      </c>
      <c r="AY68" s="121">
        <f t="shared" si="7"/>
        <v>752328</v>
      </c>
      <c r="AZ68" s="121">
        <f t="shared" si="7"/>
        <v>979776</v>
      </c>
      <c r="BA68" s="121">
        <f t="shared" si="7"/>
        <v>980650.8</v>
      </c>
      <c r="BB68" s="121">
        <f t="shared" si="7"/>
        <v>984150</v>
      </c>
      <c r="BC68" s="121">
        <f t="shared" si="7"/>
        <v>1086501.5999999999</v>
      </c>
      <c r="BD68" s="121">
        <f t="shared" si="7"/>
        <v>1031389.2</v>
      </c>
      <c r="BE68" s="121">
        <f t="shared" si="7"/>
        <v>984149.99999999988</v>
      </c>
      <c r="BF68" s="121">
        <f t="shared" si="7"/>
        <v>936910.79999999981</v>
      </c>
      <c r="BG68" s="121">
        <f t="shared" si="7"/>
        <v>834559.2</v>
      </c>
      <c r="BH68" s="121">
        <f t="shared" si="7"/>
        <v>834559.19999999984</v>
      </c>
      <c r="BI68" s="121">
        <f t="shared" si="7"/>
        <v>677095.19999999984</v>
      </c>
      <c r="BJ68" s="121">
        <f t="shared" si="7"/>
        <v>4196415.6000000006</v>
      </c>
      <c r="BK68" s="121">
        <f t="shared" si="7"/>
        <v>7873200.0000000009</v>
      </c>
      <c r="BL68" s="121">
        <f t="shared" si="7"/>
        <v>9054180</v>
      </c>
    </row>
    <row r="69" spans="2:64" x14ac:dyDescent="0.15">
      <c r="B69" s="309" t="s">
        <v>468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480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481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482</v>
      </c>
      <c r="C74" s="135"/>
      <c r="D74" s="121">
        <f t="shared" ref="D74:AI74" si="8">D72+D68</f>
        <v>0</v>
      </c>
      <c r="E74" s="121">
        <f t="shared" si="8"/>
        <v>468000</v>
      </c>
      <c r="F74" s="121">
        <f t="shared" si="8"/>
        <v>984000</v>
      </c>
      <c r="G74" s="121">
        <f t="shared" si="8"/>
        <v>1092000</v>
      </c>
      <c r="H74" s="121">
        <f t="shared" si="8"/>
        <v>1044000</v>
      </c>
      <c r="I74" s="121">
        <f t="shared" si="8"/>
        <v>984000</v>
      </c>
      <c r="J74" s="121">
        <f t="shared" si="8"/>
        <v>936000</v>
      </c>
      <c r="K74" s="121">
        <f t="shared" si="8"/>
        <v>840000</v>
      </c>
      <c r="L74" s="121">
        <f t="shared" si="8"/>
        <v>840000</v>
      </c>
      <c r="M74" s="121">
        <f t="shared" si="8"/>
        <v>684000</v>
      </c>
      <c r="N74" s="121">
        <f t="shared" si="8"/>
        <v>456000</v>
      </c>
      <c r="O74" s="121">
        <f t="shared" si="8"/>
        <v>504000</v>
      </c>
      <c r="P74" s="121">
        <f t="shared" si="8"/>
        <v>660000</v>
      </c>
      <c r="Q74" s="121">
        <f t="shared" si="8"/>
        <v>661200</v>
      </c>
      <c r="R74" s="121">
        <f t="shared" si="8"/>
        <v>658800</v>
      </c>
      <c r="S74" s="121">
        <f t="shared" si="8"/>
        <v>723600</v>
      </c>
      <c r="T74" s="121">
        <f t="shared" si="8"/>
        <v>691200</v>
      </c>
      <c r="U74" s="121">
        <f t="shared" si="8"/>
        <v>658800</v>
      </c>
      <c r="V74" s="121">
        <f t="shared" si="8"/>
        <v>626400</v>
      </c>
      <c r="W74" s="121">
        <f t="shared" si="8"/>
        <v>561600</v>
      </c>
      <c r="X74" s="121">
        <f t="shared" si="8"/>
        <v>561600</v>
      </c>
      <c r="Y74" s="121">
        <f t="shared" si="8"/>
        <v>453600</v>
      </c>
      <c r="Z74" s="121">
        <f t="shared" si="8"/>
        <v>486000</v>
      </c>
      <c r="AA74" s="121">
        <f t="shared" si="8"/>
        <v>820800</v>
      </c>
      <c r="AB74" s="121">
        <f t="shared" si="8"/>
        <v>1080000</v>
      </c>
      <c r="AC74" s="121">
        <f t="shared" si="8"/>
        <v>1087560</v>
      </c>
      <c r="AD74" s="121">
        <f t="shared" si="8"/>
        <v>1078920</v>
      </c>
      <c r="AE74" s="121">
        <f t="shared" si="8"/>
        <v>1185840</v>
      </c>
      <c r="AF74" s="121">
        <f t="shared" si="8"/>
        <v>1137240</v>
      </c>
      <c r="AG74" s="121">
        <f t="shared" si="8"/>
        <v>1078920</v>
      </c>
      <c r="AH74" s="121">
        <f t="shared" si="8"/>
        <v>1020600</v>
      </c>
      <c r="AI74" s="121">
        <f t="shared" si="8"/>
        <v>913680</v>
      </c>
      <c r="AJ74" s="121">
        <f t="shared" ref="AJ74:BL74" si="9">AJ72+AJ68</f>
        <v>913680</v>
      </c>
      <c r="AK74" s="121">
        <f t="shared" si="9"/>
        <v>738720</v>
      </c>
      <c r="AL74" s="121">
        <f t="shared" si="9"/>
        <v>583200</v>
      </c>
      <c r="AM74" s="121">
        <f t="shared" si="9"/>
        <v>787320</v>
      </c>
      <c r="AN74" s="121">
        <f t="shared" si="9"/>
        <v>1030320</v>
      </c>
      <c r="AO74" s="121">
        <f t="shared" si="9"/>
        <v>1034208</v>
      </c>
      <c r="AP74" s="121">
        <f t="shared" si="9"/>
        <v>1032264</v>
      </c>
      <c r="AQ74" s="121">
        <f t="shared" si="9"/>
        <v>1137240</v>
      </c>
      <c r="AR74" s="121">
        <f t="shared" si="9"/>
        <v>1084752</v>
      </c>
      <c r="AS74" s="121">
        <f t="shared" si="9"/>
        <v>1032264</v>
      </c>
      <c r="AT74" s="121">
        <f t="shared" si="9"/>
        <v>979776</v>
      </c>
      <c r="AU74" s="121">
        <f t="shared" si="9"/>
        <v>874800</v>
      </c>
      <c r="AV74" s="121">
        <f t="shared" si="9"/>
        <v>874800</v>
      </c>
      <c r="AW74" s="121">
        <f t="shared" si="9"/>
        <v>708588</v>
      </c>
      <c r="AX74" s="121">
        <f t="shared" si="9"/>
        <v>559872</v>
      </c>
      <c r="AY74" s="121">
        <f t="shared" si="9"/>
        <v>752328</v>
      </c>
      <c r="AZ74" s="121">
        <f t="shared" si="9"/>
        <v>979776</v>
      </c>
      <c r="BA74" s="121">
        <f t="shared" si="9"/>
        <v>980650.8</v>
      </c>
      <c r="BB74" s="121">
        <f t="shared" si="9"/>
        <v>984150</v>
      </c>
      <c r="BC74" s="121">
        <f t="shared" si="9"/>
        <v>1086501.5999999999</v>
      </c>
      <c r="BD74" s="121">
        <f t="shared" si="9"/>
        <v>1031389.2</v>
      </c>
      <c r="BE74" s="121">
        <f t="shared" si="9"/>
        <v>984149.99999999988</v>
      </c>
      <c r="BF74" s="121">
        <f t="shared" si="9"/>
        <v>936910.79999999981</v>
      </c>
      <c r="BG74" s="121">
        <f t="shared" si="9"/>
        <v>834559.2</v>
      </c>
      <c r="BH74" s="121">
        <f t="shared" si="9"/>
        <v>834559.19999999984</v>
      </c>
      <c r="BI74" s="121">
        <f t="shared" si="9"/>
        <v>677095.19999999984</v>
      </c>
      <c r="BJ74" s="121">
        <f t="shared" si="9"/>
        <v>4196415.6000000006</v>
      </c>
      <c r="BK74" s="121">
        <f t="shared" si="9"/>
        <v>7873200.0000000009</v>
      </c>
      <c r="BL74" s="121">
        <f t="shared" si="9"/>
        <v>9054180</v>
      </c>
    </row>
    <row r="75" spans="2:64" x14ac:dyDescent="0.15">
      <c r="B75" s="309" t="s">
        <v>468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1078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1079</v>
      </c>
      <c r="C77" s="136"/>
      <c r="D77" s="121">
        <f>IF($D42="Y",'FIN-CASHFLOW_CWS'!C60,'FIN-CASHFLOW_CWS'!C65)</f>
        <v>47355928.700000003</v>
      </c>
      <c r="E77" s="121">
        <f>IF($D42="Y",'FIN-CASHFLOW_CWS'!D60,'FIN-CASHFLOW_CWS'!D65)</f>
        <v>47355928.700000003</v>
      </c>
      <c r="F77" s="121">
        <f>IF($D42="Y",'FIN-CASHFLOW_CWS'!E60,'FIN-CASHFLOW_CWS'!E65)</f>
        <v>47355928.700000003</v>
      </c>
      <c r="G77" s="121">
        <f>IF($D42="Y",'FIN-CASHFLOW_CWS'!F60,'FIN-CASHFLOW_CWS'!F65)</f>
        <v>47355928.700000003</v>
      </c>
      <c r="H77" s="121">
        <f>IF($D42="Y",'FIN-CASHFLOW_CWS'!G60,'FIN-CASHFLOW_CWS'!G65)</f>
        <v>47355928.700000003</v>
      </c>
      <c r="I77" s="121">
        <f>IF($D42="Y",'FIN-CASHFLOW_CWS'!H60,'FIN-CASHFLOW_CWS'!H65)</f>
        <v>98590479.200000018</v>
      </c>
      <c r="J77" s="121">
        <f>IF($D42="Y",'FIN-CASHFLOW_CWS'!I60,'FIN-CASHFLOW_CWS'!I65)</f>
        <v>98590479.200000018</v>
      </c>
      <c r="K77" s="121">
        <f>IF($D42="Y",'FIN-CASHFLOW_CWS'!J60,'FIN-CASHFLOW_CWS'!J65)</f>
        <v>98590479.200000018</v>
      </c>
      <c r="L77" s="121">
        <f>IF($D42="Y",'FIN-CASHFLOW_CWS'!K60,'FIN-CASHFLOW_CWS'!K65)</f>
        <v>98590479.200000018</v>
      </c>
      <c r="M77" s="121">
        <f>IF($D42="Y",'FIN-CASHFLOW_CWS'!L60,'FIN-CASHFLOW_CWS'!L65)</f>
        <v>98590479.200000018</v>
      </c>
      <c r="N77" s="121">
        <f>IF($D42="Y",'FIN-CASHFLOW_CWS'!M60,'FIN-CASHFLOW_CWS'!M65)</f>
        <v>98590479.200000018</v>
      </c>
      <c r="O77" s="121">
        <f>IF($D42="Y",'FIN-CASHFLOW_CWS'!N60,'FIN-CASHFLOW_CWS'!N65)</f>
        <v>149874389.15000004</v>
      </c>
      <c r="P77" s="121">
        <f>IF($D42="Y",'FIN-CASHFLOW_CWS'!O60,'FIN-CASHFLOW_CWS'!O65)</f>
        <v>149874389.15000004</v>
      </c>
      <c r="Q77" s="121">
        <f>IF($D42="Y",'FIN-CASHFLOW_CWS'!P60,'FIN-CASHFLOW_CWS'!P65)</f>
        <v>149874389.15000004</v>
      </c>
      <c r="R77" s="121">
        <f>IF($D42="Y",'FIN-CASHFLOW_CWS'!Q60,'FIN-CASHFLOW_CWS'!Q65)</f>
        <v>149874389.15000004</v>
      </c>
      <c r="S77" s="121">
        <f>IF($D42="Y",'FIN-CASHFLOW_CWS'!R60,'FIN-CASHFLOW_CWS'!R65)</f>
        <v>149874389.15000004</v>
      </c>
      <c r="T77" s="121">
        <f>IF($D42="Y",'FIN-CASHFLOW_CWS'!S60,'FIN-CASHFLOW_CWS'!S65)</f>
        <v>149874389.15000004</v>
      </c>
      <c r="U77" s="121">
        <f>IF($D42="Y",'FIN-CASHFLOW_CWS'!T60,'FIN-CASHFLOW_CWS'!T65)</f>
        <v>149874389.15000004</v>
      </c>
      <c r="V77" s="121">
        <f>IF($D42="Y",'FIN-CASHFLOW_CWS'!U60,'FIN-CASHFLOW_CWS'!U65)</f>
        <v>149874389.15000004</v>
      </c>
      <c r="W77" s="121">
        <f>IF($D42="Y",'FIN-CASHFLOW_CWS'!V60,'FIN-CASHFLOW_CWS'!V65)</f>
        <v>149874389.15000004</v>
      </c>
      <c r="X77" s="121">
        <f>IF($D42="Y",'FIN-CASHFLOW_CWS'!W60,'FIN-CASHFLOW_CWS'!W65)</f>
        <v>149874389.15000004</v>
      </c>
      <c r="Y77" s="121">
        <f>IF($D42="Y",'FIN-CASHFLOW_CWS'!X60,'FIN-CASHFLOW_CWS'!X65)</f>
        <v>149874389.15000004</v>
      </c>
      <c r="Z77" s="121">
        <f>IF($D42="Y",'FIN-CASHFLOW_CWS'!Y60,'FIN-CASHFLOW_CWS'!Y65)</f>
        <v>149874389.15000004</v>
      </c>
      <c r="AA77" s="121">
        <f>IF($D42="Y",'FIN-CASHFLOW_CWS'!Z60,'FIN-CASHFLOW_CWS'!Z65)</f>
        <v>149874389.15000004</v>
      </c>
      <c r="AB77" s="121">
        <f>IF($D42="Y",'FIN-CASHFLOW_CWS'!AA60,'FIN-CASHFLOW_CWS'!AA65)</f>
        <v>149874389.15000004</v>
      </c>
      <c r="AC77" s="121">
        <f>IF($D42="Y",'FIN-CASHFLOW_CWS'!AB60,'FIN-CASHFLOW_CWS'!AB65)</f>
        <v>149874389.15000004</v>
      </c>
      <c r="AD77" s="121">
        <f>IF($D42="Y",'FIN-CASHFLOW_CWS'!AC60,'FIN-CASHFLOW_CWS'!AC65)</f>
        <v>149874389.15000004</v>
      </c>
      <c r="AE77" s="121">
        <f>IF($D42="Y",'FIN-CASHFLOW_CWS'!AD60,'FIN-CASHFLOW_CWS'!AD65)</f>
        <v>149874389.15000004</v>
      </c>
      <c r="AF77" s="121">
        <f>IF($D42="Y",'FIN-CASHFLOW_CWS'!AE60,'FIN-CASHFLOW_CWS'!AE65)</f>
        <v>149874389.15000004</v>
      </c>
      <c r="AG77" s="121">
        <f>IF($D42="Y",'FIN-CASHFLOW_CWS'!AF60,'FIN-CASHFLOW_CWS'!AF65)</f>
        <v>149874389.15000004</v>
      </c>
      <c r="AH77" s="121">
        <f>IF($D42="Y",'FIN-CASHFLOW_CWS'!AG60,'FIN-CASHFLOW_CWS'!AG65)</f>
        <v>149874389.15000004</v>
      </c>
      <c r="AI77" s="121">
        <f>IF($D42="Y",'FIN-CASHFLOW_CWS'!AH60,'FIN-CASHFLOW_CWS'!AH65)</f>
        <v>149874389.15000004</v>
      </c>
      <c r="AJ77" s="121">
        <f>IF($D42="Y",'FIN-CASHFLOW_CWS'!AI60,'FIN-CASHFLOW_CWS'!AI65)</f>
        <v>149874389.15000004</v>
      </c>
      <c r="AK77" s="121">
        <f>IF($D42="Y",'FIN-CASHFLOW_CWS'!AJ60,'FIN-CASHFLOW_CWS'!AJ65)</f>
        <v>149874389.15000004</v>
      </c>
      <c r="AL77" s="121">
        <f>IF($D42="Y",'FIN-CASHFLOW_CWS'!AK60,'FIN-CASHFLOW_CWS'!AK65)</f>
        <v>149874389.15000004</v>
      </c>
      <c r="AM77" s="121">
        <f>IF($D42="Y",'FIN-CASHFLOW_CWS'!AL60,'FIN-CASHFLOW_CWS'!AL65)</f>
        <v>149874389.15000004</v>
      </c>
      <c r="AN77" s="121">
        <f>IF($D42="Y",'FIN-CASHFLOW_CWS'!AM60,'FIN-CASHFLOW_CWS'!AM65)</f>
        <v>149874389.15000004</v>
      </c>
      <c r="AO77" s="121">
        <f>IF($D42="Y",'FIN-CASHFLOW_CWS'!AN60,'FIN-CASHFLOW_CWS'!AN65)</f>
        <v>149874389.15000004</v>
      </c>
      <c r="AP77" s="121">
        <f>IF($D42="Y",'FIN-CASHFLOW_CWS'!AO60,'FIN-CASHFLOW_CWS'!AO65)</f>
        <v>149874389.15000004</v>
      </c>
      <c r="AQ77" s="121">
        <f>IF($D42="Y",'FIN-CASHFLOW_CWS'!AP60,'FIN-CASHFLOW_CWS'!AP65)</f>
        <v>149874389.15000004</v>
      </c>
      <c r="AR77" s="121">
        <f>IF($D42="Y",'FIN-CASHFLOW_CWS'!AQ60,'FIN-CASHFLOW_CWS'!AQ65)</f>
        <v>149874389.15000004</v>
      </c>
      <c r="AS77" s="121">
        <f>IF($D42="Y",'FIN-CASHFLOW_CWS'!AR60,'FIN-CASHFLOW_CWS'!AR65)</f>
        <v>149874389.15000004</v>
      </c>
      <c r="AT77" s="121">
        <f>IF($D42="Y",'FIN-CASHFLOW_CWS'!AS60,'FIN-CASHFLOW_CWS'!AS65)</f>
        <v>149874389.15000004</v>
      </c>
      <c r="AU77" s="121">
        <f>IF($D42="Y",'FIN-CASHFLOW_CWS'!AT60,'FIN-CASHFLOW_CWS'!AT65)</f>
        <v>149874389.15000004</v>
      </c>
      <c r="AV77" s="121">
        <f>IF($D42="Y",'FIN-CASHFLOW_CWS'!AU60,'FIN-CASHFLOW_CWS'!AU65)</f>
        <v>149874389.15000004</v>
      </c>
      <c r="AW77" s="121">
        <f>IF($D42="Y",'FIN-CASHFLOW_CWS'!AV60,'FIN-CASHFLOW_CWS'!AV65)</f>
        <v>149874389.15000004</v>
      </c>
      <c r="AX77" s="121">
        <f>IF($D42="Y",'FIN-CASHFLOW_CWS'!AW60,'FIN-CASHFLOW_CWS'!AW65)</f>
        <v>149874389.15000004</v>
      </c>
      <c r="AY77" s="121">
        <f>IF($D42="Y",'FIN-CASHFLOW_CWS'!AX60,'FIN-CASHFLOW_CWS'!AX65)</f>
        <v>149874389.15000004</v>
      </c>
      <c r="AZ77" s="121">
        <f>IF($D42="Y",'FIN-CASHFLOW_CWS'!AY60,'FIN-CASHFLOW_CWS'!AY65)</f>
        <v>149874389.15000004</v>
      </c>
      <c r="BA77" s="121">
        <f>IF($D42="Y",'FIN-CASHFLOW_CWS'!AZ60,'FIN-CASHFLOW_CWS'!AZ65)</f>
        <v>149874389.15000004</v>
      </c>
      <c r="BB77" s="121">
        <f>IF($D42="Y",'FIN-CASHFLOW_CWS'!BA60,'FIN-CASHFLOW_CWS'!BA65)</f>
        <v>149874389.15000004</v>
      </c>
      <c r="BC77" s="121">
        <f>IF($D42="Y",'FIN-CASHFLOW_CWS'!BB60,'FIN-CASHFLOW_CWS'!BB65)</f>
        <v>149874389.15000004</v>
      </c>
      <c r="BD77" s="121">
        <f>IF($D42="Y",'FIN-CASHFLOW_CWS'!BC60,'FIN-CASHFLOW_CWS'!BC65)</f>
        <v>149874389.15000004</v>
      </c>
      <c r="BE77" s="121">
        <f>IF($D42="Y",'FIN-CASHFLOW_CWS'!BD60,'FIN-CASHFLOW_CWS'!BD65)</f>
        <v>149874389.15000004</v>
      </c>
      <c r="BF77" s="121">
        <f>IF($D42="Y",'FIN-CASHFLOW_CWS'!BE60,'FIN-CASHFLOW_CWS'!BE65)</f>
        <v>149874389.15000004</v>
      </c>
      <c r="BG77" s="121">
        <f>IF($D42="Y",'FIN-CASHFLOW_CWS'!BF60,'FIN-CASHFLOW_CWS'!BF65)</f>
        <v>149874389.15000004</v>
      </c>
      <c r="BH77" s="121">
        <f>IF($D42="Y",'FIN-CASHFLOW_CWS'!BG60,'FIN-CASHFLOW_CWS'!BG65)</f>
        <v>149874389.15000004</v>
      </c>
      <c r="BI77" s="121">
        <f>IF($D42="Y",'FIN-CASHFLOW_CWS'!BH60,'FIN-CASHFLOW_CWS'!BH65)</f>
        <v>149874389.15000004</v>
      </c>
      <c r="BJ77" s="121">
        <f>IF($D42="Y",'FIN-CASHFLOW_CWS'!BI60,'FIN-CASHFLOW_CWS'!BI65)</f>
        <v>149874389.15000004</v>
      </c>
      <c r="BK77" s="121">
        <f>IF($D42="Y",'FIN-CASHFLOW_CWS'!BJ60,'FIN-CASHFLOW_CWS'!BJ65)</f>
        <v>149874389.15000004</v>
      </c>
      <c r="BL77" s="121">
        <f>IF($D42="Y",'FIN-CASHFLOW_CWS'!BK60,'FIN-CASHFLOW_CWS'!BK65)</f>
        <v>149874389.15000004</v>
      </c>
    </row>
    <row r="78" spans="2:64" x14ac:dyDescent="0.15">
      <c r="B78" s="309" t="s">
        <v>998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-36750113.366666667</v>
      </c>
      <c r="J78" s="121">
        <f t="shared" si="10"/>
        <v>-45314112.033333331</v>
      </c>
      <c r="K78" s="121">
        <f t="shared" si="10"/>
        <v>-53776769.299999997</v>
      </c>
      <c r="L78" s="121">
        <f t="shared" si="10"/>
        <v>-62452568.666666664</v>
      </c>
      <c r="M78" s="121">
        <f t="shared" si="10"/>
        <v>-71018127.333333328</v>
      </c>
      <c r="N78" s="121">
        <f t="shared" si="10"/>
        <v>-79733877.399999991</v>
      </c>
      <c r="O78" s="121">
        <f t="shared" si="10"/>
        <v>-88437492.466666654</v>
      </c>
      <c r="P78" s="121">
        <f t="shared" si="10"/>
        <v>-97127132.533333316</v>
      </c>
      <c r="Q78" s="121">
        <f t="shared" si="10"/>
        <v>-106075110.39999998</v>
      </c>
      <c r="R78" s="121">
        <f t="shared" si="10"/>
        <v>-116832911.00416665</v>
      </c>
      <c r="S78" s="121">
        <f t="shared" si="10"/>
        <v>-127535133.10833332</v>
      </c>
      <c r="T78" s="121">
        <f t="shared" si="10"/>
        <v>-138224419.52499998</v>
      </c>
      <c r="U78" s="121">
        <f t="shared" si="10"/>
        <v>-148930930.81666663</v>
      </c>
      <c r="V78" s="121">
        <f t="shared" si="10"/>
        <v>-159608854.98333329</v>
      </c>
      <c r="W78" s="121">
        <f t="shared" si="10"/>
        <v>-170278842.77499995</v>
      </c>
      <c r="X78" s="121">
        <f t="shared" si="10"/>
        <v>-179975960.73333329</v>
      </c>
      <c r="Y78" s="121">
        <f t="shared" si="10"/>
        <v>-189660811.56666663</v>
      </c>
      <c r="Z78" s="121">
        <f t="shared" si="10"/>
        <v>-199368036.64999998</v>
      </c>
      <c r="AA78" s="121">
        <f t="shared" si="10"/>
        <v>-209093776.73333332</v>
      </c>
      <c r="AB78" s="121">
        <f t="shared" si="10"/>
        <v>-218801001.81666666</v>
      </c>
      <c r="AC78" s="121">
        <f t="shared" si="10"/>
        <v>-228553443.96250001</v>
      </c>
      <c r="AD78" s="121">
        <f t="shared" si="10"/>
        <v>-236957560.75729167</v>
      </c>
      <c r="AE78" s="121">
        <f t="shared" si="10"/>
        <v>-245437391.85625002</v>
      </c>
      <c r="AF78" s="121">
        <f t="shared" si="10"/>
        <v>-253936436.93020836</v>
      </c>
      <c r="AG78" s="121">
        <f t="shared" si="10"/>
        <v>-262455028.62916669</v>
      </c>
      <c r="AH78" s="121">
        <f t="shared" si="10"/>
        <v>-270972340.015625</v>
      </c>
      <c r="AI78" s="121">
        <f t="shared" si="10"/>
        <v>-279521023.47708333</v>
      </c>
      <c r="AJ78" s="121">
        <f t="shared" si="10"/>
        <v>-288018865.17604166</v>
      </c>
      <c r="AK78" s="121">
        <f t="shared" si="10"/>
        <v>-296539976.5625</v>
      </c>
      <c r="AL78" s="121">
        <f t="shared" si="10"/>
        <v>-305011387.54895836</v>
      </c>
      <c r="AM78" s="121">
        <f t="shared" si="10"/>
        <v>-313503403.53541672</v>
      </c>
      <c r="AN78" s="121">
        <f t="shared" si="10"/>
        <v>-321974814.52187508</v>
      </c>
      <c r="AO78" s="121">
        <f t="shared" si="10"/>
        <v>-330374416.90833342</v>
      </c>
      <c r="AP78" s="121">
        <f t="shared" si="10"/>
        <v>-340418301.58768237</v>
      </c>
      <c r="AQ78" s="121">
        <f t="shared" si="10"/>
        <v>-350504985.55703133</v>
      </c>
      <c r="AR78" s="121">
        <f t="shared" si="10"/>
        <v>-360602337.56138027</v>
      </c>
      <c r="AS78" s="121">
        <f t="shared" si="10"/>
        <v>-370718845.76572925</v>
      </c>
      <c r="AT78" s="121">
        <f t="shared" si="10"/>
        <v>-380827452.68007821</v>
      </c>
      <c r="AU78" s="121">
        <f t="shared" si="10"/>
        <v>-390956332.92942715</v>
      </c>
      <c r="AV78" s="121">
        <f t="shared" si="10"/>
        <v>-401052091.13377613</v>
      </c>
      <c r="AW78" s="121">
        <f t="shared" si="10"/>
        <v>-411164498.04812509</v>
      </c>
      <c r="AX78" s="121">
        <f t="shared" si="10"/>
        <v>-421244731.49247402</v>
      </c>
      <c r="AY78" s="121">
        <f t="shared" si="10"/>
        <v>-431345569.93682295</v>
      </c>
      <c r="AZ78" s="121">
        <f t="shared" si="10"/>
        <v>-441425803.38117188</v>
      </c>
      <c r="BA78" s="121">
        <f t="shared" si="10"/>
        <v>-451464861.31052083</v>
      </c>
      <c r="BB78" s="121">
        <f t="shared" si="10"/>
        <v>-465063317.36545765</v>
      </c>
      <c r="BC78" s="121">
        <f t="shared" si="10"/>
        <v>-478674273.79039448</v>
      </c>
      <c r="BD78" s="121">
        <f t="shared" si="10"/>
        <v>-492285987.56633133</v>
      </c>
      <c r="BE78" s="121">
        <f t="shared" si="10"/>
        <v>-505916857.54226816</v>
      </c>
      <c r="BF78" s="121">
        <f t="shared" si="10"/>
        <v>-519530884.86520499</v>
      </c>
      <c r="BG78" s="121">
        <f t="shared" si="10"/>
        <v>-533155156.01414186</v>
      </c>
      <c r="BH78" s="121">
        <f t="shared" si="10"/>
        <v>-546765275.99007869</v>
      </c>
      <c r="BI78" s="121">
        <f t="shared" si="10"/>
        <v>-560383103.31301558</v>
      </c>
      <c r="BJ78" s="121">
        <f t="shared" si="10"/>
        <v>-573987609.21295238</v>
      </c>
      <c r="BK78" s="121">
        <f t="shared" si="10"/>
        <v>-587612720.11288917</v>
      </c>
      <c r="BL78" s="121">
        <f t="shared" si="10"/>
        <v>-601217226.01282597</v>
      </c>
    </row>
    <row r="79" spans="2:64" s="33" customFormat="1" x14ac:dyDescent="0.15">
      <c r="B79" s="310" t="s">
        <v>485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-8606259.3666666653</v>
      </c>
      <c r="I79" s="70">
        <f>'FIN-CASHFLOW_CWS'!H35</f>
        <v>-8563998.666666666</v>
      </c>
      <c r="J79" s="70">
        <f>'FIN-CASHFLOW_CWS'!I35</f>
        <v>-8462657.2666666657</v>
      </c>
      <c r="K79" s="70">
        <f>'FIN-CASHFLOW_CWS'!J35</f>
        <v>-8675799.3666666653</v>
      </c>
      <c r="L79" s="70">
        <f>'FIN-CASHFLOW_CWS'!K35</f>
        <v>-8565558.666666666</v>
      </c>
      <c r="M79" s="70">
        <f>'FIN-CASHFLOW_CWS'!L35</f>
        <v>-8715750.0666666664</v>
      </c>
      <c r="N79" s="70">
        <f>'FIN-CASHFLOW_CWS'!M35</f>
        <v>-8703615.0666666664</v>
      </c>
      <c r="O79" s="70">
        <f>'FIN-CASHFLOW_CWS'!N35</f>
        <v>-8689640.0666666664</v>
      </c>
      <c r="P79" s="70">
        <f>'FIN-CASHFLOW_CWS'!O35</f>
        <v>-8947977.8666666653</v>
      </c>
      <c r="Q79" s="70">
        <f>'FIN-CASHFLOW_CWS'!P35</f>
        <v>-10757800.604166666</v>
      </c>
      <c r="R79" s="70">
        <f>'FIN-CASHFLOW_CWS'!Q35</f>
        <v>-10702222.104166666</v>
      </c>
      <c r="S79" s="70">
        <f>'FIN-CASHFLOW_CWS'!R35</f>
        <v>-10689286.416666666</v>
      </c>
      <c r="T79" s="70">
        <f>'FIN-CASHFLOW_CWS'!S35</f>
        <v>-10706511.291666666</v>
      </c>
      <c r="U79" s="70">
        <f>'FIN-CASHFLOW_CWS'!T35</f>
        <v>-10677924.166666666</v>
      </c>
      <c r="V79" s="70">
        <f>'FIN-CASHFLOW_CWS'!U35</f>
        <v>-10669987.791666666</v>
      </c>
      <c r="W79" s="70">
        <f>'FIN-CASHFLOW_CWS'!V35</f>
        <v>-9697117.958333334</v>
      </c>
      <c r="X79" s="70">
        <f>'FIN-CASHFLOW_CWS'!W35</f>
        <v>-9684850.833333334</v>
      </c>
      <c r="Y79" s="70">
        <f>'FIN-CASHFLOW_CWS'!X35</f>
        <v>-9707225.083333334</v>
      </c>
      <c r="Z79" s="70">
        <f>'FIN-CASHFLOW_CWS'!Y35</f>
        <v>-9725740.083333334</v>
      </c>
      <c r="AA79" s="70">
        <f>'FIN-CASHFLOW_CWS'!Z35</f>
        <v>-9707225.083333334</v>
      </c>
      <c r="AB79" s="70">
        <f>'FIN-CASHFLOW_CWS'!AA35</f>
        <v>-9752442.145833334</v>
      </c>
      <c r="AC79" s="70">
        <f>'FIN-CASHFLOW_CWS'!AB35</f>
        <v>-8404116.7947916649</v>
      </c>
      <c r="AD79" s="70">
        <f>'FIN-CASHFLOW_CWS'!AC35</f>
        <v>-8479831.0989583321</v>
      </c>
      <c r="AE79" s="70">
        <f>'FIN-CASHFLOW_CWS'!AD35</f>
        <v>-8499045.0739583336</v>
      </c>
      <c r="AF79" s="70">
        <f>'FIN-CASHFLOW_CWS'!AE35</f>
        <v>-8518591.6989583336</v>
      </c>
      <c r="AG79" s="70">
        <f>'FIN-CASHFLOW_CWS'!AF35</f>
        <v>-8517311.3864583336</v>
      </c>
      <c r="AH79" s="70">
        <f>'FIN-CASHFLOW_CWS'!AG35</f>
        <v>-8548683.4614583328</v>
      </c>
      <c r="AI79" s="70">
        <f>'FIN-CASHFLOW_CWS'!AH35</f>
        <v>-8497841.6989583336</v>
      </c>
      <c r="AJ79" s="70">
        <f>'FIN-CASHFLOW_CWS'!AI35</f>
        <v>-8521111.3864583336</v>
      </c>
      <c r="AK79" s="70">
        <f>'FIN-CASHFLOW_CWS'!AJ35</f>
        <v>-8471410.9864583332</v>
      </c>
      <c r="AL79" s="70">
        <f>'FIN-CASHFLOW_CWS'!AK35</f>
        <v>-8492015.9864583332</v>
      </c>
      <c r="AM79" s="70">
        <f>'FIN-CASHFLOW_CWS'!AL35</f>
        <v>-8471410.9864583332</v>
      </c>
      <c r="AN79" s="70">
        <f>'FIN-CASHFLOW_CWS'!AM35</f>
        <v>-8399602.3864583336</v>
      </c>
      <c r="AO79" s="70">
        <f>'FIN-CASHFLOW_CWS'!AN35</f>
        <v>-10043884.679348959</v>
      </c>
      <c r="AP79" s="70">
        <f>'FIN-CASHFLOW_CWS'!AO35</f>
        <v>-10086683.96934896</v>
      </c>
      <c r="AQ79" s="70">
        <f>'FIN-CASHFLOW_CWS'!AP35</f>
        <v>-10097352.004348958</v>
      </c>
      <c r="AR79" s="70">
        <f>'FIN-CASHFLOW_CWS'!AQ35</f>
        <v>-10116508.204348959</v>
      </c>
      <c r="AS79" s="70">
        <f>'FIN-CASHFLOW_CWS'!AR35</f>
        <v>-10108606.914348958</v>
      </c>
      <c r="AT79" s="70">
        <f>'FIN-CASHFLOW_CWS'!AS35</f>
        <v>-10128880.249348959</v>
      </c>
      <c r="AU79" s="70">
        <f>'FIN-CASHFLOW_CWS'!AT35</f>
        <v>-10095758.204348959</v>
      </c>
      <c r="AV79" s="70">
        <f>'FIN-CASHFLOW_CWS'!AU35</f>
        <v>-10112406.914348958</v>
      </c>
      <c r="AW79" s="70">
        <f>'FIN-CASHFLOW_CWS'!AV35</f>
        <v>-10080233.444348959</v>
      </c>
      <c r="AX79" s="70">
        <f>'FIN-CASHFLOW_CWS'!AW35</f>
        <v>-10100838.444348959</v>
      </c>
      <c r="AY79" s="70">
        <f>'FIN-CASHFLOW_CWS'!AX35</f>
        <v>-10080233.444348959</v>
      </c>
      <c r="AZ79" s="70">
        <f>'FIN-CASHFLOW_CWS'!AY35</f>
        <v>-10039057.929348959</v>
      </c>
      <c r="BA79" s="70">
        <f>'FIN-CASHFLOW_CWS'!AZ35</f>
        <v>-13598456.05493685</v>
      </c>
      <c r="BB79" s="70">
        <f>'FIN-CASHFLOW_CWS'!BA35</f>
        <v>-13610956.42493685</v>
      </c>
      <c r="BC79" s="70">
        <f>'FIN-CASHFLOW_CWS'!BB35</f>
        <v>-13611713.775936848</v>
      </c>
      <c r="BD79" s="70">
        <f>'FIN-CASHFLOW_CWS'!BC35</f>
        <v>-13630869.975936849</v>
      </c>
      <c r="BE79" s="70">
        <f>'FIN-CASHFLOW_CWS'!BD35</f>
        <v>-13614027.322936852</v>
      </c>
      <c r="BF79" s="70">
        <f>'FIN-CASHFLOW_CWS'!BE35</f>
        <v>-13624271.148936849</v>
      </c>
      <c r="BG79" s="70">
        <f>'FIN-CASHFLOW_CWS'!BF35</f>
        <v>-13610119.975936849</v>
      </c>
      <c r="BH79" s="70">
        <f>'FIN-CASHFLOW_CWS'!BG35</f>
        <v>-13617827.322936852</v>
      </c>
      <c r="BI79" s="70">
        <f>'FIN-CASHFLOW_CWS'!BH35</f>
        <v>-13604505.899936849</v>
      </c>
      <c r="BJ79" s="70">
        <f>'FIN-CASHFLOW_CWS'!BI35</f>
        <v>-13625110.899936849</v>
      </c>
      <c r="BK79" s="70">
        <f>'FIN-CASHFLOW_CWS'!BJ35</f>
        <v>-13604505.899936849</v>
      </c>
      <c r="BL79" s="70">
        <f>'FIN-CASHFLOW_CWS'!BK35</f>
        <v>-13588059.30493685</v>
      </c>
    </row>
    <row r="80" spans="2:64" x14ac:dyDescent="0.15">
      <c r="B80" s="306" t="s">
        <v>1080</v>
      </c>
      <c r="C80" s="135"/>
      <c r="D80" s="121">
        <f>SUM(D77:D79)</f>
        <v>47327336.700000003</v>
      </c>
      <c r="E80" s="121">
        <f>SUM(E77:E79)</f>
        <v>37938396.033333339</v>
      </c>
      <c r="F80" s="121">
        <f t="shared" ref="F80:BL80" si="11">SUM(F77:F79)</f>
        <v>28576763.700000003</v>
      </c>
      <c r="G80" s="121">
        <f t="shared" si="11"/>
        <v>19212074.700000003</v>
      </c>
      <c r="H80" s="121">
        <f t="shared" si="11"/>
        <v>10605815.333333338</v>
      </c>
      <c r="I80" s="121">
        <f t="shared" si="11"/>
        <v>53276367.166666687</v>
      </c>
      <c r="J80" s="121">
        <f t="shared" si="11"/>
        <v>44813709.900000021</v>
      </c>
      <c r="K80" s="121">
        <f t="shared" si="11"/>
        <v>36137910.533333354</v>
      </c>
      <c r="L80" s="121">
        <f t="shared" si="11"/>
        <v>27572351.86666669</v>
      </c>
      <c r="M80" s="121">
        <f t="shared" si="11"/>
        <v>18856601.800000023</v>
      </c>
      <c r="N80" s="121">
        <f t="shared" si="11"/>
        <v>10152986.73333336</v>
      </c>
      <c r="O80" s="121">
        <f t="shared" si="11"/>
        <v>52747256.616666719</v>
      </c>
      <c r="P80" s="121">
        <f t="shared" si="11"/>
        <v>43799278.750000052</v>
      </c>
      <c r="Q80" s="121">
        <f t="shared" si="11"/>
        <v>33041478.145833395</v>
      </c>
      <c r="R80" s="121">
        <f t="shared" si="11"/>
        <v>22339256.041666724</v>
      </c>
      <c r="S80" s="121">
        <f t="shared" si="11"/>
        <v>11649969.62500005</v>
      </c>
      <c r="T80" s="121">
        <f t="shared" si="11"/>
        <v>943458.33333339356</v>
      </c>
      <c r="U80" s="121">
        <f t="shared" si="11"/>
        <v>-9734465.8333332632</v>
      </c>
      <c r="V80" s="121">
        <f t="shared" si="11"/>
        <v>-20404453.624999918</v>
      </c>
      <c r="W80" s="121">
        <f t="shared" si="11"/>
        <v>-30101571.583333246</v>
      </c>
      <c r="X80" s="121">
        <f t="shared" si="11"/>
        <v>-39786422.41666659</v>
      </c>
      <c r="Y80" s="121">
        <f t="shared" si="11"/>
        <v>-49493647.499999933</v>
      </c>
      <c r="Z80" s="121">
        <f t="shared" si="11"/>
        <v>-59219387.583333276</v>
      </c>
      <c r="AA80" s="121">
        <f t="shared" si="11"/>
        <v>-68926612.666666612</v>
      </c>
      <c r="AB80" s="121">
        <f t="shared" si="11"/>
        <v>-78679054.812499955</v>
      </c>
      <c r="AC80" s="121">
        <f t="shared" si="11"/>
        <v>-87083171.607291639</v>
      </c>
      <c r="AD80" s="121">
        <f t="shared" si="11"/>
        <v>-95563002.706249967</v>
      </c>
      <c r="AE80" s="121">
        <f t="shared" si="11"/>
        <v>-104062047.78020832</v>
      </c>
      <c r="AF80" s="121">
        <f t="shared" si="11"/>
        <v>-112580639.47916666</v>
      </c>
      <c r="AG80" s="121">
        <f t="shared" si="11"/>
        <v>-121097950.86562499</v>
      </c>
      <c r="AH80" s="121">
        <f t="shared" si="11"/>
        <v>-129646634.32708329</v>
      </c>
      <c r="AI80" s="121">
        <f t="shared" si="11"/>
        <v>-138144476.02604163</v>
      </c>
      <c r="AJ80" s="121">
        <f t="shared" si="11"/>
        <v>-146665587.41249996</v>
      </c>
      <c r="AK80" s="121">
        <f t="shared" si="11"/>
        <v>-155136998.3989583</v>
      </c>
      <c r="AL80" s="121">
        <f t="shared" si="11"/>
        <v>-163629014.38541666</v>
      </c>
      <c r="AM80" s="121">
        <f t="shared" si="11"/>
        <v>-172100425.37187502</v>
      </c>
      <c r="AN80" s="121">
        <f t="shared" si="11"/>
        <v>-180500027.75833338</v>
      </c>
      <c r="AO80" s="121">
        <f t="shared" si="11"/>
        <v>-190543912.43768233</v>
      </c>
      <c r="AP80" s="121">
        <f t="shared" si="11"/>
        <v>-200630596.4070313</v>
      </c>
      <c r="AQ80" s="121">
        <f t="shared" si="11"/>
        <v>-210727948.41138026</v>
      </c>
      <c r="AR80" s="121">
        <f t="shared" si="11"/>
        <v>-220844456.61572918</v>
      </c>
      <c r="AS80" s="121">
        <f t="shared" si="11"/>
        <v>-230953063.53007817</v>
      </c>
      <c r="AT80" s="121">
        <f t="shared" si="11"/>
        <v>-241081943.77942714</v>
      </c>
      <c r="AU80" s="121">
        <f t="shared" si="11"/>
        <v>-251177701.98377606</v>
      </c>
      <c r="AV80" s="121">
        <f t="shared" si="11"/>
        <v>-261290108.89812505</v>
      </c>
      <c r="AW80" s="121">
        <f t="shared" si="11"/>
        <v>-271370342.34247398</v>
      </c>
      <c r="AX80" s="121">
        <f t="shared" si="11"/>
        <v>-281471180.78682292</v>
      </c>
      <c r="AY80" s="121">
        <f t="shared" si="11"/>
        <v>-291551414.23117185</v>
      </c>
      <c r="AZ80" s="121">
        <f t="shared" si="11"/>
        <v>-301590472.16052079</v>
      </c>
      <c r="BA80" s="121">
        <f t="shared" si="11"/>
        <v>-315188928.21545762</v>
      </c>
      <c r="BB80" s="121">
        <f t="shared" si="11"/>
        <v>-328799884.64039445</v>
      </c>
      <c r="BC80" s="121">
        <f t="shared" si="11"/>
        <v>-342411598.41633129</v>
      </c>
      <c r="BD80" s="121">
        <f t="shared" si="11"/>
        <v>-356042468.39226812</v>
      </c>
      <c r="BE80" s="121">
        <f t="shared" si="11"/>
        <v>-369656495.71520495</v>
      </c>
      <c r="BF80" s="121">
        <f t="shared" si="11"/>
        <v>-383280766.86414182</v>
      </c>
      <c r="BG80" s="121">
        <f t="shared" si="11"/>
        <v>-396890886.84007865</v>
      </c>
      <c r="BH80" s="121">
        <f t="shared" si="11"/>
        <v>-410508714.16301548</v>
      </c>
      <c r="BI80" s="121">
        <f t="shared" si="11"/>
        <v>-424113220.0629524</v>
      </c>
      <c r="BJ80" s="121">
        <f t="shared" si="11"/>
        <v>-437738330.96288919</v>
      </c>
      <c r="BK80" s="121">
        <f t="shared" si="11"/>
        <v>-451342836.86282599</v>
      </c>
      <c r="BL80" s="121">
        <f t="shared" si="11"/>
        <v>-464930896.16776276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1081</v>
      </c>
      <c r="C82" s="135"/>
      <c r="D82" s="121">
        <f t="shared" ref="D82:AI82" si="12">D80+D74</f>
        <v>47327336.700000003</v>
      </c>
      <c r="E82" s="121">
        <f t="shared" si="12"/>
        <v>38406396.033333339</v>
      </c>
      <c r="F82" s="121">
        <f t="shared" si="12"/>
        <v>29560763.700000003</v>
      </c>
      <c r="G82" s="121">
        <f t="shared" si="12"/>
        <v>20304074.700000003</v>
      </c>
      <c r="H82" s="121">
        <f t="shared" si="12"/>
        <v>11649815.333333338</v>
      </c>
      <c r="I82" s="121">
        <f t="shared" si="12"/>
        <v>54260367.166666687</v>
      </c>
      <c r="J82" s="121">
        <f t="shared" si="12"/>
        <v>45749709.900000021</v>
      </c>
      <c r="K82" s="121">
        <f t="shared" si="12"/>
        <v>36977910.533333354</v>
      </c>
      <c r="L82" s="121">
        <f t="shared" si="12"/>
        <v>28412351.86666669</v>
      </c>
      <c r="M82" s="121">
        <f t="shared" si="12"/>
        <v>19540601.800000023</v>
      </c>
      <c r="N82" s="121">
        <f t="shared" si="12"/>
        <v>10608986.73333336</v>
      </c>
      <c r="O82" s="121">
        <f t="shared" si="12"/>
        <v>53251256.616666719</v>
      </c>
      <c r="P82" s="121">
        <f t="shared" si="12"/>
        <v>44459278.750000052</v>
      </c>
      <c r="Q82" s="121">
        <f t="shared" si="12"/>
        <v>33702678.145833395</v>
      </c>
      <c r="R82" s="121">
        <f t="shared" si="12"/>
        <v>22998056.041666724</v>
      </c>
      <c r="S82" s="121">
        <f t="shared" si="12"/>
        <v>12373569.62500005</v>
      </c>
      <c r="T82" s="121">
        <f t="shared" si="12"/>
        <v>1634658.3333333936</v>
      </c>
      <c r="U82" s="121">
        <f t="shared" si="12"/>
        <v>-9075665.8333332632</v>
      </c>
      <c r="V82" s="121">
        <f t="shared" si="12"/>
        <v>-19778053.624999918</v>
      </c>
      <c r="W82" s="121">
        <f t="shared" si="12"/>
        <v>-29539971.583333246</v>
      </c>
      <c r="X82" s="121">
        <f t="shared" si="12"/>
        <v>-39224822.41666659</v>
      </c>
      <c r="Y82" s="121">
        <f t="shared" si="12"/>
        <v>-49040047.499999933</v>
      </c>
      <c r="Z82" s="121">
        <f t="shared" si="12"/>
        <v>-58733387.583333276</v>
      </c>
      <c r="AA82" s="121">
        <f t="shared" si="12"/>
        <v>-68105812.666666612</v>
      </c>
      <c r="AB82" s="121">
        <f t="shared" si="12"/>
        <v>-77599054.812499955</v>
      </c>
      <c r="AC82" s="121">
        <f t="shared" si="12"/>
        <v>-85995611.607291639</v>
      </c>
      <c r="AD82" s="121">
        <f t="shared" si="12"/>
        <v>-94484082.706249967</v>
      </c>
      <c r="AE82" s="121">
        <f t="shared" si="12"/>
        <v>-102876207.78020832</v>
      </c>
      <c r="AF82" s="121">
        <f t="shared" si="12"/>
        <v>-111443399.47916666</v>
      </c>
      <c r="AG82" s="121">
        <f t="shared" si="12"/>
        <v>-120019030.86562499</v>
      </c>
      <c r="AH82" s="121">
        <f t="shared" si="12"/>
        <v>-128626034.32708329</v>
      </c>
      <c r="AI82" s="121">
        <f t="shared" si="12"/>
        <v>-137230796.02604163</v>
      </c>
      <c r="AJ82" s="121">
        <f t="shared" ref="AJ82:BL82" si="13">AJ80+AJ74</f>
        <v>-145751907.41249996</v>
      </c>
      <c r="AK82" s="121">
        <f t="shared" si="13"/>
        <v>-154398278.3989583</v>
      </c>
      <c r="AL82" s="121">
        <f t="shared" si="13"/>
        <v>-163045814.38541666</v>
      </c>
      <c r="AM82" s="121">
        <f t="shared" si="13"/>
        <v>-171313105.37187502</v>
      </c>
      <c r="AN82" s="121">
        <f t="shared" si="13"/>
        <v>-179469707.75833338</v>
      </c>
      <c r="AO82" s="121">
        <f t="shared" si="13"/>
        <v>-189509704.43768233</v>
      </c>
      <c r="AP82" s="121">
        <f t="shared" si="13"/>
        <v>-199598332.4070313</v>
      </c>
      <c r="AQ82" s="121">
        <f t="shared" si="13"/>
        <v>-209590708.41138026</v>
      </c>
      <c r="AR82" s="121">
        <f t="shared" si="13"/>
        <v>-219759704.61572918</v>
      </c>
      <c r="AS82" s="121">
        <f t="shared" si="13"/>
        <v>-229920799.53007817</v>
      </c>
      <c r="AT82" s="121">
        <f t="shared" si="13"/>
        <v>-240102167.77942714</v>
      </c>
      <c r="AU82" s="121">
        <f t="shared" si="13"/>
        <v>-250302901.98377606</v>
      </c>
      <c r="AV82" s="121">
        <f t="shared" si="13"/>
        <v>-260415308.89812505</v>
      </c>
      <c r="AW82" s="121">
        <f t="shared" si="13"/>
        <v>-270661754.34247398</v>
      </c>
      <c r="AX82" s="121">
        <f t="shared" si="13"/>
        <v>-280911308.78682292</v>
      </c>
      <c r="AY82" s="121">
        <f t="shared" si="13"/>
        <v>-290799086.23117185</v>
      </c>
      <c r="AZ82" s="121">
        <f t="shared" si="13"/>
        <v>-300610696.16052079</v>
      </c>
      <c r="BA82" s="121">
        <f t="shared" si="13"/>
        <v>-314208277.41545761</v>
      </c>
      <c r="BB82" s="121">
        <f t="shared" si="13"/>
        <v>-327815734.64039445</v>
      </c>
      <c r="BC82" s="121">
        <f t="shared" si="13"/>
        <v>-341325096.81633127</v>
      </c>
      <c r="BD82" s="121">
        <f t="shared" si="13"/>
        <v>-355011079.19226813</v>
      </c>
      <c r="BE82" s="121">
        <f t="shared" si="13"/>
        <v>-368672345.71520495</v>
      </c>
      <c r="BF82" s="121">
        <f t="shared" si="13"/>
        <v>-382343856.06414181</v>
      </c>
      <c r="BG82" s="121">
        <f t="shared" si="13"/>
        <v>-396056327.64007866</v>
      </c>
      <c r="BH82" s="121">
        <f t="shared" si="13"/>
        <v>-409674154.9630155</v>
      </c>
      <c r="BI82" s="121">
        <f t="shared" si="13"/>
        <v>-423436124.86295241</v>
      </c>
      <c r="BJ82" s="121">
        <f t="shared" si="13"/>
        <v>-433541915.36288917</v>
      </c>
      <c r="BK82" s="121">
        <f t="shared" si="13"/>
        <v>-443469636.86282599</v>
      </c>
      <c r="BL82" s="121">
        <f t="shared" si="13"/>
        <v>-455876716.16776276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961</v>
      </c>
      <c r="D2" s="74" t="s">
        <v>866</v>
      </c>
      <c r="E2" s="74" t="s">
        <v>867</v>
      </c>
      <c r="F2" s="10"/>
      <c r="G2" s="261" t="s">
        <v>935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-145334743.39340889</v>
      </c>
      <c r="E4" s="121">
        <f>'FIN-VALUE_CWS'!E34</f>
        <v>51234550.500000015</v>
      </c>
      <c r="G4" s="245">
        <f>'FIN-VALUE_CWS'!F34</f>
        <v>-0.35252789046671662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-214564565.0532048</v>
      </c>
      <c r="E5" s="121">
        <f>'FIN-VALUE_CWS'!E35</f>
        <v>51283909.950000018</v>
      </c>
      <c r="G5" s="245">
        <f>'FIN-VALUE_CWS'!F35</f>
        <v>-0.23901388347737348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-285125040.34872925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884</v>
      </c>
      <c r="C10" s="14" t="s">
        <v>880</v>
      </c>
      <c r="D10" s="14" t="s">
        <v>881</v>
      </c>
      <c r="E10" s="14" t="s">
        <v>934</v>
      </c>
      <c r="F10" s="10"/>
      <c r="G10" s="10" t="s">
        <v>917</v>
      </c>
    </row>
    <row r="11" spans="2:15" s="6" customFormat="1" x14ac:dyDescent="0.15">
      <c r="B11" s="138"/>
      <c r="C11" s="174"/>
    </row>
    <row r="12" spans="2:15" x14ac:dyDescent="0.15">
      <c r="B12" s="17" t="s">
        <v>885</v>
      </c>
      <c r="C12" s="229">
        <v>0.06</v>
      </c>
      <c r="D12" s="229">
        <v>0.06</v>
      </c>
      <c r="E12" s="229">
        <v>0.06</v>
      </c>
      <c r="F12" s="229"/>
      <c r="G12" s="33" t="s">
        <v>918</v>
      </c>
    </row>
    <row r="13" spans="2:15" x14ac:dyDescent="0.15">
      <c r="B13" s="124" t="s">
        <v>886</v>
      </c>
      <c r="C13" s="229">
        <v>0.1</v>
      </c>
      <c r="D13" s="229">
        <v>0.08</v>
      </c>
      <c r="E13" s="229">
        <v>0.02</v>
      </c>
      <c r="F13" s="229"/>
      <c r="G13" s="33" t="s">
        <v>933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1132</v>
      </c>
      <c r="C15" s="229"/>
      <c r="D15" s="229"/>
      <c r="E15" s="229"/>
      <c r="F15" s="229"/>
    </row>
    <row r="16" spans="2:15" x14ac:dyDescent="0.15">
      <c r="B16" s="124" t="s">
        <v>905</v>
      </c>
      <c r="C16" s="229">
        <v>0.02</v>
      </c>
      <c r="D16" s="229">
        <v>0.02</v>
      </c>
      <c r="E16" s="229">
        <v>0</v>
      </c>
      <c r="F16" s="229"/>
      <c r="G16" s="33" t="s">
        <v>910</v>
      </c>
    </row>
    <row r="17" spans="2:14" x14ac:dyDescent="0.15">
      <c r="B17" s="124" t="s">
        <v>906</v>
      </c>
      <c r="C17" s="229">
        <v>0.05</v>
      </c>
      <c r="D17" s="229">
        <v>2.5000000000000001E-2</v>
      </c>
      <c r="E17" s="229">
        <v>0</v>
      </c>
      <c r="F17" s="229"/>
      <c r="G17" s="33" t="s">
        <v>911</v>
      </c>
    </row>
    <row r="18" spans="2:14" x14ac:dyDescent="0.15">
      <c r="B18" s="124" t="s">
        <v>887</v>
      </c>
      <c r="C18" s="229"/>
      <c r="D18" s="229"/>
      <c r="E18" s="229"/>
      <c r="F18" s="229"/>
    </row>
    <row r="19" spans="2:14" x14ac:dyDescent="0.15">
      <c r="B19" s="228" t="s">
        <v>888</v>
      </c>
      <c r="C19" s="229">
        <v>0.05</v>
      </c>
      <c r="D19" s="229">
        <v>0.01</v>
      </c>
      <c r="E19" s="229">
        <v>0</v>
      </c>
      <c r="F19" s="229"/>
      <c r="G19" s="33" t="s">
        <v>912</v>
      </c>
    </row>
    <row r="20" spans="2:14" x14ac:dyDescent="0.15">
      <c r="B20" s="228" t="s">
        <v>907</v>
      </c>
      <c r="C20" s="229">
        <v>0.05</v>
      </c>
      <c r="D20" s="229">
        <v>0</v>
      </c>
      <c r="E20" s="229">
        <v>0</v>
      </c>
      <c r="F20" s="229"/>
      <c r="G20" s="33" t="s">
        <v>913</v>
      </c>
    </row>
    <row r="21" spans="2:14" x14ac:dyDescent="0.15">
      <c r="B21" s="228" t="s">
        <v>908</v>
      </c>
      <c r="C21" s="229">
        <v>0.03</v>
      </c>
      <c r="D21" s="229">
        <v>0</v>
      </c>
      <c r="E21" s="229">
        <v>0</v>
      </c>
      <c r="F21" s="229"/>
      <c r="G21" s="33" t="s">
        <v>914</v>
      </c>
    </row>
    <row r="22" spans="2:14" x14ac:dyDescent="0.15">
      <c r="B22" s="228" t="s">
        <v>889</v>
      </c>
      <c r="C22" s="229">
        <v>0.05</v>
      </c>
      <c r="D22" s="229">
        <v>0</v>
      </c>
      <c r="E22" s="229">
        <v>0</v>
      </c>
      <c r="F22" s="229"/>
      <c r="G22" s="33" t="s">
        <v>915</v>
      </c>
      <c r="K22" s="25"/>
      <c r="M22" s="25"/>
      <c r="N22" s="25"/>
    </row>
    <row r="23" spans="2:14" x14ac:dyDescent="0.15">
      <c r="B23" s="228" t="s">
        <v>890</v>
      </c>
      <c r="C23" s="229">
        <v>0.02</v>
      </c>
      <c r="D23" s="229">
        <v>0.01</v>
      </c>
      <c r="E23" s="229">
        <v>0</v>
      </c>
      <c r="F23" s="229"/>
      <c r="G23" s="33" t="s">
        <v>916</v>
      </c>
      <c r="K23" s="33"/>
    </row>
    <row r="24" spans="2:14" x14ac:dyDescent="0.15">
      <c r="B24" s="228" t="s">
        <v>909</v>
      </c>
      <c r="C24" s="229">
        <v>0.05</v>
      </c>
      <c r="D24" s="229">
        <v>0.05</v>
      </c>
      <c r="E24" s="229">
        <v>0.02</v>
      </c>
      <c r="F24" s="229"/>
      <c r="G24" s="33" t="s">
        <v>936</v>
      </c>
      <c r="K24" s="33"/>
    </row>
    <row r="25" spans="2:14" x14ac:dyDescent="0.15">
      <c r="B25" s="124" t="s">
        <v>891</v>
      </c>
      <c r="C25" s="229"/>
      <c r="D25" s="229"/>
      <c r="E25" s="229"/>
      <c r="F25" s="229"/>
    </row>
    <row r="26" spans="2:14" x14ac:dyDescent="0.15">
      <c r="B26" s="228" t="s">
        <v>892</v>
      </c>
      <c r="C26" s="229">
        <v>0.05</v>
      </c>
      <c r="D26" s="229">
        <v>2.5000000000000001E-2</v>
      </c>
      <c r="E26" s="229">
        <v>0</v>
      </c>
      <c r="F26" s="229"/>
      <c r="G26" s="33" t="s">
        <v>919</v>
      </c>
    </row>
    <row r="27" spans="2:14" x14ac:dyDescent="0.15">
      <c r="B27" s="228" t="s">
        <v>536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920</v>
      </c>
    </row>
    <row r="28" spans="2:14" x14ac:dyDescent="0.15">
      <c r="B28" s="228" t="s">
        <v>893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921</v>
      </c>
    </row>
    <row r="29" spans="2:14" x14ac:dyDescent="0.15">
      <c r="B29" s="228" t="s">
        <v>894</v>
      </c>
      <c r="C29" s="229">
        <v>0.01</v>
      </c>
      <c r="D29" s="229">
        <v>0.01</v>
      </c>
      <c r="E29" s="229">
        <v>0.01</v>
      </c>
      <c r="F29" s="229"/>
      <c r="G29" s="33" t="s">
        <v>922</v>
      </c>
    </row>
    <row r="30" spans="2:14" x14ac:dyDescent="0.15">
      <c r="B30" s="48" t="s">
        <v>895</v>
      </c>
      <c r="C30" s="229"/>
      <c r="D30" s="229"/>
      <c r="E30" s="229"/>
      <c r="F30" s="229"/>
    </row>
    <row r="31" spans="2:14" x14ac:dyDescent="0.15">
      <c r="B31" s="228" t="s">
        <v>896</v>
      </c>
      <c r="C31" s="229">
        <v>0.01</v>
      </c>
      <c r="D31" s="229">
        <v>0.01</v>
      </c>
      <c r="E31" s="229">
        <v>4.4999999999999998E-2</v>
      </c>
      <c r="F31" s="229"/>
      <c r="G31" s="33" t="s">
        <v>923</v>
      </c>
    </row>
    <row r="32" spans="2:14" x14ac:dyDescent="0.15">
      <c r="B32" s="106" t="s">
        <v>902</v>
      </c>
      <c r="C32" s="229">
        <v>0.01</v>
      </c>
      <c r="D32" s="229">
        <v>0.01</v>
      </c>
      <c r="E32" s="229">
        <v>2.5000000000000001E-2</v>
      </c>
      <c r="F32" s="229"/>
      <c r="G32" s="33" t="s">
        <v>924</v>
      </c>
    </row>
    <row r="33" spans="2:15" x14ac:dyDescent="0.15">
      <c r="B33" s="106" t="s">
        <v>903</v>
      </c>
      <c r="C33" s="229">
        <v>0.02</v>
      </c>
      <c r="D33" s="229">
        <v>0.02</v>
      </c>
      <c r="E33" s="229">
        <v>0.01</v>
      </c>
      <c r="F33" s="229"/>
      <c r="G33" s="33" t="s">
        <v>928</v>
      </c>
    </row>
    <row r="34" spans="2:15" x14ac:dyDescent="0.15">
      <c r="B34" s="106" t="s">
        <v>904</v>
      </c>
      <c r="C34" s="229">
        <v>0.05</v>
      </c>
      <c r="D34" s="229">
        <v>0.05</v>
      </c>
      <c r="E34" s="229">
        <v>0.01</v>
      </c>
      <c r="F34" s="229"/>
      <c r="G34" s="33" t="s">
        <v>929</v>
      </c>
    </row>
    <row r="35" spans="2:15" x14ac:dyDescent="0.15">
      <c r="B35" s="106" t="s">
        <v>897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930</v>
      </c>
    </row>
    <row r="36" spans="2:15" x14ac:dyDescent="0.15">
      <c r="B36" s="106" t="s">
        <v>898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925</v>
      </c>
    </row>
    <row r="37" spans="2:15" x14ac:dyDescent="0.15">
      <c r="B37" s="106" t="s">
        <v>899</v>
      </c>
      <c r="C37" s="229">
        <v>0.05</v>
      </c>
      <c r="D37" s="229">
        <v>0.05</v>
      </c>
      <c r="E37" s="229">
        <v>2.5000000000000001E-2</v>
      </c>
      <c r="F37" s="229"/>
      <c r="G37" s="33" t="s">
        <v>926</v>
      </c>
    </row>
    <row r="38" spans="2:15" x14ac:dyDescent="0.15">
      <c r="B38" s="106" t="s">
        <v>900</v>
      </c>
      <c r="C38" s="230">
        <v>-0.05</v>
      </c>
      <c r="D38" s="230">
        <v>-0.05</v>
      </c>
      <c r="E38" s="230">
        <v>-0.05</v>
      </c>
      <c r="F38" s="230"/>
      <c r="G38" s="33" t="s">
        <v>927</v>
      </c>
    </row>
    <row r="39" spans="2:15" x14ac:dyDescent="0.15">
      <c r="B39" s="106" t="s">
        <v>901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931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962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932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65" t="s">
        <v>35</v>
      </c>
      <c r="E1" s="365"/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 t="s">
        <v>36</v>
      </c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 t="s">
        <v>37</v>
      </c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 t="s">
        <v>38</v>
      </c>
      <c r="AO1" s="365"/>
      <c r="AP1" s="365"/>
      <c r="AQ1" s="365"/>
      <c r="AR1" s="365"/>
      <c r="AS1" s="365"/>
      <c r="AT1" s="365"/>
      <c r="AU1" s="365"/>
      <c r="AV1" s="365"/>
      <c r="AW1" s="365"/>
      <c r="AX1" s="365"/>
      <c r="AY1" s="365"/>
      <c r="AZ1" s="365" t="s">
        <v>39</v>
      </c>
      <c r="BA1" s="365"/>
      <c r="BB1" s="365"/>
      <c r="BC1" s="365"/>
      <c r="BD1" s="365"/>
      <c r="BE1" s="365"/>
      <c r="BF1" s="365"/>
      <c r="BG1" s="365"/>
      <c r="BH1" s="365"/>
      <c r="BI1" s="365"/>
      <c r="BJ1" s="365"/>
      <c r="BK1" s="365"/>
    </row>
    <row r="2" spans="2:63" x14ac:dyDescent="0.15">
      <c r="B2" s="135" t="s">
        <v>955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1079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468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491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-9841214</v>
      </c>
      <c r="G6" s="121">
        <f>'FIN-CASHFLOW_CWS'!G67</f>
        <v>-9908407.6999999993</v>
      </c>
      <c r="H6" s="121">
        <f>'FIN-CASHFLOW_CWS'!H67</f>
        <v>-8750667</v>
      </c>
      <c r="I6" s="121">
        <f>'FIN-CASHFLOW_CWS'!I67</f>
        <v>-8518635.5999999996</v>
      </c>
      <c r="J6" s="121">
        <f>'FIN-CASHFLOW_CWS'!J67</f>
        <v>-8428227.6999999993</v>
      </c>
      <c r="K6" s="121">
        <f>'FIN-CASHFLOW_CWS'!K67</f>
        <v>-8596227</v>
      </c>
      <c r="L6" s="121">
        <f>'FIN-CASHFLOW_CWS'!L67</f>
        <v>-8457488.4000000004</v>
      </c>
      <c r="M6" s="121">
        <f>'FIN-CASHFLOW_CWS'!M67</f>
        <v>-8701973.4000000004</v>
      </c>
      <c r="N6" s="121">
        <f>'FIN-CASHFLOW_CWS'!N67</f>
        <v>-8531998.4000000004</v>
      </c>
      <c r="O6" s="121">
        <f>'FIN-CASHFLOW_CWS'!O67</f>
        <v>-8452096.1999999993</v>
      </c>
      <c r="P6" s="121">
        <f>'FIN-CASHFLOW_CWS'!P67</f>
        <v>-10440987.6875</v>
      </c>
      <c r="Q6" s="121">
        <f>'FIN-CASHFLOW_CWS'!Q67</f>
        <v>-10918330.4375</v>
      </c>
      <c r="R6" s="121">
        <f>'FIN-CASHFLOW_CWS'!R67</f>
        <v>-10732813.5</v>
      </c>
      <c r="S6" s="121">
        <f>'FIN-CASHFLOW_CWS'!S67</f>
        <v>-10739682.125</v>
      </c>
      <c r="T6" s="121">
        <f>'FIN-CASHFLOW_CWS'!T67</f>
        <v>-10754095</v>
      </c>
      <c r="U6" s="121">
        <f>'FIN-CASHFLOW_CWS'!U67</f>
        <v>-10648983.625</v>
      </c>
      <c r="V6" s="121">
        <f>'FIN-CASHFLOW_CWS'!V67</f>
        <v>-9643909.625</v>
      </c>
      <c r="W6" s="121">
        <f>'FIN-CASHFLOW_CWS'!W67</f>
        <v>-9663705</v>
      </c>
      <c r="X6" s="121">
        <f>'FIN-CASHFLOW_CWS'!X67</f>
        <v>-9614641.75</v>
      </c>
      <c r="Y6" s="121">
        <f>'FIN-CASHFLOW_CWS'!Y67</f>
        <v>-9723981.75</v>
      </c>
      <c r="Z6" s="121">
        <f>'FIN-CASHFLOW_CWS'!Z67</f>
        <v>-9597466.75</v>
      </c>
      <c r="AA6" s="121">
        <f>'FIN-CASHFLOW_CWS'!AA67</f>
        <v>-9739777.5625</v>
      </c>
      <c r="AB6" s="121">
        <f>'FIN-CASHFLOW_CWS'!AB67</f>
        <v>-8536357.6281249989</v>
      </c>
      <c r="AC6" s="121">
        <f>'FIN-CASHFLOW_CWS'!AC67</f>
        <v>-8690389.0156249981</v>
      </c>
      <c r="AD6" s="121">
        <f>'FIN-CASHFLOW_CWS'!AD67</f>
        <v>-8529489.2406249996</v>
      </c>
      <c r="AE6" s="121">
        <f>'FIN-CASHFLOW_CWS'!AE67</f>
        <v>-8568070.8656249996</v>
      </c>
      <c r="AF6" s="121">
        <f>'FIN-CASHFLOW_CWS'!AF67</f>
        <v>-8601004.3031249996</v>
      </c>
      <c r="AG6" s="121">
        <f>'FIN-CASHFLOW_CWS'!AG67</f>
        <v>-8472477.6281249989</v>
      </c>
      <c r="AH6" s="121">
        <f>'FIN-CASHFLOW_CWS'!AH67</f>
        <v>-8485079.6156249996</v>
      </c>
      <c r="AI6" s="121">
        <f>'FIN-CASHFLOW_CWS'!AI67</f>
        <v>-8439564.3031249996</v>
      </c>
      <c r="AJ6" s="121">
        <f>'FIN-CASHFLOW_CWS'!AJ67</f>
        <v>-8410052.6531249993</v>
      </c>
      <c r="AK6" s="121">
        <f>'FIN-CASHFLOW_CWS'!AK67</f>
        <v>-8490257.6531249993</v>
      </c>
      <c r="AL6" s="121">
        <f>'FIN-CASHFLOW_CWS'!AL67</f>
        <v>-8294692.6531250002</v>
      </c>
      <c r="AM6" s="121">
        <f>'FIN-CASHFLOW_CWS'!AM67</f>
        <v>-8319704.0531250006</v>
      </c>
      <c r="AN6" s="121">
        <f>'FIN-CASHFLOW_CWS'!AN67</f>
        <v>-10294322.096015625</v>
      </c>
      <c r="AO6" s="121">
        <f>'FIN-CASHFLOW_CWS'!AO67</f>
        <v>-10311300.636015626</v>
      </c>
      <c r="AP6" s="121">
        <f>'FIN-CASHFLOW_CWS'!AP67</f>
        <v>-10133166.171015624</v>
      </c>
      <c r="AQ6" s="121">
        <f>'FIN-CASHFLOW_CWS'!AQ67</f>
        <v>-10170277.871015625</v>
      </c>
      <c r="AR6" s="121">
        <f>'FIN-CASHFLOW_CWS'!AR67</f>
        <v>-10197181.581015624</v>
      </c>
      <c r="AS6" s="121">
        <f>'FIN-CASHFLOW_CWS'!AS67</f>
        <v>-10060228.416015625</v>
      </c>
      <c r="AT6" s="121">
        <f>'FIN-CASHFLOW_CWS'!AT67</f>
        <v>-10070560.371015625</v>
      </c>
      <c r="AU6" s="121">
        <f>'FIN-CASHFLOW_CWS'!AU67</f>
        <v>-10043517.581015624</v>
      </c>
      <c r="AV6" s="121">
        <f>'FIN-CASHFLOW_CWS'!AV67</f>
        <v>-10002750.111015625</v>
      </c>
      <c r="AW6" s="121">
        <f>'FIN-CASHFLOW_CWS'!AW67</f>
        <v>-10099080.111015625</v>
      </c>
      <c r="AX6" s="121">
        <f>'FIN-CASHFLOW_CWS'!AX67</f>
        <v>-9912263.1110156253</v>
      </c>
      <c r="AY6" s="121">
        <f>'FIN-CASHFLOW_CWS'!AY67</f>
        <v>-9934383.0960156247</v>
      </c>
      <c r="AZ6" s="121">
        <f>'FIN-CASHFLOW_CWS'!AZ67</f>
        <v>-13838086.121603517</v>
      </c>
      <c r="BA6" s="121">
        <f>'FIN-CASHFLOW_CWS'!BA67</f>
        <v>-13850015.491603516</v>
      </c>
      <c r="BB6" s="121">
        <f>'FIN-CASHFLOW_CWS'!BB67</f>
        <v>-13652502.942603514</v>
      </c>
      <c r="BC6" s="121">
        <f>'FIN-CASHFLOW_CWS'!BC67</f>
        <v>-13687264.042603515</v>
      </c>
      <c r="BD6" s="121">
        <f>'FIN-CASHFLOW_CWS'!BD67</f>
        <v>-13709203.189603519</v>
      </c>
      <c r="BE6" s="121">
        <f>'FIN-CASHFLOW_CWS'!BE67</f>
        <v>-13563341.215603516</v>
      </c>
      <c r="BF6" s="121">
        <f>'FIN-CASHFLOW_CWS'!BF67</f>
        <v>-13570599.042603515</v>
      </c>
      <c r="BG6" s="121">
        <f>'FIN-CASHFLOW_CWS'!BG67</f>
        <v>-13563412.389603518</v>
      </c>
      <c r="BH6" s="121">
        <f>'FIN-CASHFLOW_CWS'!BH67</f>
        <v>-13510197.566603515</v>
      </c>
      <c r="BI6" s="121">
        <f>'FIN-CASHFLOW_CWS'!BI67</f>
        <v>-13623352.566603515</v>
      </c>
      <c r="BJ6" s="121">
        <f>'FIN-CASHFLOW_CWS'!BJ67</f>
        <v>-13445283.566603515</v>
      </c>
      <c r="BK6" s="121">
        <f>'FIN-CASHFLOW_CWS'!BK67</f>
        <v>-17120162.871603519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493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-28696854</v>
      </c>
      <c r="H8" s="121">
        <f>'FIN-CASHFLOW_CWS'!H69</f>
        <v>-38605261.700000003</v>
      </c>
      <c r="I8" s="121">
        <f>'FIN-CASHFLOW_CWS'!I69</f>
        <v>-47355928.700000003</v>
      </c>
      <c r="J8" s="121">
        <f>'FIN-CASHFLOW_CWS'!J69</f>
        <v>-55874564.300000004</v>
      </c>
      <c r="K8" s="121">
        <f>'FIN-CASHFLOW_CWS'!K69</f>
        <v>-64302792</v>
      </c>
      <c r="L8" s="121">
        <f>'FIN-CASHFLOW_CWS'!L69</f>
        <v>-72899019</v>
      </c>
      <c r="M8" s="121">
        <f>'FIN-CASHFLOW_CWS'!M69</f>
        <v>-81356507.400000006</v>
      </c>
      <c r="N8" s="121">
        <f>'FIN-CASHFLOW_CWS'!N69</f>
        <v>-90058480.800000012</v>
      </c>
      <c r="O8" s="121">
        <f>'FIN-CASHFLOW_CWS'!O69</f>
        <v>-98590479.200000018</v>
      </c>
      <c r="P8" s="121">
        <f>'FIN-CASHFLOW_CWS'!P69</f>
        <v>-107042575.40000002</v>
      </c>
      <c r="Q8" s="121">
        <f>'FIN-CASHFLOW_CWS'!Q69</f>
        <v>-117483563.08750002</v>
      </c>
      <c r="R8" s="121">
        <f>'FIN-CASHFLOW_CWS'!R69</f>
        <v>-128401893.52500002</v>
      </c>
      <c r="S8" s="121">
        <f>'FIN-CASHFLOW_CWS'!S69</f>
        <v>-139134707.02500004</v>
      </c>
      <c r="T8" s="121">
        <f>'FIN-CASHFLOW_CWS'!T69</f>
        <v>-149874389.15000004</v>
      </c>
      <c r="U8" s="121">
        <f>'FIN-CASHFLOW_CWS'!U69</f>
        <v>-160628484.15000004</v>
      </c>
      <c r="V8" s="121">
        <f>'FIN-CASHFLOW_CWS'!V69</f>
        <v>-171277467.77500004</v>
      </c>
      <c r="W8" s="121">
        <f>'FIN-CASHFLOW_CWS'!W69</f>
        <v>-180921377.40000004</v>
      </c>
      <c r="X8" s="121">
        <f>'FIN-CASHFLOW_CWS'!X69</f>
        <v>-190585082.40000004</v>
      </c>
      <c r="Y8" s="121">
        <f>'FIN-CASHFLOW_CWS'!Y69</f>
        <v>-200199724.15000004</v>
      </c>
      <c r="Z8" s="121">
        <f>'FIN-CASHFLOW_CWS'!Z69</f>
        <v>-209923705.90000004</v>
      </c>
      <c r="AA8" s="121">
        <f>'FIN-CASHFLOW_CWS'!AA69</f>
        <v>-219521172.65000004</v>
      </c>
      <c r="AB8" s="121">
        <f>'FIN-CASHFLOW_CWS'!AB69</f>
        <v>-229260950.21250004</v>
      </c>
      <c r="AC8" s="121">
        <f>'FIN-CASHFLOW_CWS'!AC69</f>
        <v>-237797307.84062505</v>
      </c>
      <c r="AD8" s="121">
        <f>'FIN-CASHFLOW_CWS'!AD69</f>
        <v>-246487696.85625005</v>
      </c>
      <c r="AE8" s="121">
        <f>'FIN-CASHFLOW_CWS'!AE69</f>
        <v>-255017186.09687504</v>
      </c>
      <c r="AF8" s="121">
        <f>'FIN-CASHFLOW_CWS'!AF69</f>
        <v>-263585256.96250004</v>
      </c>
      <c r="AG8" s="121">
        <f>'FIN-CASHFLOW_CWS'!AG69</f>
        <v>-272186261.26562506</v>
      </c>
      <c r="AH8" s="121">
        <f>'FIN-CASHFLOW_CWS'!AH69</f>
        <v>-280658738.89375007</v>
      </c>
      <c r="AI8" s="121">
        <f>'FIN-CASHFLOW_CWS'!AI69</f>
        <v>-289143818.5093751</v>
      </c>
      <c r="AJ8" s="121">
        <f>'FIN-CASHFLOW_CWS'!AJ69</f>
        <v>-297583382.81250012</v>
      </c>
      <c r="AK8" s="121">
        <f>'FIN-CASHFLOW_CWS'!AK69</f>
        <v>-305993435.46562511</v>
      </c>
      <c r="AL8" s="121">
        <f>'FIN-CASHFLOW_CWS'!AL69</f>
        <v>-314483693.1187501</v>
      </c>
      <c r="AM8" s="121">
        <f>'FIN-CASHFLOW_CWS'!AM69</f>
        <v>-322778385.77187508</v>
      </c>
      <c r="AN8" s="121">
        <f>'FIN-CASHFLOW_CWS'!AN69</f>
        <v>-331098089.82500011</v>
      </c>
      <c r="AO8" s="121">
        <f>'FIN-CASHFLOW_CWS'!AO69</f>
        <v>-341392411.92101574</v>
      </c>
      <c r="AP8" s="121">
        <f>'FIN-CASHFLOW_CWS'!AP69</f>
        <v>-351703712.55703139</v>
      </c>
      <c r="AQ8" s="121">
        <f>'FIN-CASHFLOW_CWS'!AQ69</f>
        <v>-361836878.72804701</v>
      </c>
      <c r="AR8" s="121">
        <f>'FIN-CASHFLOW_CWS'!AR69</f>
        <v>-372007156.59906262</v>
      </c>
      <c r="AS8" s="121">
        <f>'FIN-CASHFLOW_CWS'!AS69</f>
        <v>-382204338.18007827</v>
      </c>
      <c r="AT8" s="121">
        <f>'FIN-CASHFLOW_CWS'!AT69</f>
        <v>-392264566.59609389</v>
      </c>
      <c r="AU8" s="121">
        <f>'FIN-CASHFLOW_CWS'!AU69</f>
        <v>-402335126.9671095</v>
      </c>
      <c r="AV8" s="121">
        <f>'FIN-CASHFLOW_CWS'!AV69</f>
        <v>-412378644.54812515</v>
      </c>
      <c r="AW8" s="121">
        <f>'FIN-CASHFLOW_CWS'!AW69</f>
        <v>-422381394.65914077</v>
      </c>
      <c r="AX8" s="121">
        <f>'FIN-CASHFLOW_CWS'!AX69</f>
        <v>-432480474.77015638</v>
      </c>
      <c r="AY8" s="121">
        <f>'FIN-CASHFLOW_CWS'!AY69</f>
        <v>-442392737.881172</v>
      </c>
      <c r="AZ8" s="121">
        <f>'FIN-CASHFLOW_CWS'!AZ69</f>
        <v>-452327120.97718763</v>
      </c>
      <c r="BA8" s="121">
        <f>'FIN-CASHFLOW_CWS'!BA69</f>
        <v>-466165207.09879112</v>
      </c>
      <c r="BB8" s="121">
        <f>'FIN-CASHFLOW_CWS'!BB69</f>
        <v>-480015222.59039462</v>
      </c>
      <c r="BC8" s="121">
        <f>'FIN-CASHFLOW_CWS'!BC69</f>
        <v>-493667725.53299814</v>
      </c>
      <c r="BD8" s="121">
        <f>'FIN-CASHFLOW_CWS'!BD69</f>
        <v>-507354989.57560164</v>
      </c>
      <c r="BE8" s="121">
        <f>'FIN-CASHFLOW_CWS'!BE69</f>
        <v>-521064192.76520514</v>
      </c>
      <c r="BF8" s="121">
        <f>'FIN-CASHFLOW_CWS'!BF69</f>
        <v>-534627533.98080868</v>
      </c>
      <c r="BG8" s="121">
        <f>'FIN-CASHFLOW_CWS'!BG69</f>
        <v>-548198133.02341223</v>
      </c>
      <c r="BH8" s="121">
        <f>'FIN-CASHFLOW_CWS'!BH69</f>
        <v>-561761545.41301572</v>
      </c>
      <c r="BI8" s="121">
        <f>'FIN-CASHFLOW_CWS'!BI69</f>
        <v>-575271742.97961926</v>
      </c>
      <c r="BJ8" s="121">
        <f>'FIN-CASHFLOW_CWS'!BJ69</f>
        <v>-588895095.54622281</v>
      </c>
      <c r="BK8" s="121">
        <f>'FIN-CASHFLOW_CWS'!BK69</f>
        <v>-602340379.11282635</v>
      </c>
    </row>
    <row r="9" spans="2:63" x14ac:dyDescent="0.15">
      <c r="B9" s="127" t="s">
        <v>492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-28696854</v>
      </c>
      <c r="G9" s="121">
        <f>'FIN-CASHFLOW_CWS'!G70</f>
        <v>-38605261.700000003</v>
      </c>
      <c r="H9" s="121">
        <f>'FIN-CASHFLOW_CWS'!H70</f>
        <v>-47355928.700000003</v>
      </c>
      <c r="I9" s="121">
        <f>'FIN-CASHFLOW_CWS'!I70</f>
        <v>-55874564.300000004</v>
      </c>
      <c r="J9" s="121">
        <f>'FIN-CASHFLOW_CWS'!J70</f>
        <v>-64302792</v>
      </c>
      <c r="K9" s="121">
        <f>'FIN-CASHFLOW_CWS'!K70</f>
        <v>-72899019</v>
      </c>
      <c r="L9" s="121">
        <f>'FIN-CASHFLOW_CWS'!L70</f>
        <v>-81356507.400000006</v>
      </c>
      <c r="M9" s="121">
        <f>'FIN-CASHFLOW_CWS'!M70</f>
        <v>-90058480.800000012</v>
      </c>
      <c r="N9" s="121">
        <f>'FIN-CASHFLOW_CWS'!N70</f>
        <v>-98590479.200000018</v>
      </c>
      <c r="O9" s="121">
        <f>'FIN-CASHFLOW_CWS'!O70</f>
        <v>-107042575.40000002</v>
      </c>
      <c r="P9" s="121">
        <f>'FIN-CASHFLOW_CWS'!P70</f>
        <v>-117483563.08750002</v>
      </c>
      <c r="Q9" s="121">
        <f>'FIN-CASHFLOW_CWS'!Q70</f>
        <v>-128401893.52500002</v>
      </c>
      <c r="R9" s="121">
        <f>'FIN-CASHFLOW_CWS'!R70</f>
        <v>-139134707.02500004</v>
      </c>
      <c r="S9" s="121">
        <f>'FIN-CASHFLOW_CWS'!S70</f>
        <v>-149874389.15000004</v>
      </c>
      <c r="T9" s="121">
        <f>'FIN-CASHFLOW_CWS'!T70</f>
        <v>-160628484.15000004</v>
      </c>
      <c r="U9" s="121">
        <f>'FIN-CASHFLOW_CWS'!U70</f>
        <v>-171277467.77500004</v>
      </c>
      <c r="V9" s="121">
        <f>'FIN-CASHFLOW_CWS'!V70</f>
        <v>-180921377.40000004</v>
      </c>
      <c r="W9" s="121">
        <f>'FIN-CASHFLOW_CWS'!W70</f>
        <v>-190585082.40000004</v>
      </c>
      <c r="X9" s="121">
        <f>'FIN-CASHFLOW_CWS'!X70</f>
        <v>-200199724.15000004</v>
      </c>
      <c r="Y9" s="121">
        <f>'FIN-CASHFLOW_CWS'!Y70</f>
        <v>-209923705.90000004</v>
      </c>
      <c r="Z9" s="121">
        <f>'FIN-CASHFLOW_CWS'!Z70</f>
        <v>-219521172.65000004</v>
      </c>
      <c r="AA9" s="121">
        <f>'FIN-CASHFLOW_CWS'!AA70</f>
        <v>-229260950.21250004</v>
      </c>
      <c r="AB9" s="121">
        <f>'FIN-CASHFLOW_CWS'!AB70</f>
        <v>-237797307.84062505</v>
      </c>
      <c r="AC9" s="121">
        <f>'FIN-CASHFLOW_CWS'!AC70</f>
        <v>-246487696.85625005</v>
      </c>
      <c r="AD9" s="121">
        <f>'FIN-CASHFLOW_CWS'!AD70</f>
        <v>-255017186.09687504</v>
      </c>
      <c r="AE9" s="121">
        <f>'FIN-CASHFLOW_CWS'!AE70</f>
        <v>-263585256.96250004</v>
      </c>
      <c r="AF9" s="121">
        <f>'FIN-CASHFLOW_CWS'!AF70</f>
        <v>-272186261.26562506</v>
      </c>
      <c r="AG9" s="121">
        <f>'FIN-CASHFLOW_CWS'!AG70</f>
        <v>-280658738.89375007</v>
      </c>
      <c r="AH9" s="121">
        <f>'FIN-CASHFLOW_CWS'!AH70</f>
        <v>-289143818.5093751</v>
      </c>
      <c r="AI9" s="121">
        <f>'FIN-CASHFLOW_CWS'!AI70</f>
        <v>-297583382.81250012</v>
      </c>
      <c r="AJ9" s="121">
        <f>'FIN-CASHFLOW_CWS'!AJ70</f>
        <v>-305993435.46562511</v>
      </c>
      <c r="AK9" s="121">
        <f>'FIN-CASHFLOW_CWS'!AK70</f>
        <v>-314483693.1187501</v>
      </c>
      <c r="AL9" s="121">
        <f>'FIN-CASHFLOW_CWS'!AL70</f>
        <v>-322778385.77187508</v>
      </c>
      <c r="AM9" s="121">
        <f>'FIN-CASHFLOW_CWS'!AM70</f>
        <v>-331098089.82500011</v>
      </c>
      <c r="AN9" s="121">
        <f>'FIN-CASHFLOW_CWS'!AN70</f>
        <v>-341392411.92101574</v>
      </c>
      <c r="AO9" s="121">
        <f>'FIN-CASHFLOW_CWS'!AO70</f>
        <v>-351703712.55703139</v>
      </c>
      <c r="AP9" s="121">
        <f>'FIN-CASHFLOW_CWS'!AP70</f>
        <v>-361836878.72804701</v>
      </c>
      <c r="AQ9" s="121">
        <f>'FIN-CASHFLOW_CWS'!AQ70</f>
        <v>-372007156.59906262</v>
      </c>
      <c r="AR9" s="121">
        <f>'FIN-CASHFLOW_CWS'!AR70</f>
        <v>-382204338.18007827</v>
      </c>
      <c r="AS9" s="121">
        <f>'FIN-CASHFLOW_CWS'!AS70</f>
        <v>-392264566.59609389</v>
      </c>
      <c r="AT9" s="121">
        <f>'FIN-CASHFLOW_CWS'!AT70</f>
        <v>-402335126.9671095</v>
      </c>
      <c r="AU9" s="121">
        <f>'FIN-CASHFLOW_CWS'!AU70</f>
        <v>-412378644.54812515</v>
      </c>
      <c r="AV9" s="121">
        <f>'FIN-CASHFLOW_CWS'!AV70</f>
        <v>-422381394.65914077</v>
      </c>
      <c r="AW9" s="121">
        <f>'FIN-CASHFLOW_CWS'!AW70</f>
        <v>-432480474.77015638</v>
      </c>
      <c r="AX9" s="121">
        <f>'FIN-CASHFLOW_CWS'!AX70</f>
        <v>-442392737.881172</v>
      </c>
      <c r="AY9" s="121">
        <f>'FIN-CASHFLOW_CWS'!AY70</f>
        <v>-452327120.97718763</v>
      </c>
      <c r="AZ9" s="121">
        <f>'FIN-CASHFLOW_CWS'!AZ70</f>
        <v>-466165207.09879112</v>
      </c>
      <c r="BA9" s="121">
        <f>'FIN-CASHFLOW_CWS'!BA70</f>
        <v>-480015222.59039462</v>
      </c>
      <c r="BB9" s="121">
        <f>'FIN-CASHFLOW_CWS'!BB70</f>
        <v>-493667725.53299814</v>
      </c>
      <c r="BC9" s="121">
        <f>'FIN-CASHFLOW_CWS'!BC70</f>
        <v>-507354989.57560164</v>
      </c>
      <c r="BD9" s="121">
        <f>'FIN-CASHFLOW_CWS'!BD70</f>
        <v>-521064192.76520514</v>
      </c>
      <c r="BE9" s="121">
        <f>'FIN-CASHFLOW_CWS'!BE70</f>
        <v>-534627533.98080868</v>
      </c>
      <c r="BF9" s="121">
        <f>'FIN-CASHFLOW_CWS'!BF70</f>
        <v>-548198133.02341223</v>
      </c>
      <c r="BG9" s="121">
        <f>'FIN-CASHFLOW_CWS'!BG70</f>
        <v>-561761545.41301572</v>
      </c>
      <c r="BH9" s="121">
        <f>'FIN-CASHFLOW_CWS'!BH70</f>
        <v>-575271742.97961926</v>
      </c>
      <c r="BI9" s="121">
        <f>'FIN-CASHFLOW_CWS'!BI70</f>
        <v>-588895095.54622281</v>
      </c>
      <c r="BJ9" s="121">
        <f>'FIN-CASHFLOW_CWS'!BJ70</f>
        <v>-602340379.11282635</v>
      </c>
      <c r="BK9" s="121">
        <f>'FIN-CASHFLOW_CWS'!BK70</f>
        <v>-619460541.98442984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956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1079</v>
      </c>
      <c r="C13" s="121">
        <f>C28*-1</f>
        <v>47355928.700000003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51234550.500000015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51283909.950000018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491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-9841214</v>
      </c>
      <c r="G15" s="121">
        <f t="shared" si="0"/>
        <v>-9908407.6999999993</v>
      </c>
      <c r="H15" s="121">
        <f t="shared" si="0"/>
        <v>42483883.500000015</v>
      </c>
      <c r="I15" s="121">
        <f t="shared" si="0"/>
        <v>-8518635.5999999996</v>
      </c>
      <c r="J15" s="121">
        <f t="shared" si="0"/>
        <v>-8428227.6999999993</v>
      </c>
      <c r="K15" s="121">
        <f t="shared" si="0"/>
        <v>-8596227</v>
      </c>
      <c r="L15" s="121">
        <f t="shared" si="0"/>
        <v>-8457488.4000000004</v>
      </c>
      <c r="M15" s="121">
        <f t="shared" si="0"/>
        <v>-8701973.4000000004</v>
      </c>
      <c r="N15" s="121">
        <f t="shared" si="0"/>
        <v>42751911.550000019</v>
      </c>
      <c r="O15" s="121">
        <f t="shared" si="0"/>
        <v>-8452096.1999999993</v>
      </c>
      <c r="P15" s="121">
        <f t="shared" si="0"/>
        <v>-10440987.6875</v>
      </c>
      <c r="Q15" s="121">
        <f t="shared" si="0"/>
        <v>-10918330.4375</v>
      </c>
      <c r="R15" s="121">
        <f t="shared" si="0"/>
        <v>-10732813.5</v>
      </c>
      <c r="S15" s="121">
        <f t="shared" si="0"/>
        <v>-10739682.125</v>
      </c>
      <c r="T15" s="121">
        <f t="shared" si="0"/>
        <v>-10754095</v>
      </c>
      <c r="U15" s="121">
        <f t="shared" si="0"/>
        <v>-10648983.625</v>
      </c>
      <c r="V15" s="121">
        <f t="shared" si="0"/>
        <v>-9643909.625</v>
      </c>
      <c r="W15" s="121">
        <f t="shared" si="0"/>
        <v>-9663705</v>
      </c>
      <c r="X15" s="121">
        <f t="shared" si="0"/>
        <v>-9614641.75</v>
      </c>
      <c r="Y15" s="121">
        <f t="shared" si="0"/>
        <v>-9723981.75</v>
      </c>
      <c r="Z15" s="121">
        <f t="shared" si="0"/>
        <v>-9597466.75</v>
      </c>
      <c r="AA15" s="121">
        <f t="shared" si="0"/>
        <v>-9739777.5625</v>
      </c>
      <c r="AB15" s="121">
        <f t="shared" si="0"/>
        <v>-8536357.6281249989</v>
      </c>
      <c r="AC15" s="121">
        <f t="shared" si="0"/>
        <v>-8690389.0156249981</v>
      </c>
      <c r="AD15" s="121">
        <f t="shared" si="0"/>
        <v>-8529489.2406249996</v>
      </c>
      <c r="AE15" s="121">
        <f t="shared" si="0"/>
        <v>-8568070.8656249996</v>
      </c>
      <c r="AF15" s="121">
        <f t="shared" si="0"/>
        <v>-8601004.3031249996</v>
      </c>
      <c r="AG15" s="121">
        <f t="shared" si="0"/>
        <v>-8472477.6281249989</v>
      </c>
      <c r="AH15" s="121">
        <f t="shared" si="0"/>
        <v>-8485079.6156249996</v>
      </c>
      <c r="AI15" s="121">
        <f t="shared" si="0"/>
        <v>-8439564.3031249996</v>
      </c>
      <c r="AJ15" s="121">
        <f t="shared" ref="AJ15:BK15" si="1">AJ6+AJ13</f>
        <v>-8410052.6531249993</v>
      </c>
      <c r="AK15" s="121">
        <f t="shared" si="1"/>
        <v>-8490257.6531249993</v>
      </c>
      <c r="AL15" s="121">
        <f t="shared" si="1"/>
        <v>-8294692.6531250002</v>
      </c>
      <c r="AM15" s="121">
        <f t="shared" si="1"/>
        <v>-8319704.0531250006</v>
      </c>
      <c r="AN15" s="121">
        <f t="shared" si="1"/>
        <v>-10294322.096015625</v>
      </c>
      <c r="AO15" s="121">
        <f t="shared" si="1"/>
        <v>-10311300.636015626</v>
      </c>
      <c r="AP15" s="121">
        <f t="shared" si="1"/>
        <v>-10133166.171015624</v>
      </c>
      <c r="AQ15" s="121">
        <f t="shared" si="1"/>
        <v>-10170277.871015625</v>
      </c>
      <c r="AR15" s="121">
        <f t="shared" si="1"/>
        <v>-10197181.581015624</v>
      </c>
      <c r="AS15" s="121">
        <f t="shared" si="1"/>
        <v>-10060228.416015625</v>
      </c>
      <c r="AT15" s="121">
        <f t="shared" si="1"/>
        <v>-10070560.371015625</v>
      </c>
      <c r="AU15" s="121">
        <f t="shared" si="1"/>
        <v>-10043517.581015624</v>
      </c>
      <c r="AV15" s="121">
        <f t="shared" si="1"/>
        <v>-10002750.111015625</v>
      </c>
      <c r="AW15" s="121">
        <f t="shared" si="1"/>
        <v>-10099080.111015625</v>
      </c>
      <c r="AX15" s="121">
        <f t="shared" si="1"/>
        <v>-9912263.1110156253</v>
      </c>
      <c r="AY15" s="121">
        <f t="shared" si="1"/>
        <v>-9934383.0960156247</v>
      </c>
      <c r="AZ15" s="121">
        <f t="shared" si="1"/>
        <v>-13838086.121603517</v>
      </c>
      <c r="BA15" s="121">
        <f t="shared" si="1"/>
        <v>-13850015.491603516</v>
      </c>
      <c r="BB15" s="121">
        <f t="shared" si="1"/>
        <v>-13652502.942603514</v>
      </c>
      <c r="BC15" s="121">
        <f t="shared" si="1"/>
        <v>-13687264.042603515</v>
      </c>
      <c r="BD15" s="121">
        <f t="shared" si="1"/>
        <v>-13709203.189603519</v>
      </c>
      <c r="BE15" s="121">
        <f t="shared" si="1"/>
        <v>-13563341.215603516</v>
      </c>
      <c r="BF15" s="121">
        <f t="shared" si="1"/>
        <v>-13570599.042603515</v>
      </c>
      <c r="BG15" s="121">
        <f t="shared" si="1"/>
        <v>-13563412.389603518</v>
      </c>
      <c r="BH15" s="121">
        <f t="shared" si="1"/>
        <v>-13510197.566603515</v>
      </c>
      <c r="BI15" s="121">
        <f t="shared" si="1"/>
        <v>-13623352.566603515</v>
      </c>
      <c r="BJ15" s="121">
        <f t="shared" si="1"/>
        <v>-13445283.566603515</v>
      </c>
      <c r="BK15" s="121">
        <f t="shared" si="1"/>
        <v>-17120162.871603519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493</v>
      </c>
      <c r="C17" s="121">
        <f>C13</f>
        <v>47355928.700000003</v>
      </c>
      <c r="D17" s="121">
        <f t="shared" ref="D17:AI17" si="2">C18</f>
        <v>47327336.700000003</v>
      </c>
      <c r="E17" s="121">
        <f t="shared" si="2"/>
        <v>37896112.700000003</v>
      </c>
      <c r="F17" s="121">
        <f t="shared" si="2"/>
        <v>28500288.700000003</v>
      </c>
      <c r="G17" s="121">
        <f t="shared" si="2"/>
        <v>18659074.700000003</v>
      </c>
      <c r="H17" s="121">
        <f t="shared" si="2"/>
        <v>8750667.0000000037</v>
      </c>
      <c r="I17" s="121">
        <f t="shared" si="2"/>
        <v>51234550.500000015</v>
      </c>
      <c r="J17" s="121">
        <f t="shared" si="2"/>
        <v>42715914.900000013</v>
      </c>
      <c r="K17" s="121">
        <f t="shared" si="2"/>
        <v>34287687.200000018</v>
      </c>
      <c r="L17" s="121">
        <f t="shared" si="2"/>
        <v>25691460.200000018</v>
      </c>
      <c r="M17" s="121">
        <f t="shared" si="2"/>
        <v>17233971.800000019</v>
      </c>
      <c r="N17" s="121">
        <f t="shared" si="2"/>
        <v>8531998.400000019</v>
      </c>
      <c r="O17" s="121">
        <f t="shared" si="2"/>
        <v>51283909.95000004</v>
      </c>
      <c r="P17" s="121">
        <f t="shared" si="2"/>
        <v>42831813.750000045</v>
      </c>
      <c r="Q17" s="121">
        <f t="shared" si="2"/>
        <v>32390826.062500045</v>
      </c>
      <c r="R17" s="121">
        <f t="shared" si="2"/>
        <v>21472495.625000045</v>
      </c>
      <c r="S17" s="121">
        <f t="shared" si="2"/>
        <v>10739682.125000045</v>
      </c>
      <c r="T17" s="121">
        <f t="shared" si="2"/>
        <v>4.4703483581542969E-8</v>
      </c>
      <c r="U17" s="121">
        <f t="shared" si="2"/>
        <v>-10754094.999999955</v>
      </c>
      <c r="V17" s="121">
        <f t="shared" si="2"/>
        <v>-21403078.624999955</v>
      </c>
      <c r="W17" s="121">
        <f t="shared" si="2"/>
        <v>-31046988.249999955</v>
      </c>
      <c r="X17" s="121">
        <f t="shared" si="2"/>
        <v>-40710693.249999955</v>
      </c>
      <c r="Y17" s="121">
        <f t="shared" si="2"/>
        <v>-50325334.999999955</v>
      </c>
      <c r="Z17" s="121">
        <f t="shared" si="2"/>
        <v>-60049316.749999955</v>
      </c>
      <c r="AA17" s="121">
        <f t="shared" si="2"/>
        <v>-69646783.499999955</v>
      </c>
      <c r="AB17" s="121">
        <f t="shared" si="2"/>
        <v>-79386561.062499955</v>
      </c>
      <c r="AC17" s="121">
        <f t="shared" si="2"/>
        <v>-87922918.690624952</v>
      </c>
      <c r="AD17" s="121">
        <f t="shared" si="2"/>
        <v>-96613307.706249952</v>
      </c>
      <c r="AE17" s="121">
        <f t="shared" si="2"/>
        <v>-105142796.94687495</v>
      </c>
      <c r="AF17" s="121">
        <f t="shared" si="2"/>
        <v>-113710867.81249994</v>
      </c>
      <c r="AG17" s="121">
        <f t="shared" si="2"/>
        <v>-122311872.11562493</v>
      </c>
      <c r="AH17" s="121">
        <f t="shared" si="2"/>
        <v>-130784349.74374993</v>
      </c>
      <c r="AI17" s="121">
        <f t="shared" si="2"/>
        <v>-139269429.35937494</v>
      </c>
      <c r="AJ17" s="121">
        <f t="shared" ref="AJ17:BK17" si="3">AI18</f>
        <v>-147708993.66249993</v>
      </c>
      <c r="AK17" s="121">
        <f t="shared" si="3"/>
        <v>-156119046.31562492</v>
      </c>
      <c r="AL17" s="121">
        <f t="shared" si="3"/>
        <v>-164609303.96874991</v>
      </c>
      <c r="AM17" s="121">
        <f t="shared" si="3"/>
        <v>-172903996.6218749</v>
      </c>
      <c r="AN17" s="121">
        <f t="shared" si="3"/>
        <v>-181223700.67499989</v>
      </c>
      <c r="AO17" s="121">
        <f t="shared" si="3"/>
        <v>-191518022.77101552</v>
      </c>
      <c r="AP17" s="121">
        <f t="shared" si="3"/>
        <v>-201829323.40703115</v>
      </c>
      <c r="AQ17" s="121">
        <f t="shared" si="3"/>
        <v>-211962489.57804677</v>
      </c>
      <c r="AR17" s="121">
        <f t="shared" si="3"/>
        <v>-222132767.44906241</v>
      </c>
      <c r="AS17" s="121">
        <f t="shared" si="3"/>
        <v>-232329949.03007802</v>
      </c>
      <c r="AT17" s="121">
        <f t="shared" si="3"/>
        <v>-242390177.44609365</v>
      </c>
      <c r="AU17" s="121">
        <f t="shared" si="3"/>
        <v>-252460737.81710929</v>
      </c>
      <c r="AV17" s="121">
        <f t="shared" si="3"/>
        <v>-262504255.3981249</v>
      </c>
      <c r="AW17" s="121">
        <f t="shared" si="3"/>
        <v>-272507005.50914055</v>
      </c>
      <c r="AX17" s="121">
        <f t="shared" si="3"/>
        <v>-282606085.62015617</v>
      </c>
      <c r="AY17" s="121">
        <f t="shared" si="3"/>
        <v>-292518348.73117179</v>
      </c>
      <c r="AZ17" s="121">
        <f t="shared" si="3"/>
        <v>-302452731.82718742</v>
      </c>
      <c r="BA17" s="121">
        <f t="shared" si="3"/>
        <v>-316290817.94879091</v>
      </c>
      <c r="BB17" s="121">
        <f t="shared" si="3"/>
        <v>-330140833.4403944</v>
      </c>
      <c r="BC17" s="121">
        <f t="shared" si="3"/>
        <v>-343793336.38299793</v>
      </c>
      <c r="BD17" s="121">
        <f t="shared" si="3"/>
        <v>-357480600.42560142</v>
      </c>
      <c r="BE17" s="121">
        <f t="shared" si="3"/>
        <v>-371189803.61520493</v>
      </c>
      <c r="BF17" s="121">
        <f t="shared" si="3"/>
        <v>-384753144.83080846</v>
      </c>
      <c r="BG17" s="121">
        <f t="shared" si="3"/>
        <v>-398323743.87341195</v>
      </c>
      <c r="BH17" s="121">
        <f t="shared" si="3"/>
        <v>-411887156.26301545</v>
      </c>
      <c r="BI17" s="121">
        <f t="shared" si="3"/>
        <v>-425397353.82961899</v>
      </c>
      <c r="BJ17" s="121">
        <f t="shared" si="3"/>
        <v>-439020706.39622253</v>
      </c>
      <c r="BK17" s="121">
        <f t="shared" si="3"/>
        <v>-452465989.96282607</v>
      </c>
    </row>
    <row r="18" spans="2:64" x14ac:dyDescent="0.15">
      <c r="B18" s="127" t="s">
        <v>492</v>
      </c>
      <c r="C18" s="121">
        <f>C13+C15</f>
        <v>47327336.700000003</v>
      </c>
      <c r="D18" s="121">
        <f t="shared" ref="D18:AI18" si="4">D15+D17</f>
        <v>37896112.700000003</v>
      </c>
      <c r="E18" s="121">
        <f t="shared" si="4"/>
        <v>28500288.700000003</v>
      </c>
      <c r="F18" s="121">
        <f t="shared" si="4"/>
        <v>18659074.700000003</v>
      </c>
      <c r="G18" s="121">
        <f t="shared" si="4"/>
        <v>8750667.0000000037</v>
      </c>
      <c r="H18" s="121">
        <f t="shared" si="4"/>
        <v>51234550.500000015</v>
      </c>
      <c r="I18" s="121">
        <f t="shared" si="4"/>
        <v>42715914.900000013</v>
      </c>
      <c r="J18" s="121">
        <f t="shared" si="4"/>
        <v>34287687.200000018</v>
      </c>
      <c r="K18" s="121">
        <f t="shared" si="4"/>
        <v>25691460.200000018</v>
      </c>
      <c r="L18" s="121">
        <f t="shared" si="4"/>
        <v>17233971.800000019</v>
      </c>
      <c r="M18" s="121">
        <f t="shared" si="4"/>
        <v>8531998.400000019</v>
      </c>
      <c r="N18" s="121">
        <f t="shared" si="4"/>
        <v>51283909.95000004</v>
      </c>
      <c r="O18" s="121">
        <f t="shared" si="4"/>
        <v>42831813.750000045</v>
      </c>
      <c r="P18" s="121">
        <f t="shared" si="4"/>
        <v>32390826.062500045</v>
      </c>
      <c r="Q18" s="121">
        <f t="shared" si="4"/>
        <v>21472495.625000045</v>
      </c>
      <c r="R18" s="121">
        <f t="shared" si="4"/>
        <v>10739682.125000045</v>
      </c>
      <c r="S18" s="121">
        <f t="shared" si="4"/>
        <v>4.4703483581542969E-8</v>
      </c>
      <c r="T18" s="121">
        <f t="shared" si="4"/>
        <v>-10754094.999999955</v>
      </c>
      <c r="U18" s="121">
        <f t="shared" si="4"/>
        <v>-21403078.624999955</v>
      </c>
      <c r="V18" s="121">
        <f t="shared" si="4"/>
        <v>-31046988.249999955</v>
      </c>
      <c r="W18" s="121">
        <f t="shared" si="4"/>
        <v>-40710693.249999955</v>
      </c>
      <c r="X18" s="121">
        <f t="shared" si="4"/>
        <v>-50325334.999999955</v>
      </c>
      <c r="Y18" s="121">
        <f t="shared" si="4"/>
        <v>-60049316.749999955</v>
      </c>
      <c r="Z18" s="121">
        <f t="shared" si="4"/>
        <v>-69646783.499999955</v>
      </c>
      <c r="AA18" s="121">
        <f t="shared" si="4"/>
        <v>-79386561.062499955</v>
      </c>
      <c r="AB18" s="121">
        <f t="shared" si="4"/>
        <v>-87922918.690624952</v>
      </c>
      <c r="AC18" s="121">
        <f t="shared" si="4"/>
        <v>-96613307.706249952</v>
      </c>
      <c r="AD18" s="121">
        <f t="shared" si="4"/>
        <v>-105142796.94687495</v>
      </c>
      <c r="AE18" s="121">
        <f t="shared" si="4"/>
        <v>-113710867.81249994</v>
      </c>
      <c r="AF18" s="121">
        <f t="shared" si="4"/>
        <v>-122311872.11562493</v>
      </c>
      <c r="AG18" s="121">
        <f t="shared" si="4"/>
        <v>-130784349.74374993</v>
      </c>
      <c r="AH18" s="121">
        <f t="shared" si="4"/>
        <v>-139269429.35937494</v>
      </c>
      <c r="AI18" s="121">
        <f t="shared" si="4"/>
        <v>-147708993.66249993</v>
      </c>
      <c r="AJ18" s="121">
        <f t="shared" ref="AJ18:BK18" si="5">AJ15+AJ17</f>
        <v>-156119046.31562492</v>
      </c>
      <c r="AK18" s="121">
        <f t="shared" si="5"/>
        <v>-164609303.96874991</v>
      </c>
      <c r="AL18" s="121">
        <f t="shared" si="5"/>
        <v>-172903996.6218749</v>
      </c>
      <c r="AM18" s="121">
        <f t="shared" si="5"/>
        <v>-181223700.67499989</v>
      </c>
      <c r="AN18" s="121">
        <f t="shared" si="5"/>
        <v>-191518022.77101552</v>
      </c>
      <c r="AO18" s="121">
        <f t="shared" si="5"/>
        <v>-201829323.40703115</v>
      </c>
      <c r="AP18" s="121">
        <f t="shared" si="5"/>
        <v>-211962489.57804677</v>
      </c>
      <c r="AQ18" s="121">
        <f t="shared" si="5"/>
        <v>-222132767.44906241</v>
      </c>
      <c r="AR18" s="121">
        <f t="shared" si="5"/>
        <v>-232329949.03007802</v>
      </c>
      <c r="AS18" s="121">
        <f t="shared" si="5"/>
        <v>-242390177.44609365</v>
      </c>
      <c r="AT18" s="121">
        <f t="shared" si="5"/>
        <v>-252460737.81710929</v>
      </c>
      <c r="AU18" s="121">
        <f t="shared" si="5"/>
        <v>-262504255.3981249</v>
      </c>
      <c r="AV18" s="121">
        <f t="shared" si="5"/>
        <v>-272507005.50914055</v>
      </c>
      <c r="AW18" s="121">
        <f t="shared" si="5"/>
        <v>-282606085.62015617</v>
      </c>
      <c r="AX18" s="121">
        <f t="shared" si="5"/>
        <v>-292518348.73117179</v>
      </c>
      <c r="AY18" s="121">
        <f t="shared" si="5"/>
        <v>-302452731.82718742</v>
      </c>
      <c r="AZ18" s="121">
        <f t="shared" si="5"/>
        <v>-316290817.94879091</v>
      </c>
      <c r="BA18" s="121">
        <f t="shared" si="5"/>
        <v>-330140833.4403944</v>
      </c>
      <c r="BB18" s="121">
        <f t="shared" si="5"/>
        <v>-343793336.38299793</v>
      </c>
      <c r="BC18" s="121">
        <f t="shared" si="5"/>
        <v>-357480600.42560142</v>
      </c>
      <c r="BD18" s="121">
        <f t="shared" si="5"/>
        <v>-371189803.61520493</v>
      </c>
      <c r="BE18" s="121">
        <f t="shared" si="5"/>
        <v>-384753144.83080846</v>
      </c>
      <c r="BF18" s="121">
        <f t="shared" si="5"/>
        <v>-398323743.87341195</v>
      </c>
      <c r="BG18" s="121">
        <f t="shared" si="5"/>
        <v>-411887156.26301545</v>
      </c>
      <c r="BH18" s="121">
        <f t="shared" si="5"/>
        <v>-425397353.82961899</v>
      </c>
      <c r="BI18" s="121">
        <f t="shared" si="5"/>
        <v>-439020706.39622253</v>
      </c>
      <c r="BJ18" s="121">
        <f t="shared" si="5"/>
        <v>-452465989.96282607</v>
      </c>
      <c r="BK18" s="121">
        <f t="shared" si="5"/>
        <v>-469586152.83442962</v>
      </c>
      <c r="BL18" s="130">
        <f>BK18-BK9</f>
        <v>149874389.15000021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990</v>
      </c>
      <c r="C21" s="75" t="s">
        <v>882</v>
      </c>
      <c r="D21" s="75" t="s">
        <v>880</v>
      </c>
      <c r="E21" s="75" t="s">
        <v>881</v>
      </c>
      <c r="F21" s="75" t="s">
        <v>878</v>
      </c>
      <c r="G21" s="75" t="s">
        <v>879</v>
      </c>
      <c r="L21" s="130"/>
      <c r="U21" s="130"/>
    </row>
    <row r="22" spans="2:64" x14ac:dyDescent="0.15">
      <c r="B22" s="136" t="s">
        <v>993</v>
      </c>
      <c r="C22" s="75" t="s">
        <v>147</v>
      </c>
      <c r="D22" s="75" t="s">
        <v>959</v>
      </c>
      <c r="E22" s="75" t="s">
        <v>875</v>
      </c>
      <c r="L22" s="130"/>
    </row>
    <row r="23" spans="2:64" x14ac:dyDescent="0.15">
      <c r="B23" s="136" t="s">
        <v>957</v>
      </c>
      <c r="C23" s="75" t="s">
        <v>147</v>
      </c>
      <c r="D23" s="226" t="s">
        <v>983</v>
      </c>
      <c r="E23" s="75" t="s">
        <v>984</v>
      </c>
      <c r="L23" s="130"/>
    </row>
    <row r="24" spans="2:64" x14ac:dyDescent="0.15">
      <c r="B24" s="138" t="s">
        <v>958</v>
      </c>
      <c r="C24" s="75" t="s">
        <v>959</v>
      </c>
      <c r="D24" s="226" t="s">
        <v>875</v>
      </c>
      <c r="E24" s="75" t="s">
        <v>876</v>
      </c>
      <c r="L24" s="130"/>
    </row>
    <row r="25" spans="2:64" x14ac:dyDescent="0.15">
      <c r="B25" s="138" t="s">
        <v>994</v>
      </c>
      <c r="C25" s="75" t="s">
        <v>986</v>
      </c>
      <c r="D25" s="226" t="s">
        <v>960</v>
      </c>
      <c r="E25" s="75" t="s">
        <v>989</v>
      </c>
      <c r="F25" s="75" t="s">
        <v>987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868</v>
      </c>
      <c r="C27" s="121">
        <f>C4</f>
        <v>0</v>
      </c>
      <c r="D27" s="130">
        <f>C29</f>
        <v>-47355928.700000003</v>
      </c>
      <c r="E27" s="130">
        <f>D29</f>
        <v>-98590479.200000018</v>
      </c>
      <c r="F27" s="225">
        <f>C27</f>
        <v>0</v>
      </c>
      <c r="G27" s="225">
        <f>F29</f>
        <v>-149874389.15000004</v>
      </c>
      <c r="L27" s="130"/>
    </row>
    <row r="28" spans="2:64" x14ac:dyDescent="0.15">
      <c r="B28" s="138" t="s">
        <v>869</v>
      </c>
      <c r="C28" s="121">
        <f>C29-C27</f>
        <v>-47355928.700000003</v>
      </c>
      <c r="D28" s="121">
        <f>D29-D27</f>
        <v>-51234550.500000015</v>
      </c>
      <c r="E28" s="121">
        <f>E29-E27</f>
        <v>-51283909.950000018</v>
      </c>
      <c r="F28" s="225">
        <f>SUM(C28:E28)</f>
        <v>-149874389.15000004</v>
      </c>
      <c r="G28" s="145">
        <f>G29-G27</f>
        <v>-319711763.68442959</v>
      </c>
      <c r="L28" s="130"/>
    </row>
    <row r="29" spans="2:64" x14ac:dyDescent="0.15">
      <c r="B29" s="138" t="s">
        <v>870</v>
      </c>
      <c r="C29" s="121">
        <f>H9</f>
        <v>-47355928.700000003</v>
      </c>
      <c r="D29" s="130">
        <f>N9</f>
        <v>-98590479.200000018</v>
      </c>
      <c r="E29" s="130">
        <f>S9</f>
        <v>-149874389.15000004</v>
      </c>
      <c r="F29" s="225">
        <f>E29</f>
        <v>-149874389.15000004</v>
      </c>
      <c r="G29" s="225">
        <f>'FIN-CASHFLOW_CWS'!BK58</f>
        <v>-469586152.83442962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988</v>
      </c>
      <c r="D32" s="75" t="s">
        <v>866</v>
      </c>
      <c r="E32" s="75" t="s">
        <v>867</v>
      </c>
      <c r="F32" s="75" t="s">
        <v>935</v>
      </c>
    </row>
    <row r="33" spans="1:15" x14ac:dyDescent="0.15">
      <c r="C33" s="225"/>
      <c r="D33" s="75"/>
      <c r="E33" s="75"/>
    </row>
    <row r="34" spans="1:15" x14ac:dyDescent="0.15">
      <c r="B34" s="138" t="s">
        <v>1138</v>
      </c>
      <c r="C34" s="222">
        <f>'FIN-VALUE_DB'!C41</f>
        <v>0.75500000000000012</v>
      </c>
      <c r="D34" s="121">
        <f>NPV(+C34/12,I6:BK6)</f>
        <v>-145334743.39340889</v>
      </c>
      <c r="E34" s="130">
        <f>D28*-1</f>
        <v>51234550.500000015</v>
      </c>
      <c r="F34" s="238">
        <f>E34/D34</f>
        <v>-0.35252789046671662</v>
      </c>
    </row>
    <row r="35" spans="1:15" x14ac:dyDescent="0.15">
      <c r="B35" s="138" t="s">
        <v>985</v>
      </c>
      <c r="C35" s="222">
        <f>'FIN-VALUE_DB'!D41</f>
        <v>0.48000000000000009</v>
      </c>
      <c r="D35" s="121">
        <f>NPV(+C35/12,N6:BK6)</f>
        <v>-214564565.0532048</v>
      </c>
      <c r="E35" s="130">
        <f>E28*-1</f>
        <v>51283909.950000018</v>
      </c>
      <c r="F35" s="238">
        <f>E35/D35</f>
        <v>-0.23901388347737348</v>
      </c>
    </row>
    <row r="36" spans="1:15" x14ac:dyDescent="0.15">
      <c r="B36" s="138" t="s">
        <v>883</v>
      </c>
      <c r="C36" s="222">
        <f>'FIN-VALUE_DB'!E41</f>
        <v>0.25000000000000006</v>
      </c>
      <c r="D36" s="121">
        <f>NPV(+C36/12,V6:BK6)</f>
        <v>-285125040.34872925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873</v>
      </c>
      <c r="B39" s="48" t="s">
        <v>981</v>
      </c>
      <c r="C39" s="34" t="s">
        <v>952</v>
      </c>
      <c r="D39" s="34" t="s">
        <v>954</v>
      </c>
      <c r="E39" s="34" t="s">
        <v>980</v>
      </c>
      <c r="F39" s="366" t="s">
        <v>873</v>
      </c>
      <c r="G39" s="366"/>
      <c r="H39" s="366"/>
    </row>
    <row r="40" spans="1:15" ht="13.5" customHeight="1" x14ac:dyDescent="0.15">
      <c r="A40" s="34"/>
      <c r="B40" s="48"/>
      <c r="C40" s="34"/>
      <c r="D40" s="34"/>
      <c r="E40" s="34"/>
      <c r="F40" s="75" t="s">
        <v>953</v>
      </c>
      <c r="G40" s="75" t="s">
        <v>880</v>
      </c>
      <c r="H40" s="75" t="s">
        <v>881</v>
      </c>
    </row>
    <row r="41" spans="1:15" x14ac:dyDescent="0.15">
      <c r="B41" s="33" t="s">
        <v>937</v>
      </c>
    </row>
    <row r="42" spans="1:15" x14ac:dyDescent="0.15">
      <c r="B42" s="106" t="s">
        <v>872</v>
      </c>
      <c r="C42" s="33" t="s">
        <v>147</v>
      </c>
      <c r="D42" s="121">
        <f>C13/2</f>
        <v>23677964.350000001</v>
      </c>
      <c r="F42" s="239">
        <f>D42/E44</f>
        <v>0.5</v>
      </c>
      <c r="G42" s="240">
        <f>F42*(1-G52)</f>
        <v>0.67626394523335831</v>
      </c>
      <c r="H42" s="241">
        <f>G42*(1-H60)</f>
        <v>0.83790041703931306</v>
      </c>
      <c r="L42" s="224"/>
    </row>
    <row r="43" spans="1:15" x14ac:dyDescent="0.15">
      <c r="B43" s="106" t="s">
        <v>938</v>
      </c>
      <c r="C43" s="33" t="s">
        <v>147</v>
      </c>
      <c r="D43" s="121">
        <f>C13/2</f>
        <v>23677964.350000001</v>
      </c>
      <c r="F43" s="239">
        <f>D43/E44</f>
        <v>0.5</v>
      </c>
      <c r="G43" s="240">
        <f>F43*(1-G52)</f>
        <v>0.67626394523335831</v>
      </c>
      <c r="H43" s="241">
        <f>G43*(1-H60)</f>
        <v>0.83790041703931306</v>
      </c>
    </row>
    <row r="44" spans="1:15" x14ac:dyDescent="0.15">
      <c r="B44" s="47" t="s">
        <v>871</v>
      </c>
      <c r="E44" s="121">
        <f>D43+D42</f>
        <v>47355928.700000003</v>
      </c>
    </row>
    <row r="45" spans="1:15" x14ac:dyDescent="0.15">
      <c r="B45" s="106" t="s">
        <v>948</v>
      </c>
      <c r="D45" s="235">
        <v>50000</v>
      </c>
      <c r="L45" s="224"/>
    </row>
    <row r="46" spans="1:15" x14ac:dyDescent="0.15">
      <c r="B46" s="106" t="s">
        <v>949</v>
      </c>
      <c r="D46" s="235">
        <v>50000</v>
      </c>
    </row>
    <row r="47" spans="1:15" x14ac:dyDescent="0.15">
      <c r="B47" s="47" t="s">
        <v>939</v>
      </c>
      <c r="D47" s="236">
        <f>SUM(D45:D46)</f>
        <v>100000</v>
      </c>
    </row>
    <row r="48" spans="1:15" x14ac:dyDescent="0.15">
      <c r="B48" s="47" t="s">
        <v>940</v>
      </c>
      <c r="D48" s="131">
        <f>E44/D47</f>
        <v>473.55928700000004</v>
      </c>
    </row>
    <row r="49" spans="2:12" x14ac:dyDescent="0.15">
      <c r="B49" s="47" t="s">
        <v>943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874</v>
      </c>
    </row>
    <row r="52" spans="2:12" x14ac:dyDescent="0.15">
      <c r="B52" s="106" t="s">
        <v>941</v>
      </c>
      <c r="C52" s="33" t="s">
        <v>959</v>
      </c>
      <c r="D52" s="121">
        <f>E34</f>
        <v>51234550.500000015</v>
      </c>
      <c r="F52" s="239"/>
      <c r="G52" s="243">
        <f>D52/E53</f>
        <v>-0.35252789046671662</v>
      </c>
      <c r="H52" s="243">
        <f>G52*(1-H60)</f>
        <v>-0.43678695060125267</v>
      </c>
      <c r="L52" s="224"/>
    </row>
    <row r="53" spans="2:12" x14ac:dyDescent="0.15">
      <c r="B53" s="47" t="s">
        <v>871</v>
      </c>
      <c r="E53" s="121">
        <f>D34</f>
        <v>-145334743.39340889</v>
      </c>
    </row>
    <row r="54" spans="2:12" x14ac:dyDescent="0.15">
      <c r="B54" s="106" t="s">
        <v>950</v>
      </c>
      <c r="D54" s="235">
        <f>D47/(1-G52)-D47</f>
        <v>-26064.371237850763</v>
      </c>
      <c r="L54" s="224"/>
    </row>
    <row r="55" spans="2:12" x14ac:dyDescent="0.15">
      <c r="B55" s="47" t="s">
        <v>939</v>
      </c>
      <c r="D55" s="236">
        <f>D47+D54</f>
        <v>73935.628762149237</v>
      </c>
    </row>
    <row r="56" spans="2:12" x14ac:dyDescent="0.15">
      <c r="B56" s="47" t="s">
        <v>940</v>
      </c>
      <c r="D56" s="131">
        <f>E53/D55</f>
        <v>-1965.6929389340889</v>
      </c>
    </row>
    <row r="57" spans="2:12" x14ac:dyDescent="0.15">
      <c r="B57" s="47" t="s">
        <v>943</v>
      </c>
      <c r="D57" s="131"/>
      <c r="F57" s="242"/>
      <c r="G57" s="295">
        <f>SUM(G42:G56)</f>
        <v>1</v>
      </c>
    </row>
    <row r="58" spans="2:12" x14ac:dyDescent="0.15">
      <c r="B58" s="33"/>
    </row>
    <row r="59" spans="2:12" x14ac:dyDescent="0.15">
      <c r="B59" s="33" t="s">
        <v>874</v>
      </c>
    </row>
    <row r="60" spans="2:12" x14ac:dyDescent="0.15">
      <c r="B60" s="106" t="s">
        <v>942</v>
      </c>
      <c r="C60" s="33" t="s">
        <v>875</v>
      </c>
      <c r="D60" s="121">
        <f>E35</f>
        <v>51283909.950000018</v>
      </c>
      <c r="F60" s="239"/>
      <c r="H60" s="243">
        <f>D60/E61</f>
        <v>-0.23901388347737348</v>
      </c>
      <c r="L60" s="224"/>
    </row>
    <row r="61" spans="2:12" x14ac:dyDescent="0.15">
      <c r="B61" s="47" t="s">
        <v>871</v>
      </c>
      <c r="E61" s="121">
        <f>D35</f>
        <v>-214564565.0532048</v>
      </c>
    </row>
    <row r="62" spans="2:12" x14ac:dyDescent="0.15">
      <c r="B62" s="106" t="s">
        <v>951</v>
      </c>
      <c r="D62" s="235">
        <f>D55/(1-H60)-D55</f>
        <v>-14262.666458737374</v>
      </c>
      <c r="L62" s="224"/>
    </row>
    <row r="63" spans="2:12" x14ac:dyDescent="0.15">
      <c r="B63" s="47" t="s">
        <v>939</v>
      </c>
      <c r="D63" s="236">
        <f>D55+D62</f>
        <v>59672.962303411863</v>
      </c>
    </row>
    <row r="64" spans="2:12" x14ac:dyDescent="0.15">
      <c r="B64" s="47" t="s">
        <v>940</v>
      </c>
      <c r="D64" s="131">
        <f>E61/D63</f>
        <v>-3595.674770798782</v>
      </c>
    </row>
    <row r="65" spans="2:8" x14ac:dyDescent="0.15">
      <c r="B65" s="33" t="s">
        <v>943</v>
      </c>
      <c r="F65" s="242"/>
      <c r="G65" s="243"/>
      <c r="H65" s="295">
        <f>H60+H52+H43+H42</f>
        <v>1</v>
      </c>
    </row>
    <row r="66" spans="2:8" x14ac:dyDescent="0.15">
      <c r="B66" s="48"/>
    </row>
    <row r="67" spans="2:8" x14ac:dyDescent="0.15">
      <c r="B67" s="138" t="s">
        <v>982</v>
      </c>
      <c r="C67" s="75" t="s">
        <v>944</v>
      </c>
      <c r="D67" s="75" t="s">
        <v>935</v>
      </c>
      <c r="E67" s="75" t="s">
        <v>945</v>
      </c>
      <c r="F67" s="75" t="s">
        <v>947</v>
      </c>
    </row>
    <row r="68" spans="2:8" x14ac:dyDescent="0.15">
      <c r="C68" s="75"/>
      <c r="D68" s="75"/>
      <c r="E68" s="75"/>
    </row>
    <row r="69" spans="2:8" x14ac:dyDescent="0.15">
      <c r="B69" s="33" t="s">
        <v>992</v>
      </c>
      <c r="C69" s="130">
        <f>D36</f>
        <v>-285125040.34872925</v>
      </c>
    </row>
    <row r="70" spans="2:8" x14ac:dyDescent="0.15">
      <c r="B70" s="138" t="s">
        <v>872</v>
      </c>
      <c r="C70" s="130">
        <f>D42</f>
        <v>23677964.350000001</v>
      </c>
      <c r="D70" s="237">
        <f>H42</f>
        <v>0.83790041703931306</v>
      </c>
      <c r="E70" s="130">
        <f>$C$69*D70</f>
        <v>-238906390.21655121</v>
      </c>
      <c r="F70" s="244">
        <f>E70/C70</f>
        <v>-10.0898196603861</v>
      </c>
    </row>
    <row r="71" spans="2:8" x14ac:dyDescent="0.15">
      <c r="B71" s="138" t="s">
        <v>938</v>
      </c>
      <c r="C71" s="130">
        <f>D43</f>
        <v>23677964.350000001</v>
      </c>
      <c r="D71" s="237">
        <f>H43</f>
        <v>0.83790041703931306</v>
      </c>
      <c r="E71" s="130">
        <f>$C$69*D71</f>
        <v>-238906390.21655121</v>
      </c>
      <c r="F71" s="244">
        <f>E71/C71</f>
        <v>-10.0898196603861</v>
      </c>
    </row>
    <row r="72" spans="2:8" x14ac:dyDescent="0.15">
      <c r="B72" s="138" t="s">
        <v>941</v>
      </c>
      <c r="C72" s="130">
        <f>D52</f>
        <v>51234550.500000015</v>
      </c>
      <c r="D72" s="237">
        <f>H52</f>
        <v>-0.43678695060125267</v>
      </c>
      <c r="E72" s="130">
        <f>$C$69*D72</f>
        <v>124538896.91398057</v>
      </c>
      <c r="F72" s="244">
        <f>E72/C72</f>
        <v>2.4307600183587157</v>
      </c>
    </row>
    <row r="73" spans="2:8" x14ac:dyDescent="0.15">
      <c r="B73" s="138" t="s">
        <v>942</v>
      </c>
      <c r="C73" s="130">
        <f>D60</f>
        <v>51283909.950000018</v>
      </c>
      <c r="D73" s="237">
        <f>H60</f>
        <v>-0.23901388347737348</v>
      </c>
      <c r="E73" s="130">
        <f>$C$69*D73</f>
        <v>68148843.170392588</v>
      </c>
      <c r="F73" s="244">
        <f>E73/C73</f>
        <v>1.3288542787949531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946</v>
      </c>
      <c r="C75" s="130">
        <f>SUM(C70:C73)</f>
        <v>149874389.15000004</v>
      </c>
      <c r="D75" s="237">
        <f>SUM(D70:D73)</f>
        <v>0.99999999999999989</v>
      </c>
      <c r="E75" s="130">
        <f>SUM(E70:E73)</f>
        <v>-285125040.34872931</v>
      </c>
      <c r="F75" s="244">
        <f>E75/C75</f>
        <v>-1.9024267052282378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67" t="s">
        <v>151</v>
      </c>
      <c r="B3" s="364"/>
    </row>
    <row r="4" spans="1:62" x14ac:dyDescent="0.15">
      <c r="C4" s="364" t="s">
        <v>35</v>
      </c>
      <c r="D4" s="364"/>
      <c r="E4" s="364"/>
      <c r="F4" s="364"/>
      <c r="G4" s="364"/>
      <c r="H4" s="364"/>
      <c r="I4" s="364"/>
      <c r="J4" s="364"/>
      <c r="K4" s="364"/>
      <c r="L4" s="364"/>
      <c r="M4" s="364"/>
      <c r="N4" s="364"/>
      <c r="O4" s="364" t="s">
        <v>36</v>
      </c>
      <c r="P4" s="364"/>
      <c r="Q4" s="364"/>
      <c r="R4" s="364"/>
      <c r="S4" s="364"/>
      <c r="T4" s="364"/>
      <c r="U4" s="364"/>
      <c r="V4" s="364"/>
      <c r="W4" s="364"/>
      <c r="X4" s="364"/>
      <c r="Y4" s="364"/>
      <c r="Z4" s="364"/>
      <c r="AA4" s="364" t="s">
        <v>37</v>
      </c>
      <c r="AB4" s="364"/>
      <c r="AC4" s="364"/>
      <c r="AD4" s="364"/>
      <c r="AE4" s="364"/>
      <c r="AF4" s="364"/>
      <c r="AG4" s="364"/>
      <c r="AH4" s="364"/>
      <c r="AI4" s="364"/>
      <c r="AJ4" s="364"/>
      <c r="AK4" s="364"/>
      <c r="AL4" s="364"/>
      <c r="AM4" s="364" t="s">
        <v>38</v>
      </c>
      <c r="AN4" s="364"/>
      <c r="AO4" s="364"/>
      <c r="AP4" s="364"/>
      <c r="AQ4" s="364"/>
      <c r="AR4" s="364"/>
      <c r="AS4" s="364"/>
      <c r="AT4" s="364"/>
      <c r="AU4" s="364"/>
      <c r="AV4" s="364"/>
      <c r="AW4" s="364"/>
      <c r="AX4" s="364"/>
      <c r="AY4" s="364" t="s">
        <v>39</v>
      </c>
      <c r="AZ4" s="364"/>
      <c r="BA4" s="364"/>
      <c r="BB4" s="364"/>
      <c r="BC4" s="364"/>
      <c r="BD4" s="364"/>
      <c r="BE4" s="364"/>
      <c r="BF4" s="364"/>
      <c r="BG4" s="364"/>
      <c r="BH4" s="364"/>
      <c r="BI4" s="364"/>
      <c r="BJ4" s="364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9365757.6999999993</v>
      </c>
      <c r="G7" s="251">
        <f>STAFF_CWS!L570</f>
        <v>9368167</v>
      </c>
      <c r="H7" s="251">
        <f>STAFF_CWS!M570</f>
        <v>9371335.5999999996</v>
      </c>
      <c r="I7" s="251">
        <f>STAFF_CWS!N570</f>
        <v>9365757.6999999993</v>
      </c>
      <c r="J7" s="251">
        <f>STAFF_CWS!O570</f>
        <v>9368167</v>
      </c>
      <c r="K7" s="251">
        <f>STAFF_CWS!P570</f>
        <v>9363348.4000000004</v>
      </c>
      <c r="L7" s="251">
        <f>STAFF_CWS!Q570</f>
        <v>9363348.4000000004</v>
      </c>
      <c r="M7" s="251">
        <f>STAFF_CWS!R570</f>
        <v>9363348.4000000004</v>
      </c>
      <c r="N7" s="251">
        <f>STAFF_CWS!S570</f>
        <v>9355361.1999999993</v>
      </c>
      <c r="O7" s="251">
        <f>STAFF_CWS!T570</f>
        <v>10784466.0625</v>
      </c>
      <c r="P7" s="251">
        <f>STAFF_CWS!U570</f>
        <v>10785742.5625</v>
      </c>
      <c r="Q7" s="251">
        <f>STAFF_CWS!V570</f>
        <v>10786125.625</v>
      </c>
      <c r="R7" s="251">
        <f>STAFF_CWS!W570</f>
        <v>10786198</v>
      </c>
      <c r="S7" s="251">
        <f>STAFF_CWS!X570</f>
        <v>10786588.375</v>
      </c>
      <c r="T7" s="251">
        <f>STAFF_CWS!Y570</f>
        <v>10786979.5</v>
      </c>
      <c r="U7" s="251">
        <f>STAFF_CWS!Z570</f>
        <v>9786198</v>
      </c>
      <c r="V7" s="251">
        <f>STAFF_CWS!AA570</f>
        <v>9786588.375</v>
      </c>
      <c r="W7" s="251">
        <f>STAFF_CWS!AB570</f>
        <v>9785807.625</v>
      </c>
      <c r="X7" s="251">
        <f>STAFF_CWS!AC570</f>
        <v>9785807.625</v>
      </c>
      <c r="Y7" s="251">
        <f>STAFF_CWS!AD570</f>
        <v>9785807.625</v>
      </c>
      <c r="Z7" s="251">
        <f>STAFF_CWS!AE570</f>
        <v>9784508.4375</v>
      </c>
      <c r="AA7" s="251">
        <f>STAFF_CWS!AF570</f>
        <v>8238646.6624999996</v>
      </c>
      <c r="AB7" s="251">
        <f>STAFF_CWS!AG570</f>
        <v>8236300.5499999998</v>
      </c>
      <c r="AC7" s="251">
        <f>STAFF_CWS!AH570</f>
        <v>8235517.0250000004</v>
      </c>
      <c r="AD7" s="251">
        <f>STAFF_CWS!AI570</f>
        <v>8235596.1500000004</v>
      </c>
      <c r="AE7" s="251">
        <f>STAFF_CWS!AJ570</f>
        <v>8234952.0875000004</v>
      </c>
      <c r="AF7" s="251">
        <f>STAFF_CWS!AK570</f>
        <v>8234176.6624999996</v>
      </c>
      <c r="AG7" s="251">
        <f>STAFF_CWS!AL570</f>
        <v>8235596.1500000004</v>
      </c>
      <c r="AH7" s="251">
        <f>STAFF_CWS!AM570</f>
        <v>8234952.0875000004</v>
      </c>
      <c r="AI7" s="251">
        <f>STAFF_CWS!AN570</f>
        <v>8236371.6875</v>
      </c>
      <c r="AJ7" s="251">
        <f>STAFF_CWS!AO570</f>
        <v>8236371.6875</v>
      </c>
      <c r="AK7" s="251">
        <f>STAFF_CWS!AP570</f>
        <v>8236371.6875</v>
      </c>
      <c r="AL7" s="251">
        <f>STAFF_CWS!AQ570</f>
        <v>8238693.0875000004</v>
      </c>
      <c r="AM7" s="251">
        <f>STAFF_CWS!AR570</f>
        <v>9920135.3599999994</v>
      </c>
      <c r="AN7" s="251">
        <f>STAFF_CWS!AS570</f>
        <v>9918732.6500000004</v>
      </c>
      <c r="AO7" s="251">
        <f>STAFF_CWS!AT570</f>
        <v>9918285.1849999987</v>
      </c>
      <c r="AP7" s="251">
        <f>STAFF_CWS!AU570</f>
        <v>9918376.3849999998</v>
      </c>
      <c r="AQ7" s="251">
        <f>STAFF_CWS!AV570</f>
        <v>9917937.0949999988</v>
      </c>
      <c r="AR7" s="251">
        <f>STAFF_CWS!AW570</f>
        <v>9917504.9299999997</v>
      </c>
      <c r="AS7" s="251">
        <f>STAFF_CWS!AX570</f>
        <v>9918376.3849999998</v>
      </c>
      <c r="AT7" s="251">
        <f>STAFF_CWS!AY570</f>
        <v>9917937.0949999988</v>
      </c>
      <c r="AU7" s="251">
        <f>STAFF_CWS!AZ570</f>
        <v>9918814.625</v>
      </c>
      <c r="AV7" s="251">
        <f>STAFF_CWS!BA570</f>
        <v>9918814.625</v>
      </c>
      <c r="AW7" s="251">
        <f>STAFF_CWS!BB570</f>
        <v>9918814.625</v>
      </c>
      <c r="AX7" s="251">
        <f>STAFF_CWS!BC570</f>
        <v>9920188.6099999994</v>
      </c>
      <c r="AY7" s="251">
        <f>STAFF_CWS!BD570</f>
        <v>13521655.492999999</v>
      </c>
      <c r="AZ7" s="251">
        <f>STAFF_CWS!BE570</f>
        <v>13521189.863</v>
      </c>
      <c r="BA7" s="251">
        <f>STAFF_CWS!BF570</f>
        <v>13521048.913999999</v>
      </c>
      <c r="BB7" s="251">
        <f>STAFF_CWS!BG570</f>
        <v>13521140.114</v>
      </c>
      <c r="BC7" s="251">
        <f>STAFF_CWS!BH570</f>
        <v>13520977.361000001</v>
      </c>
      <c r="BD7" s="251">
        <f>STAFF_CWS!BI570</f>
        <v>13520855.387</v>
      </c>
      <c r="BE7" s="251">
        <f>STAFF_CWS!BJ570</f>
        <v>13521140.114</v>
      </c>
      <c r="BF7" s="251">
        <f>STAFF_CWS!BK570</f>
        <v>13520977.361000001</v>
      </c>
      <c r="BG7" s="251">
        <f>STAFF_CWS!BL570</f>
        <v>13521271.838</v>
      </c>
      <c r="BH7" s="251">
        <f>STAFF_CWS!BM570</f>
        <v>13521271.838</v>
      </c>
      <c r="BI7" s="251">
        <f>STAFF_CWS!BN570</f>
        <v>13521271.838</v>
      </c>
      <c r="BJ7" s="251">
        <f>STAFF_CWS!BO570</f>
        <v>13521708.743000001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67" t="s">
        <v>154</v>
      </c>
      <c r="B9" s="364"/>
    </row>
    <row r="10" spans="1:62" x14ac:dyDescent="0.15">
      <c r="C10" s="364" t="s">
        <v>35</v>
      </c>
      <c r="D10" s="364"/>
      <c r="E10" s="364"/>
      <c r="F10" s="364"/>
      <c r="G10" s="364"/>
      <c r="H10" s="364"/>
      <c r="I10" s="364"/>
      <c r="J10" s="364"/>
      <c r="K10" s="364"/>
      <c r="L10" s="364"/>
      <c r="M10" s="364"/>
      <c r="N10" s="364"/>
      <c r="O10" s="364" t="s">
        <v>36</v>
      </c>
      <c r="P10" s="364"/>
      <c r="Q10" s="364"/>
      <c r="R10" s="364"/>
      <c r="S10" s="364"/>
      <c r="T10" s="364"/>
      <c r="U10" s="364"/>
      <c r="V10" s="364"/>
      <c r="W10" s="364"/>
      <c r="X10" s="364"/>
      <c r="Y10" s="364"/>
      <c r="Z10" s="364"/>
      <c r="AA10" s="364" t="s">
        <v>37</v>
      </c>
      <c r="AB10" s="364"/>
      <c r="AC10" s="364"/>
      <c r="AD10" s="364"/>
      <c r="AE10" s="364"/>
      <c r="AF10" s="364"/>
      <c r="AG10" s="364"/>
      <c r="AH10" s="364"/>
      <c r="AI10" s="364"/>
      <c r="AJ10" s="364"/>
      <c r="AK10" s="364"/>
      <c r="AL10" s="364"/>
      <c r="AM10" s="364" t="s">
        <v>38</v>
      </c>
      <c r="AN10" s="364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 t="s">
        <v>39</v>
      </c>
      <c r="AZ10" s="364"/>
      <c r="BA10" s="364"/>
      <c r="BB10" s="364"/>
      <c r="BC10" s="364"/>
      <c r="BD10" s="364"/>
      <c r="BE10" s="364"/>
      <c r="BF10" s="364"/>
      <c r="BG10" s="364"/>
      <c r="BH10" s="364"/>
      <c r="BI10" s="364"/>
      <c r="BJ10" s="364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597</v>
      </c>
    </row>
    <row r="19" spans="1:62" x14ac:dyDescent="0.15">
      <c r="C19" s="364" t="s">
        <v>35</v>
      </c>
      <c r="D19" s="364"/>
      <c r="E19" s="364"/>
      <c r="F19" s="364"/>
      <c r="G19" s="364"/>
      <c r="H19" s="364"/>
      <c r="I19" s="364"/>
      <c r="J19" s="364"/>
      <c r="K19" s="364"/>
      <c r="L19" s="364"/>
      <c r="M19" s="364"/>
      <c r="N19" s="364"/>
      <c r="O19" s="364" t="s">
        <v>36</v>
      </c>
      <c r="P19" s="364"/>
      <c r="Q19" s="364"/>
      <c r="R19" s="364"/>
      <c r="S19" s="364"/>
      <c r="T19" s="364"/>
      <c r="U19" s="364"/>
      <c r="V19" s="364"/>
      <c r="W19" s="364"/>
      <c r="X19" s="364"/>
      <c r="Y19" s="364"/>
      <c r="Z19" s="364"/>
      <c r="AA19" s="364" t="s">
        <v>37</v>
      </c>
      <c r="AB19" s="364"/>
      <c r="AC19" s="364"/>
      <c r="AD19" s="364"/>
      <c r="AE19" s="364"/>
      <c r="AF19" s="364"/>
      <c r="AG19" s="364"/>
      <c r="AH19" s="364"/>
      <c r="AI19" s="364"/>
      <c r="AJ19" s="364"/>
      <c r="AK19" s="364"/>
      <c r="AL19" s="364"/>
      <c r="AM19" s="364" t="s">
        <v>38</v>
      </c>
      <c r="AN19" s="364"/>
      <c r="AO19" s="364"/>
      <c r="AP19" s="364"/>
      <c r="AQ19" s="364"/>
      <c r="AR19" s="364"/>
      <c r="AS19" s="364"/>
      <c r="AT19" s="364"/>
      <c r="AU19" s="364"/>
      <c r="AV19" s="364"/>
      <c r="AW19" s="364"/>
      <c r="AX19" s="364"/>
      <c r="AY19" s="364" t="s">
        <v>39</v>
      </c>
      <c r="AZ19" s="364"/>
      <c r="BA19" s="364"/>
      <c r="BB19" s="364"/>
      <c r="BC19" s="364"/>
      <c r="BD19" s="364"/>
      <c r="BE19" s="364"/>
      <c r="BF19" s="364"/>
      <c r="BG19" s="364"/>
      <c r="BH19" s="364"/>
      <c r="BI19" s="364"/>
      <c r="BJ19" s="364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39</v>
      </c>
      <c r="G21">
        <f>'REV-REVCALC_CWS'!I6</f>
        <v>43</v>
      </c>
      <c r="H21">
        <f>'REV-REVCALC_CWS'!J6</f>
        <v>48</v>
      </c>
      <c r="I21">
        <f>'REV-REVCALC_CWS'!K6</f>
        <v>39</v>
      </c>
      <c r="J21">
        <f>'REV-REVCALC_CWS'!L6</f>
        <v>43</v>
      </c>
      <c r="K21">
        <f>'REV-REVCALC_CWS'!M6</f>
        <v>35</v>
      </c>
      <c r="L21">
        <f>'REV-REVCALC_CWS'!N6</f>
        <v>35</v>
      </c>
      <c r="M21">
        <f>'REV-REVCALC_CWS'!O6</f>
        <v>35</v>
      </c>
      <c r="N21">
        <f>'REV-REVCALC_CWS'!P6</f>
        <v>22</v>
      </c>
      <c r="O21">
        <f>'REV-REVCALC_CWS'!Q6</f>
        <v>16</v>
      </c>
      <c r="P21">
        <f>'REV-REVCALC_CWS'!R6</f>
        <v>26</v>
      </c>
      <c r="Q21">
        <f>'REV-REVCALC_CWS'!S6</f>
        <v>29</v>
      </c>
      <c r="R21">
        <f>'REV-REVCALC_CWS'!T6</f>
        <v>29</v>
      </c>
      <c r="S21">
        <f>'REV-REVCALC_CWS'!U6</f>
        <v>32</v>
      </c>
      <c r="T21">
        <f>'REV-REVCALC_CWS'!V6</f>
        <v>35</v>
      </c>
      <c r="U21">
        <f>'REV-REVCALC_CWS'!W6</f>
        <v>29</v>
      </c>
      <c r="V21">
        <f>'REV-REVCALC_CWS'!X6</f>
        <v>32</v>
      </c>
      <c r="W21">
        <f>'REV-REVCALC_CWS'!Y6</f>
        <v>26</v>
      </c>
      <c r="X21">
        <f>'REV-REVCALC_CWS'!Z6</f>
        <v>26</v>
      </c>
      <c r="Y21">
        <f>'REV-REVCALC_CWS'!AA6</f>
        <v>26</v>
      </c>
      <c r="Z21">
        <f>'REV-REVCALC_CWS'!AB6</f>
        <v>16</v>
      </c>
      <c r="AA21">
        <f>'REV-REVCALC_CWS'!AC6</f>
        <v>29</v>
      </c>
      <c r="AB21">
        <f>'REV-REVCALC_CWS'!AD6</f>
        <v>47</v>
      </c>
      <c r="AC21">
        <f>'REV-REVCALC_CWS'!AE6</f>
        <v>53</v>
      </c>
      <c r="AD21">
        <f>'REV-REVCALC_CWS'!AF6</f>
        <v>53</v>
      </c>
      <c r="AE21">
        <f>'REV-REVCALC_CWS'!AG6</f>
        <v>58</v>
      </c>
      <c r="AF21">
        <f>'REV-REVCALC_CWS'!AH6</f>
        <v>64</v>
      </c>
      <c r="AG21">
        <f>'REV-REVCALC_CWS'!AI6</f>
        <v>53</v>
      </c>
      <c r="AH21">
        <f>'REV-REVCALC_CWS'!AJ6</f>
        <v>58</v>
      </c>
      <c r="AI21">
        <f>'REV-REVCALC_CWS'!AK6</f>
        <v>47</v>
      </c>
      <c r="AJ21">
        <f>'REV-REVCALC_CWS'!AL6</f>
        <v>47</v>
      </c>
      <c r="AK21">
        <f>'REV-REVCALC_CWS'!AM6</f>
        <v>47</v>
      </c>
      <c r="AL21">
        <f>'REV-REVCALC_CWS'!AN6</f>
        <v>29</v>
      </c>
      <c r="AM21">
        <f>'REV-REVCALC_CWS'!AO6</f>
        <v>31</v>
      </c>
      <c r="AN21">
        <f>'REV-REVCALC_CWS'!AP6</f>
        <v>50</v>
      </c>
      <c r="AO21">
        <f>'REV-REVCALC_CWS'!AQ6</f>
        <v>56</v>
      </c>
      <c r="AP21">
        <f>'REV-REVCALC_CWS'!AR6</f>
        <v>56</v>
      </c>
      <c r="AQ21">
        <f>'REV-REVCALC_CWS'!AS6</f>
        <v>62</v>
      </c>
      <c r="AR21">
        <f>'REV-REVCALC_CWS'!AT6</f>
        <v>68</v>
      </c>
      <c r="AS21">
        <f>'REV-REVCALC_CWS'!AU6</f>
        <v>56</v>
      </c>
      <c r="AT21">
        <f>'REV-REVCALC_CWS'!AV6</f>
        <v>62</v>
      </c>
      <c r="AU21">
        <f>'REV-REVCALC_CWS'!AW6</f>
        <v>50</v>
      </c>
      <c r="AV21">
        <f>'REV-REVCALC_CWS'!AX6</f>
        <v>50</v>
      </c>
      <c r="AW21">
        <f>'REV-REVCALC_CWS'!AY6</f>
        <v>50</v>
      </c>
      <c r="AX21">
        <f>'REV-REVCALC_CWS'!AZ6</f>
        <v>31</v>
      </c>
      <c r="AY21">
        <f>'REV-REVCALC_CWS'!BA6</f>
        <v>33</v>
      </c>
      <c r="AZ21">
        <f>'REV-REVCALC_CWS'!BB6</f>
        <v>53</v>
      </c>
      <c r="BA21">
        <f>'REV-REVCALC_CWS'!BC6</f>
        <v>59</v>
      </c>
      <c r="BB21">
        <f>'REV-REVCALC_CWS'!BD6</f>
        <v>59</v>
      </c>
      <c r="BC21">
        <f>'REV-REVCALC_CWS'!BE6</f>
        <v>66</v>
      </c>
      <c r="BD21">
        <f>'REV-REVCALC_CWS'!BF6</f>
        <v>72</v>
      </c>
      <c r="BE21">
        <f>'REV-REVCALC_CWS'!BG6</f>
        <v>59</v>
      </c>
      <c r="BF21">
        <f>'REV-REVCALC_CWS'!BH6</f>
        <v>66</v>
      </c>
      <c r="BG21">
        <f>'REV-REVCALC_CWS'!BI6</f>
        <v>53</v>
      </c>
      <c r="BH21">
        <f>'REV-REVCALC_CWS'!BJ6</f>
        <v>53</v>
      </c>
      <c r="BI21">
        <f>'REV-REVCALC_CWS'!BK6</f>
        <v>53</v>
      </c>
      <c r="BJ21">
        <f>'REV-REVCALC_CWS'!BL6</f>
        <v>33</v>
      </c>
    </row>
    <row r="22" spans="1:62" x14ac:dyDescent="0.15">
      <c r="B22" s="33" t="s">
        <v>319</v>
      </c>
      <c r="C22" s="251">
        <f>'REV-REVCALC_CWS'!E41</f>
        <v>0</v>
      </c>
      <c r="D22" s="251">
        <f>'REV-REVCALC_CWS'!F41</f>
        <v>0</v>
      </c>
      <c r="E22" s="251">
        <f>'REV-REVCALC_CWS'!G41</f>
        <v>0</v>
      </c>
      <c r="F22" s="251">
        <f>'REV-REVCALC_CWS'!H41</f>
        <v>1245790</v>
      </c>
      <c r="G22" s="251">
        <f>'REV-REVCALC_CWS'!I41</f>
        <v>1374100</v>
      </c>
      <c r="H22" s="251">
        <f>'REV-REVCALC_CWS'!J41</f>
        <v>1539720</v>
      </c>
      <c r="I22" s="251">
        <f>'REV-REVCALC_CWS'!K41</f>
        <v>1245790</v>
      </c>
      <c r="J22" s="251">
        <f>'REV-REVCALC_CWS'!L41</f>
        <v>1374100</v>
      </c>
      <c r="K22" s="251">
        <f>'REV-REVCALC_CWS'!M41</f>
        <v>1117480</v>
      </c>
      <c r="L22" s="251">
        <f>'REV-REVCALC_CWS'!N41</f>
        <v>1117480</v>
      </c>
      <c r="M22" s="251">
        <f>'REV-REVCALC_CWS'!O41</f>
        <v>1117480</v>
      </c>
      <c r="N22" s="251">
        <f>'REV-REVCALC_CWS'!P41</f>
        <v>695240</v>
      </c>
      <c r="O22" s="251">
        <f>'REV-REVCALC_CWS'!Q41</f>
        <v>240868.75</v>
      </c>
      <c r="P22" s="251">
        <f>'REV-REVCALC_CWS'!R41</f>
        <v>391418.75</v>
      </c>
      <c r="Q22" s="251">
        <f>'REV-REVCALC_CWS'!S41</f>
        <v>436587.5</v>
      </c>
      <c r="R22" s="251">
        <f>'REV-REVCALC_CWS'!T41</f>
        <v>439000</v>
      </c>
      <c r="S22" s="251">
        <f>'REV-REVCALC_CWS'!U41</f>
        <v>484412.5</v>
      </c>
      <c r="T22" s="251">
        <f>'REV-REVCALC_CWS'!V41</f>
        <v>529850</v>
      </c>
      <c r="U22" s="251">
        <f>'REV-REVCALC_CWS'!W41</f>
        <v>439000</v>
      </c>
      <c r="V22" s="251">
        <f>'REV-REVCALC_CWS'!X41</f>
        <v>484412.5</v>
      </c>
      <c r="W22" s="251">
        <f>'REV-REVCALC_CWS'!Y41</f>
        <v>393587.5</v>
      </c>
      <c r="X22" s="251">
        <f>'REV-REVCALC_CWS'!Z41</f>
        <v>393587.5</v>
      </c>
      <c r="Y22" s="251">
        <f>'REV-REVCALC_CWS'!AA41</f>
        <v>393587.5</v>
      </c>
      <c r="Z22" s="251">
        <f>'REV-REVCALC_CWS'!AB41</f>
        <v>242281.25</v>
      </c>
      <c r="AA22" s="251">
        <f>'REV-REVCALC_CWS'!AC41</f>
        <v>155968.75</v>
      </c>
      <c r="AB22" s="251">
        <f>'REV-REVCALC_CWS'!AD41</f>
        <v>252725</v>
      </c>
      <c r="AC22" s="251">
        <f>'REV-REVCALC_CWS'!AE41</f>
        <v>284927.5</v>
      </c>
      <c r="AD22" s="251">
        <f>'REV-REVCALC_CWS'!AF41</f>
        <v>287565</v>
      </c>
      <c r="AE22" s="251">
        <f>'REV-REVCALC_CWS'!AG41</f>
        <v>314696.25</v>
      </c>
      <c r="AF22" s="251">
        <f>'REV-REVCALC_CWS'!AH41</f>
        <v>347168.75</v>
      </c>
      <c r="AG22" s="251">
        <f>'REV-REVCALC_CWS'!AI41</f>
        <v>287565</v>
      </c>
      <c r="AH22" s="251">
        <f>'REV-REVCALC_CWS'!AJ41</f>
        <v>314696.25</v>
      </c>
      <c r="AI22" s="251">
        <f>'REV-REVCALC_CWS'!AK41</f>
        <v>255096.25</v>
      </c>
      <c r="AJ22" s="251">
        <f>'REV-REVCALC_CWS'!AL41</f>
        <v>255096.25</v>
      </c>
      <c r="AK22" s="251">
        <f>'REV-REVCALC_CWS'!AM41</f>
        <v>255096.25</v>
      </c>
      <c r="AL22" s="251">
        <f>'REV-REVCALC_CWS'!AN41</f>
        <v>157516.25</v>
      </c>
      <c r="AM22" s="251">
        <f>'REV-REVCALC_CWS'!AO41</f>
        <v>194900</v>
      </c>
      <c r="AN22" s="251">
        <f>'REV-REVCALC_CWS'!AP41</f>
        <v>314355</v>
      </c>
      <c r="AO22" s="251">
        <f>'REV-REVCALC_CWS'!AQ41</f>
        <v>351927.5</v>
      </c>
      <c r="AP22" s="251">
        <f>'REV-REVCALC_CWS'!AR41</f>
        <v>354967.5</v>
      </c>
      <c r="AQ22" s="251">
        <f>'REV-REVCALC_CWS'!AS41</f>
        <v>392812.5</v>
      </c>
      <c r="AR22" s="251">
        <f>'REV-REVCALC_CWS'!AT41</f>
        <v>430895</v>
      </c>
      <c r="AS22" s="251">
        <f>'REV-REVCALC_CWS'!AU41</f>
        <v>354967.5</v>
      </c>
      <c r="AT22" s="251">
        <f>'REV-REVCALC_CWS'!AV41</f>
        <v>392812.5</v>
      </c>
      <c r="AU22" s="251">
        <f>'REV-REVCALC_CWS'!AW41</f>
        <v>317087.5</v>
      </c>
      <c r="AV22" s="251">
        <f>'REV-REVCALC_CWS'!AX41</f>
        <v>317087.5</v>
      </c>
      <c r="AW22" s="251">
        <f>'REV-REVCALC_CWS'!AY41</f>
        <v>317087.5</v>
      </c>
      <c r="AX22" s="251">
        <f>'REV-REVCALC_CWS'!AZ41</f>
        <v>196675</v>
      </c>
      <c r="AY22" s="251">
        <f>'REV-REVCALC_CWS'!BA41</f>
        <v>234235</v>
      </c>
      <c r="AZ22" s="251">
        <f>'REV-REVCALC_CWS'!BB41</f>
        <v>376200</v>
      </c>
      <c r="BA22" s="251">
        <f>'REV-REVCALC_CWS'!BC41</f>
        <v>418747.5</v>
      </c>
      <c r="BB22" s="251">
        <f>'REV-REVCALC_CWS'!BD41</f>
        <v>421787.5</v>
      </c>
      <c r="BC22" s="251">
        <f>'REV-REVCALC_CWS'!BE41</f>
        <v>471482.5</v>
      </c>
      <c r="BD22" s="251">
        <f>'REV-REVCALC_CWS'!BF41</f>
        <v>514662.5</v>
      </c>
      <c r="BE22" s="251">
        <f>'REV-REVCALC_CWS'!BG41</f>
        <v>421787.5</v>
      </c>
      <c r="BF22" s="251">
        <f>'REV-REVCALC_CWS'!BH41</f>
        <v>471482.5</v>
      </c>
      <c r="BG22" s="251">
        <f>'REV-REVCALC_CWS'!BI41</f>
        <v>378932.5</v>
      </c>
      <c r="BH22" s="251">
        <f>'REV-REVCALC_CWS'!BJ41</f>
        <v>378932.5</v>
      </c>
      <c r="BI22" s="251">
        <f>'REV-REVCALC_CWS'!BK41</f>
        <v>378932.5</v>
      </c>
      <c r="BJ22" s="251">
        <f>'REV-REVCALC_CWS'!BL41</f>
        <v>236010</v>
      </c>
    </row>
    <row r="23" spans="1:62" x14ac:dyDescent="0.15">
      <c r="B23" s="33" t="s">
        <v>601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598</v>
      </c>
      <c r="C26" s="364" t="s">
        <v>35</v>
      </c>
      <c r="D26" s="364"/>
      <c r="E26" s="364"/>
      <c r="F26" s="364"/>
      <c r="G26" s="364"/>
      <c r="H26" s="364"/>
      <c r="I26" s="364"/>
      <c r="J26" s="364"/>
      <c r="K26" s="364"/>
      <c r="L26" s="364"/>
      <c r="M26" s="364"/>
      <c r="N26" s="364"/>
      <c r="O26" s="364" t="s">
        <v>36</v>
      </c>
      <c r="P26" s="364"/>
      <c r="Q26" s="364"/>
      <c r="R26" s="364"/>
      <c r="S26" s="364"/>
      <c r="T26" s="364"/>
      <c r="U26" s="364"/>
      <c r="V26" s="364"/>
      <c r="W26" s="364"/>
      <c r="X26" s="364"/>
      <c r="Y26" s="364"/>
      <c r="Z26" s="364"/>
      <c r="AA26" s="364" t="s">
        <v>37</v>
      </c>
      <c r="AB26" s="364"/>
      <c r="AC26" s="364"/>
      <c r="AD26" s="364"/>
      <c r="AE26" s="364"/>
      <c r="AF26" s="364"/>
      <c r="AG26" s="364"/>
      <c r="AH26" s="364"/>
      <c r="AI26" s="364"/>
      <c r="AJ26" s="364"/>
      <c r="AK26" s="364"/>
      <c r="AL26" s="364"/>
      <c r="AM26" s="364" t="s">
        <v>38</v>
      </c>
      <c r="AN26" s="364"/>
      <c r="AO26" s="364"/>
      <c r="AP26" s="364"/>
      <c r="AQ26" s="364"/>
      <c r="AR26" s="364"/>
      <c r="AS26" s="364"/>
      <c r="AT26" s="364"/>
      <c r="AU26" s="364"/>
      <c r="AV26" s="364"/>
      <c r="AW26" s="364"/>
      <c r="AX26" s="364"/>
      <c r="AY26" s="364" t="s">
        <v>39</v>
      </c>
      <c r="AZ26" s="364"/>
      <c r="BA26" s="364"/>
      <c r="BB26" s="364"/>
      <c r="BC26" s="364"/>
      <c r="BD26" s="364"/>
      <c r="BE26" s="364"/>
      <c r="BF26" s="364"/>
      <c r="BG26" s="364"/>
      <c r="BH26" s="364"/>
      <c r="BI26" s="364"/>
      <c r="BJ26" s="364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599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600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4" t="s">
        <v>35</v>
      </c>
      <c r="D31" s="364"/>
      <c r="E31" s="364"/>
      <c r="F31" s="364"/>
      <c r="G31" s="364"/>
      <c r="H31" s="364"/>
      <c r="I31" s="364"/>
      <c r="J31" s="364"/>
      <c r="K31" s="364"/>
      <c r="L31" s="364"/>
      <c r="M31" s="364"/>
      <c r="N31" s="364"/>
      <c r="O31" s="364" t="s">
        <v>36</v>
      </c>
      <c r="P31" s="364"/>
      <c r="Q31" s="364"/>
      <c r="R31" s="364"/>
      <c r="S31" s="364"/>
      <c r="T31" s="364"/>
      <c r="U31" s="364"/>
      <c r="V31" s="364"/>
      <c r="W31" s="364"/>
      <c r="X31" s="364"/>
      <c r="Y31" s="364"/>
      <c r="Z31" s="364"/>
      <c r="AA31" s="364" t="s">
        <v>37</v>
      </c>
      <c r="AB31" s="364"/>
      <c r="AC31" s="364"/>
      <c r="AD31" s="364"/>
      <c r="AE31" s="364"/>
      <c r="AF31" s="364"/>
      <c r="AG31" s="364"/>
      <c r="AH31" s="364"/>
      <c r="AI31" s="364"/>
      <c r="AJ31" s="364"/>
      <c r="AK31" s="364"/>
      <c r="AL31" s="364"/>
      <c r="AM31" s="364" t="s">
        <v>38</v>
      </c>
      <c r="AN31" s="364"/>
      <c r="AO31" s="364"/>
      <c r="AP31" s="364"/>
      <c r="AQ31" s="364"/>
      <c r="AR31" s="364"/>
      <c r="AS31" s="364"/>
      <c r="AT31" s="364"/>
      <c r="AU31" s="364"/>
      <c r="AV31" s="364"/>
      <c r="AW31" s="364"/>
      <c r="AX31" s="364"/>
      <c r="AY31" s="364" t="s">
        <v>39</v>
      </c>
      <c r="AZ31" s="364"/>
      <c r="BA31" s="364"/>
      <c r="BB31" s="364"/>
      <c r="BC31" s="364"/>
      <c r="BD31" s="364"/>
      <c r="BE31" s="364"/>
      <c r="BF31" s="364"/>
      <c r="BG31" s="364"/>
      <c r="BH31" s="364"/>
      <c r="BI31" s="364"/>
      <c r="BJ31" s="364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1039</v>
      </c>
      <c r="C40" s="74" t="s">
        <v>147</v>
      </c>
      <c r="D40" s="364" t="s">
        <v>35</v>
      </c>
      <c r="E40" s="364"/>
      <c r="F40" s="364"/>
      <c r="G40" s="364"/>
      <c r="H40" s="364"/>
      <c r="I40" s="364"/>
      <c r="J40" s="364"/>
      <c r="K40" s="364"/>
      <c r="L40" s="364"/>
      <c r="M40" s="364"/>
      <c r="N40" s="364"/>
      <c r="O40" s="364"/>
      <c r="P40" s="364" t="s">
        <v>36</v>
      </c>
      <c r="Q40" s="364"/>
      <c r="R40" s="364"/>
      <c r="S40" s="364"/>
      <c r="T40" s="364"/>
      <c r="U40" s="364"/>
      <c r="V40" s="364"/>
      <c r="W40" s="364"/>
      <c r="X40" s="364"/>
      <c r="Y40" s="364"/>
      <c r="Z40" s="364"/>
      <c r="AA40" s="364"/>
      <c r="AB40" s="364" t="s">
        <v>37</v>
      </c>
      <c r="AC40" s="364"/>
      <c r="AD40" s="364"/>
      <c r="AE40" s="364"/>
      <c r="AF40" s="364"/>
      <c r="AG40" s="364"/>
      <c r="AH40" s="364"/>
      <c r="AI40" s="364"/>
      <c r="AJ40" s="364"/>
      <c r="AK40" s="364"/>
      <c r="AL40" s="364"/>
      <c r="AM40" s="364"/>
      <c r="AN40" s="364" t="s">
        <v>38</v>
      </c>
      <c r="AO40" s="364"/>
      <c r="AP40" s="364"/>
      <c r="AQ40" s="364"/>
      <c r="AR40" s="364"/>
      <c r="AS40" s="364"/>
      <c r="AT40" s="364"/>
      <c r="AU40" s="364"/>
      <c r="AV40" s="364"/>
      <c r="AW40" s="364"/>
      <c r="AX40" s="364"/>
      <c r="AY40" s="364"/>
      <c r="AZ40" s="364" t="s">
        <v>39</v>
      </c>
      <c r="BA40" s="364"/>
      <c r="BB40" s="364"/>
      <c r="BC40" s="364"/>
      <c r="BD40" s="364"/>
      <c r="BE40" s="364"/>
      <c r="BF40" s="364"/>
      <c r="BG40" s="364"/>
      <c r="BH40" s="364"/>
      <c r="BI40" s="364"/>
      <c r="BJ40" s="364"/>
      <c r="BK40" s="364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808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-8606259.3666666653</v>
      </c>
      <c r="H42" s="251">
        <f>+'FIN-P&amp;L_CWS'!I207</f>
        <v>-8563998.666666666</v>
      </c>
      <c r="I42" s="251">
        <f>+'FIN-P&amp;L_CWS'!J207</f>
        <v>-8462657.2666666657</v>
      </c>
      <c r="J42" s="251">
        <f>+'FIN-P&amp;L_CWS'!K207</f>
        <v>-8675799.3666666653</v>
      </c>
      <c r="K42" s="251">
        <f>+'FIN-P&amp;L_CWS'!L207</f>
        <v>-8565558.666666666</v>
      </c>
      <c r="L42" s="251">
        <f>+'FIN-P&amp;L_CWS'!M207</f>
        <v>-8715750.0666666664</v>
      </c>
      <c r="M42" s="251">
        <f>+'FIN-P&amp;L_CWS'!N207</f>
        <v>-8703615.0666666664</v>
      </c>
      <c r="N42" s="251">
        <f>+'FIN-P&amp;L_CWS'!O207</f>
        <v>-8689640.0666666664</v>
      </c>
      <c r="O42" s="251">
        <f>+'FIN-P&amp;L_CWS'!P207</f>
        <v>-8947977.8666666653</v>
      </c>
      <c r="P42" s="251">
        <f>+'FIN-P&amp;L_CWS'!Q207</f>
        <v>-10757800.604166666</v>
      </c>
      <c r="Q42" s="251">
        <f>+'FIN-P&amp;L_CWS'!R207</f>
        <v>-10702222.104166666</v>
      </c>
      <c r="R42" s="251">
        <f>+'FIN-P&amp;L_CWS'!S207</f>
        <v>-10689286.416666666</v>
      </c>
      <c r="S42" s="251">
        <f>+'FIN-P&amp;L_CWS'!T207</f>
        <v>-10706511.291666666</v>
      </c>
      <c r="T42" s="251">
        <f>+'FIN-P&amp;L_CWS'!U207</f>
        <v>-10677924.166666666</v>
      </c>
      <c r="U42" s="251">
        <f>+'FIN-P&amp;L_CWS'!V207</f>
        <v>-10669987.791666666</v>
      </c>
      <c r="V42" s="251">
        <f>+'FIN-P&amp;L_CWS'!W207</f>
        <v>-9697117.958333334</v>
      </c>
      <c r="W42" s="251">
        <f>+'FIN-P&amp;L_CWS'!X207</f>
        <v>-9684850.833333334</v>
      </c>
      <c r="X42" s="251">
        <f>+'FIN-P&amp;L_CWS'!Y207</f>
        <v>-9707225.083333334</v>
      </c>
      <c r="Y42" s="251">
        <f>+'FIN-P&amp;L_CWS'!Z207</f>
        <v>-9725740.083333334</v>
      </c>
      <c r="Z42" s="251">
        <f>+'FIN-P&amp;L_CWS'!AA207</f>
        <v>-9707225.083333334</v>
      </c>
      <c r="AA42" s="251">
        <f>+'FIN-P&amp;L_CWS'!AB207</f>
        <v>-9752442.145833334</v>
      </c>
      <c r="AB42" s="251">
        <f>+'FIN-P&amp;L_CWS'!AC207</f>
        <v>-8404116.7947916649</v>
      </c>
      <c r="AC42" s="251">
        <f>+'FIN-P&amp;L_CWS'!AD207</f>
        <v>-8479831.0989583321</v>
      </c>
      <c r="AD42" s="251">
        <f>+'FIN-P&amp;L_CWS'!AE207</f>
        <v>-8499045.0739583336</v>
      </c>
      <c r="AE42" s="251">
        <f>+'FIN-P&amp;L_CWS'!AF207</f>
        <v>-8518591.6989583336</v>
      </c>
      <c r="AF42" s="251">
        <f>+'FIN-P&amp;L_CWS'!AG207</f>
        <v>-8517311.3864583336</v>
      </c>
      <c r="AG42" s="251">
        <f>+'FIN-P&amp;L_CWS'!AH207</f>
        <v>-8548683.4614583328</v>
      </c>
      <c r="AH42" s="251">
        <f>+'FIN-P&amp;L_CWS'!AI207</f>
        <v>-8497841.6989583336</v>
      </c>
      <c r="AI42" s="251">
        <f>+'FIN-P&amp;L_CWS'!AJ207</f>
        <v>-8521111.3864583336</v>
      </c>
      <c r="AJ42" s="251">
        <f>+'FIN-P&amp;L_CWS'!AK207</f>
        <v>-8471410.9864583332</v>
      </c>
      <c r="AK42" s="251">
        <f>+'FIN-P&amp;L_CWS'!AL207</f>
        <v>-8492015.9864583332</v>
      </c>
      <c r="AL42" s="251">
        <f>+'FIN-P&amp;L_CWS'!AM207</f>
        <v>-8471410.9864583332</v>
      </c>
      <c r="AM42" s="251">
        <f>+'FIN-P&amp;L_CWS'!AN207</f>
        <v>-8399602.3864583336</v>
      </c>
      <c r="AN42" s="251">
        <f>+'FIN-P&amp;L_CWS'!AO207</f>
        <v>-10043884.679348959</v>
      </c>
      <c r="AO42" s="251">
        <f>+'FIN-P&amp;L_CWS'!AP207</f>
        <v>-10086683.96934896</v>
      </c>
      <c r="AP42" s="251">
        <f>+'FIN-P&amp;L_CWS'!AQ207</f>
        <v>-10097352.004348958</v>
      </c>
      <c r="AQ42" s="251">
        <f>+'FIN-P&amp;L_CWS'!AR207</f>
        <v>-10116508.204348959</v>
      </c>
      <c r="AR42" s="251">
        <f>+'FIN-P&amp;L_CWS'!AS207</f>
        <v>-10108606.914348958</v>
      </c>
      <c r="AS42" s="251">
        <f>+'FIN-P&amp;L_CWS'!AT207</f>
        <v>-10128880.249348959</v>
      </c>
      <c r="AT42" s="251">
        <f>+'FIN-P&amp;L_CWS'!AU207</f>
        <v>-10095758.204348959</v>
      </c>
      <c r="AU42" s="251">
        <f>+'FIN-P&amp;L_CWS'!AV207</f>
        <v>-10112406.914348958</v>
      </c>
      <c r="AV42" s="251">
        <f>+'FIN-P&amp;L_CWS'!AW207</f>
        <v>-10080233.444348959</v>
      </c>
      <c r="AW42" s="251">
        <f>+'FIN-P&amp;L_CWS'!AX207</f>
        <v>-10100838.444348959</v>
      </c>
      <c r="AX42" s="251">
        <f>+'FIN-P&amp;L_CWS'!AY207</f>
        <v>-10080233.444348959</v>
      </c>
      <c r="AY42" s="251">
        <f>+'FIN-P&amp;L_CWS'!AZ207</f>
        <v>-10039057.929348959</v>
      </c>
      <c r="AZ42" s="251">
        <f>+'FIN-P&amp;L_CWS'!BA207</f>
        <v>-13598456.05493685</v>
      </c>
      <c r="BA42" s="251">
        <f>+'FIN-P&amp;L_CWS'!BB207</f>
        <v>-13610956.42493685</v>
      </c>
      <c r="BB42" s="251">
        <f>+'FIN-P&amp;L_CWS'!BC207</f>
        <v>-13611713.775936848</v>
      </c>
      <c r="BC42" s="251">
        <f>+'FIN-P&amp;L_CWS'!BD207</f>
        <v>-13630869.975936849</v>
      </c>
      <c r="BD42" s="251">
        <f>+'FIN-P&amp;L_CWS'!BE207</f>
        <v>-13614027.322936852</v>
      </c>
      <c r="BE42" s="251">
        <f>+'FIN-P&amp;L_CWS'!BF207</f>
        <v>-13624271.148936849</v>
      </c>
      <c r="BF42" s="251">
        <f>+'FIN-P&amp;L_CWS'!BG207</f>
        <v>-13610119.975936849</v>
      </c>
      <c r="BG42" s="251">
        <f>+'FIN-P&amp;L_CWS'!BH207</f>
        <v>-13617827.322936852</v>
      </c>
      <c r="BH42" s="251">
        <f>+'FIN-P&amp;L_CWS'!BI207</f>
        <v>-13604505.899936849</v>
      </c>
      <c r="BI42" s="251">
        <f>+'FIN-P&amp;L_CWS'!BJ207</f>
        <v>-13625110.899936849</v>
      </c>
      <c r="BJ42" s="251">
        <f>+'FIN-P&amp;L_CWS'!BK207</f>
        <v>-13604505.899936849</v>
      </c>
      <c r="BK42" s="251">
        <f>+'FIN-P&amp;L_CWS'!BL207</f>
        <v>-13588059.30493685</v>
      </c>
    </row>
    <row r="43" spans="1:64" x14ac:dyDescent="0.15">
      <c r="B43" s="33" t="s">
        <v>1127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-36750113.366666667</v>
      </c>
      <c r="H43" s="251">
        <f>+'FIN-P&amp;L_CWS'!I208</f>
        <v>-45314112.033333331</v>
      </c>
      <c r="I43" s="251">
        <f>+'FIN-P&amp;L_CWS'!J208</f>
        <v>-53776769.299999997</v>
      </c>
      <c r="J43" s="251">
        <f>+'FIN-P&amp;L_CWS'!K208</f>
        <v>-62452568.666666664</v>
      </c>
      <c r="K43" s="251">
        <f>+'FIN-P&amp;L_CWS'!L208</f>
        <v>-71018127.333333328</v>
      </c>
      <c r="L43" s="251">
        <f>+'FIN-P&amp;L_CWS'!M208</f>
        <v>-79733877.399999991</v>
      </c>
      <c r="M43" s="251">
        <f>+'FIN-P&amp;L_CWS'!N208</f>
        <v>-88437492.466666654</v>
      </c>
      <c r="N43" s="251">
        <f>+'FIN-P&amp;L_CWS'!O208</f>
        <v>-97127132.533333316</v>
      </c>
      <c r="O43" s="251">
        <f>+'FIN-P&amp;L_CWS'!P208</f>
        <v>-106075110.39999998</v>
      </c>
      <c r="P43" s="251">
        <f>+'FIN-P&amp;L_CWS'!Q208</f>
        <v>-116832911.00416665</v>
      </c>
      <c r="Q43" s="251">
        <f>+'FIN-P&amp;L_CWS'!R208</f>
        <v>-127535133.10833332</v>
      </c>
      <c r="R43" s="251">
        <f>+'FIN-P&amp;L_CWS'!S208</f>
        <v>-138224419.52499998</v>
      </c>
      <c r="S43" s="251">
        <f>+'FIN-P&amp;L_CWS'!T208</f>
        <v>-148930930.81666663</v>
      </c>
      <c r="T43" s="251">
        <f>+'FIN-P&amp;L_CWS'!U208</f>
        <v>-159608854.98333329</v>
      </c>
      <c r="U43" s="251">
        <f>+'FIN-P&amp;L_CWS'!V208</f>
        <v>-170278842.77499995</v>
      </c>
      <c r="V43" s="251">
        <f>+'FIN-P&amp;L_CWS'!W208</f>
        <v>-179975960.73333329</v>
      </c>
      <c r="W43" s="251">
        <f>+'FIN-P&amp;L_CWS'!X208</f>
        <v>-189660811.56666663</v>
      </c>
      <c r="X43" s="251">
        <f>+'FIN-P&amp;L_CWS'!Y208</f>
        <v>-199368036.64999998</v>
      </c>
      <c r="Y43" s="251">
        <f>+'FIN-P&amp;L_CWS'!Z208</f>
        <v>-209093776.73333332</v>
      </c>
      <c r="Z43" s="251">
        <f>+'FIN-P&amp;L_CWS'!AA208</f>
        <v>-218801001.81666666</v>
      </c>
      <c r="AA43" s="251">
        <f>+'FIN-P&amp;L_CWS'!AB208</f>
        <v>-228553443.96250001</v>
      </c>
      <c r="AB43" s="251">
        <f>+'FIN-P&amp;L_CWS'!AC208</f>
        <v>-236957560.75729167</v>
      </c>
      <c r="AC43" s="251">
        <f>+'FIN-P&amp;L_CWS'!AD208</f>
        <v>-245437391.85625002</v>
      </c>
      <c r="AD43" s="251">
        <f>+'FIN-P&amp;L_CWS'!AE208</f>
        <v>-253936436.93020836</v>
      </c>
      <c r="AE43" s="251">
        <f>+'FIN-P&amp;L_CWS'!AF208</f>
        <v>-262455028.62916669</v>
      </c>
      <c r="AF43" s="251">
        <f>+'FIN-P&amp;L_CWS'!AG208</f>
        <v>-270972340.015625</v>
      </c>
      <c r="AG43" s="251">
        <f>+'FIN-P&amp;L_CWS'!AH208</f>
        <v>-279521023.47708333</v>
      </c>
      <c r="AH43" s="251">
        <f>+'FIN-P&amp;L_CWS'!AI208</f>
        <v>-288018865.17604166</v>
      </c>
      <c r="AI43" s="251">
        <f>+'FIN-P&amp;L_CWS'!AJ208</f>
        <v>-296539976.5625</v>
      </c>
      <c r="AJ43" s="251">
        <f>+'FIN-P&amp;L_CWS'!AK208</f>
        <v>-305011387.54895836</v>
      </c>
      <c r="AK43" s="251">
        <f>+'FIN-P&amp;L_CWS'!AL208</f>
        <v>-313503403.53541672</v>
      </c>
      <c r="AL43" s="251">
        <f>+'FIN-P&amp;L_CWS'!AM208</f>
        <v>-321974814.52187508</v>
      </c>
      <c r="AM43" s="251">
        <f>+'FIN-P&amp;L_CWS'!AN208</f>
        <v>-330374416.90833342</v>
      </c>
      <c r="AN43" s="251">
        <f>+'FIN-P&amp;L_CWS'!AO208</f>
        <v>-340418301.58768237</v>
      </c>
      <c r="AO43" s="251">
        <f>+'FIN-P&amp;L_CWS'!AP208</f>
        <v>-350504985.55703133</v>
      </c>
      <c r="AP43" s="251">
        <f>+'FIN-P&amp;L_CWS'!AQ208</f>
        <v>-360602337.56138027</v>
      </c>
      <c r="AQ43" s="251">
        <f>+'FIN-P&amp;L_CWS'!AR208</f>
        <v>-370718845.76572925</v>
      </c>
      <c r="AR43" s="251">
        <f>+'FIN-P&amp;L_CWS'!AS208</f>
        <v>-380827452.68007821</v>
      </c>
      <c r="AS43" s="251">
        <f>+'FIN-P&amp;L_CWS'!AT208</f>
        <v>-390956332.92942715</v>
      </c>
      <c r="AT43" s="251">
        <f>+'FIN-P&amp;L_CWS'!AU208</f>
        <v>-401052091.13377613</v>
      </c>
      <c r="AU43" s="251">
        <f>+'FIN-P&amp;L_CWS'!AV208</f>
        <v>-411164498.04812509</v>
      </c>
      <c r="AV43" s="251">
        <f>+'FIN-P&amp;L_CWS'!AW208</f>
        <v>-421244731.49247402</v>
      </c>
      <c r="AW43" s="251">
        <f>+'FIN-P&amp;L_CWS'!AX208</f>
        <v>-431345569.93682295</v>
      </c>
      <c r="AX43" s="251">
        <f>+'FIN-P&amp;L_CWS'!AY208</f>
        <v>-441425803.38117188</v>
      </c>
      <c r="AY43" s="251">
        <f>+'FIN-P&amp;L_CWS'!AZ208</f>
        <v>-451464861.31052083</v>
      </c>
      <c r="AZ43" s="251">
        <f>+'FIN-P&amp;L_CWS'!BA208</f>
        <v>-465063317.36545765</v>
      </c>
      <c r="BA43" s="251">
        <f>+'FIN-P&amp;L_CWS'!BB208</f>
        <v>-478674273.79039448</v>
      </c>
      <c r="BB43" s="251">
        <f>+'FIN-P&amp;L_CWS'!BC208</f>
        <v>-492285987.56633133</v>
      </c>
      <c r="BC43" s="251">
        <f>+'FIN-P&amp;L_CWS'!BD208</f>
        <v>-505916857.54226816</v>
      </c>
      <c r="BD43" s="251">
        <f>+'FIN-P&amp;L_CWS'!BE208</f>
        <v>-519530884.86520499</v>
      </c>
      <c r="BE43" s="251">
        <f>+'FIN-P&amp;L_CWS'!BF208</f>
        <v>-533155156.01414186</v>
      </c>
      <c r="BF43" s="251">
        <f>+'FIN-P&amp;L_CWS'!BG208</f>
        <v>-546765275.99007869</v>
      </c>
      <c r="BG43" s="251">
        <f>+'FIN-P&amp;L_CWS'!BH208</f>
        <v>-560383103.31301558</v>
      </c>
      <c r="BH43" s="251">
        <f>+'FIN-P&amp;L_CWS'!BI208</f>
        <v>-573987609.21295238</v>
      </c>
      <c r="BI43" s="251">
        <f>+'FIN-P&amp;L_CWS'!BJ208</f>
        <v>-587612720.11288917</v>
      </c>
      <c r="BJ43" s="251">
        <f>+'FIN-P&amp;L_CWS'!BK208</f>
        <v>-601217226.01282597</v>
      </c>
      <c r="BK43" s="251">
        <f>+'FIN-P&amp;L_CWS'!BL208</f>
        <v>-614805285.31776285</v>
      </c>
    </row>
    <row r="44" spans="1:64" x14ac:dyDescent="0.15">
      <c r="B44" s="33" t="s">
        <v>1129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-9841214</v>
      </c>
      <c r="G44" s="251">
        <f>+'FIN-CASHFLOW_CWS'!G67</f>
        <v>-9908407.6999999993</v>
      </c>
      <c r="H44" s="251">
        <f>+'FIN-CASHFLOW_CWS'!H67</f>
        <v>-8750667</v>
      </c>
      <c r="I44" s="251">
        <f>+'FIN-CASHFLOW_CWS'!I67</f>
        <v>-8518635.5999999996</v>
      </c>
      <c r="J44" s="251">
        <f>+'FIN-CASHFLOW_CWS'!J67</f>
        <v>-8428227.6999999993</v>
      </c>
      <c r="K44" s="251">
        <f>+'FIN-CASHFLOW_CWS'!K67</f>
        <v>-8596227</v>
      </c>
      <c r="L44" s="251">
        <f>+'FIN-CASHFLOW_CWS'!L67</f>
        <v>-8457488.4000000004</v>
      </c>
      <c r="M44" s="251">
        <f>+'FIN-CASHFLOW_CWS'!M67</f>
        <v>-8701973.4000000004</v>
      </c>
      <c r="N44" s="251">
        <f>+'FIN-CASHFLOW_CWS'!N67</f>
        <v>-8531998.4000000004</v>
      </c>
      <c r="O44" s="251">
        <f>+'FIN-CASHFLOW_CWS'!O67</f>
        <v>-8452096.1999999993</v>
      </c>
      <c r="P44" s="251">
        <f>+'FIN-CASHFLOW_CWS'!P67</f>
        <v>-10440987.6875</v>
      </c>
      <c r="Q44" s="251">
        <f>+'FIN-CASHFLOW_CWS'!Q67</f>
        <v>-10918330.4375</v>
      </c>
      <c r="R44" s="251">
        <f>+'FIN-CASHFLOW_CWS'!R67</f>
        <v>-10732813.5</v>
      </c>
      <c r="S44" s="251">
        <f>+'FIN-CASHFLOW_CWS'!S67</f>
        <v>-10739682.125</v>
      </c>
      <c r="T44" s="251">
        <f>+'FIN-CASHFLOW_CWS'!T67</f>
        <v>-10754095</v>
      </c>
      <c r="U44" s="251">
        <f>+'FIN-CASHFLOW_CWS'!U67</f>
        <v>-10648983.625</v>
      </c>
      <c r="V44" s="251">
        <f>+'FIN-CASHFLOW_CWS'!V67</f>
        <v>-9643909.625</v>
      </c>
      <c r="W44" s="251">
        <f>+'FIN-CASHFLOW_CWS'!W67</f>
        <v>-9663705</v>
      </c>
      <c r="X44" s="251">
        <f>+'FIN-CASHFLOW_CWS'!X67</f>
        <v>-9614641.75</v>
      </c>
      <c r="Y44" s="251">
        <f>+'FIN-CASHFLOW_CWS'!Y67</f>
        <v>-9723981.75</v>
      </c>
      <c r="Z44" s="251">
        <f>+'FIN-CASHFLOW_CWS'!Z67</f>
        <v>-9597466.75</v>
      </c>
      <c r="AA44" s="251">
        <f>+'FIN-CASHFLOW_CWS'!AA67</f>
        <v>-9739777.5625</v>
      </c>
      <c r="AB44" s="251">
        <f>+'FIN-CASHFLOW_CWS'!AB67</f>
        <v>-8536357.6281249989</v>
      </c>
      <c r="AC44" s="251">
        <f>+'FIN-CASHFLOW_CWS'!AC67</f>
        <v>-8690389.0156249981</v>
      </c>
      <c r="AD44" s="251">
        <f>+'FIN-CASHFLOW_CWS'!AD67</f>
        <v>-8529489.2406249996</v>
      </c>
      <c r="AE44" s="251">
        <f>+'FIN-CASHFLOW_CWS'!AE67</f>
        <v>-8568070.8656249996</v>
      </c>
      <c r="AF44" s="251">
        <f>+'FIN-CASHFLOW_CWS'!AF67</f>
        <v>-8601004.3031249996</v>
      </c>
      <c r="AG44" s="251">
        <f>+'FIN-CASHFLOW_CWS'!AG67</f>
        <v>-8472477.6281249989</v>
      </c>
      <c r="AH44" s="251">
        <f>+'FIN-CASHFLOW_CWS'!AH67</f>
        <v>-8485079.6156249996</v>
      </c>
      <c r="AI44" s="251">
        <f>+'FIN-CASHFLOW_CWS'!AI67</f>
        <v>-8439564.3031249996</v>
      </c>
      <c r="AJ44" s="251">
        <f>+'FIN-CASHFLOW_CWS'!AJ67</f>
        <v>-8410052.6531249993</v>
      </c>
      <c r="AK44" s="251">
        <f>+'FIN-CASHFLOW_CWS'!AK67</f>
        <v>-8490257.6531249993</v>
      </c>
      <c r="AL44" s="251">
        <f>+'FIN-CASHFLOW_CWS'!AL67</f>
        <v>-8294692.6531250002</v>
      </c>
      <c r="AM44" s="251">
        <f>+'FIN-CASHFLOW_CWS'!AM67</f>
        <v>-8319704.0531250006</v>
      </c>
      <c r="AN44" s="251">
        <f>+'FIN-CASHFLOW_CWS'!AN67</f>
        <v>-10294322.096015625</v>
      </c>
      <c r="AO44" s="251">
        <f>+'FIN-CASHFLOW_CWS'!AO67</f>
        <v>-10311300.636015626</v>
      </c>
      <c r="AP44" s="251">
        <f>+'FIN-CASHFLOW_CWS'!AP67</f>
        <v>-10133166.171015624</v>
      </c>
      <c r="AQ44" s="251">
        <f>+'FIN-CASHFLOW_CWS'!AQ67</f>
        <v>-10170277.871015625</v>
      </c>
      <c r="AR44" s="251">
        <f>+'FIN-CASHFLOW_CWS'!AR67</f>
        <v>-10197181.581015624</v>
      </c>
      <c r="AS44" s="251">
        <f>+'FIN-CASHFLOW_CWS'!AS67</f>
        <v>-10060228.416015625</v>
      </c>
      <c r="AT44" s="251">
        <f>+'FIN-CASHFLOW_CWS'!AT67</f>
        <v>-10070560.371015625</v>
      </c>
      <c r="AU44" s="251">
        <f>+'FIN-CASHFLOW_CWS'!AU67</f>
        <v>-10043517.581015624</v>
      </c>
      <c r="AV44" s="251">
        <f>+'FIN-CASHFLOW_CWS'!AV67</f>
        <v>-10002750.111015625</v>
      </c>
      <c r="AW44" s="251">
        <f>+'FIN-CASHFLOW_CWS'!AW67</f>
        <v>-10099080.111015625</v>
      </c>
      <c r="AX44" s="251">
        <f>+'FIN-CASHFLOW_CWS'!AX67</f>
        <v>-9912263.1110156253</v>
      </c>
      <c r="AY44" s="251">
        <f>+'FIN-CASHFLOW_CWS'!AY67</f>
        <v>-9934383.0960156247</v>
      </c>
      <c r="AZ44" s="251">
        <f>+'FIN-CASHFLOW_CWS'!AZ67</f>
        <v>-13838086.121603517</v>
      </c>
      <c r="BA44" s="251">
        <f>+'FIN-CASHFLOW_CWS'!BA67</f>
        <v>-13850015.491603516</v>
      </c>
      <c r="BB44" s="251">
        <f>+'FIN-CASHFLOW_CWS'!BB67</f>
        <v>-13652502.942603514</v>
      </c>
      <c r="BC44" s="251">
        <f>+'FIN-CASHFLOW_CWS'!BC67</f>
        <v>-13687264.042603515</v>
      </c>
      <c r="BD44" s="251">
        <f>+'FIN-CASHFLOW_CWS'!BD67</f>
        <v>-13709203.189603519</v>
      </c>
      <c r="BE44" s="251">
        <f>+'FIN-CASHFLOW_CWS'!BE67</f>
        <v>-13563341.215603516</v>
      </c>
      <c r="BF44" s="251">
        <f>+'FIN-CASHFLOW_CWS'!BF67</f>
        <v>-13570599.042603515</v>
      </c>
      <c r="BG44" s="251">
        <f>+'FIN-CASHFLOW_CWS'!BG67</f>
        <v>-13563412.389603518</v>
      </c>
      <c r="BH44" s="251">
        <f>+'FIN-CASHFLOW_CWS'!BH67</f>
        <v>-13510197.566603515</v>
      </c>
      <c r="BI44" s="251">
        <f>+'FIN-CASHFLOW_CWS'!BI67</f>
        <v>-13623352.566603515</v>
      </c>
      <c r="BJ44" s="251">
        <f>+'FIN-CASHFLOW_CWS'!BJ67</f>
        <v>-13445283.566603515</v>
      </c>
      <c r="BK44" s="251">
        <f>+'FIN-CASHFLOW_CWS'!BK67</f>
        <v>-17120162.871603519</v>
      </c>
      <c r="BL44" s="66"/>
    </row>
    <row r="45" spans="1:64" x14ac:dyDescent="0.15">
      <c r="B45" s="33" t="s">
        <v>1128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-28696854</v>
      </c>
      <c r="G45" s="251">
        <f>+'FIN-CASHFLOW_CWS'!G70</f>
        <v>-38605261.700000003</v>
      </c>
      <c r="H45" s="251">
        <f>+'FIN-CASHFLOW_CWS'!H70</f>
        <v>-47355928.700000003</v>
      </c>
      <c r="I45" s="251">
        <f>+'FIN-CASHFLOW_CWS'!I70</f>
        <v>-55874564.300000004</v>
      </c>
      <c r="J45" s="251">
        <f>+'FIN-CASHFLOW_CWS'!J70</f>
        <v>-64302792</v>
      </c>
      <c r="K45" s="251">
        <f>+'FIN-CASHFLOW_CWS'!K70</f>
        <v>-72899019</v>
      </c>
      <c r="L45" s="251">
        <f>+'FIN-CASHFLOW_CWS'!L70</f>
        <v>-81356507.400000006</v>
      </c>
      <c r="M45" s="251">
        <f>+'FIN-CASHFLOW_CWS'!M70</f>
        <v>-90058480.800000012</v>
      </c>
      <c r="N45" s="251">
        <f>+'FIN-CASHFLOW_CWS'!N70</f>
        <v>-98590479.200000018</v>
      </c>
      <c r="O45" s="251">
        <f>+'FIN-CASHFLOW_CWS'!O70</f>
        <v>-107042575.40000002</v>
      </c>
      <c r="P45" s="251">
        <f>+'FIN-CASHFLOW_CWS'!P70</f>
        <v>-117483563.08750002</v>
      </c>
      <c r="Q45" s="251">
        <f>+'FIN-CASHFLOW_CWS'!Q70</f>
        <v>-128401893.52500002</v>
      </c>
      <c r="R45" s="251">
        <f>+'FIN-CASHFLOW_CWS'!R70</f>
        <v>-139134707.02500004</v>
      </c>
      <c r="S45" s="251">
        <f>+'FIN-CASHFLOW_CWS'!S70</f>
        <v>-149874389.15000004</v>
      </c>
      <c r="T45" s="251">
        <f>+'FIN-CASHFLOW_CWS'!T70</f>
        <v>-160628484.15000004</v>
      </c>
      <c r="U45" s="251">
        <f>+'FIN-CASHFLOW_CWS'!U70</f>
        <v>-171277467.77500004</v>
      </c>
      <c r="V45" s="251">
        <f>+'FIN-CASHFLOW_CWS'!V70</f>
        <v>-180921377.40000004</v>
      </c>
      <c r="W45" s="251">
        <f>+'FIN-CASHFLOW_CWS'!W70</f>
        <v>-190585082.40000004</v>
      </c>
      <c r="X45" s="251">
        <f>+'FIN-CASHFLOW_CWS'!X70</f>
        <v>-200199724.15000004</v>
      </c>
      <c r="Y45" s="251">
        <f>+'FIN-CASHFLOW_CWS'!Y70</f>
        <v>-209923705.90000004</v>
      </c>
      <c r="Z45" s="251">
        <f>+'FIN-CASHFLOW_CWS'!Z70</f>
        <v>-219521172.65000004</v>
      </c>
      <c r="AA45" s="251">
        <f>+'FIN-CASHFLOW_CWS'!AA70</f>
        <v>-229260950.21250004</v>
      </c>
      <c r="AB45" s="251">
        <f>+'FIN-CASHFLOW_CWS'!AB70</f>
        <v>-237797307.84062505</v>
      </c>
      <c r="AC45" s="251">
        <f>+'FIN-CASHFLOW_CWS'!AC70</f>
        <v>-246487696.85625005</v>
      </c>
      <c r="AD45" s="251">
        <f>+'FIN-CASHFLOW_CWS'!AD70</f>
        <v>-255017186.09687504</v>
      </c>
      <c r="AE45" s="251">
        <f>+'FIN-CASHFLOW_CWS'!AE70</f>
        <v>-263585256.96250004</v>
      </c>
      <c r="AF45" s="251">
        <f>+'FIN-CASHFLOW_CWS'!AF70</f>
        <v>-272186261.26562506</v>
      </c>
      <c r="AG45" s="251">
        <f>+'FIN-CASHFLOW_CWS'!AG70</f>
        <v>-280658738.89375007</v>
      </c>
      <c r="AH45" s="251">
        <f>+'FIN-CASHFLOW_CWS'!AH70</f>
        <v>-289143818.5093751</v>
      </c>
      <c r="AI45" s="251">
        <f>+'FIN-CASHFLOW_CWS'!AI70</f>
        <v>-297583382.81250012</v>
      </c>
      <c r="AJ45" s="251">
        <f>+'FIN-CASHFLOW_CWS'!AJ70</f>
        <v>-305993435.46562511</v>
      </c>
      <c r="AK45" s="251">
        <f>+'FIN-CASHFLOW_CWS'!AK70</f>
        <v>-314483693.1187501</v>
      </c>
      <c r="AL45" s="251">
        <f>+'FIN-CASHFLOW_CWS'!AL70</f>
        <v>-322778385.77187508</v>
      </c>
      <c r="AM45" s="251">
        <f>+'FIN-CASHFLOW_CWS'!AM70</f>
        <v>-331098089.82500011</v>
      </c>
      <c r="AN45" s="251">
        <f>+'FIN-CASHFLOW_CWS'!AN70</f>
        <v>-341392411.92101574</v>
      </c>
      <c r="AO45" s="251">
        <f>+'FIN-CASHFLOW_CWS'!AO70</f>
        <v>-351703712.55703139</v>
      </c>
      <c r="AP45" s="251">
        <f>+'FIN-CASHFLOW_CWS'!AP70</f>
        <v>-361836878.72804701</v>
      </c>
      <c r="AQ45" s="251">
        <f>+'FIN-CASHFLOW_CWS'!AQ70</f>
        <v>-372007156.59906262</v>
      </c>
      <c r="AR45" s="251">
        <f>+'FIN-CASHFLOW_CWS'!AR70</f>
        <v>-382204338.18007827</v>
      </c>
      <c r="AS45" s="251">
        <f>+'FIN-CASHFLOW_CWS'!AS70</f>
        <v>-392264566.59609389</v>
      </c>
      <c r="AT45" s="251">
        <f>+'FIN-CASHFLOW_CWS'!AT70</f>
        <v>-402335126.9671095</v>
      </c>
      <c r="AU45" s="251">
        <f>+'FIN-CASHFLOW_CWS'!AU70</f>
        <v>-412378644.54812515</v>
      </c>
      <c r="AV45" s="251">
        <f>+'FIN-CASHFLOW_CWS'!AV70</f>
        <v>-422381394.65914077</v>
      </c>
      <c r="AW45" s="251">
        <f>+'FIN-CASHFLOW_CWS'!AW70</f>
        <v>-432480474.77015638</v>
      </c>
      <c r="AX45" s="251">
        <f>+'FIN-CASHFLOW_CWS'!AX70</f>
        <v>-442392737.881172</v>
      </c>
      <c r="AY45" s="251">
        <f>+'FIN-CASHFLOW_CWS'!AY70</f>
        <v>-452327120.97718763</v>
      </c>
      <c r="AZ45" s="251">
        <f>+'FIN-CASHFLOW_CWS'!AZ70</f>
        <v>-466165207.09879112</v>
      </c>
      <c r="BA45" s="251">
        <f>+'FIN-CASHFLOW_CWS'!BA70</f>
        <v>-480015222.59039462</v>
      </c>
      <c r="BB45" s="251">
        <f>+'FIN-CASHFLOW_CWS'!BB70</f>
        <v>-493667725.53299814</v>
      </c>
      <c r="BC45" s="251">
        <f>+'FIN-CASHFLOW_CWS'!BC70</f>
        <v>-507354989.57560164</v>
      </c>
      <c r="BD45" s="251">
        <f>+'FIN-CASHFLOW_CWS'!BD70</f>
        <v>-521064192.76520514</v>
      </c>
      <c r="BE45" s="251">
        <f>+'FIN-CASHFLOW_CWS'!BE70</f>
        <v>-534627533.98080868</v>
      </c>
      <c r="BF45" s="251">
        <f>+'FIN-CASHFLOW_CWS'!BF70</f>
        <v>-548198133.02341223</v>
      </c>
      <c r="BG45" s="251">
        <f>+'FIN-CASHFLOW_CWS'!BG70</f>
        <v>-561761545.41301572</v>
      </c>
      <c r="BH45" s="251">
        <f>+'FIN-CASHFLOW_CWS'!BH70</f>
        <v>-575271742.97961926</v>
      </c>
      <c r="BI45" s="251">
        <f>+'FIN-CASHFLOW_CWS'!BI70</f>
        <v>-588895095.54622281</v>
      </c>
      <c r="BJ45" s="251">
        <f>+'FIN-CASHFLOW_CWS'!BJ70</f>
        <v>-602340379.11282635</v>
      </c>
      <c r="BK45" s="251">
        <f>+'FIN-CASHFLOW_CWS'!BK70</f>
        <v>-619460541.98442984</v>
      </c>
    </row>
    <row r="47" spans="1:64" x14ac:dyDescent="0.15">
      <c r="A47" s="252" t="s">
        <v>968</v>
      </c>
      <c r="C47" s="74" t="s">
        <v>147</v>
      </c>
      <c r="D47" s="364" t="s">
        <v>35</v>
      </c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 t="s">
        <v>36</v>
      </c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4" t="s">
        <v>37</v>
      </c>
      <c r="AC47" s="364"/>
      <c r="AD47" s="364"/>
      <c r="AE47" s="364"/>
      <c r="AF47" s="364"/>
      <c r="AG47" s="364"/>
      <c r="AH47" s="364"/>
      <c r="AI47" s="364"/>
      <c r="AJ47" s="364"/>
      <c r="AK47" s="364"/>
      <c r="AL47" s="364"/>
      <c r="AM47" s="364"/>
      <c r="AN47" s="364" t="s">
        <v>38</v>
      </c>
      <c r="AO47" s="364"/>
      <c r="AP47" s="364"/>
      <c r="AQ47" s="364"/>
      <c r="AR47" s="364"/>
      <c r="AS47" s="364"/>
      <c r="AT47" s="364"/>
      <c r="AU47" s="364"/>
      <c r="AV47" s="364"/>
      <c r="AW47" s="364"/>
      <c r="AX47" s="364"/>
      <c r="AY47" s="364"/>
      <c r="AZ47" s="364" t="s">
        <v>39</v>
      </c>
      <c r="BA47" s="364"/>
      <c r="BB47" s="364"/>
      <c r="BC47" s="364"/>
      <c r="BD47" s="364"/>
      <c r="BE47" s="364"/>
      <c r="BF47" s="364"/>
      <c r="BG47" s="364"/>
      <c r="BH47" s="364"/>
      <c r="BI47" s="364"/>
      <c r="BJ47" s="364"/>
      <c r="BK47" s="364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808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-8606259.3666666653</v>
      </c>
      <c r="H49" s="251">
        <f t="shared" si="3"/>
        <v>-8563998.666666666</v>
      </c>
      <c r="I49" s="251">
        <f t="shared" si="3"/>
        <v>-8462657.2666666657</v>
      </c>
      <c r="J49" s="251">
        <f t="shared" si="3"/>
        <v>-8675799.3666666653</v>
      </c>
      <c r="K49" s="251">
        <f t="shared" si="3"/>
        <v>-8565558.666666666</v>
      </c>
      <c r="L49" s="251">
        <f t="shared" si="3"/>
        <v>-8715750.0666666664</v>
      </c>
      <c r="M49" s="251">
        <f t="shared" si="3"/>
        <v>-8703615.0666666664</v>
      </c>
      <c r="N49" s="251">
        <f t="shared" si="3"/>
        <v>-8689640.0666666664</v>
      </c>
      <c r="O49" s="251">
        <f t="shared" si="3"/>
        <v>-8947977.8666666653</v>
      </c>
      <c r="P49" s="251">
        <f t="shared" si="3"/>
        <v>-10757800.604166666</v>
      </c>
      <c r="Q49" s="251">
        <f t="shared" si="3"/>
        <v>-10702222.104166666</v>
      </c>
      <c r="R49" s="251">
        <f t="shared" si="3"/>
        <v>-10689286.416666666</v>
      </c>
      <c r="S49" s="251">
        <f t="shared" si="3"/>
        <v>-10706511.291666666</v>
      </c>
      <c r="T49" s="251">
        <f t="shared" si="3"/>
        <v>-10677924.166666666</v>
      </c>
      <c r="U49" s="251">
        <f t="shared" si="3"/>
        <v>-10669987.791666666</v>
      </c>
      <c r="V49" s="251">
        <f t="shared" si="3"/>
        <v>-9697117.958333334</v>
      </c>
      <c r="W49" s="251">
        <f t="shared" si="3"/>
        <v>-9684850.833333334</v>
      </c>
      <c r="X49" s="251">
        <f t="shared" si="3"/>
        <v>-9707225.083333334</v>
      </c>
      <c r="Y49" s="251">
        <f t="shared" si="3"/>
        <v>-9725740.083333334</v>
      </c>
      <c r="Z49" s="251">
        <f t="shared" si="3"/>
        <v>-9707225.083333334</v>
      </c>
      <c r="AA49" s="251">
        <f t="shared" si="3"/>
        <v>-9752442.145833334</v>
      </c>
      <c r="AB49" s="251">
        <f t="shared" si="3"/>
        <v>-8404116.7947916649</v>
      </c>
      <c r="AC49" s="251">
        <f t="shared" si="3"/>
        <v>-8479831.0989583321</v>
      </c>
      <c r="AD49" s="251">
        <f t="shared" si="3"/>
        <v>-8499045.0739583336</v>
      </c>
      <c r="AE49" s="251">
        <f t="shared" si="3"/>
        <v>-8518591.6989583336</v>
      </c>
      <c r="AF49" s="251">
        <f t="shared" si="3"/>
        <v>-8517311.3864583336</v>
      </c>
      <c r="AG49" s="251">
        <f t="shared" si="3"/>
        <v>-8548683.4614583328</v>
      </c>
      <c r="AH49" s="251">
        <f t="shared" si="3"/>
        <v>-8497841.6989583336</v>
      </c>
      <c r="AI49" s="251">
        <f t="shared" si="3"/>
        <v>-8521111.3864583336</v>
      </c>
      <c r="AJ49" s="251">
        <f t="shared" si="3"/>
        <v>-8471410.9864583332</v>
      </c>
      <c r="AK49" s="251">
        <f t="shared" si="3"/>
        <v>-8492015.9864583332</v>
      </c>
      <c r="AL49" s="251">
        <f t="shared" si="3"/>
        <v>-8471410.9864583332</v>
      </c>
      <c r="AM49" s="251">
        <f t="shared" si="3"/>
        <v>-8399602.3864583336</v>
      </c>
      <c r="AN49" s="251">
        <f t="shared" si="3"/>
        <v>-10043884.679348959</v>
      </c>
      <c r="AO49" s="251">
        <f t="shared" si="3"/>
        <v>-10086683.96934896</v>
      </c>
      <c r="AP49" s="251">
        <f t="shared" si="3"/>
        <v>-10097352.004348958</v>
      </c>
      <c r="AQ49" s="251">
        <f t="shared" si="3"/>
        <v>-10116508.204348959</v>
      </c>
      <c r="AR49" s="251">
        <f t="shared" si="3"/>
        <v>-10108606.914348958</v>
      </c>
      <c r="AS49" s="251">
        <f t="shared" si="3"/>
        <v>-10128880.249348959</v>
      </c>
      <c r="AT49" s="251">
        <f t="shared" si="3"/>
        <v>-10095758.204348959</v>
      </c>
      <c r="AU49" s="251">
        <f t="shared" si="3"/>
        <v>-10112406.914348958</v>
      </c>
      <c r="AV49" s="251">
        <f t="shared" si="3"/>
        <v>-10080233.444348959</v>
      </c>
      <c r="AW49" s="251">
        <f t="shared" si="3"/>
        <v>-10100838.444348959</v>
      </c>
      <c r="AX49" s="251">
        <f t="shared" si="3"/>
        <v>-10080233.444348959</v>
      </c>
      <c r="AY49" s="251">
        <f t="shared" si="3"/>
        <v>-10039057.929348959</v>
      </c>
      <c r="AZ49" s="251">
        <f t="shared" si="3"/>
        <v>-13598456.05493685</v>
      </c>
      <c r="BA49" s="251">
        <f t="shared" si="3"/>
        <v>-13610956.42493685</v>
      </c>
      <c r="BB49" s="251">
        <f t="shared" si="3"/>
        <v>-13611713.775936848</v>
      </c>
      <c r="BC49" s="251">
        <f t="shared" si="3"/>
        <v>-13630869.975936849</v>
      </c>
      <c r="BD49" s="251">
        <f t="shared" si="3"/>
        <v>-13614027.322936852</v>
      </c>
      <c r="BE49" s="251">
        <f t="shared" si="3"/>
        <v>-13624271.148936849</v>
      </c>
      <c r="BF49" s="251">
        <f t="shared" si="3"/>
        <v>-13610119.975936849</v>
      </c>
      <c r="BG49" s="251">
        <f t="shared" si="3"/>
        <v>-13617827.322936852</v>
      </c>
      <c r="BH49" s="251">
        <f t="shared" si="3"/>
        <v>-13604505.899936849</v>
      </c>
      <c r="BI49" s="251">
        <f t="shared" si="3"/>
        <v>-13625110.899936849</v>
      </c>
      <c r="BJ49" s="251">
        <f t="shared" si="3"/>
        <v>-13604505.899936849</v>
      </c>
      <c r="BK49" s="251">
        <f t="shared" si="3"/>
        <v>-13588059.30493685</v>
      </c>
    </row>
    <row r="50" spans="1:64" x14ac:dyDescent="0.15">
      <c r="B50" s="33" t="s">
        <v>967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-9841214</v>
      </c>
      <c r="G50" s="251">
        <f t="shared" si="4"/>
        <v>-9908407.6999999993</v>
      </c>
      <c r="H50" s="251">
        <f t="shared" si="4"/>
        <v>-8750667</v>
      </c>
      <c r="I50" s="251">
        <f t="shared" si="4"/>
        <v>-8518635.5999999996</v>
      </c>
      <c r="J50" s="251">
        <f t="shared" si="4"/>
        <v>-8428227.6999999993</v>
      </c>
      <c r="K50" s="251">
        <f t="shared" si="4"/>
        <v>-8596227</v>
      </c>
      <c r="L50" s="251">
        <f t="shared" si="4"/>
        <v>-8457488.4000000004</v>
      </c>
      <c r="M50" s="251">
        <f t="shared" si="4"/>
        <v>-8701973.4000000004</v>
      </c>
      <c r="N50" s="251">
        <f t="shared" si="4"/>
        <v>-8531998.4000000004</v>
      </c>
      <c r="O50" s="251">
        <f t="shared" si="4"/>
        <v>-8452096.1999999993</v>
      </c>
      <c r="P50" s="251">
        <f t="shared" si="4"/>
        <v>-10440987.6875</v>
      </c>
      <c r="Q50" s="251">
        <f t="shared" si="4"/>
        <v>-10918330.4375</v>
      </c>
      <c r="R50" s="251">
        <f t="shared" si="4"/>
        <v>-10732813.5</v>
      </c>
      <c r="S50" s="251">
        <f t="shared" si="4"/>
        <v>-10739682.125</v>
      </c>
      <c r="T50" s="251">
        <f t="shared" si="4"/>
        <v>-10754095</v>
      </c>
      <c r="U50" s="251">
        <f t="shared" si="4"/>
        <v>-10648983.625</v>
      </c>
      <c r="V50" s="251">
        <f t="shared" si="4"/>
        <v>-9643909.625</v>
      </c>
      <c r="W50" s="251">
        <f t="shared" si="4"/>
        <v>-9663705</v>
      </c>
      <c r="X50" s="251">
        <f t="shared" si="4"/>
        <v>-9614641.75</v>
      </c>
      <c r="Y50" s="251">
        <f t="shared" si="4"/>
        <v>-9723981.75</v>
      </c>
      <c r="Z50" s="251">
        <f t="shared" si="4"/>
        <v>-9597466.75</v>
      </c>
      <c r="AA50" s="251">
        <f t="shared" si="4"/>
        <v>-9739777.5625</v>
      </c>
      <c r="AB50" s="251">
        <f t="shared" si="4"/>
        <v>-8536357.6281249989</v>
      </c>
      <c r="AC50" s="251">
        <f t="shared" si="4"/>
        <v>-8690389.0156249981</v>
      </c>
      <c r="AD50" s="251">
        <f t="shared" si="4"/>
        <v>-8529489.2406249996</v>
      </c>
      <c r="AE50" s="251">
        <f t="shared" si="4"/>
        <v>-8568070.8656249996</v>
      </c>
      <c r="AF50" s="251">
        <f t="shared" si="4"/>
        <v>-8601004.3031249996</v>
      </c>
      <c r="AG50" s="251">
        <f t="shared" si="4"/>
        <v>-8472477.6281249989</v>
      </c>
      <c r="AH50" s="251">
        <f t="shared" si="4"/>
        <v>-8485079.6156249996</v>
      </c>
      <c r="AI50" s="251">
        <f t="shared" si="4"/>
        <v>-8439564.3031249996</v>
      </c>
      <c r="AJ50" s="251">
        <f t="shared" si="4"/>
        <v>-8410052.6531249993</v>
      </c>
      <c r="AK50" s="251">
        <f t="shared" si="4"/>
        <v>-8490257.6531249993</v>
      </c>
      <c r="AL50" s="251">
        <f t="shared" si="4"/>
        <v>-8294692.6531250002</v>
      </c>
      <c r="AM50" s="251">
        <f t="shared" si="4"/>
        <v>-8319704.0531250006</v>
      </c>
      <c r="AN50" s="251">
        <f t="shared" si="4"/>
        <v>-10294322.096015625</v>
      </c>
      <c r="AO50" s="251">
        <f t="shared" si="4"/>
        <v>-10311300.636015626</v>
      </c>
      <c r="AP50" s="251">
        <f t="shared" si="4"/>
        <v>-10133166.171015624</v>
      </c>
      <c r="AQ50" s="251">
        <f t="shared" si="4"/>
        <v>-10170277.871015625</v>
      </c>
      <c r="AR50" s="251">
        <f t="shared" si="4"/>
        <v>-10197181.581015624</v>
      </c>
      <c r="AS50" s="251">
        <f t="shared" si="4"/>
        <v>-10060228.416015625</v>
      </c>
      <c r="AT50" s="251">
        <f t="shared" si="4"/>
        <v>-10070560.371015625</v>
      </c>
      <c r="AU50" s="251">
        <f t="shared" si="4"/>
        <v>-10043517.581015624</v>
      </c>
      <c r="AV50" s="251">
        <f t="shared" si="4"/>
        <v>-10002750.111015625</v>
      </c>
      <c r="AW50" s="251">
        <f t="shared" si="4"/>
        <v>-10099080.111015625</v>
      </c>
      <c r="AX50" s="251">
        <f t="shared" si="4"/>
        <v>-9912263.1110156253</v>
      </c>
      <c r="AY50" s="251">
        <f t="shared" si="4"/>
        <v>-9934383.0960156247</v>
      </c>
      <c r="AZ50" s="251">
        <f t="shared" si="4"/>
        <v>-13838086.121603517</v>
      </c>
      <c r="BA50" s="251">
        <f t="shared" si="4"/>
        <v>-13850015.491603516</v>
      </c>
      <c r="BB50" s="251">
        <f t="shared" si="4"/>
        <v>-13652502.942603514</v>
      </c>
      <c r="BC50" s="251">
        <f t="shared" si="4"/>
        <v>-13687264.042603515</v>
      </c>
      <c r="BD50" s="251">
        <f t="shared" si="4"/>
        <v>-13709203.189603519</v>
      </c>
      <c r="BE50" s="251">
        <f t="shared" si="4"/>
        <v>-13563341.215603516</v>
      </c>
      <c r="BF50" s="251">
        <f t="shared" si="4"/>
        <v>-13570599.042603515</v>
      </c>
      <c r="BG50" s="251">
        <f t="shared" si="4"/>
        <v>-13563412.389603518</v>
      </c>
      <c r="BH50" s="251">
        <f t="shared" si="4"/>
        <v>-13510197.566603515</v>
      </c>
      <c r="BI50" s="251">
        <f t="shared" si="4"/>
        <v>-13623352.566603515</v>
      </c>
      <c r="BJ50" s="251">
        <f t="shared" si="4"/>
        <v>-13445283.566603515</v>
      </c>
      <c r="BK50" s="251">
        <f t="shared" si="4"/>
        <v>-17120162.871603519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1040</v>
      </c>
    </row>
    <row r="53" spans="1:64" x14ac:dyDescent="0.15">
      <c r="A53"/>
      <c r="C53" s="74" t="s">
        <v>147</v>
      </c>
      <c r="D53" s="364" t="s">
        <v>35</v>
      </c>
      <c r="E53" s="364"/>
      <c r="F53" s="364"/>
      <c r="G53" s="364"/>
      <c r="H53" s="364"/>
      <c r="I53" s="364"/>
      <c r="J53" s="364"/>
      <c r="K53" s="364"/>
      <c r="L53" s="364"/>
      <c r="M53" s="364"/>
      <c r="N53" s="364"/>
      <c r="O53" s="364"/>
      <c r="P53" s="364" t="s">
        <v>36</v>
      </c>
      <c r="Q53" s="364"/>
      <c r="R53" s="364"/>
      <c r="S53" s="364"/>
      <c r="T53" s="364"/>
      <c r="U53" s="364"/>
      <c r="V53" s="364"/>
      <c r="W53" s="364"/>
      <c r="X53" s="364"/>
      <c r="Y53" s="364"/>
      <c r="Z53" s="364"/>
      <c r="AA53" s="364"/>
      <c r="AB53" s="364" t="s">
        <v>37</v>
      </c>
      <c r="AC53" s="364"/>
      <c r="AD53" s="364"/>
      <c r="AE53" s="364"/>
      <c r="AF53" s="364"/>
      <c r="AG53" s="364"/>
      <c r="AH53" s="364"/>
      <c r="AI53" s="364"/>
      <c r="AJ53" s="364"/>
      <c r="AK53" s="364"/>
      <c r="AL53" s="364"/>
      <c r="AM53" s="364"/>
      <c r="AN53" s="364" t="s">
        <v>38</v>
      </c>
      <c r="AO53" s="364"/>
      <c r="AP53" s="364"/>
      <c r="AQ53" s="364"/>
      <c r="AR53" s="364"/>
      <c r="AS53" s="364"/>
      <c r="AT53" s="364"/>
      <c r="AU53" s="364"/>
      <c r="AV53" s="364"/>
      <c r="AW53" s="364"/>
      <c r="AX53" s="364"/>
      <c r="AY53" s="364"/>
      <c r="AZ53" s="364" t="s">
        <v>39</v>
      </c>
      <c r="BA53" s="364"/>
      <c r="BB53" s="364"/>
      <c r="BC53" s="364"/>
      <c r="BD53" s="364"/>
      <c r="BE53" s="364"/>
      <c r="BF53" s="364"/>
      <c r="BG53" s="364"/>
      <c r="BH53" s="364"/>
      <c r="BI53" s="364"/>
      <c r="BJ53" s="364"/>
      <c r="BK53" s="364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808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-8606259.3666666653</v>
      </c>
      <c r="H55" s="251">
        <f t="shared" si="5"/>
        <v>-8563998.666666666</v>
      </c>
      <c r="I55" s="251">
        <f t="shared" si="5"/>
        <v>-8462657.2666666657</v>
      </c>
      <c r="J55" s="251">
        <f t="shared" si="5"/>
        <v>-8675799.3666666653</v>
      </c>
      <c r="K55" s="251">
        <f t="shared" si="5"/>
        <v>-8565558.666666666</v>
      </c>
      <c r="L55" s="251">
        <f t="shared" si="5"/>
        <v>-8715750.0666666664</v>
      </c>
      <c r="M55" s="251">
        <f t="shared" si="5"/>
        <v>-8703615.0666666664</v>
      </c>
      <c r="N55" s="251">
        <f t="shared" si="5"/>
        <v>-8689640.0666666664</v>
      </c>
      <c r="O55" s="251">
        <f t="shared" si="5"/>
        <v>-8947977.8666666653</v>
      </c>
      <c r="P55" s="251">
        <f t="shared" si="5"/>
        <v>-10757800.604166666</v>
      </c>
      <c r="Q55" s="251">
        <f t="shared" si="5"/>
        <v>-10702222.104166666</v>
      </c>
      <c r="R55" s="251">
        <f t="shared" si="5"/>
        <v>-10689286.416666666</v>
      </c>
      <c r="S55" s="251">
        <f t="shared" si="5"/>
        <v>-10706511.291666666</v>
      </c>
      <c r="T55" s="251">
        <f t="shared" si="5"/>
        <v>-10677924.166666666</v>
      </c>
      <c r="U55" s="251">
        <f t="shared" si="5"/>
        <v>-10669987.791666666</v>
      </c>
      <c r="V55" s="251">
        <f t="shared" si="5"/>
        <v>-9697117.958333334</v>
      </c>
      <c r="W55" s="251">
        <f t="shared" si="5"/>
        <v>-9684850.833333334</v>
      </c>
      <c r="X55" s="251">
        <f t="shared" si="5"/>
        <v>-9707225.083333334</v>
      </c>
      <c r="Y55" s="251">
        <f t="shared" si="5"/>
        <v>-9725740.083333334</v>
      </c>
      <c r="Z55" s="251">
        <f t="shared" si="5"/>
        <v>-9707225.083333334</v>
      </c>
      <c r="AA55" s="251">
        <f t="shared" si="5"/>
        <v>-9752442.145833334</v>
      </c>
      <c r="AB55" s="251">
        <f t="shared" si="5"/>
        <v>-8404116.7947916649</v>
      </c>
      <c r="AC55" s="251">
        <f t="shared" si="5"/>
        <v>-8479831.0989583321</v>
      </c>
      <c r="AD55" s="251">
        <f t="shared" si="5"/>
        <v>-8499045.0739583336</v>
      </c>
      <c r="AE55" s="251">
        <f t="shared" si="5"/>
        <v>-8518591.6989583336</v>
      </c>
      <c r="AF55" s="251">
        <f t="shared" si="5"/>
        <v>-8517311.3864583336</v>
      </c>
      <c r="AG55" s="251">
        <f t="shared" si="5"/>
        <v>-8548683.4614583328</v>
      </c>
      <c r="AH55" s="251">
        <f t="shared" si="5"/>
        <v>-8497841.6989583336</v>
      </c>
      <c r="AI55" s="251">
        <f t="shared" si="5"/>
        <v>-8521111.3864583336</v>
      </c>
      <c r="AJ55" s="251">
        <f t="shared" si="5"/>
        <v>-8471410.9864583332</v>
      </c>
      <c r="AK55" s="251">
        <f t="shared" si="5"/>
        <v>-8492015.9864583332</v>
      </c>
      <c r="AL55" s="251">
        <f t="shared" si="5"/>
        <v>-8471410.9864583332</v>
      </c>
      <c r="AM55" s="251">
        <f t="shared" si="5"/>
        <v>-8399602.3864583336</v>
      </c>
      <c r="AN55" s="251">
        <f t="shared" si="5"/>
        <v>-10043884.679348959</v>
      </c>
      <c r="AO55" s="251">
        <f t="shared" si="5"/>
        <v>-10086683.96934896</v>
      </c>
      <c r="AP55" s="251">
        <f t="shared" si="5"/>
        <v>-10097352.004348958</v>
      </c>
      <c r="AQ55" s="251">
        <f t="shared" si="5"/>
        <v>-10116508.204348959</v>
      </c>
      <c r="AR55" s="251">
        <f t="shared" si="5"/>
        <v>-10108606.914348958</v>
      </c>
      <c r="AS55" s="251">
        <f t="shared" si="5"/>
        <v>-10128880.249348959</v>
      </c>
      <c r="AT55" s="251">
        <f t="shared" si="5"/>
        <v>-10095758.204348959</v>
      </c>
      <c r="AU55" s="251">
        <f t="shared" si="5"/>
        <v>-10112406.914348958</v>
      </c>
      <c r="AV55" s="251">
        <f t="shared" si="5"/>
        <v>-10080233.444348959</v>
      </c>
      <c r="AW55" s="251">
        <f t="shared" si="5"/>
        <v>-10100838.444348959</v>
      </c>
      <c r="AX55" s="251">
        <f t="shared" si="5"/>
        <v>-10080233.444348959</v>
      </c>
      <c r="AY55" s="251">
        <f t="shared" si="5"/>
        <v>-10039057.929348959</v>
      </c>
      <c r="AZ55" s="251">
        <f t="shared" si="5"/>
        <v>-13598456.05493685</v>
      </c>
      <c r="BA55" s="251">
        <f t="shared" si="5"/>
        <v>-13610956.42493685</v>
      </c>
      <c r="BB55" s="251">
        <f t="shared" si="5"/>
        <v>-13611713.775936848</v>
      </c>
      <c r="BC55" s="251">
        <f t="shared" si="5"/>
        <v>-13630869.975936849</v>
      </c>
      <c r="BD55" s="251">
        <f t="shared" si="5"/>
        <v>-13614027.322936852</v>
      </c>
      <c r="BE55" s="251">
        <f t="shared" si="5"/>
        <v>-13624271.148936849</v>
      </c>
      <c r="BF55" s="251">
        <f t="shared" si="5"/>
        <v>-13610119.975936849</v>
      </c>
      <c r="BG55" s="251">
        <f t="shared" si="5"/>
        <v>-13617827.322936852</v>
      </c>
      <c r="BH55" s="251">
        <f t="shared" si="5"/>
        <v>-13604505.899936849</v>
      </c>
      <c r="BI55" s="251">
        <f t="shared" si="5"/>
        <v>-13625110.899936849</v>
      </c>
      <c r="BJ55" s="251">
        <f t="shared" si="5"/>
        <v>-13604505.899936849</v>
      </c>
      <c r="BK55" s="251">
        <f t="shared" si="5"/>
        <v>-13588059.30493685</v>
      </c>
    </row>
    <row r="56" spans="1:64" x14ac:dyDescent="0.15">
      <c r="B56" s="33" t="s">
        <v>1127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-36750113.366666667</v>
      </c>
      <c r="H56" s="251">
        <f t="shared" si="6"/>
        <v>-45314112.033333331</v>
      </c>
      <c r="I56" s="251">
        <f t="shared" si="6"/>
        <v>-53776769.299999997</v>
      </c>
      <c r="J56" s="251">
        <f t="shared" si="6"/>
        <v>-62452568.666666664</v>
      </c>
      <c r="K56" s="251">
        <f t="shared" si="6"/>
        <v>-71018127.333333328</v>
      </c>
      <c r="L56" s="251">
        <f t="shared" si="6"/>
        <v>-79733877.399999991</v>
      </c>
      <c r="M56" s="251">
        <f t="shared" si="6"/>
        <v>-88437492.466666654</v>
      </c>
      <c r="N56" s="251">
        <f t="shared" si="6"/>
        <v>-97127132.533333316</v>
      </c>
      <c r="O56" s="251">
        <f t="shared" si="6"/>
        <v>-106075110.39999998</v>
      </c>
      <c r="P56" s="251">
        <f t="shared" si="6"/>
        <v>-116832911.00416665</v>
      </c>
      <c r="Q56" s="251">
        <f t="shared" si="6"/>
        <v>-127535133.10833332</v>
      </c>
      <c r="R56" s="251">
        <f t="shared" si="6"/>
        <v>-138224419.52499998</v>
      </c>
      <c r="S56" s="251">
        <f t="shared" si="5"/>
        <v>-148930930.81666663</v>
      </c>
      <c r="T56" s="251">
        <f t="shared" si="5"/>
        <v>-159608854.98333329</v>
      </c>
      <c r="U56" s="251">
        <f t="shared" si="5"/>
        <v>-170278842.77499995</v>
      </c>
      <c r="V56" s="251">
        <f t="shared" si="5"/>
        <v>-179975960.73333329</v>
      </c>
      <c r="W56" s="251">
        <f t="shared" si="5"/>
        <v>-189660811.56666663</v>
      </c>
      <c r="X56" s="251">
        <f t="shared" si="5"/>
        <v>-199368036.64999998</v>
      </c>
      <c r="Y56" s="251">
        <f t="shared" si="5"/>
        <v>-209093776.73333332</v>
      </c>
      <c r="Z56" s="251">
        <f t="shared" si="5"/>
        <v>-218801001.81666666</v>
      </c>
      <c r="AA56" s="251">
        <f t="shared" si="5"/>
        <v>-228553443.96250001</v>
      </c>
      <c r="AB56" s="251">
        <f t="shared" si="5"/>
        <v>-236957560.75729167</v>
      </c>
      <c r="AC56" s="251">
        <f t="shared" si="5"/>
        <v>-245437391.85625002</v>
      </c>
      <c r="AD56" s="251">
        <f t="shared" si="5"/>
        <v>-253936436.93020836</v>
      </c>
      <c r="AE56" s="251">
        <f t="shared" si="5"/>
        <v>-262455028.62916669</v>
      </c>
      <c r="AF56" s="251">
        <f t="shared" si="5"/>
        <v>-270972340.015625</v>
      </c>
      <c r="AG56" s="251">
        <f t="shared" si="5"/>
        <v>-279521023.47708333</v>
      </c>
      <c r="AH56" s="251">
        <f t="shared" si="5"/>
        <v>-288018865.17604166</v>
      </c>
      <c r="AI56" s="251">
        <f t="shared" si="5"/>
        <v>-296539976.5625</v>
      </c>
      <c r="AJ56" s="251">
        <f t="shared" si="5"/>
        <v>-305011387.54895836</v>
      </c>
      <c r="AK56" s="251">
        <f t="shared" si="5"/>
        <v>-313503403.53541672</v>
      </c>
      <c r="AL56" s="251">
        <f t="shared" si="5"/>
        <v>-321974814.52187508</v>
      </c>
      <c r="AM56" s="251">
        <f t="shared" si="5"/>
        <v>-330374416.90833342</v>
      </c>
      <c r="AN56" s="251">
        <f t="shared" si="5"/>
        <v>-340418301.58768237</v>
      </c>
      <c r="AO56" s="251">
        <f t="shared" si="5"/>
        <v>-350504985.55703133</v>
      </c>
      <c r="AP56" s="251">
        <f t="shared" si="5"/>
        <v>-360602337.56138027</v>
      </c>
      <c r="AQ56" s="251">
        <f t="shared" si="5"/>
        <v>-370718845.76572925</v>
      </c>
      <c r="AR56" s="251">
        <f t="shared" si="5"/>
        <v>-380827452.68007821</v>
      </c>
      <c r="AS56" s="251">
        <f t="shared" si="5"/>
        <v>-390956332.92942715</v>
      </c>
      <c r="AT56" s="251">
        <f t="shared" si="5"/>
        <v>-401052091.13377613</v>
      </c>
      <c r="AU56" s="251">
        <f t="shared" si="5"/>
        <v>-411164498.04812509</v>
      </c>
      <c r="AV56" s="251">
        <f t="shared" si="5"/>
        <v>-421244731.49247402</v>
      </c>
      <c r="AW56" s="251">
        <f t="shared" si="5"/>
        <v>-431345569.93682295</v>
      </c>
      <c r="AX56" s="251">
        <f t="shared" si="5"/>
        <v>-441425803.38117188</v>
      </c>
      <c r="AY56" s="251">
        <f t="shared" si="5"/>
        <v>-451464861.31052083</v>
      </c>
      <c r="AZ56" s="251">
        <f t="shared" si="5"/>
        <v>-465063317.36545765</v>
      </c>
      <c r="BA56" s="251">
        <f t="shared" si="5"/>
        <v>-478674273.79039448</v>
      </c>
      <c r="BB56" s="251">
        <f t="shared" si="5"/>
        <v>-492285987.56633133</v>
      </c>
      <c r="BC56" s="251">
        <f t="shared" si="5"/>
        <v>-505916857.54226816</v>
      </c>
      <c r="BD56" s="251">
        <f t="shared" si="5"/>
        <v>-519530884.86520499</v>
      </c>
      <c r="BE56" s="251">
        <f t="shared" si="5"/>
        <v>-533155156.01414186</v>
      </c>
      <c r="BF56" s="251">
        <f t="shared" si="5"/>
        <v>-546765275.99007869</v>
      </c>
      <c r="BG56" s="251">
        <f t="shared" si="5"/>
        <v>-560383103.31301558</v>
      </c>
      <c r="BH56" s="251">
        <f t="shared" si="5"/>
        <v>-573987609.21295238</v>
      </c>
      <c r="BI56" s="251">
        <f t="shared" si="5"/>
        <v>-587612720.11288917</v>
      </c>
      <c r="BJ56" s="251">
        <f t="shared" si="5"/>
        <v>-601217226.01282597</v>
      </c>
      <c r="BK56" s="251">
        <f t="shared" si="5"/>
        <v>-614805285.31776285</v>
      </c>
    </row>
    <row r="57" spans="1:64" x14ac:dyDescent="0.15">
      <c r="B57" s="33" t="s">
        <v>967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-9841214</v>
      </c>
      <c r="G57" s="251">
        <f t="shared" si="5"/>
        <v>-9908407.6999999993</v>
      </c>
      <c r="H57" s="251">
        <f t="shared" si="5"/>
        <v>-8750667</v>
      </c>
      <c r="I57" s="251">
        <f t="shared" si="5"/>
        <v>-8518635.5999999996</v>
      </c>
      <c r="J57" s="251">
        <f t="shared" si="5"/>
        <v>-8428227.6999999993</v>
      </c>
      <c r="K57" s="251">
        <f t="shared" si="5"/>
        <v>-8596227</v>
      </c>
      <c r="L57" s="251">
        <f t="shared" si="5"/>
        <v>-8457488.4000000004</v>
      </c>
      <c r="M57" s="251">
        <f t="shared" si="5"/>
        <v>-8701973.4000000004</v>
      </c>
      <c r="N57" s="251">
        <f t="shared" si="5"/>
        <v>-8531998.4000000004</v>
      </c>
      <c r="O57" s="251">
        <f t="shared" si="5"/>
        <v>-8452096.1999999993</v>
      </c>
      <c r="P57" s="251">
        <f t="shared" si="5"/>
        <v>-10440987.6875</v>
      </c>
      <c r="Q57" s="251">
        <f t="shared" si="5"/>
        <v>-10918330.4375</v>
      </c>
      <c r="R57" s="251">
        <f t="shared" si="5"/>
        <v>-10732813.5</v>
      </c>
      <c r="S57" s="251">
        <f t="shared" si="5"/>
        <v>-10739682.125</v>
      </c>
      <c r="T57" s="251">
        <f t="shared" si="5"/>
        <v>-10754095</v>
      </c>
      <c r="U57" s="251">
        <f t="shared" si="5"/>
        <v>-10648983.625</v>
      </c>
      <c r="V57" s="251">
        <f t="shared" si="5"/>
        <v>-9643909.625</v>
      </c>
      <c r="W57" s="251">
        <f t="shared" si="5"/>
        <v>-9663705</v>
      </c>
      <c r="X57" s="251">
        <f t="shared" si="5"/>
        <v>-9614641.75</v>
      </c>
      <c r="Y57" s="251">
        <f t="shared" si="5"/>
        <v>-9723981.75</v>
      </c>
      <c r="Z57" s="251">
        <f t="shared" si="5"/>
        <v>-9597466.75</v>
      </c>
      <c r="AA57" s="251">
        <f t="shared" si="5"/>
        <v>-9739777.5625</v>
      </c>
      <c r="AB57" s="251">
        <f t="shared" si="5"/>
        <v>-8536357.6281249989</v>
      </c>
      <c r="AC57" s="251">
        <f t="shared" si="5"/>
        <v>-8690389.0156249981</v>
      </c>
      <c r="AD57" s="251">
        <f t="shared" si="5"/>
        <v>-8529489.2406249996</v>
      </c>
      <c r="AE57" s="251">
        <f t="shared" si="5"/>
        <v>-8568070.8656249996</v>
      </c>
      <c r="AF57" s="251">
        <f t="shared" si="5"/>
        <v>-8601004.3031249996</v>
      </c>
      <c r="AG57" s="251">
        <f t="shared" si="5"/>
        <v>-8472477.6281249989</v>
      </c>
      <c r="AH57" s="251">
        <f t="shared" si="5"/>
        <v>-8485079.6156249996</v>
      </c>
      <c r="AI57" s="251">
        <f t="shared" si="5"/>
        <v>-8439564.3031249996</v>
      </c>
      <c r="AJ57" s="251">
        <f t="shared" si="5"/>
        <v>-8410052.6531249993</v>
      </c>
      <c r="AK57" s="251">
        <f t="shared" si="5"/>
        <v>-8490257.6531249993</v>
      </c>
      <c r="AL57" s="251">
        <f t="shared" si="5"/>
        <v>-8294692.6531250002</v>
      </c>
      <c r="AM57" s="251">
        <f t="shared" si="5"/>
        <v>-8319704.0531250006</v>
      </c>
      <c r="AN57" s="251">
        <f t="shared" si="5"/>
        <v>-10294322.096015625</v>
      </c>
      <c r="AO57" s="251">
        <f t="shared" si="5"/>
        <v>-10311300.636015626</v>
      </c>
      <c r="AP57" s="251">
        <f t="shared" si="5"/>
        <v>-10133166.171015624</v>
      </c>
      <c r="AQ57" s="251">
        <f t="shared" si="5"/>
        <v>-10170277.871015625</v>
      </c>
      <c r="AR57" s="251">
        <f t="shared" si="5"/>
        <v>-10197181.581015624</v>
      </c>
      <c r="AS57" s="251">
        <f t="shared" si="5"/>
        <v>-10060228.416015625</v>
      </c>
      <c r="AT57" s="251">
        <f t="shared" si="5"/>
        <v>-10070560.371015625</v>
      </c>
      <c r="AU57" s="251">
        <f t="shared" si="5"/>
        <v>-10043517.581015624</v>
      </c>
      <c r="AV57" s="251">
        <f t="shared" si="5"/>
        <v>-10002750.111015625</v>
      </c>
      <c r="AW57" s="251">
        <f t="shared" si="5"/>
        <v>-10099080.111015625</v>
      </c>
      <c r="AX57" s="251">
        <f t="shared" si="5"/>
        <v>-9912263.1110156253</v>
      </c>
      <c r="AY57" s="251">
        <f t="shared" si="5"/>
        <v>-9934383.0960156247</v>
      </c>
      <c r="AZ57" s="251">
        <f t="shared" si="5"/>
        <v>-13838086.121603517</v>
      </c>
      <c r="BA57" s="251">
        <f t="shared" si="5"/>
        <v>-13850015.491603516</v>
      </c>
      <c r="BB57" s="251">
        <f t="shared" si="5"/>
        <v>-13652502.942603514</v>
      </c>
      <c r="BC57" s="251">
        <f t="shared" si="5"/>
        <v>-13687264.042603515</v>
      </c>
      <c r="BD57" s="251">
        <f t="shared" si="5"/>
        <v>-13709203.189603519</v>
      </c>
      <c r="BE57" s="251">
        <f t="shared" si="5"/>
        <v>-13563341.215603516</v>
      </c>
      <c r="BF57" s="251">
        <f t="shared" si="5"/>
        <v>-13570599.042603515</v>
      </c>
      <c r="BG57" s="251">
        <f t="shared" si="5"/>
        <v>-13563412.389603518</v>
      </c>
      <c r="BH57" s="251">
        <f t="shared" si="5"/>
        <v>-13510197.566603515</v>
      </c>
      <c r="BI57" s="251">
        <f t="shared" si="5"/>
        <v>-13623352.566603515</v>
      </c>
      <c r="BJ57" s="251">
        <f t="shared" si="5"/>
        <v>-13445283.566603515</v>
      </c>
      <c r="BK57" s="251">
        <f t="shared" si="5"/>
        <v>-17120162.871603519</v>
      </c>
      <c r="BL57" s="66"/>
    </row>
    <row r="58" spans="1:64" x14ac:dyDescent="0.15">
      <c r="B58" s="33" t="s">
        <v>1128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-28696854</v>
      </c>
      <c r="G58" s="251">
        <f t="shared" si="5"/>
        <v>-38605261.700000003</v>
      </c>
      <c r="H58" s="251">
        <f t="shared" si="5"/>
        <v>-47355928.700000003</v>
      </c>
      <c r="I58" s="251">
        <f t="shared" si="5"/>
        <v>-55874564.300000004</v>
      </c>
      <c r="J58" s="251">
        <f t="shared" si="5"/>
        <v>-64302792</v>
      </c>
      <c r="K58" s="251">
        <f t="shared" si="5"/>
        <v>-72899019</v>
      </c>
      <c r="L58" s="251">
        <f t="shared" si="5"/>
        <v>-81356507.400000006</v>
      </c>
      <c r="M58" s="251">
        <f t="shared" si="5"/>
        <v>-90058480.800000012</v>
      </c>
      <c r="N58" s="251">
        <f t="shared" si="5"/>
        <v>-98590479.200000018</v>
      </c>
      <c r="O58" s="251">
        <f t="shared" si="5"/>
        <v>-107042575.40000002</v>
      </c>
      <c r="P58" s="251">
        <f t="shared" si="5"/>
        <v>-117483563.08750002</v>
      </c>
      <c r="Q58" s="251">
        <f t="shared" si="5"/>
        <v>-128401893.52500002</v>
      </c>
      <c r="R58" s="251">
        <f t="shared" si="5"/>
        <v>-139134707.02500004</v>
      </c>
      <c r="S58" s="251">
        <f t="shared" si="5"/>
        <v>-149874389.15000004</v>
      </c>
      <c r="T58" s="251">
        <f t="shared" si="5"/>
        <v>-160628484.15000004</v>
      </c>
      <c r="U58" s="251">
        <f t="shared" si="5"/>
        <v>-171277467.77500004</v>
      </c>
      <c r="V58" s="251">
        <f t="shared" si="5"/>
        <v>-180921377.40000004</v>
      </c>
      <c r="W58" s="251">
        <f t="shared" si="5"/>
        <v>-190585082.40000004</v>
      </c>
      <c r="X58" s="251">
        <f t="shared" si="5"/>
        <v>-200199724.15000004</v>
      </c>
      <c r="Y58" s="251">
        <f t="shared" si="5"/>
        <v>-209923705.90000004</v>
      </c>
      <c r="Z58" s="251">
        <f t="shared" si="5"/>
        <v>-219521172.65000004</v>
      </c>
      <c r="AA58" s="251">
        <f t="shared" si="5"/>
        <v>-229260950.21250004</v>
      </c>
      <c r="AB58" s="251">
        <f t="shared" si="5"/>
        <v>-237797307.84062505</v>
      </c>
      <c r="AC58" s="251">
        <f t="shared" si="5"/>
        <v>-246487696.85625005</v>
      </c>
      <c r="AD58" s="251">
        <f t="shared" si="5"/>
        <v>-255017186.09687504</v>
      </c>
      <c r="AE58" s="251">
        <f t="shared" si="5"/>
        <v>-263585256.96250004</v>
      </c>
      <c r="AF58" s="251">
        <f t="shared" si="5"/>
        <v>-272186261.26562506</v>
      </c>
      <c r="AG58" s="251">
        <f t="shared" si="5"/>
        <v>-280658738.89375007</v>
      </c>
      <c r="AH58" s="251">
        <f t="shared" si="5"/>
        <v>-289143818.5093751</v>
      </c>
      <c r="AI58" s="251">
        <f t="shared" si="5"/>
        <v>-297583382.81250012</v>
      </c>
      <c r="AJ58" s="251">
        <f t="shared" si="5"/>
        <v>-305993435.46562511</v>
      </c>
      <c r="AK58" s="251">
        <f t="shared" si="5"/>
        <v>-314483693.1187501</v>
      </c>
      <c r="AL58" s="251">
        <f t="shared" si="5"/>
        <v>-322778385.77187508</v>
      </c>
      <c r="AM58" s="251">
        <f t="shared" si="5"/>
        <v>-331098089.82500011</v>
      </c>
      <c r="AN58" s="251">
        <f t="shared" si="5"/>
        <v>-341392411.92101574</v>
      </c>
      <c r="AO58" s="251">
        <f t="shared" si="5"/>
        <v>-351703712.55703139</v>
      </c>
      <c r="AP58" s="251">
        <f t="shared" si="5"/>
        <v>-361836878.72804701</v>
      </c>
      <c r="AQ58" s="251">
        <f t="shared" si="5"/>
        <v>-372007156.59906262</v>
      </c>
      <c r="AR58" s="251">
        <f t="shared" si="5"/>
        <v>-382204338.18007827</v>
      </c>
      <c r="AS58" s="251">
        <f t="shared" si="5"/>
        <v>-392264566.59609389</v>
      </c>
      <c r="AT58" s="251">
        <f t="shared" si="5"/>
        <v>-402335126.9671095</v>
      </c>
      <c r="AU58" s="251">
        <f t="shared" si="5"/>
        <v>-412378644.54812515</v>
      </c>
      <c r="AV58" s="251">
        <f t="shared" si="5"/>
        <v>-422381394.65914077</v>
      </c>
      <c r="AW58" s="251">
        <f t="shared" si="5"/>
        <v>-432480474.77015638</v>
      </c>
      <c r="AX58" s="251">
        <f t="shared" si="5"/>
        <v>-442392737.881172</v>
      </c>
      <c r="AY58" s="251">
        <f t="shared" si="5"/>
        <v>-452327120.97718763</v>
      </c>
      <c r="AZ58" s="251">
        <f t="shared" si="5"/>
        <v>-466165207.09879112</v>
      </c>
      <c r="BA58" s="251">
        <f t="shared" si="5"/>
        <v>-480015222.59039462</v>
      </c>
      <c r="BB58" s="251">
        <f t="shared" si="5"/>
        <v>-493667725.53299814</v>
      </c>
      <c r="BC58" s="251">
        <f t="shared" si="5"/>
        <v>-507354989.57560164</v>
      </c>
      <c r="BD58" s="251">
        <f t="shared" si="5"/>
        <v>-521064192.76520514</v>
      </c>
      <c r="BE58" s="251">
        <f t="shared" si="5"/>
        <v>-534627533.98080868</v>
      </c>
      <c r="BF58" s="251">
        <f t="shared" si="5"/>
        <v>-548198133.02341223</v>
      </c>
      <c r="BG58" s="251">
        <f t="shared" si="5"/>
        <v>-561761545.41301572</v>
      </c>
      <c r="BH58" s="251">
        <f t="shared" si="5"/>
        <v>-575271742.97961926</v>
      </c>
      <c r="BI58" s="251">
        <f t="shared" si="5"/>
        <v>-588895095.54622281</v>
      </c>
      <c r="BJ58" s="251">
        <f t="shared" si="5"/>
        <v>-602340379.11282635</v>
      </c>
      <c r="BK58" s="251">
        <f t="shared" si="5"/>
        <v>-619460541.98442984</v>
      </c>
    </row>
    <row r="59" spans="1:64" x14ac:dyDescent="0.15">
      <c r="B59" s="33" t="s">
        <v>1130</v>
      </c>
      <c r="C59" s="260">
        <f>+'FIN-CASHFLOW_CWS'!C58</f>
        <v>47327336.700000003</v>
      </c>
      <c r="D59" s="260">
        <f>+'FIN-CASHFLOW_CWS'!D58</f>
        <v>37896112.700000003</v>
      </c>
      <c r="E59" s="260">
        <f>+'FIN-CASHFLOW_CWS'!E58</f>
        <v>28500288.700000003</v>
      </c>
      <c r="F59" s="260">
        <f>+'FIN-CASHFLOW_CWS'!F58</f>
        <v>18659074.700000003</v>
      </c>
      <c r="G59" s="260">
        <f>+'FIN-CASHFLOW_CWS'!G58</f>
        <v>8750667.0000000037</v>
      </c>
      <c r="H59" s="260">
        <f>+'FIN-CASHFLOW_CWS'!H58</f>
        <v>51234550.500000015</v>
      </c>
      <c r="I59" s="260">
        <f>+'FIN-CASHFLOW_CWS'!I58</f>
        <v>42715914.900000013</v>
      </c>
      <c r="J59" s="260">
        <f>+'FIN-CASHFLOW_CWS'!J58</f>
        <v>34287687.200000018</v>
      </c>
      <c r="K59" s="260">
        <f>+'FIN-CASHFLOW_CWS'!K58</f>
        <v>25691460.200000018</v>
      </c>
      <c r="L59" s="260">
        <f>+'FIN-CASHFLOW_CWS'!L58</f>
        <v>17233971.800000019</v>
      </c>
      <c r="M59" s="260">
        <f>+'FIN-CASHFLOW_CWS'!M58</f>
        <v>8531998.400000019</v>
      </c>
      <c r="N59" s="260">
        <f>+'FIN-CASHFLOW_CWS'!N58</f>
        <v>51283909.95000004</v>
      </c>
      <c r="O59" s="260">
        <f>+'FIN-CASHFLOW_CWS'!O58</f>
        <v>42831813.750000045</v>
      </c>
      <c r="P59" s="260">
        <f>+'FIN-CASHFLOW_CWS'!P58</f>
        <v>32390826.062500045</v>
      </c>
      <c r="Q59" s="260">
        <f>+'FIN-CASHFLOW_CWS'!Q58</f>
        <v>21472495.625000045</v>
      </c>
      <c r="R59" s="260">
        <f>+'FIN-CASHFLOW_CWS'!R58</f>
        <v>10739682.125000045</v>
      </c>
      <c r="S59" s="260">
        <f>+'FIN-CASHFLOW_CWS'!S58</f>
        <v>4.4703483581542969E-8</v>
      </c>
      <c r="T59" s="260">
        <f>+'FIN-CASHFLOW_CWS'!T58</f>
        <v>-10754094.999999955</v>
      </c>
      <c r="U59" s="260">
        <f>+'FIN-CASHFLOW_CWS'!U58</f>
        <v>-21403078.624999955</v>
      </c>
      <c r="V59" s="260">
        <f>+'FIN-CASHFLOW_CWS'!V58</f>
        <v>-31046988.249999955</v>
      </c>
      <c r="W59" s="260">
        <f>+'FIN-CASHFLOW_CWS'!W58</f>
        <v>-40710693.249999955</v>
      </c>
      <c r="X59" s="260">
        <f>+'FIN-CASHFLOW_CWS'!X58</f>
        <v>-50325334.999999955</v>
      </c>
      <c r="Y59" s="260">
        <f>+'FIN-CASHFLOW_CWS'!Y58</f>
        <v>-60049316.749999955</v>
      </c>
      <c r="Z59" s="260">
        <f>+'FIN-CASHFLOW_CWS'!Z58</f>
        <v>-69646783.499999955</v>
      </c>
      <c r="AA59" s="260">
        <f>+'FIN-CASHFLOW_CWS'!AA58</f>
        <v>-79386561.062499955</v>
      </c>
      <c r="AB59" s="260">
        <f>+'FIN-CASHFLOW_CWS'!AB58</f>
        <v>-87922918.690624952</v>
      </c>
      <c r="AC59" s="260">
        <f>+'FIN-CASHFLOW_CWS'!AC58</f>
        <v>-96613307.706249952</v>
      </c>
      <c r="AD59" s="260">
        <f>+'FIN-CASHFLOW_CWS'!AD58</f>
        <v>-105142796.94687495</v>
      </c>
      <c r="AE59" s="260">
        <f>+'FIN-CASHFLOW_CWS'!AE58</f>
        <v>-113710867.81249994</v>
      </c>
      <c r="AF59" s="260">
        <f>+'FIN-CASHFLOW_CWS'!AF58</f>
        <v>-122311872.11562493</v>
      </c>
      <c r="AG59" s="260">
        <f>+'FIN-CASHFLOW_CWS'!AG58</f>
        <v>-130784349.74374993</v>
      </c>
      <c r="AH59" s="260">
        <f>+'FIN-CASHFLOW_CWS'!AH58</f>
        <v>-139269429.35937494</v>
      </c>
      <c r="AI59" s="260">
        <f>+'FIN-CASHFLOW_CWS'!AI58</f>
        <v>-147708993.66249993</v>
      </c>
      <c r="AJ59" s="260">
        <f>+'FIN-CASHFLOW_CWS'!AJ58</f>
        <v>-156119046.31562492</v>
      </c>
      <c r="AK59" s="260">
        <f>+'FIN-CASHFLOW_CWS'!AK58</f>
        <v>-164609303.96874991</v>
      </c>
      <c r="AL59" s="260">
        <f>+'FIN-CASHFLOW_CWS'!AL58</f>
        <v>-172903996.6218749</v>
      </c>
      <c r="AM59" s="260">
        <f>+'FIN-CASHFLOW_CWS'!AM58</f>
        <v>-181223700.67499989</v>
      </c>
      <c r="AN59" s="260">
        <f>+'FIN-CASHFLOW_CWS'!AN58</f>
        <v>-191518022.77101552</v>
      </c>
      <c r="AO59" s="260">
        <f>+'FIN-CASHFLOW_CWS'!AO58</f>
        <v>-201829323.40703115</v>
      </c>
      <c r="AP59" s="260">
        <f>+'FIN-CASHFLOW_CWS'!AP58</f>
        <v>-211962489.57804677</v>
      </c>
      <c r="AQ59" s="260">
        <f>+'FIN-CASHFLOW_CWS'!AQ58</f>
        <v>-222132767.44906241</v>
      </c>
      <c r="AR59" s="260">
        <f>+'FIN-CASHFLOW_CWS'!AR58</f>
        <v>-232329949.03007802</v>
      </c>
      <c r="AS59" s="260">
        <f>+'FIN-CASHFLOW_CWS'!AS58</f>
        <v>-242390177.44609365</v>
      </c>
      <c r="AT59" s="260">
        <f>+'FIN-CASHFLOW_CWS'!AT58</f>
        <v>-252460737.81710929</v>
      </c>
      <c r="AU59" s="260">
        <f>+'FIN-CASHFLOW_CWS'!AU58</f>
        <v>-262504255.3981249</v>
      </c>
      <c r="AV59" s="260">
        <f>+'FIN-CASHFLOW_CWS'!AV58</f>
        <v>-272507005.50914055</v>
      </c>
      <c r="AW59" s="260">
        <f>+'FIN-CASHFLOW_CWS'!AW58</f>
        <v>-282606085.62015617</v>
      </c>
      <c r="AX59" s="260">
        <f>+'FIN-CASHFLOW_CWS'!AX58</f>
        <v>-292518348.73117179</v>
      </c>
      <c r="AY59" s="260">
        <f>+'FIN-CASHFLOW_CWS'!AY58</f>
        <v>-302452731.82718742</v>
      </c>
      <c r="AZ59" s="260">
        <f>+'FIN-CASHFLOW_CWS'!AZ58</f>
        <v>-316290817.94879091</v>
      </c>
      <c r="BA59" s="260">
        <f>+'FIN-CASHFLOW_CWS'!BA58</f>
        <v>-330140833.4403944</v>
      </c>
      <c r="BB59" s="260">
        <f>+'FIN-CASHFLOW_CWS'!BB58</f>
        <v>-343793336.38299793</v>
      </c>
      <c r="BC59" s="260">
        <f>+'FIN-CASHFLOW_CWS'!BC58</f>
        <v>-357480600.42560142</v>
      </c>
      <c r="BD59" s="260">
        <f>+'FIN-CASHFLOW_CWS'!BD58</f>
        <v>-371189803.61520493</v>
      </c>
      <c r="BE59" s="260">
        <f>+'FIN-CASHFLOW_CWS'!BE58</f>
        <v>-384753144.83080846</v>
      </c>
      <c r="BF59" s="260">
        <f>+'FIN-CASHFLOW_CWS'!BF58</f>
        <v>-398323743.87341195</v>
      </c>
      <c r="BG59" s="260">
        <f>+'FIN-CASHFLOW_CWS'!BG58</f>
        <v>-411887156.26301545</v>
      </c>
      <c r="BH59" s="260">
        <f>+'FIN-CASHFLOW_CWS'!BH58</f>
        <v>-425397353.82961899</v>
      </c>
      <c r="BI59" s="260">
        <f>+'FIN-CASHFLOW_CWS'!BI58</f>
        <v>-439020706.39622253</v>
      </c>
      <c r="BJ59" s="260">
        <f>+'FIN-CASHFLOW_CWS'!BJ58</f>
        <v>-452465989.96282607</v>
      </c>
      <c r="BK59" s="260">
        <f>+'FIN-CASHFLOW_CWS'!BK58</f>
        <v>-469586152.83442962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4" t="s">
        <v>318</v>
      </c>
      <c r="B2" s="364"/>
      <c r="C2" s="197"/>
    </row>
    <row r="3" spans="1:62" x14ac:dyDescent="0.15">
      <c r="A3" s="10"/>
      <c r="B3" s="10" t="s">
        <v>760</v>
      </c>
      <c r="C3" s="197"/>
    </row>
    <row r="4" spans="1:62" x14ac:dyDescent="0.15">
      <c r="C4" s="364" t="s">
        <v>35</v>
      </c>
      <c r="D4" s="364"/>
      <c r="E4" s="364"/>
      <c r="F4" s="364"/>
      <c r="G4" s="364"/>
      <c r="H4" s="364"/>
      <c r="I4" s="364"/>
      <c r="J4" s="364"/>
      <c r="K4" s="364"/>
      <c r="L4" s="364"/>
      <c r="M4" s="364"/>
      <c r="N4" s="364"/>
      <c r="O4" s="364" t="s">
        <v>36</v>
      </c>
      <c r="P4" s="364"/>
      <c r="Q4" s="364"/>
      <c r="R4" s="364"/>
      <c r="S4" s="364"/>
      <c r="T4" s="364"/>
      <c r="U4" s="364"/>
      <c r="V4" s="364"/>
      <c r="W4" s="364"/>
      <c r="X4" s="364"/>
      <c r="Y4" s="364"/>
      <c r="Z4" s="364"/>
      <c r="AA4" s="364" t="s">
        <v>37</v>
      </c>
      <c r="AB4" s="364"/>
      <c r="AC4" s="364"/>
      <c r="AD4" s="364"/>
      <c r="AE4" s="364"/>
      <c r="AF4" s="364"/>
      <c r="AG4" s="364"/>
      <c r="AH4" s="364"/>
      <c r="AI4" s="364"/>
      <c r="AJ4" s="364"/>
      <c r="AK4" s="364"/>
      <c r="AL4" s="364"/>
      <c r="AM4" s="364" t="s">
        <v>38</v>
      </c>
      <c r="AN4" s="364"/>
      <c r="AO4" s="364"/>
      <c r="AP4" s="364"/>
      <c r="AQ4" s="364"/>
      <c r="AR4" s="364"/>
      <c r="AS4" s="364"/>
      <c r="AT4" s="364"/>
      <c r="AU4" s="364"/>
      <c r="AV4" s="364"/>
      <c r="AW4" s="364"/>
      <c r="AX4" s="364"/>
      <c r="AY4" s="364" t="s">
        <v>39</v>
      </c>
      <c r="AZ4" s="364"/>
      <c r="BA4" s="364"/>
      <c r="BB4" s="364"/>
      <c r="BC4" s="364"/>
      <c r="BD4" s="364"/>
      <c r="BE4" s="364"/>
      <c r="BF4" s="364"/>
      <c r="BG4" s="364"/>
      <c r="BH4" s="364"/>
      <c r="BI4" s="364"/>
      <c r="BJ4" s="364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421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424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422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751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425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752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761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715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737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663</v>
      </c>
      <c r="C3" s="10"/>
      <c r="D3" s="184">
        <f>REV_DB!E20</f>
        <v>339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5552820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21256695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6759180</v>
      </c>
      <c r="E5" s="63">
        <f>REV_DB!F17</f>
        <v>1390993.75</v>
      </c>
      <c r="F5" s="63">
        <f>REV_DB!G17</f>
        <v>-2518082.5</v>
      </c>
      <c r="G5" s="63">
        <f>REV_DB!H17</f>
        <v>-1505681</v>
      </c>
      <c r="H5" s="63">
        <f>REV_DB!I17</f>
        <v>-485971.20000000112</v>
      </c>
      <c r="I5" s="181">
        <f>SUM(D5:H5)</f>
        <v>3640439.0499999989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738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1135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700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711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709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712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713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757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714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739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421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424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422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751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425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752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755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753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4" t="s">
        <v>36</v>
      </c>
      <c r="Q41" s="364"/>
      <c r="R41" s="364"/>
      <c r="S41" s="364"/>
      <c r="T41" s="364"/>
      <c r="U41" s="364"/>
      <c r="V41" s="364"/>
      <c r="W41" s="364"/>
      <c r="X41" s="364"/>
      <c r="Y41" s="364"/>
      <c r="Z41" s="364"/>
      <c r="AA41" s="364"/>
      <c r="AB41" s="364" t="s">
        <v>37</v>
      </c>
      <c r="AC41" s="364"/>
      <c r="AD41" s="364"/>
      <c r="AE41" s="364"/>
      <c r="AF41" s="364"/>
      <c r="AG41" s="364"/>
      <c r="AH41" s="364"/>
      <c r="AI41" s="364"/>
      <c r="AJ41" s="364"/>
      <c r="AK41" s="364"/>
      <c r="AL41" s="364"/>
      <c r="AM41" s="364"/>
      <c r="AN41" s="364" t="s">
        <v>38</v>
      </c>
      <c r="AO41" s="364"/>
      <c r="AP41" s="364"/>
      <c r="AQ41" s="364"/>
      <c r="AR41" s="364"/>
      <c r="AS41" s="364"/>
      <c r="AT41" s="364"/>
      <c r="AU41" s="364"/>
      <c r="AV41" s="364"/>
      <c r="AW41" s="364"/>
      <c r="AX41" s="364"/>
      <c r="AY41" s="364"/>
      <c r="AZ41" s="364" t="s">
        <v>39</v>
      </c>
      <c r="BA41" s="364"/>
      <c r="BB41" s="364"/>
      <c r="BC41" s="364"/>
      <c r="BD41" s="364"/>
      <c r="BE41" s="364"/>
      <c r="BF41" s="364"/>
      <c r="BG41" s="364"/>
      <c r="BH41" s="364"/>
      <c r="BI41" s="364"/>
      <c r="BJ41" s="364"/>
      <c r="BK41" s="364"/>
      <c r="BL41" s="35"/>
      <c r="BM41" s="212"/>
    </row>
    <row r="42" spans="2:75" s="14" customFormat="1" x14ac:dyDescent="0.15">
      <c r="B42" s="73" t="s">
        <v>716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4" t="s">
        <v>35</v>
      </c>
      <c r="F44" s="364"/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 t="s">
        <v>36</v>
      </c>
      <c r="R44" s="364"/>
      <c r="S44" s="364"/>
      <c r="T44" s="364"/>
      <c r="U44" s="364"/>
      <c r="V44" s="364"/>
      <c r="W44" s="364"/>
      <c r="X44" s="364"/>
      <c r="Y44" s="364"/>
      <c r="Z44" s="364"/>
      <c r="AA44" s="364"/>
      <c r="AB44" s="364"/>
      <c r="AC44" s="364" t="s">
        <v>37</v>
      </c>
      <c r="AD44" s="364"/>
      <c r="AE44" s="364"/>
      <c r="AF44" s="364"/>
      <c r="AG44" s="364"/>
      <c r="AH44" s="364"/>
      <c r="AI44" s="364"/>
      <c r="AJ44" s="364"/>
      <c r="AK44" s="364"/>
      <c r="AL44" s="364"/>
      <c r="AM44" s="364"/>
      <c r="AN44" s="364"/>
      <c r="AO44" s="364" t="s">
        <v>38</v>
      </c>
      <c r="AP44" s="364"/>
      <c r="AQ44" s="364"/>
      <c r="AR44" s="364"/>
      <c r="AS44" s="364"/>
      <c r="AT44" s="364"/>
      <c r="AU44" s="364"/>
      <c r="AV44" s="364"/>
      <c r="AW44" s="364"/>
      <c r="AX44" s="364"/>
      <c r="AY44" s="364"/>
      <c r="AZ44" s="364"/>
      <c r="BA44" s="364" t="s">
        <v>39</v>
      </c>
      <c r="BB44" s="364"/>
      <c r="BC44" s="364"/>
      <c r="BD44" s="364"/>
      <c r="BE44" s="364"/>
      <c r="BF44" s="364"/>
      <c r="BG44" s="364"/>
      <c r="BH44" s="364"/>
      <c r="BI44" s="364"/>
      <c r="BJ44" s="364"/>
      <c r="BK44" s="364"/>
      <c r="BL44" s="364"/>
      <c r="BM44" s="65"/>
    </row>
    <row r="45" spans="2:75" customFormat="1" x14ac:dyDescent="0.15">
      <c r="B45" s="14" t="s">
        <v>750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421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428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431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432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430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397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398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427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429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433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424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428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550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595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596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432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430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397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398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427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429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434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422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428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431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432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430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397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398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427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429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435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436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428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765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766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432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430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397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398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427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429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437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425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428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431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432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430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397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398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427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429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438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466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399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420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421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424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422</v>
      </c>
    </row>
    <row r="132" spans="1:75" x14ac:dyDescent="0.15">
      <c r="A132" s="75"/>
      <c r="B132" s="47" t="s">
        <v>439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440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423</v>
      </c>
    </row>
    <row r="136" spans="1:75" x14ac:dyDescent="0.15">
      <c r="A136" s="75"/>
      <c r="B136" s="47" t="s">
        <v>441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425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442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68" t="s">
        <v>35</v>
      </c>
      <c r="E143" s="368"/>
      <c r="F143" s="368"/>
      <c r="G143" s="368"/>
      <c r="H143" s="368"/>
      <c r="I143" s="368"/>
      <c r="J143" s="368"/>
      <c r="K143" s="368"/>
      <c r="L143" s="368"/>
      <c r="M143" s="368"/>
      <c r="N143" s="368"/>
      <c r="O143" s="368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705</v>
      </c>
      <c r="BM144" s="181" t="s">
        <v>624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4" t="s">
        <v>35</v>
      </c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 t="s">
        <v>36</v>
      </c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 t="s">
        <v>37</v>
      </c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/>
      <c r="AO1" s="364" t="s">
        <v>38</v>
      </c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/>
      <c r="BA1" s="364" t="s">
        <v>39</v>
      </c>
      <c r="BB1" s="364"/>
      <c r="BC1" s="364"/>
      <c r="BD1" s="364"/>
      <c r="BE1" s="364"/>
      <c r="BF1" s="364"/>
      <c r="BG1" s="364"/>
      <c r="BH1" s="364"/>
      <c r="BI1" s="364"/>
      <c r="BJ1" s="364"/>
      <c r="BK1" s="364"/>
      <c r="BL1" s="364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421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428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431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432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430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397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398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427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429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433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424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428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550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595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596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432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430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397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398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427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429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434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422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428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431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432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430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397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398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427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429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435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436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428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765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766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432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430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397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398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427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429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437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425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428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431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432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430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397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398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427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429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438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466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399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420</v>
      </c>
    </row>
    <row r="78" spans="1:64" x14ac:dyDescent="0.15">
      <c r="B78" s="50"/>
    </row>
    <row r="79" spans="1:64" x14ac:dyDescent="0.15">
      <c r="B79" s="14" t="s">
        <v>421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424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422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439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440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423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441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425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442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4" t="s">
        <v>318</v>
      </c>
      <c r="B2" s="364"/>
      <c r="C2" s="197"/>
    </row>
    <row r="3" spans="1:63" x14ac:dyDescent="0.15">
      <c r="A3" s="10"/>
      <c r="B3" s="10" t="s">
        <v>724</v>
      </c>
      <c r="C3" s="197"/>
    </row>
    <row r="4" spans="1:63" x14ac:dyDescent="0.15">
      <c r="C4" s="198"/>
      <c r="D4" s="364" t="s">
        <v>35</v>
      </c>
      <c r="E4" s="364"/>
      <c r="F4" s="364"/>
      <c r="G4" s="364"/>
      <c r="H4" s="364"/>
      <c r="I4" s="364"/>
      <c r="J4" s="364"/>
      <c r="K4" s="364"/>
      <c r="L4" s="364"/>
      <c r="M4" s="364"/>
      <c r="N4" s="364"/>
      <c r="O4" s="364"/>
      <c r="P4" s="364" t="s">
        <v>36</v>
      </c>
      <c r="Q4" s="364"/>
      <c r="R4" s="364"/>
      <c r="S4" s="364"/>
      <c r="T4" s="364"/>
      <c r="U4" s="364"/>
      <c r="V4" s="364"/>
      <c r="W4" s="364"/>
      <c r="X4" s="364"/>
      <c r="Y4" s="364"/>
      <c r="Z4" s="364"/>
      <c r="AA4" s="364"/>
      <c r="AB4" s="364" t="s">
        <v>37</v>
      </c>
      <c r="AC4" s="364"/>
      <c r="AD4" s="364"/>
      <c r="AE4" s="364"/>
      <c r="AF4" s="364"/>
      <c r="AG4" s="364"/>
      <c r="AH4" s="364"/>
      <c r="AI4" s="364"/>
      <c r="AJ4" s="364"/>
      <c r="AK4" s="364"/>
      <c r="AL4" s="364"/>
      <c r="AM4" s="364"/>
      <c r="AN4" s="364" t="s">
        <v>38</v>
      </c>
      <c r="AO4" s="364"/>
      <c r="AP4" s="364"/>
      <c r="AQ4" s="364"/>
      <c r="AR4" s="364"/>
      <c r="AS4" s="364"/>
      <c r="AT4" s="364"/>
      <c r="AU4" s="364"/>
      <c r="AV4" s="364"/>
      <c r="AW4" s="364"/>
      <c r="AX4" s="364"/>
      <c r="AY4" s="364"/>
      <c r="AZ4" s="364" t="s">
        <v>39</v>
      </c>
      <c r="BA4" s="364"/>
      <c r="BB4" s="364"/>
      <c r="BC4" s="364"/>
      <c r="BD4" s="364"/>
      <c r="BE4" s="364"/>
      <c r="BF4" s="364"/>
      <c r="BG4" s="364"/>
      <c r="BH4" s="364"/>
      <c r="BI4" s="364"/>
      <c r="BJ4" s="364"/>
      <c r="BK4" s="364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376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777790</v>
      </c>
      <c r="H7" s="9">
        <f>'FIN-P&amp;L_CWS'!I129</f>
        <v>858100</v>
      </c>
      <c r="I7" s="9">
        <f>'FIN-P&amp;L_CWS'!J129</f>
        <v>963720</v>
      </c>
      <c r="J7" s="9">
        <f>'FIN-P&amp;L_CWS'!K129</f>
        <v>777790</v>
      </c>
      <c r="K7" s="9">
        <f>'FIN-P&amp;L_CWS'!L129</f>
        <v>858100</v>
      </c>
      <c r="L7" s="9">
        <f>'FIN-P&amp;L_CWS'!M129</f>
        <v>697480</v>
      </c>
      <c r="M7" s="9">
        <f>'FIN-P&amp;L_CWS'!N129</f>
        <v>697480</v>
      </c>
      <c r="N7" s="9">
        <f>'FIN-P&amp;L_CWS'!O129</f>
        <v>697480</v>
      </c>
      <c r="O7" s="9">
        <f>'FIN-P&amp;L_CWS'!P129</f>
        <v>431240</v>
      </c>
      <c r="P7" s="9">
        <f>'FIN-P&amp;L_CWS'!Q129</f>
        <v>68068.75</v>
      </c>
      <c r="Q7" s="9">
        <f>'FIN-P&amp;L_CWS'!R129</f>
        <v>110618.75</v>
      </c>
      <c r="R7" s="9">
        <f>'FIN-P&amp;L_CWS'!S129</f>
        <v>123387.5</v>
      </c>
      <c r="S7" s="9">
        <f>'FIN-P&amp;L_CWS'!T129</f>
        <v>125800</v>
      </c>
      <c r="T7" s="9">
        <f>'FIN-P&amp;L_CWS'!U129</f>
        <v>138812.5</v>
      </c>
      <c r="U7" s="9">
        <f>'FIN-P&amp;L_CWS'!V129</f>
        <v>151850</v>
      </c>
      <c r="V7" s="9">
        <f>'FIN-P&amp;L_CWS'!W129</f>
        <v>125800</v>
      </c>
      <c r="W7" s="9">
        <f>'FIN-P&amp;L_CWS'!X129</f>
        <v>138812.5</v>
      </c>
      <c r="X7" s="9">
        <f>'FIN-P&amp;L_CWS'!Y129</f>
        <v>112787.5</v>
      </c>
      <c r="Y7" s="9">
        <f>'FIN-P&amp;L_CWS'!Z129</f>
        <v>112787.5</v>
      </c>
      <c r="Z7" s="9">
        <f>'FIN-P&amp;L_CWS'!AA129</f>
        <v>112787.5</v>
      </c>
      <c r="AA7" s="9">
        <f>'FIN-P&amp;L_CWS'!AB129</f>
        <v>69481.25</v>
      </c>
      <c r="AB7" s="9">
        <f>'FIN-P&amp;L_CWS'!AC129</f>
        <v>-125911.25</v>
      </c>
      <c r="AC7" s="9">
        <f>'FIN-P&amp;L_CWS'!AD129</f>
        <v>-204115</v>
      </c>
      <c r="AD7" s="9">
        <f>'FIN-P&amp;L_CWS'!AE129</f>
        <v>-230232.5</v>
      </c>
      <c r="AE7" s="9">
        <f>'FIN-P&amp;L_CWS'!AF129</f>
        <v>-227595</v>
      </c>
      <c r="AF7" s="9">
        <f>'FIN-P&amp;L_CWS'!AG129</f>
        <v>-249063.75</v>
      </c>
      <c r="AG7" s="9">
        <f>'FIN-P&amp;L_CWS'!AH129</f>
        <v>-274911.25</v>
      </c>
      <c r="AH7" s="9">
        <f>'FIN-P&amp;L_CWS'!AI129</f>
        <v>-227595</v>
      </c>
      <c r="AI7" s="9">
        <f>'FIN-P&amp;L_CWS'!AJ129</f>
        <v>-249063.75</v>
      </c>
      <c r="AJ7" s="9">
        <f>'FIN-P&amp;L_CWS'!AK129</f>
        <v>-201743.75</v>
      </c>
      <c r="AK7" s="9">
        <f>'FIN-P&amp;L_CWS'!AL129</f>
        <v>-201743.75</v>
      </c>
      <c r="AL7" s="9">
        <f>'FIN-P&amp;L_CWS'!AM129</f>
        <v>-201743.75</v>
      </c>
      <c r="AM7" s="9">
        <f>'FIN-P&amp;L_CWS'!AN129</f>
        <v>-124363.75</v>
      </c>
      <c r="AN7" s="9">
        <f>'FIN-P&amp;L_CWS'!AO129</f>
        <v>-76288</v>
      </c>
      <c r="AO7" s="9">
        <f>'FIN-P&amp;L_CWS'!AP129</f>
        <v>-123045</v>
      </c>
      <c r="AP7" s="9">
        <f>'FIN-P&amp;L_CWS'!AQ129</f>
        <v>-137960.5</v>
      </c>
      <c r="AQ7" s="9">
        <f>'FIN-P&amp;L_CWS'!AR129</f>
        <v>-134920.5</v>
      </c>
      <c r="AR7" s="9">
        <f>'FIN-P&amp;L_CWS'!AS129</f>
        <v>-149563.5</v>
      </c>
      <c r="AS7" s="9">
        <f>'FIN-P&amp;L_CWS'!AT129</f>
        <v>-163969</v>
      </c>
      <c r="AT7" s="9">
        <f>'FIN-P&amp;L_CWS'!AU129</f>
        <v>-134920.5</v>
      </c>
      <c r="AU7" s="9">
        <f>'FIN-P&amp;L_CWS'!AV129</f>
        <v>-149563.5</v>
      </c>
      <c r="AV7" s="9">
        <f>'FIN-P&amp;L_CWS'!AW129</f>
        <v>-120312.5</v>
      </c>
      <c r="AW7" s="9">
        <f>'FIN-P&amp;L_CWS'!AX129</f>
        <v>-120312.5</v>
      </c>
      <c r="AX7" s="9">
        <f>'FIN-P&amp;L_CWS'!AY129</f>
        <v>-120312.5</v>
      </c>
      <c r="AY7" s="9">
        <f>'FIN-P&amp;L_CWS'!AZ129</f>
        <v>-74513</v>
      </c>
      <c r="AZ7" s="9">
        <f>'FIN-P&amp;L_CWS'!BA129</f>
        <v>-25616.899999999994</v>
      </c>
      <c r="BA7" s="9">
        <f>'FIN-P&amp;L_CWS'!BB129</f>
        <v>-41137.899999999965</v>
      </c>
      <c r="BB7" s="9">
        <f>'FIN-P&amp;L_CWS'!BC129</f>
        <v>-45836.200000000012</v>
      </c>
      <c r="BC7" s="9">
        <f>'FIN-P&amp;L_CWS'!BD129</f>
        <v>-42796.200000000012</v>
      </c>
      <c r="BD7" s="9">
        <f>'FIN-P&amp;L_CWS'!BE129</f>
        <v>-48221.299999999988</v>
      </c>
      <c r="BE7" s="9">
        <f>'FIN-P&amp;L_CWS'!BF129</f>
        <v>-52287.099999999977</v>
      </c>
      <c r="BF7" s="9">
        <f>'FIN-P&amp;L_CWS'!BG129</f>
        <v>-42796.200000000012</v>
      </c>
      <c r="BG7" s="9">
        <f>'FIN-P&amp;L_CWS'!BH129</f>
        <v>-48221.299999999988</v>
      </c>
      <c r="BH7" s="9">
        <f>'FIN-P&amp;L_CWS'!BI129</f>
        <v>-38405.399999999965</v>
      </c>
      <c r="BI7" s="9">
        <f>'FIN-P&amp;L_CWS'!BJ129</f>
        <v>-38405.399999999965</v>
      </c>
      <c r="BJ7" s="9">
        <f>'FIN-P&amp;L_CWS'!BK129</f>
        <v>-38405.399999999965</v>
      </c>
      <c r="BK7" s="9">
        <f>'FIN-P&amp;L_CWS'!BL129</f>
        <v>-23841.899999999994</v>
      </c>
    </row>
    <row r="8" spans="1:63" x14ac:dyDescent="0.15">
      <c r="B8" s="44" t="s">
        <v>663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9384049.3666666653</v>
      </c>
      <c r="H8" s="9">
        <f>'FIN-P&amp;L_CWS'!I205</f>
        <v>9422098.666666666</v>
      </c>
      <c r="I8" s="9">
        <f>'FIN-P&amp;L_CWS'!J205</f>
        <v>9426377.2666666657</v>
      </c>
      <c r="J8" s="9">
        <f>'FIN-P&amp;L_CWS'!K205</f>
        <v>9453589.3666666653</v>
      </c>
      <c r="K8" s="9">
        <f>'FIN-P&amp;L_CWS'!L205</f>
        <v>9423658.666666666</v>
      </c>
      <c r="L8" s="9">
        <f>'FIN-P&amp;L_CWS'!M205</f>
        <v>9413230.0666666664</v>
      </c>
      <c r="M8" s="9">
        <f>'FIN-P&amp;L_CWS'!N205</f>
        <v>9401095.0666666664</v>
      </c>
      <c r="N8" s="9">
        <f>'FIN-P&amp;L_CWS'!O205</f>
        <v>9387120.0666666664</v>
      </c>
      <c r="O8" s="9">
        <f>'FIN-P&amp;L_CWS'!P205</f>
        <v>9379217.8666666653</v>
      </c>
      <c r="P8" s="9">
        <f>'FIN-P&amp;L_CWS'!Q205</f>
        <v>10825869.354166666</v>
      </c>
      <c r="Q8" s="9">
        <f>'FIN-P&amp;L_CWS'!R205</f>
        <v>10812840.854166666</v>
      </c>
      <c r="R8" s="9">
        <f>'FIN-P&amp;L_CWS'!S205</f>
        <v>10812673.916666666</v>
      </c>
      <c r="S8" s="9">
        <f>'FIN-P&amp;L_CWS'!T205</f>
        <v>10832311.291666666</v>
      </c>
      <c r="T8" s="9">
        <f>'FIN-P&amp;L_CWS'!U205</f>
        <v>10816736.666666666</v>
      </c>
      <c r="U8" s="9">
        <f>'FIN-P&amp;L_CWS'!V205</f>
        <v>10821837.791666666</v>
      </c>
      <c r="V8" s="9">
        <f>'FIN-P&amp;L_CWS'!W205</f>
        <v>9822917.958333334</v>
      </c>
      <c r="W8" s="9">
        <f>'FIN-P&amp;L_CWS'!X205</f>
        <v>9823663.333333334</v>
      </c>
      <c r="X8" s="9">
        <f>'FIN-P&amp;L_CWS'!Y205</f>
        <v>9820012.583333334</v>
      </c>
      <c r="Y8" s="9">
        <f>'FIN-P&amp;L_CWS'!Z205</f>
        <v>9838527.583333334</v>
      </c>
      <c r="Z8" s="9">
        <f>'FIN-P&amp;L_CWS'!AA205</f>
        <v>9820012.583333334</v>
      </c>
      <c r="AA8" s="9">
        <f>'FIN-P&amp;L_CWS'!AB205</f>
        <v>9821923.395833334</v>
      </c>
      <c r="AB8" s="9">
        <f>'FIN-P&amp;L_CWS'!AC205</f>
        <v>8278205.5447916659</v>
      </c>
      <c r="AC8" s="9">
        <f>'FIN-P&amp;L_CWS'!AD205</f>
        <v>8275716.098958333</v>
      </c>
      <c r="AD8" s="9">
        <f>'FIN-P&amp;L_CWS'!AE205</f>
        <v>8268812.5739583336</v>
      </c>
      <c r="AE8" s="9">
        <f>'FIN-P&amp;L_CWS'!AF205</f>
        <v>8290996.6989583336</v>
      </c>
      <c r="AF8" s="9">
        <f>'FIN-P&amp;L_CWS'!AG205</f>
        <v>8268247.6364583336</v>
      </c>
      <c r="AG8" s="9">
        <f>'FIN-P&amp;L_CWS'!AH205</f>
        <v>8273772.2114583328</v>
      </c>
      <c r="AH8" s="9">
        <f>'FIN-P&amp;L_CWS'!AI205</f>
        <v>8270246.6989583336</v>
      </c>
      <c r="AI8" s="9">
        <f>'FIN-P&amp;L_CWS'!AJ205</f>
        <v>8272047.6364583336</v>
      </c>
      <c r="AJ8" s="9">
        <f>'FIN-P&amp;L_CWS'!AK205</f>
        <v>8269667.2364583332</v>
      </c>
      <c r="AK8" s="9">
        <f>'FIN-P&amp;L_CWS'!AL205</f>
        <v>8290272.2364583332</v>
      </c>
      <c r="AL8" s="9">
        <f>'FIN-P&amp;L_CWS'!AM205</f>
        <v>8269667.2364583332</v>
      </c>
      <c r="AM8" s="9">
        <f>'FIN-P&amp;L_CWS'!AN205</f>
        <v>8275238.6364583336</v>
      </c>
      <c r="AN8" s="9">
        <f>'FIN-P&amp;L_CWS'!AO205</f>
        <v>9967596.6793489587</v>
      </c>
      <c r="AO8" s="9">
        <f>'FIN-P&amp;L_CWS'!AP205</f>
        <v>9963638.9693489596</v>
      </c>
      <c r="AP8" s="9">
        <f>'FIN-P&amp;L_CWS'!AQ205</f>
        <v>9959391.5043489579</v>
      </c>
      <c r="AQ8" s="9">
        <f>'FIN-P&amp;L_CWS'!AR205</f>
        <v>9981587.704348959</v>
      </c>
      <c r="AR8" s="9">
        <f>'FIN-P&amp;L_CWS'!AS205</f>
        <v>9959043.4143489581</v>
      </c>
      <c r="AS8" s="9">
        <f>'FIN-P&amp;L_CWS'!AT205</f>
        <v>9964911.249348959</v>
      </c>
      <c r="AT8" s="9">
        <f>'FIN-P&amp;L_CWS'!AU205</f>
        <v>9960837.704348959</v>
      </c>
      <c r="AU8" s="9">
        <f>'FIN-P&amp;L_CWS'!AV205</f>
        <v>9962843.4143489581</v>
      </c>
      <c r="AV8" s="9">
        <f>'FIN-P&amp;L_CWS'!AW205</f>
        <v>9959920.9443489593</v>
      </c>
      <c r="AW8" s="9">
        <f>'FIN-P&amp;L_CWS'!AX205</f>
        <v>9980525.9443489593</v>
      </c>
      <c r="AX8" s="9">
        <f>'FIN-P&amp;L_CWS'!AY205</f>
        <v>9959920.9443489593</v>
      </c>
      <c r="AY8" s="9">
        <f>'FIN-P&amp;L_CWS'!AZ205</f>
        <v>9964544.9293489587</v>
      </c>
      <c r="AZ8" s="9">
        <f>'FIN-P&amp;L_CWS'!BA205</f>
        <v>13572839.15493685</v>
      </c>
      <c r="BA8" s="9">
        <f>'FIN-P&amp;L_CWS'!BB205</f>
        <v>13569818.524936849</v>
      </c>
      <c r="BB8" s="9">
        <f>'FIN-P&amp;L_CWS'!BC205</f>
        <v>13565877.575936848</v>
      </c>
      <c r="BC8" s="9">
        <f>'FIN-P&amp;L_CWS'!BD205</f>
        <v>13588073.775936849</v>
      </c>
      <c r="BD8" s="9">
        <f>'FIN-P&amp;L_CWS'!BE205</f>
        <v>13565806.022936851</v>
      </c>
      <c r="BE8" s="9">
        <f>'FIN-P&amp;L_CWS'!BF205</f>
        <v>13571984.048936849</v>
      </c>
      <c r="BF8" s="9">
        <f>'FIN-P&amp;L_CWS'!BG205</f>
        <v>13567323.775936849</v>
      </c>
      <c r="BG8" s="9">
        <f>'FIN-P&amp;L_CWS'!BH205</f>
        <v>13569606.022936851</v>
      </c>
      <c r="BH8" s="9">
        <f>'FIN-P&amp;L_CWS'!BI205</f>
        <v>13566100.499936849</v>
      </c>
      <c r="BI8" s="9">
        <f>'FIN-P&amp;L_CWS'!BJ205</f>
        <v>13586705.499936849</v>
      </c>
      <c r="BJ8" s="9">
        <f>'FIN-P&amp;L_CWS'!BK205</f>
        <v>13566100.499936849</v>
      </c>
      <c r="BK8" s="9">
        <f>'FIN-P&amp;L_CWS'!BL205</f>
        <v>13564217.40493685</v>
      </c>
    </row>
    <row r="9" spans="1:63" x14ac:dyDescent="0.15">
      <c r="B9" s="44" t="s">
        <v>376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-8606259.3666666653</v>
      </c>
      <c r="H9" s="9">
        <f>'FIN-P&amp;L_CWS'!I207</f>
        <v>-8563998.666666666</v>
      </c>
      <c r="I9" s="9">
        <f>'FIN-P&amp;L_CWS'!J207</f>
        <v>-8462657.2666666657</v>
      </c>
      <c r="J9" s="9">
        <f>'FIN-P&amp;L_CWS'!K207</f>
        <v>-8675799.3666666653</v>
      </c>
      <c r="K9" s="9">
        <f>'FIN-P&amp;L_CWS'!L207</f>
        <v>-8565558.666666666</v>
      </c>
      <c r="L9" s="9">
        <f>'FIN-P&amp;L_CWS'!M207</f>
        <v>-8715750.0666666664</v>
      </c>
      <c r="M9" s="9">
        <f>'FIN-P&amp;L_CWS'!N207</f>
        <v>-8703615.0666666664</v>
      </c>
      <c r="N9" s="9">
        <f>'FIN-P&amp;L_CWS'!O207</f>
        <v>-8689640.0666666664</v>
      </c>
      <c r="O9" s="9">
        <f>'FIN-P&amp;L_CWS'!P207</f>
        <v>-8947977.8666666653</v>
      </c>
      <c r="P9" s="9">
        <f>'FIN-P&amp;L_CWS'!Q207</f>
        <v>-10757800.604166666</v>
      </c>
      <c r="Q9" s="9">
        <f>'FIN-P&amp;L_CWS'!R207</f>
        <v>-10702222.104166666</v>
      </c>
      <c r="R9" s="9">
        <f>'FIN-P&amp;L_CWS'!S207</f>
        <v>-10689286.416666666</v>
      </c>
      <c r="S9" s="9">
        <f>'FIN-P&amp;L_CWS'!T207</f>
        <v>-10706511.291666666</v>
      </c>
      <c r="T9" s="9">
        <f>'FIN-P&amp;L_CWS'!U207</f>
        <v>-10677924.166666666</v>
      </c>
      <c r="U9" s="9">
        <f>'FIN-P&amp;L_CWS'!V207</f>
        <v>-10669987.791666666</v>
      </c>
      <c r="V9" s="9">
        <f>'FIN-P&amp;L_CWS'!W207</f>
        <v>-9697117.958333334</v>
      </c>
      <c r="W9" s="9">
        <f>'FIN-P&amp;L_CWS'!X207</f>
        <v>-9684850.833333334</v>
      </c>
      <c r="X9" s="9">
        <f>'FIN-P&amp;L_CWS'!Y207</f>
        <v>-9707225.083333334</v>
      </c>
      <c r="Y9" s="9">
        <f>'FIN-P&amp;L_CWS'!Z207</f>
        <v>-9725740.083333334</v>
      </c>
      <c r="Z9" s="9">
        <f>'FIN-P&amp;L_CWS'!AA207</f>
        <v>-9707225.083333334</v>
      </c>
      <c r="AA9" s="9">
        <f>'FIN-P&amp;L_CWS'!AB207</f>
        <v>-9752442.145833334</v>
      </c>
      <c r="AB9" s="9">
        <f>'FIN-P&amp;L_CWS'!AC207</f>
        <v>-8404116.7947916649</v>
      </c>
      <c r="AC9" s="9">
        <f>'FIN-P&amp;L_CWS'!AD207</f>
        <v>-8479831.0989583321</v>
      </c>
      <c r="AD9" s="9">
        <f>'FIN-P&amp;L_CWS'!AE207</f>
        <v>-8499045.0739583336</v>
      </c>
      <c r="AE9" s="9">
        <f>'FIN-P&amp;L_CWS'!AF207</f>
        <v>-8518591.6989583336</v>
      </c>
      <c r="AF9" s="9">
        <f>'FIN-P&amp;L_CWS'!AG207</f>
        <v>-8517311.3864583336</v>
      </c>
      <c r="AG9" s="9">
        <f>'FIN-P&amp;L_CWS'!AH207</f>
        <v>-8548683.4614583328</v>
      </c>
      <c r="AH9" s="9">
        <f>'FIN-P&amp;L_CWS'!AI207</f>
        <v>-8497841.6989583336</v>
      </c>
      <c r="AI9" s="9">
        <f>'FIN-P&amp;L_CWS'!AJ207</f>
        <v>-8521111.3864583336</v>
      </c>
      <c r="AJ9" s="9">
        <f>'FIN-P&amp;L_CWS'!AK207</f>
        <v>-8471410.9864583332</v>
      </c>
      <c r="AK9" s="9">
        <f>'FIN-P&amp;L_CWS'!AL207</f>
        <v>-8492015.9864583332</v>
      </c>
      <c r="AL9" s="9">
        <f>'FIN-P&amp;L_CWS'!AM207</f>
        <v>-8471410.9864583332</v>
      </c>
      <c r="AM9" s="9">
        <f>'FIN-P&amp;L_CWS'!AN207</f>
        <v>-8399602.3864583336</v>
      </c>
      <c r="AN9" s="9">
        <f>'FIN-P&amp;L_CWS'!AO207</f>
        <v>-10043884.679348959</v>
      </c>
      <c r="AO9" s="9">
        <f>'FIN-P&amp;L_CWS'!AP207</f>
        <v>-10086683.96934896</v>
      </c>
      <c r="AP9" s="9">
        <f>'FIN-P&amp;L_CWS'!AQ207</f>
        <v>-10097352.004348958</v>
      </c>
      <c r="AQ9" s="9">
        <f>'FIN-P&amp;L_CWS'!AR207</f>
        <v>-10116508.204348959</v>
      </c>
      <c r="AR9" s="9">
        <f>'FIN-P&amp;L_CWS'!AS207</f>
        <v>-10108606.914348958</v>
      </c>
      <c r="AS9" s="9">
        <f>'FIN-P&amp;L_CWS'!AT207</f>
        <v>-10128880.249348959</v>
      </c>
      <c r="AT9" s="9">
        <f>'FIN-P&amp;L_CWS'!AU207</f>
        <v>-10095758.204348959</v>
      </c>
      <c r="AU9" s="9">
        <f>'FIN-P&amp;L_CWS'!AV207</f>
        <v>-10112406.914348958</v>
      </c>
      <c r="AV9" s="9">
        <f>'FIN-P&amp;L_CWS'!AW207</f>
        <v>-10080233.444348959</v>
      </c>
      <c r="AW9" s="9">
        <f>'FIN-P&amp;L_CWS'!AX207</f>
        <v>-10100838.444348959</v>
      </c>
      <c r="AX9" s="9">
        <f>'FIN-P&amp;L_CWS'!AY207</f>
        <v>-10080233.444348959</v>
      </c>
      <c r="AY9" s="9">
        <f>'FIN-P&amp;L_CWS'!AZ207</f>
        <v>-10039057.929348959</v>
      </c>
      <c r="AZ9" s="9">
        <f>'FIN-P&amp;L_CWS'!BA207</f>
        <v>-13598456.05493685</v>
      </c>
      <c r="BA9" s="9">
        <f>'FIN-P&amp;L_CWS'!BB207</f>
        <v>-13610956.42493685</v>
      </c>
      <c r="BB9" s="9">
        <f>'FIN-P&amp;L_CWS'!BC207</f>
        <v>-13611713.775936848</v>
      </c>
      <c r="BC9" s="9">
        <f>'FIN-P&amp;L_CWS'!BD207</f>
        <v>-13630869.975936849</v>
      </c>
      <c r="BD9" s="9">
        <f>'FIN-P&amp;L_CWS'!BE207</f>
        <v>-13614027.322936852</v>
      </c>
      <c r="BE9" s="9">
        <f>'FIN-P&amp;L_CWS'!BF207</f>
        <v>-13624271.148936849</v>
      </c>
      <c r="BF9" s="9">
        <f>'FIN-P&amp;L_CWS'!BG207</f>
        <v>-13610119.975936849</v>
      </c>
      <c r="BG9" s="9">
        <f>'FIN-P&amp;L_CWS'!BH207</f>
        <v>-13617827.322936852</v>
      </c>
      <c r="BH9" s="9">
        <f>'FIN-P&amp;L_CWS'!BI207</f>
        <v>-13604505.899936849</v>
      </c>
      <c r="BI9" s="9">
        <f>'FIN-P&amp;L_CWS'!BJ207</f>
        <v>-13625110.899936849</v>
      </c>
      <c r="BJ9" s="9">
        <f>'FIN-P&amp;L_CWS'!BK207</f>
        <v>-13604505.899936849</v>
      </c>
      <c r="BK9" s="9">
        <f>'FIN-P&amp;L_CWS'!BL207</f>
        <v>-13588059.30493685</v>
      </c>
    </row>
    <row r="10" spans="1:63" x14ac:dyDescent="0.15">
      <c r="B10" s="44" t="s">
        <v>381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-36750113.366666667</v>
      </c>
      <c r="H10" s="9">
        <f>'FIN-P&amp;L_CWS'!I208</f>
        <v>-45314112.033333331</v>
      </c>
      <c r="I10" s="9">
        <f>'FIN-P&amp;L_CWS'!J208</f>
        <v>-53776769.299999997</v>
      </c>
      <c r="J10" s="9">
        <f>'FIN-P&amp;L_CWS'!K208</f>
        <v>-62452568.666666664</v>
      </c>
      <c r="K10" s="9">
        <f>'FIN-P&amp;L_CWS'!L208</f>
        <v>-71018127.333333328</v>
      </c>
      <c r="L10" s="9">
        <f>'FIN-P&amp;L_CWS'!M208</f>
        <v>-79733877.399999991</v>
      </c>
      <c r="M10" s="9">
        <f>'FIN-P&amp;L_CWS'!N208</f>
        <v>-88437492.466666654</v>
      </c>
      <c r="N10" s="9">
        <f>'FIN-P&amp;L_CWS'!O208</f>
        <v>-97127132.533333316</v>
      </c>
      <c r="O10" s="9">
        <f>'FIN-P&amp;L_CWS'!P208</f>
        <v>-106075110.39999998</v>
      </c>
      <c r="P10" s="9">
        <f>'FIN-P&amp;L_CWS'!Q208</f>
        <v>-116832911.00416665</v>
      </c>
      <c r="Q10" s="9">
        <f>'FIN-P&amp;L_CWS'!R208</f>
        <v>-127535133.10833332</v>
      </c>
      <c r="R10" s="9">
        <f>'FIN-P&amp;L_CWS'!S208</f>
        <v>-138224419.52499998</v>
      </c>
      <c r="S10" s="9">
        <f>'FIN-P&amp;L_CWS'!T208</f>
        <v>-148930930.81666663</v>
      </c>
      <c r="T10" s="9">
        <f>'FIN-P&amp;L_CWS'!U208</f>
        <v>-159608854.98333329</v>
      </c>
      <c r="U10" s="9">
        <f>'FIN-P&amp;L_CWS'!V208</f>
        <v>-170278842.77499995</v>
      </c>
      <c r="V10" s="9">
        <f>'FIN-P&amp;L_CWS'!W208</f>
        <v>-179975960.73333329</v>
      </c>
      <c r="W10" s="9">
        <f>'FIN-P&amp;L_CWS'!X208</f>
        <v>-189660811.56666663</v>
      </c>
      <c r="X10" s="9">
        <f>'FIN-P&amp;L_CWS'!Y208</f>
        <v>-199368036.64999998</v>
      </c>
      <c r="Y10" s="9">
        <f>'FIN-P&amp;L_CWS'!Z208</f>
        <v>-209093776.73333332</v>
      </c>
      <c r="Z10" s="9">
        <f>'FIN-P&amp;L_CWS'!AA208</f>
        <v>-218801001.81666666</v>
      </c>
      <c r="AA10" s="9">
        <f>'FIN-P&amp;L_CWS'!AB208</f>
        <v>-228553443.96250001</v>
      </c>
      <c r="AB10" s="9">
        <f>'FIN-P&amp;L_CWS'!AC208</f>
        <v>-236957560.75729167</v>
      </c>
      <c r="AC10" s="9">
        <f>'FIN-P&amp;L_CWS'!AD208</f>
        <v>-245437391.85625002</v>
      </c>
      <c r="AD10" s="9">
        <f>'FIN-P&amp;L_CWS'!AE208</f>
        <v>-253936436.93020836</v>
      </c>
      <c r="AE10" s="9">
        <f>'FIN-P&amp;L_CWS'!AF208</f>
        <v>-262455028.62916669</v>
      </c>
      <c r="AF10" s="9">
        <f>'FIN-P&amp;L_CWS'!AG208</f>
        <v>-270972340.015625</v>
      </c>
      <c r="AG10" s="9">
        <f>'FIN-P&amp;L_CWS'!AH208</f>
        <v>-279521023.47708333</v>
      </c>
      <c r="AH10" s="9">
        <f>'FIN-P&amp;L_CWS'!AI208</f>
        <v>-288018865.17604166</v>
      </c>
      <c r="AI10" s="9">
        <f>'FIN-P&amp;L_CWS'!AJ208</f>
        <v>-296539976.5625</v>
      </c>
      <c r="AJ10" s="9">
        <f>'FIN-P&amp;L_CWS'!AK208</f>
        <v>-305011387.54895836</v>
      </c>
      <c r="AK10" s="9">
        <f>'FIN-P&amp;L_CWS'!AL208</f>
        <v>-313503403.53541672</v>
      </c>
      <c r="AL10" s="9">
        <f>'FIN-P&amp;L_CWS'!AM208</f>
        <v>-321974814.52187508</v>
      </c>
      <c r="AM10" s="9">
        <f>'FIN-P&amp;L_CWS'!AN208</f>
        <v>-330374416.90833342</v>
      </c>
      <c r="AN10" s="9">
        <f>'FIN-P&amp;L_CWS'!AO208</f>
        <v>-340418301.58768237</v>
      </c>
      <c r="AO10" s="9">
        <f>'FIN-P&amp;L_CWS'!AP208</f>
        <v>-350504985.55703133</v>
      </c>
      <c r="AP10" s="9">
        <f>'FIN-P&amp;L_CWS'!AQ208</f>
        <v>-360602337.56138027</v>
      </c>
      <c r="AQ10" s="9">
        <f>'FIN-P&amp;L_CWS'!AR208</f>
        <v>-370718845.76572925</v>
      </c>
      <c r="AR10" s="9">
        <f>'FIN-P&amp;L_CWS'!AS208</f>
        <v>-380827452.68007821</v>
      </c>
      <c r="AS10" s="9">
        <f>'FIN-P&amp;L_CWS'!AT208</f>
        <v>-390956332.92942715</v>
      </c>
      <c r="AT10" s="9">
        <f>'FIN-P&amp;L_CWS'!AU208</f>
        <v>-401052091.13377613</v>
      </c>
      <c r="AU10" s="9">
        <f>'FIN-P&amp;L_CWS'!AV208</f>
        <v>-411164498.04812509</v>
      </c>
      <c r="AV10" s="9">
        <f>'FIN-P&amp;L_CWS'!AW208</f>
        <v>-421244731.49247402</v>
      </c>
      <c r="AW10" s="9">
        <f>'FIN-P&amp;L_CWS'!AX208</f>
        <v>-431345569.93682295</v>
      </c>
      <c r="AX10" s="9">
        <f>'FIN-P&amp;L_CWS'!AY208</f>
        <v>-441425803.38117188</v>
      </c>
      <c r="AY10" s="9">
        <f>'FIN-P&amp;L_CWS'!AZ208</f>
        <v>-451464861.31052083</v>
      </c>
      <c r="AZ10" s="9">
        <f>'FIN-P&amp;L_CWS'!BA208</f>
        <v>-465063317.36545765</v>
      </c>
      <c r="BA10" s="9">
        <f>'FIN-P&amp;L_CWS'!BB208</f>
        <v>-478674273.79039448</v>
      </c>
      <c r="BB10" s="9">
        <f>'FIN-P&amp;L_CWS'!BC208</f>
        <v>-492285987.56633133</v>
      </c>
      <c r="BC10" s="9">
        <f>'FIN-P&amp;L_CWS'!BD208</f>
        <v>-505916857.54226816</v>
      </c>
      <c r="BD10" s="9">
        <f>'FIN-P&amp;L_CWS'!BE208</f>
        <v>-519530884.86520499</v>
      </c>
      <c r="BE10" s="9">
        <f>'FIN-P&amp;L_CWS'!BF208</f>
        <v>-533155156.01414186</v>
      </c>
      <c r="BF10" s="9">
        <f>'FIN-P&amp;L_CWS'!BG208</f>
        <v>-546765275.99007869</v>
      </c>
      <c r="BG10" s="9">
        <f>'FIN-P&amp;L_CWS'!BH208</f>
        <v>-560383103.31301558</v>
      </c>
      <c r="BH10" s="9">
        <f>'FIN-P&amp;L_CWS'!BI208</f>
        <v>-573987609.21295238</v>
      </c>
      <c r="BI10" s="9">
        <f>'FIN-P&amp;L_CWS'!BJ208</f>
        <v>-587612720.11288917</v>
      </c>
      <c r="BJ10" s="9">
        <f>'FIN-P&amp;L_CWS'!BK208</f>
        <v>-601217226.01282597</v>
      </c>
      <c r="BK10" s="9">
        <f>'FIN-P&amp;L_CWS'!BL208</f>
        <v>-614805285.31776285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4" t="s">
        <v>35</v>
      </c>
      <c r="E13" s="364"/>
      <c r="F13" s="364"/>
      <c r="G13" s="364"/>
      <c r="H13" s="364"/>
      <c r="I13" s="364"/>
      <c r="J13" s="364"/>
      <c r="K13" s="364"/>
      <c r="L13" s="364"/>
      <c r="M13" s="364"/>
      <c r="N13" s="364"/>
      <c r="O13" s="364"/>
      <c r="P13" s="364" t="s">
        <v>36</v>
      </c>
      <c r="Q13" s="364"/>
      <c r="R13" s="364"/>
      <c r="S13" s="364"/>
      <c r="T13" s="364"/>
      <c r="U13" s="364"/>
      <c r="V13" s="364"/>
      <c r="W13" s="364"/>
      <c r="X13" s="364"/>
      <c r="Y13" s="364"/>
      <c r="Z13" s="364"/>
      <c r="AA13" s="364"/>
      <c r="AB13" s="364" t="s">
        <v>37</v>
      </c>
      <c r="AC13" s="364"/>
      <c r="AD13" s="364"/>
      <c r="AE13" s="364"/>
      <c r="AF13" s="364"/>
      <c r="AG13" s="364"/>
      <c r="AH13" s="364"/>
      <c r="AI13" s="364"/>
      <c r="AJ13" s="364"/>
      <c r="AK13" s="364"/>
      <c r="AL13" s="364"/>
      <c r="AM13" s="364"/>
      <c r="AN13" s="364" t="s">
        <v>38</v>
      </c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 t="s">
        <v>39</v>
      </c>
      <c r="BA13" s="364"/>
      <c r="BB13" s="364"/>
      <c r="BC13" s="364"/>
      <c r="BD13" s="364"/>
      <c r="BE13" s="364"/>
      <c r="BF13" s="364"/>
      <c r="BG13" s="364"/>
      <c r="BH13" s="364"/>
      <c r="BI13" s="364"/>
      <c r="BJ13" s="364"/>
      <c r="BK13" s="364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727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39</v>
      </c>
      <c r="H15" s="206">
        <f>'REV-REVCALC_CWS'!I6</f>
        <v>43</v>
      </c>
      <c r="I15" s="206">
        <f>'REV-REVCALC_CWS'!J6</f>
        <v>48</v>
      </c>
      <c r="J15" s="206">
        <f>'REV-REVCALC_CWS'!K6</f>
        <v>39</v>
      </c>
      <c r="K15" s="206">
        <f>'REV-REVCALC_CWS'!L6</f>
        <v>43</v>
      </c>
      <c r="L15" s="206">
        <f>'REV-REVCALC_CWS'!M6</f>
        <v>35</v>
      </c>
      <c r="M15" s="206">
        <f>'REV-REVCALC_CWS'!N6</f>
        <v>35</v>
      </c>
      <c r="N15" s="206">
        <f>'REV-REVCALC_CWS'!O6</f>
        <v>35</v>
      </c>
      <c r="O15" s="206">
        <f>'REV-REVCALC_CWS'!P6</f>
        <v>22</v>
      </c>
      <c r="P15" s="206">
        <f>'REV-REVCALC_CWS'!Q6</f>
        <v>16</v>
      </c>
      <c r="Q15" s="206">
        <f>'REV-REVCALC_CWS'!R6</f>
        <v>26</v>
      </c>
      <c r="R15" s="206">
        <f>'REV-REVCALC_CWS'!S6</f>
        <v>29</v>
      </c>
      <c r="S15" s="206">
        <f>'REV-REVCALC_CWS'!T6</f>
        <v>29</v>
      </c>
      <c r="T15" s="206">
        <f>'REV-REVCALC_CWS'!U6</f>
        <v>32</v>
      </c>
      <c r="U15" s="206">
        <f>'REV-REVCALC_CWS'!V6</f>
        <v>35</v>
      </c>
      <c r="V15" s="206">
        <f>'REV-REVCALC_CWS'!W6</f>
        <v>29</v>
      </c>
      <c r="W15" s="206">
        <f>'REV-REVCALC_CWS'!X6</f>
        <v>32</v>
      </c>
      <c r="X15" s="206">
        <f>'REV-REVCALC_CWS'!Y6</f>
        <v>26</v>
      </c>
      <c r="Y15" s="206">
        <f>'REV-REVCALC_CWS'!Z6</f>
        <v>26</v>
      </c>
      <c r="Z15" s="206">
        <f>'REV-REVCALC_CWS'!AA6</f>
        <v>26</v>
      </c>
      <c r="AA15" s="206">
        <f>'REV-REVCALC_CWS'!AB6</f>
        <v>16</v>
      </c>
      <c r="AB15" s="206">
        <f>'REV-REVCALC_CWS'!AC6</f>
        <v>29</v>
      </c>
      <c r="AC15" s="206">
        <f>'REV-REVCALC_CWS'!AD6</f>
        <v>47</v>
      </c>
      <c r="AD15" s="206">
        <f>'REV-REVCALC_CWS'!AE6</f>
        <v>53</v>
      </c>
      <c r="AE15" s="206">
        <f>'REV-REVCALC_CWS'!AF6</f>
        <v>53</v>
      </c>
      <c r="AF15" s="206">
        <f>'REV-REVCALC_CWS'!AG6</f>
        <v>58</v>
      </c>
      <c r="AG15" s="206">
        <f>'REV-REVCALC_CWS'!AH6</f>
        <v>64</v>
      </c>
      <c r="AH15" s="206">
        <f>'REV-REVCALC_CWS'!AI6</f>
        <v>53</v>
      </c>
      <c r="AI15" s="206">
        <f>'REV-REVCALC_CWS'!AJ6</f>
        <v>58</v>
      </c>
      <c r="AJ15" s="206">
        <f>'REV-REVCALC_CWS'!AK6</f>
        <v>47</v>
      </c>
      <c r="AK15" s="206">
        <f>'REV-REVCALC_CWS'!AL6</f>
        <v>47</v>
      </c>
      <c r="AL15" s="206">
        <f>'REV-REVCALC_CWS'!AM6</f>
        <v>47</v>
      </c>
      <c r="AM15" s="206">
        <f>'REV-REVCALC_CWS'!AN6</f>
        <v>29</v>
      </c>
      <c r="AN15" s="206">
        <f>'REV-REVCALC_CWS'!AO6</f>
        <v>31</v>
      </c>
      <c r="AO15" s="206">
        <f>'REV-REVCALC_CWS'!AP6</f>
        <v>50</v>
      </c>
      <c r="AP15" s="206">
        <f>'REV-REVCALC_CWS'!AQ6</f>
        <v>56</v>
      </c>
      <c r="AQ15" s="206">
        <f>'REV-REVCALC_CWS'!AR6</f>
        <v>56</v>
      </c>
      <c r="AR15" s="206">
        <f>'REV-REVCALC_CWS'!AS6</f>
        <v>62</v>
      </c>
      <c r="AS15" s="206">
        <f>'REV-REVCALC_CWS'!AT6</f>
        <v>68</v>
      </c>
      <c r="AT15" s="206">
        <f>'REV-REVCALC_CWS'!AU6</f>
        <v>56</v>
      </c>
      <c r="AU15" s="206">
        <f>'REV-REVCALC_CWS'!AV6</f>
        <v>62</v>
      </c>
      <c r="AV15" s="206">
        <f>'REV-REVCALC_CWS'!AW6</f>
        <v>50</v>
      </c>
      <c r="AW15" s="206">
        <f>'REV-REVCALC_CWS'!AX6</f>
        <v>50</v>
      </c>
      <c r="AX15" s="206">
        <f>'REV-REVCALC_CWS'!AY6</f>
        <v>50</v>
      </c>
      <c r="AY15" s="206">
        <f>'REV-REVCALC_CWS'!AZ6</f>
        <v>31</v>
      </c>
      <c r="AZ15" s="206">
        <f>'REV-REVCALC_CWS'!BA6</f>
        <v>33</v>
      </c>
      <c r="BA15" s="206">
        <f>'REV-REVCALC_CWS'!BB6</f>
        <v>53</v>
      </c>
      <c r="BB15" s="206">
        <f>'REV-REVCALC_CWS'!BC6</f>
        <v>59</v>
      </c>
      <c r="BC15" s="206">
        <f>'REV-REVCALC_CWS'!BD6</f>
        <v>59</v>
      </c>
      <c r="BD15" s="206">
        <f>'REV-REVCALC_CWS'!BE6</f>
        <v>66</v>
      </c>
      <c r="BE15" s="206">
        <f>'REV-REVCALC_CWS'!BF6</f>
        <v>72</v>
      </c>
      <c r="BF15" s="206">
        <f>'REV-REVCALC_CWS'!BG6</f>
        <v>59</v>
      </c>
      <c r="BG15" s="206">
        <f>'REV-REVCALC_CWS'!BH6</f>
        <v>66</v>
      </c>
      <c r="BH15" s="206">
        <f>'REV-REVCALC_CWS'!BI6</f>
        <v>53</v>
      </c>
      <c r="BI15" s="206">
        <f>'REV-REVCALC_CWS'!BJ6</f>
        <v>53</v>
      </c>
      <c r="BJ15" s="206">
        <f>'REV-REVCALC_CWS'!BK6</f>
        <v>53</v>
      </c>
      <c r="BK15" s="206">
        <f>'REV-REVCALC_CWS'!BL6</f>
        <v>33</v>
      </c>
    </row>
    <row r="16" spans="1:63" x14ac:dyDescent="0.15">
      <c r="B16" s="190" t="s">
        <v>720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710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376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1245790</v>
      </c>
      <c r="H19" s="9">
        <f>'REV-REVCALC_CWS'!I41</f>
        <v>1374100</v>
      </c>
      <c r="I19" s="9">
        <f>'REV-REVCALC_CWS'!J41</f>
        <v>1539720</v>
      </c>
      <c r="J19" s="9">
        <f>'REV-REVCALC_CWS'!K41</f>
        <v>1245790</v>
      </c>
      <c r="K19" s="9">
        <f>'REV-REVCALC_CWS'!L41</f>
        <v>1374100</v>
      </c>
      <c r="L19" s="9">
        <f>'REV-REVCALC_CWS'!M41</f>
        <v>1117480</v>
      </c>
      <c r="M19" s="9">
        <f>'REV-REVCALC_CWS'!N41</f>
        <v>1117480</v>
      </c>
      <c r="N19" s="9">
        <f>'REV-REVCALC_CWS'!O41</f>
        <v>1117480</v>
      </c>
      <c r="O19" s="9">
        <f>'REV-REVCALC_CWS'!P41</f>
        <v>695240</v>
      </c>
      <c r="P19" s="9">
        <f>'REV-REVCALC_CWS'!Q41</f>
        <v>240868.75</v>
      </c>
      <c r="Q19" s="9">
        <f>'REV-REVCALC_CWS'!R41</f>
        <v>391418.75</v>
      </c>
      <c r="R19" s="9">
        <f>'REV-REVCALC_CWS'!S41</f>
        <v>436587.5</v>
      </c>
      <c r="S19" s="9">
        <f>'REV-REVCALC_CWS'!T41</f>
        <v>439000</v>
      </c>
      <c r="T19" s="9">
        <f>'REV-REVCALC_CWS'!U41</f>
        <v>484412.5</v>
      </c>
      <c r="U19" s="9">
        <f>'REV-REVCALC_CWS'!V41</f>
        <v>529850</v>
      </c>
      <c r="V19" s="9">
        <f>'REV-REVCALC_CWS'!W41</f>
        <v>439000</v>
      </c>
      <c r="W19" s="9">
        <f>'REV-REVCALC_CWS'!X41</f>
        <v>484412.5</v>
      </c>
      <c r="X19" s="9">
        <f>'REV-REVCALC_CWS'!Y41</f>
        <v>393587.5</v>
      </c>
      <c r="Y19" s="9">
        <f>'REV-REVCALC_CWS'!Z41</f>
        <v>393587.5</v>
      </c>
      <c r="Z19" s="9">
        <f>'REV-REVCALC_CWS'!AA41</f>
        <v>393587.5</v>
      </c>
      <c r="AA19" s="9">
        <f>'REV-REVCALC_CWS'!AB41</f>
        <v>242281.25</v>
      </c>
      <c r="AB19" s="9">
        <f>'REV-REVCALC_CWS'!AC41</f>
        <v>155968.75</v>
      </c>
      <c r="AC19" s="9">
        <f>'REV-REVCALC_CWS'!AD41</f>
        <v>252725</v>
      </c>
      <c r="AD19" s="9">
        <f>'REV-REVCALC_CWS'!AE41</f>
        <v>284927.5</v>
      </c>
      <c r="AE19" s="9">
        <f>'REV-REVCALC_CWS'!AF41</f>
        <v>287565</v>
      </c>
      <c r="AF19" s="9">
        <f>'REV-REVCALC_CWS'!AG41</f>
        <v>314696.25</v>
      </c>
      <c r="AG19" s="9">
        <f>'REV-REVCALC_CWS'!AH41</f>
        <v>347168.75</v>
      </c>
      <c r="AH19" s="9">
        <f>'REV-REVCALC_CWS'!AI41</f>
        <v>287565</v>
      </c>
      <c r="AI19" s="9">
        <f>'REV-REVCALC_CWS'!AJ41</f>
        <v>314696.25</v>
      </c>
      <c r="AJ19" s="9">
        <f>'REV-REVCALC_CWS'!AK41</f>
        <v>255096.25</v>
      </c>
      <c r="AK19" s="9">
        <f>'REV-REVCALC_CWS'!AL41</f>
        <v>255096.25</v>
      </c>
      <c r="AL19" s="9">
        <f>'REV-REVCALC_CWS'!AM41</f>
        <v>255096.25</v>
      </c>
      <c r="AM19" s="9">
        <f>'REV-REVCALC_CWS'!AN41</f>
        <v>157516.25</v>
      </c>
      <c r="AN19" s="9">
        <f>'REV-REVCALC_CWS'!AO41</f>
        <v>194900</v>
      </c>
      <c r="AO19" s="9">
        <f>'REV-REVCALC_CWS'!AP41</f>
        <v>314355</v>
      </c>
      <c r="AP19" s="9">
        <f>'REV-REVCALC_CWS'!AQ41</f>
        <v>351927.5</v>
      </c>
      <c r="AQ19" s="9">
        <f>'REV-REVCALC_CWS'!AR41</f>
        <v>354967.5</v>
      </c>
      <c r="AR19" s="9">
        <f>'REV-REVCALC_CWS'!AS41</f>
        <v>392812.5</v>
      </c>
      <c r="AS19" s="9">
        <f>'REV-REVCALC_CWS'!AT41</f>
        <v>430895</v>
      </c>
      <c r="AT19" s="9">
        <f>'REV-REVCALC_CWS'!AU41</f>
        <v>354967.5</v>
      </c>
      <c r="AU19" s="9">
        <f>'REV-REVCALC_CWS'!AV41</f>
        <v>392812.5</v>
      </c>
      <c r="AV19" s="9">
        <f>'REV-REVCALC_CWS'!AW41</f>
        <v>317087.5</v>
      </c>
      <c r="AW19" s="9">
        <f>'REV-REVCALC_CWS'!AX41</f>
        <v>317087.5</v>
      </c>
      <c r="AX19" s="9">
        <f>'REV-REVCALC_CWS'!AY41</f>
        <v>317087.5</v>
      </c>
      <c r="AY19" s="9">
        <f>'REV-REVCALC_CWS'!AZ41</f>
        <v>196675</v>
      </c>
      <c r="AZ19" s="9">
        <f>'REV-REVCALC_CWS'!BA41</f>
        <v>234235</v>
      </c>
      <c r="BA19" s="9">
        <f>'REV-REVCALC_CWS'!BB41</f>
        <v>376200</v>
      </c>
      <c r="BB19" s="9">
        <f>'REV-REVCALC_CWS'!BC41</f>
        <v>418747.5</v>
      </c>
      <c r="BC19" s="9">
        <f>'REV-REVCALC_CWS'!BD41</f>
        <v>421787.5</v>
      </c>
      <c r="BD19" s="9">
        <f>'REV-REVCALC_CWS'!BE41</f>
        <v>471482.5</v>
      </c>
      <c r="BE19" s="9">
        <f>'REV-REVCALC_CWS'!BF41</f>
        <v>514662.5</v>
      </c>
      <c r="BF19" s="9">
        <f>'REV-REVCALC_CWS'!BG41</f>
        <v>421787.5</v>
      </c>
      <c r="BG19" s="9">
        <f>'REV-REVCALC_CWS'!BH41</f>
        <v>471482.5</v>
      </c>
      <c r="BH19" s="9">
        <f>'REV-REVCALC_CWS'!BI41</f>
        <v>378932.5</v>
      </c>
      <c r="BI19" s="9">
        <f>'REV-REVCALC_CWS'!BJ41</f>
        <v>378932.5</v>
      </c>
      <c r="BJ19" s="9">
        <f>'REV-REVCALC_CWS'!BK41</f>
        <v>378932.5</v>
      </c>
      <c r="BK19" s="9">
        <f>'REV-REVCALC_CWS'!BL41</f>
        <v>236010</v>
      </c>
    </row>
    <row r="20" spans="2:63" x14ac:dyDescent="0.15">
      <c r="B20" s="33" t="s">
        <v>381</v>
      </c>
      <c r="C20" s="197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777790</v>
      </c>
      <c r="H20" s="9">
        <f>'REV-REVCALC_CWS'!I42</f>
        <v>858100</v>
      </c>
      <c r="I20" s="9">
        <f>'REV-REVCALC_CWS'!J42</f>
        <v>963720</v>
      </c>
      <c r="J20" s="9">
        <f>'REV-REVCALC_CWS'!K42</f>
        <v>777790</v>
      </c>
      <c r="K20" s="9">
        <f>'REV-REVCALC_CWS'!L42</f>
        <v>858100</v>
      </c>
      <c r="L20" s="9">
        <f>'REV-REVCALC_CWS'!M42</f>
        <v>697480</v>
      </c>
      <c r="M20" s="9">
        <f>'REV-REVCALC_CWS'!N42</f>
        <v>697480</v>
      </c>
      <c r="N20" s="9">
        <f>'REV-REVCALC_CWS'!O42</f>
        <v>697480</v>
      </c>
      <c r="O20" s="9">
        <f>'REV-REVCALC_CWS'!P42</f>
        <v>431240</v>
      </c>
      <c r="P20" s="9">
        <f>'REV-REVCALC_CWS'!Q42</f>
        <v>68068.75</v>
      </c>
      <c r="Q20" s="9">
        <f>'REV-REVCALC_CWS'!R42</f>
        <v>110618.75</v>
      </c>
      <c r="R20" s="9">
        <f>'REV-REVCALC_CWS'!S42</f>
        <v>123387.5</v>
      </c>
      <c r="S20" s="9">
        <f>'REV-REVCALC_CWS'!T42</f>
        <v>125800</v>
      </c>
      <c r="T20" s="9">
        <f>'REV-REVCALC_CWS'!U42</f>
        <v>138812.5</v>
      </c>
      <c r="U20" s="9">
        <f>'REV-REVCALC_CWS'!V42</f>
        <v>151850</v>
      </c>
      <c r="V20" s="9">
        <f>'REV-REVCALC_CWS'!W42</f>
        <v>125800</v>
      </c>
      <c r="W20" s="9">
        <f>'REV-REVCALC_CWS'!X42</f>
        <v>138812.5</v>
      </c>
      <c r="X20" s="9">
        <f>'REV-REVCALC_CWS'!Y42</f>
        <v>112787.5</v>
      </c>
      <c r="Y20" s="9">
        <f>'REV-REVCALC_CWS'!Z42</f>
        <v>112787.5</v>
      </c>
      <c r="Z20" s="9">
        <f>'REV-REVCALC_CWS'!AA42</f>
        <v>112787.5</v>
      </c>
      <c r="AA20" s="9">
        <f>'REV-REVCALC_CWS'!AB42</f>
        <v>69481.25</v>
      </c>
      <c r="AB20" s="9">
        <f>'REV-REVCALC_CWS'!AC42</f>
        <v>-125911.25</v>
      </c>
      <c r="AC20" s="9">
        <f>'REV-REVCALC_CWS'!AD42</f>
        <v>-204115</v>
      </c>
      <c r="AD20" s="9">
        <f>'REV-REVCALC_CWS'!AE42</f>
        <v>-230232.5</v>
      </c>
      <c r="AE20" s="9">
        <f>'REV-REVCALC_CWS'!AF42</f>
        <v>-227595</v>
      </c>
      <c r="AF20" s="9">
        <f>'REV-REVCALC_CWS'!AG42</f>
        <v>-249063.75</v>
      </c>
      <c r="AG20" s="9">
        <f>'REV-REVCALC_CWS'!AH42</f>
        <v>-274911.25</v>
      </c>
      <c r="AH20" s="9">
        <f>'REV-REVCALC_CWS'!AI42</f>
        <v>-227595</v>
      </c>
      <c r="AI20" s="9">
        <f>'REV-REVCALC_CWS'!AJ42</f>
        <v>-249063.75</v>
      </c>
      <c r="AJ20" s="9">
        <f>'REV-REVCALC_CWS'!AK42</f>
        <v>-201743.75</v>
      </c>
      <c r="AK20" s="9">
        <f>'REV-REVCALC_CWS'!AL42</f>
        <v>-201743.75</v>
      </c>
      <c r="AL20" s="9">
        <f>'REV-REVCALC_CWS'!AM42</f>
        <v>-201743.75</v>
      </c>
      <c r="AM20" s="9">
        <f>'REV-REVCALC_CWS'!AN42</f>
        <v>-124363.75</v>
      </c>
      <c r="AN20" s="9">
        <f>'REV-REVCALC_CWS'!AO42</f>
        <v>-76288</v>
      </c>
      <c r="AO20" s="9">
        <f>'REV-REVCALC_CWS'!AP42</f>
        <v>-123045</v>
      </c>
      <c r="AP20" s="9">
        <f>'REV-REVCALC_CWS'!AQ42</f>
        <v>-137960.5</v>
      </c>
      <c r="AQ20" s="9">
        <f>'REV-REVCALC_CWS'!AR42</f>
        <v>-134920.5</v>
      </c>
      <c r="AR20" s="9">
        <f>'REV-REVCALC_CWS'!AS42</f>
        <v>-149563.5</v>
      </c>
      <c r="AS20" s="9">
        <f>'REV-REVCALC_CWS'!AT42</f>
        <v>-163969</v>
      </c>
      <c r="AT20" s="9">
        <f>'REV-REVCALC_CWS'!AU42</f>
        <v>-134920.5</v>
      </c>
      <c r="AU20" s="9">
        <f>'REV-REVCALC_CWS'!AV42</f>
        <v>-149563.5</v>
      </c>
      <c r="AV20" s="9">
        <f>'REV-REVCALC_CWS'!AW42</f>
        <v>-120312.5</v>
      </c>
      <c r="AW20" s="9">
        <f>'REV-REVCALC_CWS'!AX42</f>
        <v>-120312.5</v>
      </c>
      <c r="AX20" s="9">
        <f>'REV-REVCALC_CWS'!AY42</f>
        <v>-120312.5</v>
      </c>
      <c r="AY20" s="9">
        <f>'REV-REVCALC_CWS'!AZ42</f>
        <v>-74513</v>
      </c>
      <c r="AZ20" s="9">
        <f>'REV-REVCALC_CWS'!BA42</f>
        <v>-25616.899999999994</v>
      </c>
      <c r="BA20" s="9">
        <f>'REV-REVCALC_CWS'!BB42</f>
        <v>-41137.899999999965</v>
      </c>
      <c r="BB20" s="9">
        <f>'REV-REVCALC_CWS'!BC42</f>
        <v>-45836.200000000012</v>
      </c>
      <c r="BC20" s="9">
        <f>'REV-REVCALC_CWS'!BD42</f>
        <v>-42796.200000000012</v>
      </c>
      <c r="BD20" s="9">
        <f>'REV-REVCALC_CWS'!BE42</f>
        <v>-48221.299999999988</v>
      </c>
      <c r="BE20" s="9">
        <f>'REV-REVCALC_CWS'!BF42</f>
        <v>-52287.099999999977</v>
      </c>
      <c r="BF20" s="9">
        <f>'REV-REVCALC_CWS'!BG42</f>
        <v>-42796.200000000012</v>
      </c>
      <c r="BG20" s="9">
        <f>'REV-REVCALC_CWS'!BH42</f>
        <v>-48221.299999999988</v>
      </c>
      <c r="BH20" s="9">
        <f>'REV-REVCALC_CWS'!BI42</f>
        <v>-38405.399999999965</v>
      </c>
      <c r="BI20" s="9">
        <f>'REV-REVCALC_CWS'!BJ42</f>
        <v>-38405.399999999965</v>
      </c>
      <c r="BJ20" s="9">
        <f>'REV-REVCALC_CWS'!BK42</f>
        <v>-38405.399999999965</v>
      </c>
      <c r="BK20" s="9">
        <f>'REV-REVCALC_CWS'!BL42</f>
        <v>-23841.899999999994</v>
      </c>
    </row>
    <row r="21" spans="2:63" x14ac:dyDescent="0.15">
      <c r="B21" s="190" t="s">
        <v>721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4" t="s">
        <v>35</v>
      </c>
      <c r="E24" s="364"/>
      <c r="F24" s="364"/>
      <c r="G24" s="364"/>
      <c r="H24" s="364"/>
      <c r="I24" s="364"/>
      <c r="J24" s="364"/>
      <c r="K24" s="364"/>
      <c r="L24" s="364"/>
      <c r="M24" s="364"/>
      <c r="N24" s="364"/>
      <c r="O24" s="364"/>
      <c r="P24" s="364" t="s">
        <v>36</v>
      </c>
      <c r="Q24" s="364"/>
      <c r="R24" s="364"/>
      <c r="S24" s="364"/>
      <c r="T24" s="364"/>
      <c r="U24" s="364"/>
      <c r="V24" s="364"/>
      <c r="W24" s="364"/>
      <c r="X24" s="364"/>
      <c r="Y24" s="364"/>
      <c r="Z24" s="364"/>
      <c r="AA24" s="364"/>
      <c r="AB24" s="364" t="s">
        <v>37</v>
      </c>
      <c r="AC24" s="364"/>
      <c r="AD24" s="364"/>
      <c r="AE24" s="364"/>
      <c r="AF24" s="364"/>
      <c r="AG24" s="364"/>
      <c r="AH24" s="364"/>
      <c r="AI24" s="364"/>
      <c r="AJ24" s="364"/>
      <c r="AK24" s="364"/>
      <c r="AL24" s="364"/>
      <c r="AM24" s="364"/>
      <c r="AN24" s="364" t="s">
        <v>38</v>
      </c>
      <c r="AO24" s="364"/>
      <c r="AP24" s="364"/>
      <c r="AQ24" s="364"/>
      <c r="AR24" s="364"/>
      <c r="AS24" s="364"/>
      <c r="AT24" s="364"/>
      <c r="AU24" s="364"/>
      <c r="AV24" s="364"/>
      <c r="AW24" s="364"/>
      <c r="AX24" s="364"/>
      <c r="AY24" s="364"/>
      <c r="AZ24" s="364" t="s">
        <v>39</v>
      </c>
      <c r="BA24" s="364"/>
      <c r="BB24" s="364"/>
      <c r="BC24" s="364"/>
      <c r="BD24" s="364"/>
      <c r="BE24" s="364"/>
      <c r="BF24" s="364"/>
      <c r="BG24" s="364"/>
      <c r="BH24" s="364"/>
      <c r="BI24" s="364"/>
      <c r="BJ24" s="364"/>
      <c r="BK24" s="364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381</v>
      </c>
      <c r="C26" s="197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777790</v>
      </c>
      <c r="H26" s="9">
        <f>'REV-REVCALC_CWS'!I42</f>
        <v>858100</v>
      </c>
      <c r="I26" s="9">
        <f>'REV-REVCALC_CWS'!J42</f>
        <v>963720</v>
      </c>
      <c r="J26" s="9">
        <f>'REV-REVCALC_CWS'!K42</f>
        <v>777790</v>
      </c>
      <c r="K26" s="9">
        <f>'REV-REVCALC_CWS'!L42</f>
        <v>858100</v>
      </c>
      <c r="L26" s="9">
        <f>'REV-REVCALC_CWS'!M42</f>
        <v>697480</v>
      </c>
      <c r="M26" s="9">
        <f>'REV-REVCALC_CWS'!N42</f>
        <v>697480</v>
      </c>
      <c r="N26" s="9">
        <f>'REV-REVCALC_CWS'!O42</f>
        <v>697480</v>
      </c>
      <c r="O26" s="9">
        <f>'REV-REVCALC_CWS'!P42</f>
        <v>431240</v>
      </c>
      <c r="P26" s="9">
        <f>'REV-REVCALC_CWS'!Q42</f>
        <v>68068.75</v>
      </c>
      <c r="Q26" s="9">
        <f>'REV-REVCALC_CWS'!R42</f>
        <v>110618.75</v>
      </c>
      <c r="R26" s="9">
        <f>'REV-REVCALC_CWS'!S42</f>
        <v>123387.5</v>
      </c>
      <c r="S26" s="9">
        <f>'REV-REVCALC_CWS'!T42</f>
        <v>125800</v>
      </c>
      <c r="T26" s="9">
        <f>'REV-REVCALC_CWS'!U42</f>
        <v>138812.5</v>
      </c>
      <c r="U26" s="9">
        <f>'REV-REVCALC_CWS'!V42</f>
        <v>151850</v>
      </c>
      <c r="V26" s="9">
        <f>'REV-REVCALC_CWS'!W42</f>
        <v>125800</v>
      </c>
      <c r="W26" s="9">
        <f>'REV-REVCALC_CWS'!X42</f>
        <v>138812.5</v>
      </c>
      <c r="X26" s="9">
        <f>'REV-REVCALC_CWS'!Y42</f>
        <v>112787.5</v>
      </c>
      <c r="Y26" s="9">
        <f>'REV-REVCALC_CWS'!Z42</f>
        <v>112787.5</v>
      </c>
      <c r="Z26" s="9">
        <f>'REV-REVCALC_CWS'!AA42</f>
        <v>112787.5</v>
      </c>
      <c r="AA26" s="9">
        <f>'REV-REVCALC_CWS'!AB42</f>
        <v>69481.25</v>
      </c>
      <c r="AB26" s="9">
        <f>'REV-REVCALC_CWS'!AC42</f>
        <v>-125911.25</v>
      </c>
      <c r="AC26" s="9">
        <f>'REV-REVCALC_CWS'!AD42</f>
        <v>-204115</v>
      </c>
      <c r="AD26" s="9">
        <f>'REV-REVCALC_CWS'!AE42</f>
        <v>-230232.5</v>
      </c>
      <c r="AE26" s="9">
        <f>'REV-REVCALC_CWS'!AF42</f>
        <v>-227595</v>
      </c>
      <c r="AF26" s="9">
        <f>'REV-REVCALC_CWS'!AG42</f>
        <v>-249063.75</v>
      </c>
      <c r="AG26" s="9">
        <f>'REV-REVCALC_CWS'!AH42</f>
        <v>-274911.25</v>
      </c>
      <c r="AH26" s="9">
        <f>'REV-REVCALC_CWS'!AI42</f>
        <v>-227595</v>
      </c>
      <c r="AI26" s="9">
        <f>'REV-REVCALC_CWS'!AJ42</f>
        <v>-249063.75</v>
      </c>
      <c r="AJ26" s="9">
        <f>'REV-REVCALC_CWS'!AK42</f>
        <v>-201743.75</v>
      </c>
      <c r="AK26" s="9">
        <f>'REV-REVCALC_CWS'!AL42</f>
        <v>-201743.75</v>
      </c>
      <c r="AL26" s="9">
        <f>'REV-REVCALC_CWS'!AM42</f>
        <v>-201743.75</v>
      </c>
      <c r="AM26" s="9">
        <f>'REV-REVCALC_CWS'!AN42</f>
        <v>-124363.75</v>
      </c>
      <c r="AN26" s="9">
        <f>'REV-REVCALC_CWS'!AO42</f>
        <v>-76288</v>
      </c>
      <c r="AO26" s="9">
        <f>'REV-REVCALC_CWS'!AP42</f>
        <v>-123045</v>
      </c>
      <c r="AP26" s="9">
        <f>'REV-REVCALC_CWS'!AQ42</f>
        <v>-137960.5</v>
      </c>
      <c r="AQ26" s="9">
        <f>'REV-REVCALC_CWS'!AR42</f>
        <v>-134920.5</v>
      </c>
      <c r="AR26" s="9">
        <f>'REV-REVCALC_CWS'!AS42</f>
        <v>-149563.5</v>
      </c>
      <c r="AS26" s="9">
        <f>'REV-REVCALC_CWS'!AT42</f>
        <v>-163969</v>
      </c>
      <c r="AT26" s="9">
        <f>'REV-REVCALC_CWS'!AU42</f>
        <v>-134920.5</v>
      </c>
      <c r="AU26" s="9">
        <f>'REV-REVCALC_CWS'!AV42</f>
        <v>-149563.5</v>
      </c>
      <c r="AV26" s="9">
        <f>'REV-REVCALC_CWS'!AW42</f>
        <v>-120312.5</v>
      </c>
      <c r="AW26" s="9">
        <f>'REV-REVCALC_CWS'!AX42</f>
        <v>-120312.5</v>
      </c>
      <c r="AX26" s="9">
        <f>'REV-REVCALC_CWS'!AY42</f>
        <v>-120312.5</v>
      </c>
      <c r="AY26" s="9">
        <f>'REV-REVCALC_CWS'!AZ42</f>
        <v>-74513</v>
      </c>
      <c r="AZ26" s="9">
        <f>'REV-REVCALC_CWS'!BA42</f>
        <v>-25616.899999999994</v>
      </c>
      <c r="BA26" s="9">
        <f>'REV-REVCALC_CWS'!BB42</f>
        <v>-41137.899999999965</v>
      </c>
      <c r="BB26" s="9">
        <f>'REV-REVCALC_CWS'!BC42</f>
        <v>-45836.200000000012</v>
      </c>
      <c r="BC26" s="9">
        <f>'REV-REVCALC_CWS'!BD42</f>
        <v>-42796.200000000012</v>
      </c>
      <c r="BD26" s="9">
        <f>'REV-REVCALC_CWS'!BE42</f>
        <v>-48221.299999999988</v>
      </c>
      <c r="BE26" s="9">
        <f>'REV-REVCALC_CWS'!BF42</f>
        <v>-52287.099999999977</v>
      </c>
      <c r="BF26" s="9">
        <f>'REV-REVCALC_CWS'!BG42</f>
        <v>-42796.200000000012</v>
      </c>
      <c r="BG26" s="9">
        <f>'REV-REVCALC_CWS'!BH42</f>
        <v>-48221.299999999988</v>
      </c>
      <c r="BH26" s="9">
        <f>'REV-REVCALC_CWS'!BI42</f>
        <v>-38405.399999999965</v>
      </c>
      <c r="BI26" s="9">
        <f>'REV-REVCALC_CWS'!BJ42</f>
        <v>-38405.399999999965</v>
      </c>
      <c r="BJ26" s="9">
        <f>'REV-REVCALC_CWS'!BK42</f>
        <v>-38405.399999999965</v>
      </c>
      <c r="BK26" s="9">
        <f>'REV-REVCALC_CWS'!BL42</f>
        <v>-23841.899999999994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728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1037053.3333333334</v>
      </c>
      <c r="H28" s="202">
        <f t="shared" si="3"/>
        <v>1144133.3333333333</v>
      </c>
      <c r="I28" s="202">
        <f t="shared" si="3"/>
        <v>1284960</v>
      </c>
      <c r="J28" s="202">
        <f t="shared" si="3"/>
        <v>1037053.3333333334</v>
      </c>
      <c r="K28" s="202">
        <f t="shared" si="3"/>
        <v>1144133.3333333333</v>
      </c>
      <c r="L28" s="202">
        <f t="shared" si="3"/>
        <v>929973.33333333337</v>
      </c>
      <c r="M28" s="202">
        <f t="shared" si="3"/>
        <v>929973.33333333337</v>
      </c>
      <c r="N28" s="202">
        <f t="shared" si="3"/>
        <v>929973.33333333337</v>
      </c>
      <c r="O28" s="202">
        <f t="shared" si="3"/>
        <v>574986.66666666663</v>
      </c>
      <c r="P28" s="202">
        <f t="shared" si="3"/>
        <v>90758.333333333328</v>
      </c>
      <c r="Q28" s="202">
        <f t="shared" si="3"/>
        <v>147491.66666666666</v>
      </c>
      <c r="R28" s="202">
        <f t="shared" si="3"/>
        <v>164516.66666666666</v>
      </c>
      <c r="S28" s="202">
        <f t="shared" si="3"/>
        <v>167733.33333333334</v>
      </c>
      <c r="T28" s="202">
        <f t="shared" si="3"/>
        <v>185083.33333333334</v>
      </c>
      <c r="U28" s="202">
        <f t="shared" si="3"/>
        <v>202466.66666666666</v>
      </c>
      <c r="V28" s="202">
        <f t="shared" si="3"/>
        <v>503200</v>
      </c>
      <c r="W28" s="202">
        <f t="shared" si="3"/>
        <v>555250</v>
      </c>
      <c r="X28" s="202">
        <f t="shared" si="3"/>
        <v>451150</v>
      </c>
      <c r="Y28" s="202">
        <f t="shared" si="3"/>
        <v>451150</v>
      </c>
      <c r="Z28" s="202">
        <f t="shared" si="3"/>
        <v>451150</v>
      </c>
      <c r="AA28" s="202">
        <f t="shared" si="3"/>
        <v>277925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742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4" t="s">
        <v>35</v>
      </c>
      <c r="E31" s="364"/>
      <c r="F31" s="364"/>
      <c r="G31" s="364"/>
      <c r="H31" s="364"/>
      <c r="I31" s="364"/>
      <c r="J31" s="364"/>
      <c r="K31" s="364"/>
      <c r="L31" s="364"/>
      <c r="M31" s="364"/>
      <c r="N31" s="364"/>
      <c r="O31" s="364"/>
      <c r="P31" s="364" t="s">
        <v>36</v>
      </c>
      <c r="Q31" s="364"/>
      <c r="R31" s="364"/>
      <c r="S31" s="364"/>
      <c r="T31" s="364"/>
      <c r="U31" s="364"/>
      <c r="V31" s="364"/>
      <c r="W31" s="364"/>
      <c r="X31" s="364"/>
      <c r="Y31" s="364"/>
      <c r="Z31" s="364"/>
      <c r="AA31" s="364"/>
      <c r="AB31" s="364" t="s">
        <v>37</v>
      </c>
      <c r="AC31" s="364"/>
      <c r="AD31" s="364"/>
      <c r="AE31" s="364"/>
      <c r="AF31" s="364"/>
      <c r="AG31" s="364"/>
      <c r="AH31" s="364"/>
      <c r="AI31" s="364"/>
      <c r="AJ31" s="364"/>
      <c r="AK31" s="364"/>
      <c r="AL31" s="364"/>
      <c r="AM31" s="364"/>
      <c r="AN31" s="364" t="s">
        <v>38</v>
      </c>
      <c r="AO31" s="364"/>
      <c r="AP31" s="364"/>
      <c r="AQ31" s="364"/>
      <c r="AR31" s="364"/>
      <c r="AS31" s="364"/>
      <c r="AT31" s="364"/>
      <c r="AU31" s="364"/>
      <c r="AV31" s="364"/>
      <c r="AW31" s="364"/>
      <c r="AX31" s="364"/>
      <c r="AY31" s="364"/>
      <c r="AZ31" s="364" t="s">
        <v>39</v>
      </c>
      <c r="BA31" s="364"/>
      <c r="BB31" s="364"/>
      <c r="BC31" s="364"/>
      <c r="BD31" s="364"/>
      <c r="BE31" s="364"/>
      <c r="BF31" s="364"/>
      <c r="BG31" s="364"/>
      <c r="BH31" s="364"/>
      <c r="BI31" s="364"/>
      <c r="BJ31" s="364"/>
      <c r="BK31" s="364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711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709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714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703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726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725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4" t="s">
        <v>35</v>
      </c>
      <c r="E40" s="364"/>
      <c r="F40" s="364"/>
      <c r="G40" s="364"/>
      <c r="H40" s="364"/>
      <c r="I40" s="364"/>
      <c r="J40" s="364"/>
      <c r="K40" s="364"/>
      <c r="L40" s="364"/>
      <c r="M40" s="364"/>
      <c r="N40" s="364"/>
      <c r="O40" s="364"/>
      <c r="P40" s="364" t="s">
        <v>36</v>
      </c>
      <c r="Q40" s="364"/>
      <c r="R40" s="364"/>
      <c r="S40" s="364"/>
      <c r="T40" s="364"/>
      <c r="U40" s="364"/>
      <c r="V40" s="364"/>
      <c r="W40" s="364"/>
      <c r="X40" s="364"/>
      <c r="Y40" s="364"/>
      <c r="Z40" s="364"/>
      <c r="AA40" s="364"/>
      <c r="AB40" s="364" t="s">
        <v>37</v>
      </c>
      <c r="AC40" s="364"/>
      <c r="AD40" s="364"/>
      <c r="AE40" s="364"/>
      <c r="AF40" s="364"/>
      <c r="AG40" s="364"/>
      <c r="AH40" s="364"/>
      <c r="AI40" s="364"/>
      <c r="AJ40" s="364"/>
      <c r="AK40" s="364"/>
      <c r="AL40" s="364"/>
      <c r="AM40" s="364"/>
      <c r="AN40" s="364" t="s">
        <v>38</v>
      </c>
      <c r="AO40" s="364"/>
      <c r="AP40" s="364"/>
      <c r="AQ40" s="364"/>
      <c r="AR40" s="364"/>
      <c r="AS40" s="364"/>
      <c r="AT40" s="364"/>
      <c r="AU40" s="364"/>
      <c r="AV40" s="364"/>
      <c r="AW40" s="364"/>
      <c r="AX40" s="364"/>
      <c r="AY40" s="364"/>
      <c r="AZ40" s="364" t="s">
        <v>39</v>
      </c>
      <c r="BA40" s="364"/>
      <c r="BB40" s="364"/>
      <c r="BC40" s="364"/>
      <c r="BD40" s="364"/>
      <c r="BE40" s="364"/>
      <c r="BF40" s="364"/>
      <c r="BG40" s="364"/>
      <c r="BH40" s="364"/>
      <c r="BI40" s="364"/>
      <c r="BJ40" s="364"/>
      <c r="BK40" s="364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401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418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444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464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465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704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716</v>
      </c>
      <c r="C49" s="200"/>
    </row>
    <row r="50" spans="2:3" x14ac:dyDescent="0.15">
      <c r="B50" s="14"/>
      <c r="C50" s="200"/>
    </row>
    <row r="51" spans="2:3" x14ac:dyDescent="0.15">
      <c r="B51" s="14" t="s">
        <v>717</v>
      </c>
      <c r="C51" s="200"/>
    </row>
    <row r="52" spans="2:3" x14ac:dyDescent="0.15">
      <c r="B52" s="14" t="s">
        <v>723</v>
      </c>
      <c r="C52" s="200"/>
    </row>
    <row r="53" spans="2:3" x14ac:dyDescent="0.15">
      <c r="B53" s="14" t="s">
        <v>722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513</v>
      </c>
    </row>
    <row r="4" spans="2:66" hidden="1" x14ac:dyDescent="0.15"/>
    <row r="5" spans="2:66" x14ac:dyDescent="0.15">
      <c r="B5" s="44" t="s">
        <v>514</v>
      </c>
      <c r="E5" s="9">
        <f>SUM(E49)</f>
        <v>0</v>
      </c>
      <c r="F5" s="9">
        <f>SUM(F49:Q49)</f>
        <v>6759180</v>
      </c>
      <c r="G5" s="9">
        <f>SUM(R49:AC49)</f>
        <v>1390993.75</v>
      </c>
      <c r="H5" s="9">
        <f>SUM(AD49:AO49)</f>
        <v>-2518082.5</v>
      </c>
      <c r="I5" s="9">
        <f>SUM(AP49:BA49)</f>
        <v>-1505681</v>
      </c>
      <c r="J5" s="9">
        <f>SUM(BB49:BM49)</f>
        <v>-485971.19999999984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515</v>
      </c>
      <c r="D6" s="4">
        <f>D50</f>
        <v>2.5000000000000001E-2</v>
      </c>
      <c r="E6" s="9">
        <f>E50</f>
        <v>0</v>
      </c>
      <c r="F6" s="9">
        <f>SUM(F50:Q50)</f>
        <v>168979.5</v>
      </c>
      <c r="G6" s="9">
        <f>SUM(R50:AC50)</f>
        <v>34774.84375</v>
      </c>
      <c r="H6" s="9">
        <f>SUM(AD50:AO50)</f>
        <v>-62952.0625</v>
      </c>
      <c r="I6" s="9">
        <f>SUM(AP50:BA50)</f>
        <v>-37642.024999999994</v>
      </c>
      <c r="J6" s="9">
        <f>SUM(BB50:BM50)</f>
        <v>-12149.279999999995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516</v>
      </c>
      <c r="D7" s="4">
        <f>D51</f>
        <v>0.05</v>
      </c>
      <c r="E7" s="9">
        <f>E51</f>
        <v>0</v>
      </c>
      <c r="F7" s="9">
        <f>SUM(E51:Q51)</f>
        <v>337959</v>
      </c>
      <c r="G7" s="9">
        <f>SUM(F51:AC51)</f>
        <v>407508.6875</v>
      </c>
      <c r="H7" s="9">
        <f>SUM(AD51:AO51)</f>
        <v>-125904.125</v>
      </c>
      <c r="I7" s="9">
        <f>SUM(AP51:BA51)</f>
        <v>-75284.049999999988</v>
      </c>
      <c r="J7" s="9">
        <f>SUM(BB51:BM51)</f>
        <v>-24298.55999999999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512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517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520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168979.5</v>
      </c>
      <c r="G24" s="9">
        <f t="shared" si="8"/>
        <v>203754.34375</v>
      </c>
      <c r="H24" s="9">
        <f t="shared" si="9"/>
        <v>-62952.0625</v>
      </c>
      <c r="I24" s="9">
        <f t="shared" si="10"/>
        <v>-37642.024999999994</v>
      </c>
      <c r="J24" s="9">
        <f t="shared" si="11"/>
        <v>-12149.279999999995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522</v>
      </c>
      <c r="E29" s="9">
        <f t="shared" ref="E29:J29" si="12">SUM(E23:E28)</f>
        <v>0</v>
      </c>
      <c r="F29" s="9">
        <f t="shared" si="12"/>
        <v>168979.5</v>
      </c>
      <c r="G29" s="9">
        <f t="shared" si="12"/>
        <v>203754.34375</v>
      </c>
      <c r="H29" s="9">
        <f t="shared" si="12"/>
        <v>-62952.0625</v>
      </c>
      <c r="I29" s="9">
        <f t="shared" si="12"/>
        <v>-37642.024999999994</v>
      </c>
      <c r="J29" s="9">
        <f t="shared" si="12"/>
        <v>-12149.279999999995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718</v>
      </c>
      <c r="E30" s="9"/>
      <c r="F30" s="9">
        <f>F29/F20</f>
        <v>168979.5</v>
      </c>
      <c r="G30" s="9">
        <f>G29/G20</f>
        <v>203754.34375</v>
      </c>
      <c r="H30" s="9">
        <f>H29/H20</f>
        <v>-62952.0625</v>
      </c>
      <c r="I30" s="9">
        <f>I29/I20</f>
        <v>-37642.024999999994</v>
      </c>
      <c r="J30" s="9">
        <f>J29/J20</f>
        <v>-12149.279999999995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518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519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521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523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719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4" t="s">
        <v>35</v>
      </c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/>
      <c r="R44" s="364" t="s">
        <v>36</v>
      </c>
      <c r="S44" s="364"/>
      <c r="T44" s="364"/>
      <c r="U44" s="364"/>
      <c r="V44" s="364"/>
      <c r="W44" s="364"/>
      <c r="X44" s="364"/>
      <c r="Y44" s="364"/>
      <c r="Z44" s="364"/>
      <c r="AA44" s="364"/>
      <c r="AB44" s="364"/>
      <c r="AC44" s="364"/>
      <c r="AD44" s="364" t="s">
        <v>37</v>
      </c>
      <c r="AE44" s="364"/>
      <c r="AF44" s="364"/>
      <c r="AG44" s="364"/>
      <c r="AH44" s="364"/>
      <c r="AI44" s="364"/>
      <c r="AJ44" s="364"/>
      <c r="AK44" s="364"/>
      <c r="AL44" s="364"/>
      <c r="AM44" s="364"/>
      <c r="AN44" s="364"/>
      <c r="AO44" s="364"/>
      <c r="AP44" s="364" t="s">
        <v>38</v>
      </c>
      <c r="AQ44" s="364"/>
      <c r="AR44" s="364"/>
      <c r="AS44" s="364"/>
      <c r="AT44" s="364"/>
      <c r="AU44" s="364"/>
      <c r="AV44" s="364"/>
      <c r="AW44" s="364"/>
      <c r="AX44" s="364"/>
      <c r="AY44" s="364"/>
      <c r="AZ44" s="364"/>
      <c r="BA44" s="364"/>
      <c r="BB44" s="364" t="s">
        <v>39</v>
      </c>
      <c r="BC44" s="364"/>
      <c r="BD44" s="364"/>
      <c r="BE44" s="364"/>
      <c r="BF44" s="364"/>
      <c r="BG44" s="364"/>
      <c r="BH44" s="364"/>
      <c r="BI44" s="364"/>
      <c r="BJ44" s="364"/>
      <c r="BK44" s="364"/>
      <c r="BL44" s="364"/>
      <c r="BM44" s="364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513</v>
      </c>
    </row>
    <row r="49" spans="2:66" x14ac:dyDescent="0.15">
      <c r="B49" s="44" t="s">
        <v>514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777790</v>
      </c>
      <c r="J49" s="9">
        <f>'REV-REVCALC_CWS'!I42</f>
        <v>858100</v>
      </c>
      <c r="K49" s="9">
        <f>'REV-REVCALC_CWS'!J42</f>
        <v>963720</v>
      </c>
      <c r="L49" s="9">
        <f>'REV-REVCALC_CWS'!K42</f>
        <v>777790</v>
      </c>
      <c r="M49" s="9">
        <f>'REV-REVCALC_CWS'!L42</f>
        <v>858100</v>
      </c>
      <c r="N49" s="9">
        <f>'REV-REVCALC_CWS'!M42</f>
        <v>697480</v>
      </c>
      <c r="O49" s="9">
        <f>'REV-REVCALC_CWS'!N42</f>
        <v>697480</v>
      </c>
      <c r="P49" s="9">
        <f>'REV-REVCALC_CWS'!O42</f>
        <v>697480</v>
      </c>
      <c r="Q49" s="9">
        <f>'REV-REVCALC_CWS'!P42</f>
        <v>431240</v>
      </c>
      <c r="R49" s="9">
        <f>'REV-REVCALC_CWS'!Q42</f>
        <v>68068.75</v>
      </c>
      <c r="S49" s="9">
        <f>'REV-REVCALC_CWS'!R42</f>
        <v>110618.75</v>
      </c>
      <c r="T49" s="9">
        <f>'REV-REVCALC_CWS'!S42</f>
        <v>123387.5</v>
      </c>
      <c r="U49" s="9">
        <f>'REV-REVCALC_CWS'!T42</f>
        <v>125800</v>
      </c>
      <c r="V49" s="9">
        <f>'REV-REVCALC_CWS'!U42</f>
        <v>138812.5</v>
      </c>
      <c r="W49" s="9">
        <f>'REV-REVCALC_CWS'!V42</f>
        <v>151850</v>
      </c>
      <c r="X49" s="9">
        <f>'REV-REVCALC_CWS'!W42</f>
        <v>125800</v>
      </c>
      <c r="Y49" s="9">
        <f>'REV-REVCALC_CWS'!X42</f>
        <v>138812.5</v>
      </c>
      <c r="Z49" s="9">
        <f>'REV-REVCALC_CWS'!Y42</f>
        <v>112787.5</v>
      </c>
      <c r="AA49" s="9">
        <f>'REV-REVCALC_CWS'!Z42</f>
        <v>112787.5</v>
      </c>
      <c r="AB49" s="9">
        <f>'REV-REVCALC_CWS'!AA42</f>
        <v>112787.5</v>
      </c>
      <c r="AC49" s="9">
        <f>'REV-REVCALC_CWS'!AB42</f>
        <v>69481.25</v>
      </c>
      <c r="AD49" s="9">
        <f>'REV-REVCALC_CWS'!AC42</f>
        <v>-125911.25</v>
      </c>
      <c r="AE49" s="9">
        <f>'REV-REVCALC_CWS'!AD42</f>
        <v>-204115</v>
      </c>
      <c r="AF49" s="9">
        <f>'REV-REVCALC_CWS'!AE42</f>
        <v>-230232.5</v>
      </c>
      <c r="AG49" s="9">
        <f>'REV-REVCALC_CWS'!AF42</f>
        <v>-227595</v>
      </c>
      <c r="AH49" s="9">
        <f>'REV-REVCALC_CWS'!AG42</f>
        <v>-249063.75</v>
      </c>
      <c r="AI49" s="9">
        <f>'REV-REVCALC_CWS'!AH42</f>
        <v>-274911.25</v>
      </c>
      <c r="AJ49" s="9">
        <f>'REV-REVCALC_CWS'!AI42</f>
        <v>-227595</v>
      </c>
      <c r="AK49" s="9">
        <f>'REV-REVCALC_CWS'!AJ42</f>
        <v>-249063.75</v>
      </c>
      <c r="AL49" s="9">
        <f>'REV-REVCALC_CWS'!AK42</f>
        <v>-201743.75</v>
      </c>
      <c r="AM49" s="9">
        <f>'REV-REVCALC_CWS'!AL42</f>
        <v>-201743.75</v>
      </c>
      <c r="AN49" s="9">
        <f>'REV-REVCALC_CWS'!AM42</f>
        <v>-201743.75</v>
      </c>
      <c r="AO49" s="9">
        <f>'REV-REVCALC_CWS'!AN42</f>
        <v>-124363.75</v>
      </c>
      <c r="AP49" s="9">
        <f>'REV-REVCALC_CWS'!AO42</f>
        <v>-76288</v>
      </c>
      <c r="AQ49" s="9">
        <f>'REV-REVCALC_CWS'!AP42</f>
        <v>-123045</v>
      </c>
      <c r="AR49" s="9">
        <f>'REV-REVCALC_CWS'!AQ42</f>
        <v>-137960.5</v>
      </c>
      <c r="AS49" s="9">
        <f>'REV-REVCALC_CWS'!AR42</f>
        <v>-134920.5</v>
      </c>
      <c r="AT49" s="9">
        <f>'REV-REVCALC_CWS'!AS42</f>
        <v>-149563.5</v>
      </c>
      <c r="AU49" s="9">
        <f>'REV-REVCALC_CWS'!AT42</f>
        <v>-163969</v>
      </c>
      <c r="AV49" s="9">
        <f>'REV-REVCALC_CWS'!AU42</f>
        <v>-134920.5</v>
      </c>
      <c r="AW49" s="9">
        <f>'REV-REVCALC_CWS'!AV42</f>
        <v>-149563.5</v>
      </c>
      <c r="AX49" s="9">
        <f>'REV-REVCALC_CWS'!AW42</f>
        <v>-120312.5</v>
      </c>
      <c r="AY49" s="9">
        <f>'REV-REVCALC_CWS'!AX42</f>
        <v>-120312.5</v>
      </c>
      <c r="AZ49" s="9">
        <f>'REV-REVCALC_CWS'!AY42</f>
        <v>-120312.5</v>
      </c>
      <c r="BA49" s="9">
        <f>'REV-REVCALC_CWS'!AZ42</f>
        <v>-74513</v>
      </c>
      <c r="BB49" s="9">
        <f>'REV-REVCALC_CWS'!BA42</f>
        <v>-25616.899999999994</v>
      </c>
      <c r="BC49" s="9">
        <f>'REV-REVCALC_CWS'!BB42</f>
        <v>-41137.899999999965</v>
      </c>
      <c r="BD49" s="9">
        <f>'REV-REVCALC_CWS'!BC42</f>
        <v>-45836.200000000012</v>
      </c>
      <c r="BE49" s="9">
        <f>'REV-REVCALC_CWS'!BD42</f>
        <v>-42796.200000000012</v>
      </c>
      <c r="BF49" s="9">
        <f>'REV-REVCALC_CWS'!BE42</f>
        <v>-48221.299999999988</v>
      </c>
      <c r="BG49" s="9">
        <f>'REV-REVCALC_CWS'!BF42</f>
        <v>-52287.099999999977</v>
      </c>
      <c r="BH49" s="9">
        <f>'REV-REVCALC_CWS'!BG42</f>
        <v>-42796.200000000012</v>
      </c>
      <c r="BI49" s="9">
        <f>'REV-REVCALC_CWS'!BH42</f>
        <v>-48221.299999999988</v>
      </c>
      <c r="BJ49" s="9">
        <f>'REV-REVCALC_CWS'!BI42</f>
        <v>-38405.399999999965</v>
      </c>
      <c r="BK49" s="9">
        <f>'REV-REVCALC_CWS'!BJ42</f>
        <v>-38405.399999999965</v>
      </c>
      <c r="BL49" s="9">
        <f>'REV-REVCALC_CWS'!BK42</f>
        <v>-38405.399999999965</v>
      </c>
      <c r="BM49" s="9">
        <f>'REV-REVCALC_CWS'!BL42</f>
        <v>-23841.899999999994</v>
      </c>
    </row>
    <row r="50" spans="2:66" x14ac:dyDescent="0.15">
      <c r="B50" s="44" t="s">
        <v>515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19444.75</v>
      </c>
      <c r="J50" s="9">
        <f t="shared" si="14"/>
        <v>21452.5</v>
      </c>
      <c r="K50" s="9">
        <f t="shared" si="14"/>
        <v>24093</v>
      </c>
      <c r="L50" s="9">
        <f t="shared" si="14"/>
        <v>19444.75</v>
      </c>
      <c r="M50" s="9">
        <f t="shared" si="14"/>
        <v>21452.5</v>
      </c>
      <c r="N50" s="9">
        <f t="shared" si="14"/>
        <v>17437</v>
      </c>
      <c r="O50" s="9">
        <f t="shared" si="14"/>
        <v>17437</v>
      </c>
      <c r="P50" s="9">
        <f t="shared" si="14"/>
        <v>17437</v>
      </c>
      <c r="Q50" s="9">
        <f t="shared" si="14"/>
        <v>10781</v>
      </c>
      <c r="R50" s="9">
        <f t="shared" si="14"/>
        <v>1701.71875</v>
      </c>
      <c r="S50" s="9">
        <f t="shared" si="14"/>
        <v>2765.46875</v>
      </c>
      <c r="T50" s="9">
        <f t="shared" si="14"/>
        <v>3084.6875</v>
      </c>
      <c r="U50" s="9">
        <f t="shared" si="14"/>
        <v>3145</v>
      </c>
      <c r="V50" s="9">
        <f t="shared" si="14"/>
        <v>3470.3125</v>
      </c>
      <c r="W50" s="9">
        <f t="shared" si="14"/>
        <v>3796.25</v>
      </c>
      <c r="X50" s="9">
        <f t="shared" si="14"/>
        <v>3145</v>
      </c>
      <c r="Y50" s="9">
        <f t="shared" si="14"/>
        <v>3470.3125</v>
      </c>
      <c r="Z50" s="9">
        <f t="shared" si="14"/>
        <v>2819.6875</v>
      </c>
      <c r="AA50" s="9">
        <f t="shared" si="14"/>
        <v>2819.6875</v>
      </c>
      <c r="AB50" s="9">
        <f t="shared" si="14"/>
        <v>2819.6875</v>
      </c>
      <c r="AC50" s="9">
        <f t="shared" si="14"/>
        <v>1737.03125</v>
      </c>
      <c r="AD50" s="9">
        <f t="shared" si="14"/>
        <v>-3147.78125</v>
      </c>
      <c r="AE50" s="9">
        <f t="shared" si="14"/>
        <v>-5102.875</v>
      </c>
      <c r="AF50" s="9">
        <f t="shared" si="14"/>
        <v>-5755.8125</v>
      </c>
      <c r="AG50" s="9">
        <f t="shared" si="14"/>
        <v>-5689.875</v>
      </c>
      <c r="AH50" s="9">
        <f t="shared" si="14"/>
        <v>-6226.59375</v>
      </c>
      <c r="AI50" s="9">
        <f t="shared" si="14"/>
        <v>-6872.78125</v>
      </c>
      <c r="AJ50" s="9">
        <f t="shared" si="14"/>
        <v>-5689.875</v>
      </c>
      <c r="AK50" s="9">
        <f t="shared" ref="AK50:BM50" si="15">AK49*$D50</f>
        <v>-6226.59375</v>
      </c>
      <c r="AL50" s="9">
        <f t="shared" si="15"/>
        <v>-5043.59375</v>
      </c>
      <c r="AM50" s="9">
        <f t="shared" si="15"/>
        <v>-5043.59375</v>
      </c>
      <c r="AN50" s="9">
        <f t="shared" si="15"/>
        <v>-5043.59375</v>
      </c>
      <c r="AO50" s="9">
        <f t="shared" si="15"/>
        <v>-3109.09375</v>
      </c>
      <c r="AP50" s="9">
        <f t="shared" si="15"/>
        <v>-1907.2</v>
      </c>
      <c r="AQ50" s="9">
        <f t="shared" si="15"/>
        <v>-3076.125</v>
      </c>
      <c r="AR50" s="9">
        <f t="shared" si="15"/>
        <v>-3449.0125000000003</v>
      </c>
      <c r="AS50" s="9">
        <f t="shared" si="15"/>
        <v>-3373.0125000000003</v>
      </c>
      <c r="AT50" s="9">
        <f t="shared" si="15"/>
        <v>-3739.0875000000001</v>
      </c>
      <c r="AU50" s="9">
        <f t="shared" si="15"/>
        <v>-4099.2250000000004</v>
      </c>
      <c r="AV50" s="9">
        <f t="shared" si="15"/>
        <v>-3373.0125000000003</v>
      </c>
      <c r="AW50" s="9">
        <f t="shared" si="15"/>
        <v>-3739.0875000000001</v>
      </c>
      <c r="AX50" s="9">
        <f t="shared" si="15"/>
        <v>-3007.8125</v>
      </c>
      <c r="AY50" s="9">
        <f t="shared" si="15"/>
        <v>-3007.8125</v>
      </c>
      <c r="AZ50" s="9">
        <f t="shared" si="15"/>
        <v>-3007.8125</v>
      </c>
      <c r="BA50" s="9">
        <f t="shared" si="15"/>
        <v>-1862.825</v>
      </c>
      <c r="BB50" s="9">
        <f t="shared" si="15"/>
        <v>-640.4224999999999</v>
      </c>
      <c r="BC50" s="9">
        <f t="shared" si="15"/>
        <v>-1028.4474999999991</v>
      </c>
      <c r="BD50" s="9">
        <f t="shared" si="15"/>
        <v>-1145.9050000000004</v>
      </c>
      <c r="BE50" s="9">
        <f t="shared" si="15"/>
        <v>-1069.9050000000004</v>
      </c>
      <c r="BF50" s="9">
        <f t="shared" si="15"/>
        <v>-1205.5324999999998</v>
      </c>
      <c r="BG50" s="9">
        <f t="shared" si="15"/>
        <v>-1307.1774999999996</v>
      </c>
      <c r="BH50" s="9">
        <f t="shared" si="15"/>
        <v>-1069.9050000000004</v>
      </c>
      <c r="BI50" s="9">
        <f t="shared" si="15"/>
        <v>-1205.5324999999998</v>
      </c>
      <c r="BJ50" s="9">
        <f t="shared" si="15"/>
        <v>-960.1349999999992</v>
      </c>
      <c r="BK50" s="9">
        <f t="shared" si="15"/>
        <v>-960.1349999999992</v>
      </c>
      <c r="BL50" s="9">
        <f t="shared" si="15"/>
        <v>-960.1349999999992</v>
      </c>
      <c r="BM50" s="9">
        <f t="shared" si="15"/>
        <v>-596.0474999999999</v>
      </c>
    </row>
    <row r="51" spans="2:66" x14ac:dyDescent="0.15">
      <c r="B51" s="44" t="s">
        <v>516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38889.5</v>
      </c>
      <c r="J51" s="9">
        <f t="shared" si="16"/>
        <v>42905</v>
      </c>
      <c r="K51" s="9">
        <f t="shared" si="16"/>
        <v>48186</v>
      </c>
      <c r="L51" s="9">
        <f t="shared" si="16"/>
        <v>38889.5</v>
      </c>
      <c r="M51" s="9">
        <f t="shared" si="16"/>
        <v>42905</v>
      </c>
      <c r="N51" s="9">
        <f t="shared" si="16"/>
        <v>34874</v>
      </c>
      <c r="O51" s="9">
        <f t="shared" si="16"/>
        <v>34874</v>
      </c>
      <c r="P51" s="9">
        <f t="shared" si="16"/>
        <v>34874</v>
      </c>
      <c r="Q51" s="9">
        <f t="shared" si="16"/>
        <v>21562</v>
      </c>
      <c r="R51" s="9">
        <f t="shared" si="16"/>
        <v>3403.4375</v>
      </c>
      <c r="S51" s="9">
        <f t="shared" si="16"/>
        <v>5530.9375</v>
      </c>
      <c r="T51" s="9">
        <f t="shared" si="16"/>
        <v>6169.375</v>
      </c>
      <c r="U51" s="9">
        <f t="shared" si="16"/>
        <v>6290</v>
      </c>
      <c r="V51" s="9">
        <f t="shared" si="16"/>
        <v>6940.625</v>
      </c>
      <c r="W51" s="9">
        <f t="shared" si="16"/>
        <v>7592.5</v>
      </c>
      <c r="X51" s="9">
        <f t="shared" si="16"/>
        <v>6290</v>
      </c>
      <c r="Y51" s="9">
        <f t="shared" si="16"/>
        <v>6940.625</v>
      </c>
      <c r="Z51" s="9">
        <f t="shared" si="16"/>
        <v>5639.375</v>
      </c>
      <c r="AA51" s="9">
        <f t="shared" si="16"/>
        <v>5639.375</v>
      </c>
      <c r="AB51" s="9">
        <f t="shared" si="16"/>
        <v>5639.375</v>
      </c>
      <c r="AC51" s="9">
        <f t="shared" si="16"/>
        <v>3474.0625</v>
      </c>
      <c r="AD51" s="9">
        <f t="shared" si="16"/>
        <v>-6295.5625</v>
      </c>
      <c r="AE51" s="9">
        <f t="shared" si="16"/>
        <v>-10205.75</v>
      </c>
      <c r="AF51" s="9">
        <f t="shared" si="16"/>
        <v>-11511.625</v>
      </c>
      <c r="AG51" s="9">
        <f t="shared" si="16"/>
        <v>-11379.75</v>
      </c>
      <c r="AH51" s="9">
        <f t="shared" si="16"/>
        <v>-12453.1875</v>
      </c>
      <c r="AI51" s="9">
        <f t="shared" si="16"/>
        <v>-13745.5625</v>
      </c>
      <c r="AJ51" s="9">
        <f t="shared" si="16"/>
        <v>-11379.75</v>
      </c>
      <c r="AK51" s="9">
        <f t="shared" ref="AK51:BM51" si="17">AK49*$D51</f>
        <v>-12453.1875</v>
      </c>
      <c r="AL51" s="9">
        <f t="shared" si="17"/>
        <v>-10087.1875</v>
      </c>
      <c r="AM51" s="9">
        <f t="shared" si="17"/>
        <v>-10087.1875</v>
      </c>
      <c r="AN51" s="9">
        <f t="shared" si="17"/>
        <v>-10087.1875</v>
      </c>
      <c r="AO51" s="9">
        <f t="shared" si="17"/>
        <v>-6218.1875</v>
      </c>
      <c r="AP51" s="9">
        <f t="shared" si="17"/>
        <v>-3814.4</v>
      </c>
      <c r="AQ51" s="9">
        <f t="shared" si="17"/>
        <v>-6152.25</v>
      </c>
      <c r="AR51" s="9">
        <f t="shared" si="17"/>
        <v>-6898.0250000000005</v>
      </c>
      <c r="AS51" s="9">
        <f t="shared" si="17"/>
        <v>-6746.0250000000005</v>
      </c>
      <c r="AT51" s="9">
        <f t="shared" si="17"/>
        <v>-7478.1750000000002</v>
      </c>
      <c r="AU51" s="9">
        <f t="shared" si="17"/>
        <v>-8198.4500000000007</v>
      </c>
      <c r="AV51" s="9">
        <f t="shared" si="17"/>
        <v>-6746.0250000000005</v>
      </c>
      <c r="AW51" s="9">
        <f t="shared" si="17"/>
        <v>-7478.1750000000002</v>
      </c>
      <c r="AX51" s="9">
        <f t="shared" si="17"/>
        <v>-6015.625</v>
      </c>
      <c r="AY51" s="9">
        <f t="shared" si="17"/>
        <v>-6015.625</v>
      </c>
      <c r="AZ51" s="9">
        <f t="shared" si="17"/>
        <v>-6015.625</v>
      </c>
      <c r="BA51" s="9">
        <f t="shared" si="17"/>
        <v>-3725.65</v>
      </c>
      <c r="BB51" s="9">
        <f t="shared" si="17"/>
        <v>-1280.8449999999998</v>
      </c>
      <c r="BC51" s="9">
        <f t="shared" si="17"/>
        <v>-2056.8949999999982</v>
      </c>
      <c r="BD51" s="9">
        <f t="shared" si="17"/>
        <v>-2291.8100000000009</v>
      </c>
      <c r="BE51" s="9">
        <f t="shared" si="17"/>
        <v>-2139.8100000000009</v>
      </c>
      <c r="BF51" s="9">
        <f t="shared" si="17"/>
        <v>-2411.0649999999996</v>
      </c>
      <c r="BG51" s="9">
        <f t="shared" si="17"/>
        <v>-2614.3549999999991</v>
      </c>
      <c r="BH51" s="9">
        <f t="shared" si="17"/>
        <v>-2139.8100000000009</v>
      </c>
      <c r="BI51" s="9">
        <f t="shared" si="17"/>
        <v>-2411.0649999999996</v>
      </c>
      <c r="BJ51" s="9">
        <f t="shared" si="17"/>
        <v>-1920.2699999999984</v>
      </c>
      <c r="BK51" s="9">
        <f t="shared" si="17"/>
        <v>-1920.2699999999984</v>
      </c>
      <c r="BL51" s="9">
        <f t="shared" si="17"/>
        <v>-1920.2699999999984</v>
      </c>
      <c r="BM51" s="9">
        <f t="shared" si="17"/>
        <v>-1192.0949999999998</v>
      </c>
    </row>
    <row r="52" spans="2:66" ht="11.25" customHeight="1" x14ac:dyDescent="0.15"/>
    <row r="54" spans="2:66" x14ac:dyDescent="0.15">
      <c r="B54" s="16" t="s">
        <v>512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517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520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19444.75</v>
      </c>
      <c r="J72" s="9">
        <f t="shared" si="21"/>
        <v>21452.5</v>
      </c>
      <c r="K72" s="9">
        <f t="shared" si="21"/>
        <v>24093</v>
      </c>
      <c r="L72" s="9">
        <f t="shared" si="21"/>
        <v>19444.75</v>
      </c>
      <c r="M72" s="9">
        <f t="shared" si="21"/>
        <v>21452.5</v>
      </c>
      <c r="N72" s="9">
        <f t="shared" si="21"/>
        <v>17437</v>
      </c>
      <c r="O72" s="9">
        <f t="shared" si="21"/>
        <v>17437</v>
      </c>
      <c r="P72" s="9">
        <f t="shared" si="21"/>
        <v>17437</v>
      </c>
      <c r="Q72" s="9">
        <f t="shared" si="21"/>
        <v>10781</v>
      </c>
      <c r="R72" s="9">
        <f t="shared" si="21"/>
        <v>1701.71875</v>
      </c>
      <c r="S72" s="9">
        <f t="shared" si="21"/>
        <v>2765.46875</v>
      </c>
      <c r="T72" s="9">
        <f t="shared" si="21"/>
        <v>3084.6875</v>
      </c>
      <c r="U72" s="9">
        <f t="shared" si="21"/>
        <v>3145</v>
      </c>
      <c r="V72" s="9">
        <f t="shared" si="21"/>
        <v>3470.3125</v>
      </c>
      <c r="W72" s="9">
        <f t="shared" si="21"/>
        <v>3796.25</v>
      </c>
      <c r="X72" s="9">
        <f t="shared" si="21"/>
        <v>3145</v>
      </c>
      <c r="Y72" s="9">
        <f t="shared" si="21"/>
        <v>3470.3125</v>
      </c>
      <c r="Z72" s="9">
        <f t="shared" si="21"/>
        <v>2819.6875</v>
      </c>
      <c r="AA72" s="9">
        <f t="shared" si="21"/>
        <v>2819.6875</v>
      </c>
      <c r="AB72" s="9">
        <f t="shared" si="21"/>
        <v>2819.6875</v>
      </c>
      <c r="AC72" s="9">
        <f t="shared" si="21"/>
        <v>1737.03125</v>
      </c>
      <c r="AD72" s="9">
        <f t="shared" si="21"/>
        <v>-3147.78125</v>
      </c>
      <c r="AE72" s="9">
        <f t="shared" si="21"/>
        <v>-5102.875</v>
      </c>
      <c r="AF72" s="9">
        <f t="shared" si="21"/>
        <v>-5755.8125</v>
      </c>
      <c r="AG72" s="9">
        <f t="shared" si="21"/>
        <v>-5689.875</v>
      </c>
      <c r="AH72" s="9">
        <f t="shared" si="21"/>
        <v>-6226.59375</v>
      </c>
      <c r="AI72" s="9">
        <f t="shared" si="21"/>
        <v>-6872.78125</v>
      </c>
      <c r="AJ72" s="9">
        <f t="shared" si="21"/>
        <v>-5689.875</v>
      </c>
      <c r="AK72" s="9">
        <f t="shared" si="21"/>
        <v>-6226.59375</v>
      </c>
      <c r="AL72" s="9">
        <f t="shared" si="21"/>
        <v>-5043.59375</v>
      </c>
      <c r="AM72" s="9">
        <f t="shared" si="21"/>
        <v>-5043.59375</v>
      </c>
      <c r="AN72" s="9">
        <f t="shared" si="21"/>
        <v>-5043.59375</v>
      </c>
      <c r="AO72" s="9">
        <f t="shared" si="21"/>
        <v>-3109.09375</v>
      </c>
      <c r="AP72" s="9">
        <f t="shared" si="21"/>
        <v>-1907.2</v>
      </c>
      <c r="AQ72" s="9">
        <f t="shared" si="21"/>
        <v>-3076.125</v>
      </c>
      <c r="AR72" s="9">
        <f t="shared" si="21"/>
        <v>-3449.0125000000003</v>
      </c>
      <c r="AS72" s="9">
        <f t="shared" si="21"/>
        <v>-3373.0125000000003</v>
      </c>
      <c r="AT72" s="9">
        <f t="shared" si="21"/>
        <v>-3739.0875000000001</v>
      </c>
      <c r="AU72" s="9">
        <f t="shared" si="21"/>
        <v>-4099.2250000000004</v>
      </c>
      <c r="AV72" s="9">
        <f t="shared" si="21"/>
        <v>-3373.0125000000003</v>
      </c>
      <c r="AW72" s="9">
        <f t="shared" si="21"/>
        <v>-3739.0875000000001</v>
      </c>
      <c r="AX72" s="9">
        <f t="shared" si="21"/>
        <v>-3007.8125</v>
      </c>
      <c r="AY72" s="9">
        <f t="shared" si="21"/>
        <v>-3007.8125</v>
      </c>
      <c r="AZ72" s="9">
        <f t="shared" si="21"/>
        <v>-3007.8125</v>
      </c>
      <c r="BA72" s="9">
        <f t="shared" si="21"/>
        <v>-1862.825</v>
      </c>
      <c r="BB72" s="9">
        <f t="shared" si="21"/>
        <v>-640.4224999999999</v>
      </c>
      <c r="BC72" s="9">
        <f t="shared" si="21"/>
        <v>-1028.4474999999991</v>
      </c>
      <c r="BD72" s="9">
        <f t="shared" si="21"/>
        <v>-1145.9050000000004</v>
      </c>
      <c r="BE72" s="9">
        <f t="shared" si="21"/>
        <v>-1069.9050000000004</v>
      </c>
      <c r="BF72" s="9">
        <f t="shared" si="21"/>
        <v>-1205.5324999999998</v>
      </c>
      <c r="BG72" s="9">
        <f t="shared" si="21"/>
        <v>-1307.1774999999996</v>
      </c>
      <c r="BH72" s="9">
        <f t="shared" si="21"/>
        <v>-1069.9050000000004</v>
      </c>
      <c r="BI72" s="9">
        <f t="shared" si="21"/>
        <v>-1205.5324999999998</v>
      </c>
      <c r="BJ72" s="9">
        <f t="shared" si="21"/>
        <v>-960.1349999999992</v>
      </c>
      <c r="BK72" s="9">
        <f t="shared" si="21"/>
        <v>-960.1349999999992</v>
      </c>
      <c r="BL72" s="9">
        <f t="shared" si="21"/>
        <v>-960.1349999999992</v>
      </c>
      <c r="BM72" s="9">
        <f t="shared" si="21"/>
        <v>-596.0474999999999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522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19444.75</v>
      </c>
      <c r="J82" s="9">
        <f t="shared" si="29"/>
        <v>21452.5</v>
      </c>
      <c r="K82" s="9">
        <f t="shared" si="29"/>
        <v>24093</v>
      </c>
      <c r="L82" s="9">
        <f t="shared" si="29"/>
        <v>19444.75</v>
      </c>
      <c r="M82" s="9">
        <f t="shared" si="29"/>
        <v>21452.5</v>
      </c>
      <c r="N82" s="9">
        <f t="shared" si="29"/>
        <v>17437</v>
      </c>
      <c r="O82" s="9">
        <f t="shared" si="29"/>
        <v>17437</v>
      </c>
      <c r="P82" s="9">
        <f t="shared" si="29"/>
        <v>17437</v>
      </c>
      <c r="Q82" s="9">
        <f t="shared" si="29"/>
        <v>10781</v>
      </c>
      <c r="R82" s="9">
        <f t="shared" si="29"/>
        <v>1701.71875</v>
      </c>
      <c r="S82" s="9">
        <f t="shared" si="29"/>
        <v>2765.46875</v>
      </c>
      <c r="T82" s="9">
        <f t="shared" si="29"/>
        <v>3084.6875</v>
      </c>
      <c r="U82" s="9">
        <f t="shared" si="29"/>
        <v>3145</v>
      </c>
      <c r="V82" s="9">
        <f t="shared" si="29"/>
        <v>3470.3125</v>
      </c>
      <c r="W82" s="9">
        <f t="shared" si="29"/>
        <v>3796.25</v>
      </c>
      <c r="X82" s="9">
        <f t="shared" si="29"/>
        <v>3145</v>
      </c>
      <c r="Y82" s="9">
        <f t="shared" si="29"/>
        <v>3470.3125</v>
      </c>
      <c r="Z82" s="9">
        <f t="shared" si="29"/>
        <v>2819.6875</v>
      </c>
      <c r="AA82" s="9">
        <f t="shared" si="29"/>
        <v>2819.6875</v>
      </c>
      <c r="AB82" s="9">
        <f t="shared" si="29"/>
        <v>2819.6875</v>
      </c>
      <c r="AC82" s="9">
        <f t="shared" si="29"/>
        <v>1737.03125</v>
      </c>
      <c r="AD82" s="9">
        <f t="shared" si="29"/>
        <v>-3147.78125</v>
      </c>
      <c r="AE82" s="9">
        <f t="shared" si="29"/>
        <v>-5102.875</v>
      </c>
      <c r="AF82" s="9">
        <f t="shared" si="29"/>
        <v>-5755.8125</v>
      </c>
      <c r="AG82" s="9">
        <f t="shared" si="29"/>
        <v>-5689.875</v>
      </c>
      <c r="AH82" s="9">
        <f t="shared" si="29"/>
        <v>-6226.59375</v>
      </c>
      <c r="AI82" s="9">
        <f t="shared" si="29"/>
        <v>-6872.78125</v>
      </c>
      <c r="AJ82" s="9">
        <f t="shared" si="29"/>
        <v>-5689.875</v>
      </c>
      <c r="AK82" s="9">
        <f t="shared" si="29"/>
        <v>-6226.59375</v>
      </c>
      <c r="AL82" s="9">
        <f t="shared" si="29"/>
        <v>-5043.59375</v>
      </c>
      <c r="AM82" s="9">
        <f t="shared" si="29"/>
        <v>-5043.59375</v>
      </c>
      <c r="AN82" s="9">
        <f t="shared" si="29"/>
        <v>-5043.59375</v>
      </c>
      <c r="AO82" s="9">
        <f t="shared" si="29"/>
        <v>-3109.09375</v>
      </c>
      <c r="AP82" s="9">
        <f t="shared" si="29"/>
        <v>-1907.2</v>
      </c>
      <c r="AQ82" s="9">
        <f t="shared" si="29"/>
        <v>-3076.125</v>
      </c>
      <c r="AR82" s="9">
        <f t="shared" si="29"/>
        <v>-3449.0125000000003</v>
      </c>
      <c r="AS82" s="9">
        <f t="shared" si="29"/>
        <v>-3373.0125000000003</v>
      </c>
      <c r="AT82" s="9">
        <f t="shared" si="29"/>
        <v>-3739.0875000000001</v>
      </c>
      <c r="AU82" s="9">
        <f t="shared" si="29"/>
        <v>-4099.2250000000004</v>
      </c>
      <c r="AV82" s="9">
        <f t="shared" si="29"/>
        <v>-3373.0125000000003</v>
      </c>
      <c r="AW82" s="9">
        <f t="shared" si="29"/>
        <v>-3739.0875000000001</v>
      </c>
      <c r="AX82" s="9">
        <f t="shared" si="29"/>
        <v>-3007.8125</v>
      </c>
      <c r="AY82" s="9">
        <f t="shared" si="29"/>
        <v>-3007.8125</v>
      </c>
      <c r="AZ82" s="9">
        <f t="shared" si="29"/>
        <v>-3007.8125</v>
      </c>
      <c r="BA82" s="9">
        <f t="shared" si="29"/>
        <v>-1862.825</v>
      </c>
      <c r="BB82" s="9">
        <f t="shared" si="29"/>
        <v>-640.4224999999999</v>
      </c>
      <c r="BC82" s="9">
        <f t="shared" si="29"/>
        <v>-1028.4474999999991</v>
      </c>
      <c r="BD82" s="9">
        <f t="shared" si="29"/>
        <v>-1145.9050000000004</v>
      </c>
      <c r="BE82" s="9">
        <f t="shared" si="29"/>
        <v>-1069.9050000000004</v>
      </c>
      <c r="BF82" s="9">
        <f t="shared" si="29"/>
        <v>-1205.5324999999998</v>
      </c>
      <c r="BG82" s="9">
        <f t="shared" si="29"/>
        <v>-1307.1774999999996</v>
      </c>
      <c r="BH82" s="9">
        <f t="shared" si="29"/>
        <v>-1069.9050000000004</v>
      </c>
      <c r="BI82" s="9">
        <f t="shared" si="29"/>
        <v>-1205.5324999999998</v>
      </c>
      <c r="BJ82" s="9">
        <f t="shared" si="29"/>
        <v>-960.1349999999992</v>
      </c>
      <c r="BK82" s="9">
        <f t="shared" si="29"/>
        <v>-960.1349999999992</v>
      </c>
      <c r="BL82" s="9">
        <f t="shared" si="29"/>
        <v>-960.1349999999992</v>
      </c>
      <c r="BM82" s="9">
        <f t="shared" si="29"/>
        <v>-596.0474999999999</v>
      </c>
    </row>
    <row r="83" spans="2:67" x14ac:dyDescent="0.15">
      <c r="B83" s="15"/>
    </row>
    <row r="84" spans="2:67" x14ac:dyDescent="0.15">
      <c r="B84" s="16" t="s">
        <v>518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519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521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523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715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737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663</v>
      </c>
      <c r="C3" s="10"/>
      <c r="D3" s="184">
        <f>REV_DB!E20</f>
        <v>339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5552820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21256695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6759180</v>
      </c>
      <c r="E5" s="63">
        <f>REV_DB!F17</f>
        <v>1390993.75</v>
      </c>
      <c r="F5" s="63">
        <f>REV_DB!G17</f>
        <v>-2518082.5</v>
      </c>
      <c r="G5" s="63">
        <f>REV_DB!H17</f>
        <v>-1505681</v>
      </c>
      <c r="H5" s="63">
        <f>REV_DB!I17</f>
        <v>-485971.20000000112</v>
      </c>
      <c r="I5" s="181">
        <f>SUM(D5:H5)</f>
        <v>3640439.0499999989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738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734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735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736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720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710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721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700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711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709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712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713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714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741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740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722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703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739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401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418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444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464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465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725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4" t="s">
        <v>36</v>
      </c>
      <c r="Q34" s="364"/>
      <c r="R34" s="364"/>
      <c r="S34" s="364"/>
      <c r="T34" s="364"/>
      <c r="U34" s="364"/>
      <c r="V34" s="364"/>
      <c r="W34" s="364"/>
      <c r="X34" s="364"/>
      <c r="Y34" s="364"/>
      <c r="Z34" s="364"/>
      <c r="AA34" s="364"/>
      <c r="AB34" s="364" t="s">
        <v>37</v>
      </c>
      <c r="AC34" s="364"/>
      <c r="AD34" s="364"/>
      <c r="AE34" s="364"/>
      <c r="AF34" s="364"/>
      <c r="AG34" s="364"/>
      <c r="AH34" s="364"/>
      <c r="AI34" s="364"/>
      <c r="AJ34" s="364"/>
      <c r="AK34" s="364"/>
      <c r="AL34" s="364"/>
      <c r="AM34" s="364"/>
      <c r="AN34" s="364" t="s">
        <v>38</v>
      </c>
      <c r="AO34" s="364"/>
      <c r="AP34" s="364"/>
      <c r="AQ34" s="364"/>
      <c r="AR34" s="364"/>
      <c r="AS34" s="364"/>
      <c r="AT34" s="364"/>
      <c r="AU34" s="364"/>
      <c r="AV34" s="364"/>
      <c r="AW34" s="364"/>
      <c r="AX34" s="364"/>
      <c r="AY34" s="364"/>
      <c r="AZ34" s="364" t="s">
        <v>39</v>
      </c>
      <c r="BA34" s="364"/>
      <c r="BB34" s="364"/>
      <c r="BC34" s="364"/>
      <c r="BD34" s="364"/>
      <c r="BE34" s="364"/>
      <c r="BF34" s="364"/>
      <c r="BG34" s="364"/>
      <c r="BH34" s="364"/>
      <c r="BI34" s="364"/>
      <c r="BJ34" s="364"/>
      <c r="BK34" s="364"/>
      <c r="BL34" s="35"/>
    </row>
    <row r="35" spans="1:75" s="14" customFormat="1" x14ac:dyDescent="0.15">
      <c r="B35" s="47" t="s">
        <v>716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68" t="s">
        <v>35</v>
      </c>
      <c r="E38" s="368"/>
      <c r="F38" s="368"/>
      <c r="G38" s="368"/>
      <c r="H38" s="368"/>
      <c r="I38" s="368"/>
      <c r="J38" s="368"/>
      <c r="K38" s="368"/>
      <c r="L38" s="368"/>
      <c r="M38" s="368"/>
      <c r="N38" s="368"/>
      <c r="O38" s="368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705</v>
      </c>
      <c r="BM39" s="36" t="s">
        <v>624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708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401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402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403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408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416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404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407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414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409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400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411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412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413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417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415</v>
      </c>
    </row>
    <row r="61" spans="1:63" x14ac:dyDescent="0.15">
      <c r="A61" s="75"/>
      <c r="B61" s="50"/>
    </row>
    <row r="62" spans="1:63" x14ac:dyDescent="0.15">
      <c r="A62" s="75"/>
      <c r="B62" s="128" t="s">
        <v>414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409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400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411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412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410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413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418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443</v>
      </c>
    </row>
    <row r="73" spans="1:63" x14ac:dyDescent="0.15">
      <c r="A73" s="75"/>
      <c r="B73" s="124" t="s">
        <v>426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419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444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464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465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420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445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442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706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707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700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701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702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703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700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701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702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703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700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701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702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703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700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701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702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703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700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701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702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703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700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701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702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703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701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703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704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4" t="s">
        <v>35</v>
      </c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 t="s">
        <v>36</v>
      </c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 t="s">
        <v>37</v>
      </c>
      <c r="AC1" s="364"/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 t="s">
        <v>38</v>
      </c>
      <c r="AO1" s="364"/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 t="s">
        <v>39</v>
      </c>
      <c r="BA1" s="364"/>
      <c r="BB1" s="364"/>
      <c r="BC1" s="364"/>
      <c r="BD1" s="364"/>
      <c r="BE1" s="364"/>
      <c r="BF1" s="364"/>
      <c r="BG1" s="364"/>
      <c r="BH1" s="364"/>
      <c r="BI1" s="364"/>
      <c r="BJ1" s="364"/>
      <c r="BK1" s="364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401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402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403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408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416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404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407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414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409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400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411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412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413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417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415</v>
      </c>
    </row>
    <row r="22" spans="1:63" x14ac:dyDescent="0.15">
      <c r="B22" s="50"/>
    </row>
    <row r="23" spans="1:63" x14ac:dyDescent="0.15">
      <c r="B23" s="128" t="s">
        <v>414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409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400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411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412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410</v>
      </c>
    </row>
    <row r="29" spans="1:63" x14ac:dyDescent="0.15">
      <c r="B29" s="128" t="s">
        <v>413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418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443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426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419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444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464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465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420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445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442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zoomScale="110" zoomScaleNormal="11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F36" sqref="F36"/>
    </sheetView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4" t="s">
        <v>647</v>
      </c>
      <c r="C2" s="364"/>
      <c r="D2" s="364"/>
      <c r="E2" s="364"/>
      <c r="F2" s="364"/>
      <c r="G2" s="364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1239</v>
      </c>
      <c r="B6" s="373">
        <f>[1]PREC_MERCADO_CWS!$B$24</f>
        <v>570240</v>
      </c>
      <c r="C6" s="373">
        <f>B6*(1.03)</f>
        <v>587347.20000000007</v>
      </c>
      <c r="D6" s="373">
        <f t="shared" ref="D6:F6" si="0">C6*(1.03)</f>
        <v>604967.61600000004</v>
      </c>
      <c r="E6" s="373">
        <f t="shared" si="0"/>
        <v>623116.64448000002</v>
      </c>
      <c r="F6" s="37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1237</v>
      </c>
      <c r="B7" s="374">
        <f>[1]PREC_MERCADO_CWS!$B$27</f>
        <v>0.05</v>
      </c>
      <c r="C7" s="374">
        <v>0.05</v>
      </c>
      <c r="D7" s="374">
        <v>0.06</v>
      </c>
      <c r="E7" s="374">
        <v>0.06</v>
      </c>
      <c r="F7" s="374">
        <v>0.06</v>
      </c>
      <c r="G7" s="116"/>
      <c r="H7"/>
      <c r="I7"/>
      <c r="J7"/>
      <c r="K7"/>
      <c r="L7"/>
      <c r="M7"/>
    </row>
    <row r="8" spans="1:14" x14ac:dyDescent="0.15">
      <c r="A8" s="33" t="s">
        <v>1238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641</v>
      </c>
      <c r="B9" s="374">
        <f>[1]PREC_MERCADO_CWS!$B$33</f>
        <v>1.5151515151515152E-2</v>
      </c>
      <c r="C9" s="374">
        <f>B9*1.03</f>
        <v>1.5606060606060608E-2</v>
      </c>
      <c r="D9" s="374">
        <f t="shared" ref="D9:F9" si="1">C9*1.03</f>
        <v>1.6074242424242425E-2</v>
      </c>
      <c r="E9" s="374">
        <f t="shared" si="1"/>
        <v>1.6556469696969698E-2</v>
      </c>
      <c r="F9" s="37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638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4" t="s">
        <v>648</v>
      </c>
      <c r="C12" s="364"/>
      <c r="D12" s="364"/>
      <c r="E12" s="364"/>
      <c r="F12" s="364"/>
      <c r="G12" s="364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1240</v>
      </c>
      <c r="C16" s="374">
        <v>0.05</v>
      </c>
      <c r="D16" s="374">
        <v>0.08</v>
      </c>
      <c r="E16" s="374">
        <v>0.09</v>
      </c>
      <c r="F16" s="374">
        <v>0.09</v>
      </c>
      <c r="G16" s="374">
        <v>0.1</v>
      </c>
      <c r="H16" s="374">
        <v>0.11</v>
      </c>
      <c r="I16" s="374">
        <v>0.09</v>
      </c>
      <c r="J16" s="374">
        <v>0.1</v>
      </c>
      <c r="K16" s="374">
        <v>0.08</v>
      </c>
      <c r="L16" s="374">
        <v>0.08</v>
      </c>
      <c r="M16" s="374">
        <v>0.08</v>
      </c>
      <c r="N16" s="374">
        <v>0.05</v>
      </c>
    </row>
    <row r="17" spans="1:20" ht="13.5" customHeight="1" x14ac:dyDescent="0.15">
      <c r="A17" s="44" t="s">
        <v>1241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73">
        <f>B8</f>
        <v>28512</v>
      </c>
    </row>
    <row r="21" spans="1:20" x14ac:dyDescent="0.15">
      <c r="C21" s="364" t="s">
        <v>649</v>
      </c>
      <c r="D21" s="364"/>
      <c r="E21" s="364"/>
      <c r="F21" s="364"/>
    </row>
    <row r="23" spans="1:20" x14ac:dyDescent="0.15">
      <c r="C23" s="34" t="s">
        <v>332</v>
      </c>
      <c r="D23" s="34" t="s">
        <v>650</v>
      </c>
      <c r="E23" s="34" t="s">
        <v>642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4" t="s">
        <v>651</v>
      </c>
      <c r="C32" s="364"/>
      <c r="D32" s="364"/>
      <c r="E32" s="364"/>
      <c r="F32" s="364"/>
      <c r="G32" s="364"/>
      <c r="H32" s="364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75" t="s">
        <v>1242</v>
      </c>
      <c r="C35" s="376"/>
      <c r="D35" s="376"/>
      <c r="E35" s="376"/>
      <c r="F35" s="376">
        <f>F$16</f>
        <v>0.09</v>
      </c>
      <c r="G35" s="376">
        <f t="shared" ref="G35:N35" si="3">G$16</f>
        <v>0.1</v>
      </c>
      <c r="H35" s="376">
        <f t="shared" si="3"/>
        <v>0.11</v>
      </c>
      <c r="I35" s="376">
        <f t="shared" si="3"/>
        <v>0.09</v>
      </c>
      <c r="J35" s="376">
        <f t="shared" si="3"/>
        <v>0.1</v>
      </c>
      <c r="K35" s="376">
        <f t="shared" si="3"/>
        <v>0.08</v>
      </c>
      <c r="L35" s="376">
        <f t="shared" si="3"/>
        <v>0.08</v>
      </c>
      <c r="M35" s="376">
        <f t="shared" si="3"/>
        <v>0.08</v>
      </c>
      <c r="N35" s="376">
        <f t="shared" si="3"/>
        <v>0.05</v>
      </c>
      <c r="O35" s="376">
        <f>SUM(C35:N35)</f>
        <v>0.77999999999999992</v>
      </c>
    </row>
    <row r="36" spans="2:15" x14ac:dyDescent="0.15">
      <c r="B36" s="377" t="s">
        <v>1243</v>
      </c>
      <c r="C36" s="378">
        <f>ROUND(($B$10*C37),0)</f>
        <v>0</v>
      </c>
      <c r="D36" s="378">
        <f>ROUND(($B$10*D37),0)</f>
        <v>0</v>
      </c>
      <c r="E36" s="378">
        <f>ROUND(($B$10*E37),0)</f>
        <v>0</v>
      </c>
      <c r="F36" s="378">
        <f>ROUND(($B$10*F35),0)</f>
        <v>39</v>
      </c>
      <c r="G36" s="378">
        <f>ROUND(($B$10*G35),0)</f>
        <v>43</v>
      </c>
      <c r="H36" s="378">
        <f>ROUND(($B$10*H35),0)</f>
        <v>48</v>
      </c>
      <c r="I36" s="378">
        <f>ROUND(($B$10*I35),0)</f>
        <v>39</v>
      </c>
      <c r="J36" s="378">
        <f>ROUND(($B$10*J35),0)</f>
        <v>43</v>
      </c>
      <c r="K36" s="378">
        <f>ROUND(($B$10*K35),0)</f>
        <v>35</v>
      </c>
      <c r="L36" s="378">
        <f>ROUND(($B$10*L35),0)</f>
        <v>35</v>
      </c>
      <c r="M36" s="378">
        <f>ROUND(($B$10*M35),0)</f>
        <v>35</v>
      </c>
      <c r="N36" s="378">
        <f>ROUND(($B$10*N35),0)</f>
        <v>22</v>
      </c>
      <c r="O36" s="378">
        <f>SUM(C36:N36)</f>
        <v>339</v>
      </c>
    </row>
    <row r="37" spans="2:15" x14ac:dyDescent="0.15">
      <c r="B37" s="33" t="s">
        <v>333</v>
      </c>
      <c r="C37" s="374"/>
      <c r="D37" s="374"/>
      <c r="E37" s="374"/>
      <c r="F37" s="374">
        <f>F$16*0.2</f>
        <v>1.7999999999999999E-2</v>
      </c>
      <c r="G37" s="374">
        <f>G$16*0.2</f>
        <v>2.0000000000000004E-2</v>
      </c>
      <c r="H37" s="374">
        <f t="shared" ref="H37:N37" si="4">H$16*0.2</f>
        <v>2.2000000000000002E-2</v>
      </c>
      <c r="I37" s="374">
        <f t="shared" si="4"/>
        <v>1.7999999999999999E-2</v>
      </c>
      <c r="J37" s="374">
        <f t="shared" si="4"/>
        <v>2.0000000000000004E-2</v>
      </c>
      <c r="K37" s="374">
        <f t="shared" si="4"/>
        <v>1.6E-2</v>
      </c>
      <c r="L37" s="374">
        <f t="shared" si="4"/>
        <v>1.6E-2</v>
      </c>
      <c r="M37" s="374">
        <f t="shared" si="4"/>
        <v>1.6E-2</v>
      </c>
      <c r="N37" s="374">
        <f t="shared" si="4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>ROUND(($B$10*F37),0)</f>
        <v>8</v>
      </c>
      <c r="G38" s="171">
        <f>ROUND(($B$10*G37),0)</f>
        <v>9</v>
      </c>
      <c r="H38" s="171">
        <f>ROUND(($B$10*H37),0)</f>
        <v>10</v>
      </c>
      <c r="I38" s="171">
        <f>ROUND(($B$10*I37),0)</f>
        <v>8</v>
      </c>
      <c r="J38" s="171">
        <f>ROUND(($B$10*J37),0)</f>
        <v>9</v>
      </c>
      <c r="K38" s="171">
        <f>ROUND(($B$10*K37),0)</f>
        <v>7</v>
      </c>
      <c r="L38" s="171">
        <f>ROUND(($B$10*L37),0)</f>
        <v>7</v>
      </c>
      <c r="M38" s="171">
        <f>ROUND(($B$10*M37),0)</f>
        <v>7</v>
      </c>
      <c r="N38" s="171">
        <f>ROUND(($B$10*N37),0)</f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74">
        <f>C$16*0.7</f>
        <v>3.4999999999999996E-2</v>
      </c>
      <c r="D41" s="374">
        <f t="shared" ref="D41:N41" si="5">D$16*0.7</f>
        <v>5.5999999999999994E-2</v>
      </c>
      <c r="E41" s="374">
        <f t="shared" si="5"/>
        <v>6.3E-2</v>
      </c>
      <c r="F41" s="374">
        <f t="shared" si="5"/>
        <v>6.3E-2</v>
      </c>
      <c r="G41" s="374">
        <f t="shared" si="5"/>
        <v>6.9999999999999993E-2</v>
      </c>
      <c r="H41" s="374">
        <f t="shared" si="5"/>
        <v>7.6999999999999999E-2</v>
      </c>
      <c r="I41" s="374">
        <f t="shared" si="5"/>
        <v>6.3E-2</v>
      </c>
      <c r="J41" s="374">
        <f t="shared" si="5"/>
        <v>6.9999999999999993E-2</v>
      </c>
      <c r="K41" s="374">
        <f t="shared" si="5"/>
        <v>5.5999999999999994E-2</v>
      </c>
      <c r="L41" s="374">
        <f t="shared" si="5"/>
        <v>5.5999999999999994E-2</v>
      </c>
      <c r="M41" s="374">
        <f t="shared" si="5"/>
        <v>5.5999999999999994E-2</v>
      </c>
      <c r="N41" s="374">
        <f t="shared" si="5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6">ROUND(($C$10*D41),0)</f>
        <v>26</v>
      </c>
      <c r="E42" s="171">
        <f t="shared" si="6"/>
        <v>29</v>
      </c>
      <c r="F42" s="171">
        <f t="shared" si="6"/>
        <v>29</v>
      </c>
      <c r="G42" s="171">
        <f t="shared" si="6"/>
        <v>32</v>
      </c>
      <c r="H42" s="171">
        <f t="shared" si="6"/>
        <v>35</v>
      </c>
      <c r="I42" s="171">
        <f t="shared" si="6"/>
        <v>29</v>
      </c>
      <c r="J42" s="171">
        <f t="shared" si="6"/>
        <v>32</v>
      </c>
      <c r="K42" s="171">
        <f t="shared" si="6"/>
        <v>26</v>
      </c>
      <c r="L42" s="171">
        <f t="shared" si="6"/>
        <v>26</v>
      </c>
      <c r="M42" s="171">
        <f t="shared" si="6"/>
        <v>26</v>
      </c>
      <c r="N42" s="171">
        <f t="shared" si="6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74">
        <f>C$16</f>
        <v>0.05</v>
      </c>
      <c r="D45" s="374">
        <f t="shared" ref="D45:N45" si="7">D$16</f>
        <v>0.08</v>
      </c>
      <c r="E45" s="374">
        <f t="shared" si="7"/>
        <v>0.09</v>
      </c>
      <c r="F45" s="374">
        <f t="shared" si="7"/>
        <v>0.09</v>
      </c>
      <c r="G45" s="374">
        <f t="shared" si="7"/>
        <v>0.1</v>
      </c>
      <c r="H45" s="374">
        <f t="shared" si="7"/>
        <v>0.11</v>
      </c>
      <c r="I45" s="374">
        <f t="shared" si="7"/>
        <v>0.09</v>
      </c>
      <c r="J45" s="374">
        <f t="shared" si="7"/>
        <v>0.1</v>
      </c>
      <c r="K45" s="374">
        <f t="shared" si="7"/>
        <v>0.08</v>
      </c>
      <c r="L45" s="374">
        <f t="shared" si="7"/>
        <v>0.08</v>
      </c>
      <c r="M45" s="374">
        <f t="shared" si="7"/>
        <v>0.08</v>
      </c>
      <c r="N45" s="374">
        <f t="shared" si="7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8">ROUND(($D$10*D45),0)</f>
        <v>47</v>
      </c>
      <c r="E46" s="171">
        <f t="shared" si="8"/>
        <v>53</v>
      </c>
      <c r="F46" s="171">
        <f t="shared" si="8"/>
        <v>53</v>
      </c>
      <c r="G46" s="171">
        <f t="shared" si="8"/>
        <v>58</v>
      </c>
      <c r="H46" s="171">
        <f t="shared" si="8"/>
        <v>64</v>
      </c>
      <c r="I46" s="171">
        <f t="shared" si="8"/>
        <v>53</v>
      </c>
      <c r="J46" s="171">
        <f t="shared" si="8"/>
        <v>58</v>
      </c>
      <c r="K46" s="171">
        <f t="shared" si="8"/>
        <v>47</v>
      </c>
      <c r="L46" s="171">
        <f t="shared" si="8"/>
        <v>47</v>
      </c>
      <c r="M46" s="171">
        <f t="shared" si="8"/>
        <v>47</v>
      </c>
      <c r="N46" s="171">
        <f t="shared" si="8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74">
        <f>C$16</f>
        <v>0.05</v>
      </c>
      <c r="D49" s="374">
        <f t="shared" ref="D49:N49" si="9">D$16</f>
        <v>0.08</v>
      </c>
      <c r="E49" s="374">
        <f t="shared" si="9"/>
        <v>0.09</v>
      </c>
      <c r="F49" s="374">
        <f t="shared" si="9"/>
        <v>0.09</v>
      </c>
      <c r="G49" s="374">
        <f t="shared" si="9"/>
        <v>0.1</v>
      </c>
      <c r="H49" s="374">
        <f t="shared" si="9"/>
        <v>0.11</v>
      </c>
      <c r="I49" s="374">
        <f t="shared" si="9"/>
        <v>0.09</v>
      </c>
      <c r="J49" s="374">
        <f t="shared" si="9"/>
        <v>0.1</v>
      </c>
      <c r="K49" s="374">
        <f t="shared" si="9"/>
        <v>0.08</v>
      </c>
      <c r="L49" s="374">
        <f t="shared" si="9"/>
        <v>0.08</v>
      </c>
      <c r="M49" s="374">
        <f t="shared" si="9"/>
        <v>0.08</v>
      </c>
      <c r="N49" s="374">
        <f t="shared" si="9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0">ROUND(($E$10*D49),0)</f>
        <v>50</v>
      </c>
      <c r="E50" s="171">
        <f t="shared" si="10"/>
        <v>56</v>
      </c>
      <c r="F50" s="171">
        <f t="shared" si="10"/>
        <v>56</v>
      </c>
      <c r="G50" s="171">
        <f t="shared" si="10"/>
        <v>62</v>
      </c>
      <c r="H50" s="171">
        <f t="shared" si="10"/>
        <v>68</v>
      </c>
      <c r="I50" s="171">
        <f t="shared" si="10"/>
        <v>56</v>
      </c>
      <c r="J50" s="171">
        <f t="shared" si="10"/>
        <v>62</v>
      </c>
      <c r="K50" s="171">
        <f t="shared" si="10"/>
        <v>50</v>
      </c>
      <c r="L50" s="171">
        <f t="shared" si="10"/>
        <v>50</v>
      </c>
      <c r="M50" s="171">
        <f t="shared" si="10"/>
        <v>50</v>
      </c>
      <c r="N50" s="171">
        <f t="shared" si="10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74">
        <f>C$16</f>
        <v>0.05</v>
      </c>
      <c r="D53" s="374">
        <f t="shared" ref="D53:N53" si="11">D$16</f>
        <v>0.08</v>
      </c>
      <c r="E53" s="374">
        <f t="shared" si="11"/>
        <v>0.09</v>
      </c>
      <c r="F53" s="374">
        <f t="shared" si="11"/>
        <v>0.09</v>
      </c>
      <c r="G53" s="374">
        <f t="shared" si="11"/>
        <v>0.1</v>
      </c>
      <c r="H53" s="374">
        <f t="shared" si="11"/>
        <v>0.11</v>
      </c>
      <c r="I53" s="374">
        <f t="shared" si="11"/>
        <v>0.09</v>
      </c>
      <c r="J53" s="374">
        <f t="shared" si="11"/>
        <v>0.1</v>
      </c>
      <c r="K53" s="374">
        <f t="shared" si="11"/>
        <v>0.08</v>
      </c>
      <c r="L53" s="374">
        <f t="shared" si="11"/>
        <v>0.08</v>
      </c>
      <c r="M53" s="374">
        <f t="shared" si="11"/>
        <v>0.08</v>
      </c>
      <c r="N53" s="374">
        <f t="shared" si="11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2">ROUND(($F$10*D53),0)</f>
        <v>53</v>
      </c>
      <c r="E54" s="171">
        <f t="shared" si="12"/>
        <v>59</v>
      </c>
      <c r="F54" s="171">
        <f t="shared" si="12"/>
        <v>59</v>
      </c>
      <c r="G54" s="171">
        <f t="shared" si="12"/>
        <v>66</v>
      </c>
      <c r="H54" s="171">
        <f t="shared" si="12"/>
        <v>72</v>
      </c>
      <c r="I54" s="171">
        <f t="shared" si="12"/>
        <v>59</v>
      </c>
      <c r="J54" s="171">
        <f t="shared" si="12"/>
        <v>66</v>
      </c>
      <c r="K54" s="171">
        <f t="shared" si="12"/>
        <v>53</v>
      </c>
      <c r="L54" s="171">
        <f t="shared" si="12"/>
        <v>53</v>
      </c>
      <c r="M54" s="171">
        <f t="shared" si="12"/>
        <v>53</v>
      </c>
      <c r="N54" s="171">
        <f t="shared" si="12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373</v>
      </c>
      <c r="E3" s="66">
        <f>E24</f>
        <v>5552820</v>
      </c>
      <c r="F3" s="66">
        <f>F24</f>
        <v>4781700</v>
      </c>
      <c r="G3" s="66">
        <f>G24</f>
        <v>2983500</v>
      </c>
      <c r="H3" s="66">
        <f>H24</f>
        <v>3638700</v>
      </c>
      <c r="I3" s="66">
        <f>I24</f>
        <v>4299975</v>
      </c>
      <c r="J3" s="118">
        <f>SUM(E3:I3)</f>
        <v>21256695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4068000</v>
      </c>
      <c r="F5" s="66">
        <f>F31</f>
        <v>3477600</v>
      </c>
      <c r="G5" s="66">
        <f>G31</f>
        <v>5686200</v>
      </c>
      <c r="H5" s="66">
        <f>H31</f>
        <v>5441256</v>
      </c>
      <c r="I5" s="66">
        <f>I31</f>
        <v>5189163.7000000011</v>
      </c>
      <c r="J5" s="118">
        <f>SUM(E5:I5)</f>
        <v>23862219.700000003</v>
      </c>
    </row>
    <row r="6" spans="2:11" x14ac:dyDescent="0.15">
      <c r="B6" s="33" t="s">
        <v>345</v>
      </c>
      <c r="E6" s="66">
        <f>E3-E5</f>
        <v>1484820</v>
      </c>
      <c r="F6" s="66">
        <f>F3-F5</f>
        <v>1304100</v>
      </c>
      <c r="G6" s="66">
        <f>G3-G5</f>
        <v>-2702700</v>
      </c>
      <c r="H6" s="66">
        <f>H3-H5</f>
        <v>-1802556</v>
      </c>
      <c r="I6" s="66">
        <f>I3-I5</f>
        <v>-889188.70000000112</v>
      </c>
      <c r="J6" s="118">
        <f>SUM(E6:I6)</f>
        <v>-2605524.7000000011</v>
      </c>
    </row>
    <row r="7" spans="2:11" x14ac:dyDescent="0.15">
      <c r="B7" s="33" t="s">
        <v>327</v>
      </c>
      <c r="E7" s="116">
        <f>E6/E3</f>
        <v>0.26739926739926739</v>
      </c>
      <c r="F7" s="116">
        <f>F6/F3</f>
        <v>0.27272727272727271</v>
      </c>
      <c r="G7" s="116">
        <f>G6/G3</f>
        <v>-0.90588235294117647</v>
      </c>
      <c r="H7" s="116">
        <f>H6/H3</f>
        <v>-0.49538461538461537</v>
      </c>
      <c r="I7" s="116">
        <f>I6/I3</f>
        <v>-0.20678927203065159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374</v>
      </c>
      <c r="E9" s="66">
        <f t="shared" ref="E9:I10" si="0">E44</f>
        <v>5274360</v>
      </c>
      <c r="F9" s="66">
        <f t="shared" si="0"/>
        <v>35250</v>
      </c>
      <c r="G9" s="66">
        <f t="shared" si="0"/>
        <v>48450</v>
      </c>
      <c r="H9" s="66">
        <f t="shared" si="0"/>
        <v>38430</v>
      </c>
      <c r="I9" s="66">
        <f t="shared" si="0"/>
        <v>18900</v>
      </c>
      <c r="J9" s="118">
        <f t="shared" ref="J9:J17" si="1">SUM(E9:I9)</f>
        <v>5415390</v>
      </c>
    </row>
    <row r="10" spans="2:11" x14ac:dyDescent="0.15">
      <c r="B10" s="33" t="s">
        <v>375</v>
      </c>
      <c r="E10" s="66">
        <f t="shared" si="0"/>
        <v>0</v>
      </c>
      <c r="F10" s="66">
        <f t="shared" si="0"/>
        <v>11000</v>
      </c>
      <c r="G10" s="66">
        <f t="shared" si="0"/>
        <v>16700</v>
      </c>
      <c r="H10" s="66">
        <f t="shared" si="0"/>
        <v>27650</v>
      </c>
      <c r="I10" s="66">
        <f t="shared" si="0"/>
        <v>29750</v>
      </c>
      <c r="J10" s="118">
        <f t="shared" si="1"/>
        <v>85100</v>
      </c>
    </row>
    <row r="11" spans="2:11" x14ac:dyDescent="0.15">
      <c r="B11" s="33" t="s">
        <v>379</v>
      </c>
      <c r="E11" s="66">
        <f>SUM(E9:E10)</f>
        <v>5274360</v>
      </c>
      <c r="F11" s="66">
        <f>SUM(F9:F10)</f>
        <v>46250</v>
      </c>
      <c r="G11" s="66">
        <f>SUM(G9:G10)</f>
        <v>65150</v>
      </c>
      <c r="H11" s="66">
        <f>SUM(H9:H10)</f>
        <v>66080</v>
      </c>
      <c r="I11" s="66">
        <f>SUM(I9:I10)</f>
        <v>48650</v>
      </c>
      <c r="J11" s="118">
        <f t="shared" si="1"/>
        <v>5500490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378</v>
      </c>
      <c r="E13" s="66">
        <f t="shared" ref="E13:I14" si="2">E47</f>
        <v>0</v>
      </c>
      <c r="F13" s="66">
        <f t="shared" si="2"/>
        <v>3350</v>
      </c>
      <c r="G13" s="66">
        <f t="shared" si="2"/>
        <v>8925</v>
      </c>
      <c r="H13" s="66">
        <f t="shared" si="2"/>
        <v>12500</v>
      </c>
      <c r="I13" s="66">
        <f t="shared" si="2"/>
        <v>14975</v>
      </c>
      <c r="J13" s="118">
        <f t="shared" si="1"/>
        <v>39750</v>
      </c>
    </row>
    <row r="14" spans="2:11" x14ac:dyDescent="0.15">
      <c r="B14" s="33" t="s">
        <v>377</v>
      </c>
      <c r="E14" s="66">
        <f t="shared" si="2"/>
        <v>0</v>
      </c>
      <c r="F14" s="66">
        <f t="shared" si="2"/>
        <v>37293.75</v>
      </c>
      <c r="G14" s="66">
        <f t="shared" si="2"/>
        <v>110542.5</v>
      </c>
      <c r="H14" s="66">
        <f t="shared" si="2"/>
        <v>218295</v>
      </c>
      <c r="I14" s="66">
        <f t="shared" si="2"/>
        <v>339592.5</v>
      </c>
      <c r="J14" s="118">
        <f t="shared" si="1"/>
        <v>705723.75</v>
      </c>
    </row>
    <row r="15" spans="2:11" x14ac:dyDescent="0.15">
      <c r="B15" s="33" t="s">
        <v>380</v>
      </c>
      <c r="E15" s="66">
        <f>SUM(E13:E14)</f>
        <v>0</v>
      </c>
      <c r="F15" s="66">
        <f>SUM(F13:F14)</f>
        <v>40643.75</v>
      </c>
      <c r="G15" s="66">
        <f>SUM(G13:G14)</f>
        <v>119467.5</v>
      </c>
      <c r="H15" s="66">
        <f>SUM(H13:H14)</f>
        <v>230795</v>
      </c>
      <c r="I15" s="66">
        <f>SUM(I13:I14)</f>
        <v>354567.5</v>
      </c>
      <c r="J15" s="118">
        <f t="shared" si="1"/>
        <v>745473.75</v>
      </c>
      <c r="K15" s="120">
        <f>J15+J14+J13+J11+J6</f>
        <v>4385912.7999999989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381</v>
      </c>
      <c r="E17" s="66">
        <f>E6+E11+E15</f>
        <v>6759180</v>
      </c>
      <c r="F17" s="66">
        <f>F6+F11+F15</f>
        <v>1390993.75</v>
      </c>
      <c r="G17" s="66">
        <f>G6+G11+G15</f>
        <v>-2518082.5</v>
      </c>
      <c r="H17" s="66">
        <f>H6+H11+H15</f>
        <v>-1505681</v>
      </c>
      <c r="I17" s="66">
        <f>I6+I11+I15</f>
        <v>-485971.20000000112</v>
      </c>
      <c r="J17" s="118">
        <f t="shared" si="1"/>
        <v>3640439.0499999989</v>
      </c>
      <c r="K17" s="120">
        <f>J15+J11+J3</f>
        <v>27502658.75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653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339</v>
      </c>
      <c r="F20">
        <f>SUM('REV-REVCALC_CWS'!Q6:AB6)</f>
        <v>322</v>
      </c>
      <c r="G20">
        <f>SUM('REV-REVCALC_CWS'!AC6:AN6)</f>
        <v>585</v>
      </c>
      <c r="H20">
        <f>SUM('REV-REVCALC_CWS'!AO6:AZ6)</f>
        <v>622</v>
      </c>
      <c r="I20">
        <f>SUM('REV-REVCALC_CWS'!BA6:BL6)</f>
        <v>659</v>
      </c>
      <c r="J20" s="118">
        <f>SUM(E20:I20)</f>
        <v>2527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6102000</v>
      </c>
      <c r="F21" s="66">
        <f>SUM('REV-REVCALC_CWS'!Q7:AB7)</f>
        <v>6375600</v>
      </c>
      <c r="G21" s="66">
        <f>SUM('REV-REVCALC_CWS'!AC7:AN7)</f>
        <v>3510000</v>
      </c>
      <c r="H21" s="66">
        <f>SUM('REV-REVCALC_CWS'!AO7:AZ7)</f>
        <v>4043000</v>
      </c>
      <c r="I21" s="66">
        <f>SUM('REV-REVCALC_CWS'!BA7:BL7)</f>
        <v>4777750</v>
      </c>
      <c r="J21" s="118">
        <f>SUM(E21:I21)</f>
        <v>24808350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0.09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5552820</v>
      </c>
      <c r="F24" s="66">
        <f>SUM('REV-REVCALC_CWS'!Q10:AB10)</f>
        <v>4781700</v>
      </c>
      <c r="G24" s="66">
        <f>SUM('REV-REVCALC_CWS'!AC10:AN10)</f>
        <v>2983500</v>
      </c>
      <c r="H24" s="66">
        <f>SUM('REV-REVCALC_CWS'!AO10:AZ10)</f>
        <v>3638700</v>
      </c>
      <c r="I24" s="66">
        <f>SUM('REV-REVCALC_CWS'!BA10:BL10)</f>
        <v>4299975</v>
      </c>
      <c r="J24" s="118">
        <f>SUM(E24:I24)</f>
        <v>21256695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4068000</v>
      </c>
      <c r="F27" s="66">
        <f>SUM('REV-REVCALC_CWS'!Q14:AB14)</f>
        <v>3477600</v>
      </c>
      <c r="G27" s="66">
        <f>SUM('REV-REVCALC_CWS'!AC14:AN14)</f>
        <v>5686200</v>
      </c>
      <c r="H27" s="66">
        <f>SUM('REV-REVCALC_CWS'!AO14:AZ14)</f>
        <v>5441256</v>
      </c>
      <c r="I27" s="66">
        <f>SUM('REV-REVCALC_CWS'!BA14:BL14)</f>
        <v>5188438.7999999989</v>
      </c>
      <c r="J27" s="118">
        <f>SUM(E27:I27)</f>
        <v>23861494.799999997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0</v>
      </c>
      <c r="F28" s="66">
        <f>SUM('REV-REVCALC_CWS'!Q15:AB15)</f>
        <v>0</v>
      </c>
      <c r="G28" s="66">
        <f>SUM('REV-REVCALC_CWS'!AC15:AN15)</f>
        <v>0</v>
      </c>
      <c r="H28" s="66">
        <f>SUM('REV-REVCALC_CWS'!AO15:AZ15)</f>
        <v>0</v>
      </c>
      <c r="I28" s="66">
        <f>SUM('REV-REVCALC_CWS'!BA15:BL15)</f>
        <v>724.89999999999986</v>
      </c>
      <c r="J28" s="118">
        <f>SUM(E28:I28)</f>
        <v>724.89999999999986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0</v>
      </c>
      <c r="F29" s="66">
        <f>SUM('REV-REVCALC_CWS'!Q16:AB16)</f>
        <v>0</v>
      </c>
      <c r="G29" s="66">
        <f>SUM('REV-REVCALC_CWS'!AC16:AN16)</f>
        <v>0</v>
      </c>
      <c r="H29" s="66">
        <f>SUM('REV-REVCALC_CWS'!AO16:AZ16)</f>
        <v>0</v>
      </c>
      <c r="I29" s="66">
        <f>SUM('REV-REVCALC_CWS'!BA16:BL16)</f>
        <v>0</v>
      </c>
      <c r="J29" s="118">
        <f>SUM(E29:I29)</f>
        <v>0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0</v>
      </c>
      <c r="F30" s="66">
        <f>SUM('REV-REVCALC_CWS'!Q17:AB17)</f>
        <v>0</v>
      </c>
      <c r="G30" s="66">
        <f>SUM('REV-REVCALC_CWS'!AC17:AN17)</f>
        <v>0</v>
      </c>
      <c r="H30" s="66">
        <f>SUM('REV-REVCALC_CWS'!AO17:AZ17)</f>
        <v>0</v>
      </c>
      <c r="I30" s="66">
        <f>SUM('REV-REVCALC_CWS'!BA17:BL17)</f>
        <v>0</v>
      </c>
      <c r="J30" s="118">
        <f>SUM(E30:I30)</f>
        <v>0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4068000</v>
      </c>
      <c r="F31" s="66">
        <f>SUM('REV-REVCALC_CWS'!Q19:AB19)</f>
        <v>3477600</v>
      </c>
      <c r="G31" s="66">
        <f>SUM('REV-REVCALC_CWS'!AC19:AN19)</f>
        <v>5686200</v>
      </c>
      <c r="H31" s="66">
        <f>SUM('REV-REVCALC_CWS'!AO19:AZ19)</f>
        <v>5441256</v>
      </c>
      <c r="I31" s="66">
        <f>SUM('REV-REVCALC_CWS'!BA19:BL19)</f>
        <v>5189163.7000000011</v>
      </c>
      <c r="J31" s="118">
        <f>SUM(E31:I31)</f>
        <v>23862219.700000003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1484820</v>
      </c>
      <c r="F33" s="66">
        <f>SUM('REV-REVCALC_CWS'!Q21:AB21)</f>
        <v>1304100</v>
      </c>
      <c r="G33" s="66">
        <f>SUM('REV-REVCALC_CWS'!AC21:AN21)</f>
        <v>-2702700</v>
      </c>
      <c r="H33" s="66">
        <f>SUM('REV-REVCALC_CWS'!AO21:AZ21)</f>
        <v>-1802556</v>
      </c>
      <c r="I33" s="66">
        <f>SUM('REV-REVCALC_CWS'!BA21:BL21)</f>
        <v>-889188.6999999996</v>
      </c>
      <c r="J33" s="118">
        <f>SUM(E33:I33)</f>
        <v>-2605524.6999999997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0.26739926739926739</v>
      </c>
      <c r="F34" s="116">
        <f>F33/F24</f>
        <v>0.27272727272727271</v>
      </c>
      <c r="G34" s="116">
        <f>G33/G24</f>
        <v>-0.90588235294117647</v>
      </c>
      <c r="H34" s="116">
        <f>H33/H24</f>
        <v>-0.49538461538461537</v>
      </c>
      <c r="I34" s="116">
        <f>I33/I24</f>
        <v>-0.20678927203065126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252</v>
      </c>
      <c r="F38">
        <f>SUM('REV-REVCALC_CWS'!Q27:AB27)</f>
        <v>188</v>
      </c>
      <c r="G38">
        <f>SUM('REV-REVCALC_CWS'!AC27:AN27)</f>
        <v>228</v>
      </c>
      <c r="H38">
        <f>SUM('REV-REVCALC_CWS'!AO27:AZ27)</f>
        <v>122</v>
      </c>
      <c r="I38">
        <f>SUM('REV-REVCALC_CWS'!BA27:BL27)</f>
        <v>60</v>
      </c>
      <c r="J38" s="118">
        <f>SUM(E38:I38)</f>
        <v>850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87</v>
      </c>
      <c r="F39">
        <f>SUM('REV-REVCALC_CWS'!Q28:AB28)</f>
        <v>134</v>
      </c>
      <c r="G39">
        <f>SUM('REV-REVCALC_CWS'!AC28:AN28)</f>
        <v>357</v>
      </c>
      <c r="H39">
        <f>SUM('REV-REVCALC_CWS'!AO28:AZ28)</f>
        <v>500</v>
      </c>
      <c r="I39">
        <f>SUM('REV-REVCALC_CWS'!BA28:BL28)</f>
        <v>599</v>
      </c>
      <c r="J39" s="118">
        <f>SUM(E39:I39)</f>
        <v>1677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SUM('REV-REVCALC_CWS'!E32:P32)</f>
        <v>5796000</v>
      </c>
      <c r="F42" s="66">
        <f>SUM('REV-REVCALC_CWS'!Q32:AB32)</f>
        <v>47000</v>
      </c>
      <c r="G42" s="66">
        <f>SUM('REV-REVCALC_CWS'!AC32:AN32)</f>
        <v>57000</v>
      </c>
      <c r="H42" s="66">
        <f>SUM('REV-REVCALC_CWS'!AO32:AZ32)</f>
        <v>42700</v>
      </c>
      <c r="I42" s="66">
        <f>SUM('REV-REVCALC_CWS'!BA32:BL32)</f>
        <v>21000</v>
      </c>
      <c r="J42" s="118">
        <f>SUM(E42:I42)</f>
        <v>5963700</v>
      </c>
      <c r="K42" s="120">
        <f>J42-'REV-REVCALC_CWS'!BM32</f>
        <v>0</v>
      </c>
    </row>
    <row r="43" spans="2:11" x14ac:dyDescent="0.15">
      <c r="B43" s="47" t="s">
        <v>347</v>
      </c>
      <c r="C43" s="47"/>
      <c r="E43" s="98">
        <f>'REV-REVCALC_CWS'!P33</f>
        <v>0.09</v>
      </c>
      <c r="F43" s="98">
        <f>'REV-REVCALC_CWS'!AB33</f>
        <v>0.25</v>
      </c>
      <c r="G43" s="98">
        <f>'REV-REVCALC_CWS'!AN33</f>
        <v>0.15</v>
      </c>
      <c r="H43" s="98">
        <f>'REV-REVCALC_CWS'!AZ33</f>
        <v>0.1</v>
      </c>
      <c r="I43" s="98">
        <f>'REV-REVCALC_CWS'!BL33</f>
        <v>0.1</v>
      </c>
    </row>
    <row r="44" spans="2:11" x14ac:dyDescent="0.15">
      <c r="B44" s="47" t="s">
        <v>355</v>
      </c>
      <c r="C44" s="47"/>
      <c r="E44" s="66">
        <f>SUM('REV-REVCALC_CWS'!E34:P34)</f>
        <v>5274360</v>
      </c>
      <c r="F44" s="66">
        <f>SUM('REV-REVCALC_CWS'!Q34:AB34)</f>
        <v>35250</v>
      </c>
      <c r="G44" s="66">
        <f>SUM('REV-REVCALC_CWS'!AC34:AN34)</f>
        <v>48450</v>
      </c>
      <c r="H44" s="66">
        <f>SUM('REV-REVCALC_CWS'!AO34:AZ34)</f>
        <v>38430</v>
      </c>
      <c r="I44" s="66">
        <f>SUM('REV-REVCALC_CWS'!BA34:BL34)</f>
        <v>18900</v>
      </c>
      <c r="J44" s="118">
        <f>SUM(E44:I44)</f>
        <v>5415390</v>
      </c>
      <c r="K44" s="120">
        <f>J44-'REV-REVCALC_CWS'!BM34</f>
        <v>0</v>
      </c>
    </row>
    <row r="45" spans="2:11" x14ac:dyDescent="0.15">
      <c r="B45" s="47" t="s">
        <v>370</v>
      </c>
      <c r="C45" s="47"/>
      <c r="E45" s="66">
        <f>SUM('REV-REVCALC_CWS'!E35:P35)</f>
        <v>0</v>
      </c>
      <c r="F45" s="66">
        <f>SUM('REV-REVCALC_CWS'!Q35:AB35)</f>
        <v>11000</v>
      </c>
      <c r="G45" s="66">
        <f>SUM('REV-REVCALC_CWS'!AC35:AN35)</f>
        <v>16700</v>
      </c>
      <c r="H45" s="66">
        <f>SUM('REV-REVCALC_CWS'!AO35:AZ35)</f>
        <v>27650</v>
      </c>
      <c r="I45" s="66">
        <f>SUM('REV-REVCALC_CWS'!BA35:BL35)</f>
        <v>29750</v>
      </c>
      <c r="J45" s="118">
        <f>SUM(E45:I45)</f>
        <v>85100</v>
      </c>
      <c r="K45" s="120">
        <f>J45-'REV-REVCALC_CWS'!BM35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362</v>
      </c>
      <c r="E47" s="66">
        <f>SUM('REV-REVCALC_CWS'!E38:P38)</f>
        <v>0</v>
      </c>
      <c r="F47" s="66">
        <f>SUM('REV-REVCALC_CWS'!Q38:AB38)</f>
        <v>3350</v>
      </c>
      <c r="G47" s="66">
        <f>SUM('REV-REVCALC_CWS'!AC38:AN38)</f>
        <v>8925</v>
      </c>
      <c r="H47" s="66">
        <f>SUM('REV-REVCALC_CWS'!AO38:AZ38)</f>
        <v>12500</v>
      </c>
      <c r="I47" s="66">
        <f>SUM('REV-REVCALC_CWS'!BA38:BL38)</f>
        <v>14975</v>
      </c>
      <c r="J47" s="118">
        <f>SUM(E47:I47)</f>
        <v>39750</v>
      </c>
      <c r="K47" s="120">
        <f>J47-'REV-REVCALC_CWS'!BM38</f>
        <v>0</v>
      </c>
    </row>
    <row r="48" spans="2:11" x14ac:dyDescent="0.15">
      <c r="B48" s="47" t="s">
        <v>369</v>
      </c>
      <c r="E48" s="66">
        <f>SUM('REV-REVCALC_CWS'!E39:P39)</f>
        <v>0</v>
      </c>
      <c r="F48" s="66">
        <f>SUM('REV-REVCALC_CWS'!Q39:AB39)</f>
        <v>37293.75</v>
      </c>
      <c r="G48" s="66">
        <f>SUM('REV-REVCALC_CWS'!AC39:AN39)</f>
        <v>110542.5</v>
      </c>
      <c r="H48" s="66">
        <f>SUM('REV-REVCALC_CWS'!AO39:AZ39)</f>
        <v>218295</v>
      </c>
      <c r="I48" s="66">
        <f>SUM('REV-REVCALC_CWS'!BA39:BL39)</f>
        <v>339592.5</v>
      </c>
      <c r="J48" s="118">
        <f>SUM(E48:I48)</f>
        <v>705723.75</v>
      </c>
      <c r="K48" s="120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4" t="s">
        <v>729</v>
      </c>
      <c r="C2" s="364"/>
      <c r="D2" s="364"/>
    </row>
    <row r="3" spans="2:4" x14ac:dyDescent="0.15">
      <c r="C3" s="10" t="s">
        <v>389</v>
      </c>
      <c r="D3" s="10" t="s">
        <v>390</v>
      </c>
    </row>
    <row r="4" spans="2:4" x14ac:dyDescent="0.15">
      <c r="B4" s="14" t="s">
        <v>447</v>
      </c>
      <c r="C4" s="275">
        <v>3</v>
      </c>
      <c r="D4" s="275">
        <v>2</v>
      </c>
    </row>
    <row r="5" spans="2:4" x14ac:dyDescent="0.15">
      <c r="B5" s="17" t="s">
        <v>391</v>
      </c>
      <c r="C5" s="93"/>
      <c r="D5" s="90">
        <v>650</v>
      </c>
    </row>
    <row r="6" spans="2:4" x14ac:dyDescent="0.15">
      <c r="B6" s="17" t="s">
        <v>392</v>
      </c>
      <c r="C6" s="93">
        <v>120</v>
      </c>
      <c r="D6" s="90">
        <f>C6*$D$4</f>
        <v>240</v>
      </c>
    </row>
    <row r="7" spans="2:4" x14ac:dyDescent="0.15">
      <c r="B7" s="17" t="s">
        <v>393</v>
      </c>
      <c r="C7" s="93">
        <v>50</v>
      </c>
      <c r="D7" s="90">
        <f>C7*$C$4</f>
        <v>150</v>
      </c>
    </row>
    <row r="8" spans="2:4" x14ac:dyDescent="0.15">
      <c r="B8" s="17" t="s">
        <v>394</v>
      </c>
      <c r="C8" s="93">
        <v>85</v>
      </c>
      <c r="D8" s="90">
        <f>C8*$C$4</f>
        <v>255</v>
      </c>
    </row>
    <row r="9" spans="2:4" x14ac:dyDescent="0.15">
      <c r="B9" s="73" t="s">
        <v>395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396</v>
      </c>
      <c r="C11" s="275">
        <v>2</v>
      </c>
      <c r="D11" s="275">
        <v>2</v>
      </c>
    </row>
    <row r="12" spans="2:4" x14ac:dyDescent="0.15">
      <c r="B12" s="17" t="s">
        <v>391</v>
      </c>
      <c r="C12" s="93"/>
      <c r="D12" s="90">
        <v>650</v>
      </c>
    </row>
    <row r="13" spans="2:4" x14ac:dyDescent="0.15">
      <c r="B13" s="17" t="s">
        <v>392</v>
      </c>
      <c r="C13" s="93">
        <v>120</v>
      </c>
      <c r="D13" s="90">
        <f>C13*$D$11</f>
        <v>240</v>
      </c>
    </row>
    <row r="14" spans="2:4" x14ac:dyDescent="0.15">
      <c r="B14" s="17" t="s">
        <v>393</v>
      </c>
      <c r="C14" s="93">
        <v>50</v>
      </c>
      <c r="D14" s="90">
        <f>C14*$C$11</f>
        <v>100</v>
      </c>
    </row>
    <row r="15" spans="2:4" x14ac:dyDescent="0.15">
      <c r="B15" s="17" t="s">
        <v>394</v>
      </c>
      <c r="C15" s="93">
        <v>85</v>
      </c>
      <c r="D15" s="90">
        <f>C15*$C$11</f>
        <v>170</v>
      </c>
    </row>
    <row r="16" spans="2:4" x14ac:dyDescent="0.15">
      <c r="B16" s="73" t="s">
        <v>395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448</v>
      </c>
      <c r="C18" s="275">
        <v>4</v>
      </c>
      <c r="D18" s="275">
        <v>3</v>
      </c>
    </row>
    <row r="19" spans="2:4" x14ac:dyDescent="0.15">
      <c r="B19" s="17" t="s">
        <v>391</v>
      </c>
      <c r="C19" s="93"/>
      <c r="D19" s="90">
        <v>650</v>
      </c>
    </row>
    <row r="20" spans="2:4" x14ac:dyDescent="0.15">
      <c r="B20" s="17" t="s">
        <v>392</v>
      </c>
      <c r="C20" s="93">
        <v>120</v>
      </c>
      <c r="D20" s="90">
        <f>C20*$D$18</f>
        <v>360</v>
      </c>
    </row>
    <row r="21" spans="2:4" x14ac:dyDescent="0.15">
      <c r="B21" s="17" t="s">
        <v>393</v>
      </c>
      <c r="C21" s="93">
        <v>50</v>
      </c>
      <c r="D21" s="90">
        <f>C21*$C$18</f>
        <v>200</v>
      </c>
    </row>
    <row r="22" spans="2:4" x14ac:dyDescent="0.15">
      <c r="B22" s="17" t="s">
        <v>394</v>
      </c>
      <c r="C22" s="93">
        <v>85</v>
      </c>
      <c r="D22" s="90">
        <f>C22*$C$18</f>
        <v>340</v>
      </c>
    </row>
    <row r="23" spans="2:4" x14ac:dyDescent="0.15">
      <c r="B23" s="73" t="s">
        <v>395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446</v>
      </c>
      <c r="C25" s="275">
        <v>3</v>
      </c>
      <c r="D25" s="275">
        <v>2</v>
      </c>
    </row>
    <row r="26" spans="2:4" x14ac:dyDescent="0.15">
      <c r="B26" s="17" t="s">
        <v>391</v>
      </c>
      <c r="C26" s="93"/>
      <c r="D26" s="90">
        <v>1500</v>
      </c>
    </row>
    <row r="27" spans="2:4" x14ac:dyDescent="0.15">
      <c r="B27" s="47" t="s">
        <v>392</v>
      </c>
      <c r="C27" s="93">
        <v>150</v>
      </c>
      <c r="D27" s="90">
        <f>C27*$D$25</f>
        <v>300</v>
      </c>
    </row>
    <row r="28" spans="2:4" x14ac:dyDescent="0.15">
      <c r="B28" s="17" t="s">
        <v>393</v>
      </c>
      <c r="C28" s="93">
        <v>50</v>
      </c>
      <c r="D28" s="90">
        <f>C28*$C$25</f>
        <v>150</v>
      </c>
    </row>
    <row r="29" spans="2:4" x14ac:dyDescent="0.15">
      <c r="B29" s="17" t="s">
        <v>394</v>
      </c>
      <c r="C29" s="93">
        <v>85</v>
      </c>
      <c r="D29" s="90">
        <f>C29*$C$25</f>
        <v>255</v>
      </c>
    </row>
    <row r="30" spans="2:4" x14ac:dyDescent="0.15">
      <c r="B30" s="73" t="s">
        <v>395</v>
      </c>
      <c r="C30" s="27"/>
      <c r="D30" s="117">
        <f>SUM(D26:D29)</f>
        <v>2205</v>
      </c>
    </row>
    <row r="32" spans="2:4" x14ac:dyDescent="0.15">
      <c r="B32" s="73" t="s">
        <v>449</v>
      </c>
      <c r="C32" s="275">
        <v>3</v>
      </c>
      <c r="D32" s="275">
        <v>2</v>
      </c>
    </row>
    <row r="33" spans="2:4" x14ac:dyDescent="0.15">
      <c r="B33" s="17" t="s">
        <v>391</v>
      </c>
      <c r="C33" s="93"/>
      <c r="D33" s="90">
        <v>650</v>
      </c>
    </row>
    <row r="34" spans="2:4" x14ac:dyDescent="0.15">
      <c r="B34" s="47" t="s">
        <v>1120</v>
      </c>
      <c r="C34" s="93">
        <v>150</v>
      </c>
      <c r="D34" s="90">
        <f>C34*$D$25</f>
        <v>300</v>
      </c>
    </row>
    <row r="35" spans="2:4" x14ac:dyDescent="0.15">
      <c r="B35" s="17" t="s">
        <v>393</v>
      </c>
      <c r="C35" s="93">
        <v>50</v>
      </c>
      <c r="D35" s="90">
        <f>C35*$C$25</f>
        <v>150</v>
      </c>
    </row>
    <row r="36" spans="2:4" x14ac:dyDescent="0.15">
      <c r="B36" s="17" t="s">
        <v>394</v>
      </c>
      <c r="C36" s="93">
        <v>85</v>
      </c>
      <c r="D36" s="90">
        <f>C36*$C$25</f>
        <v>255</v>
      </c>
    </row>
    <row r="37" spans="2:4" x14ac:dyDescent="0.15">
      <c r="B37" s="73" t="s">
        <v>395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4" t="s">
        <v>35</v>
      </c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 t="s">
        <v>36</v>
      </c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 t="s">
        <v>37</v>
      </c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/>
      <c r="AO1" s="364" t="s">
        <v>38</v>
      </c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/>
      <c r="BA1" s="364" t="s">
        <v>39</v>
      </c>
      <c r="BB1" s="364"/>
      <c r="BC1" s="364"/>
      <c r="BD1" s="364"/>
      <c r="BE1" s="364"/>
      <c r="BF1" s="364"/>
      <c r="BG1" s="364"/>
      <c r="BH1" s="364"/>
      <c r="BI1" s="364"/>
      <c r="BJ1" s="364"/>
      <c r="BK1" s="364"/>
      <c r="BL1" s="364"/>
      <c r="BM1" s="35"/>
    </row>
    <row r="2" spans="1:76" s="14" customFormat="1" x14ac:dyDescent="0.15">
      <c r="A2" s="10"/>
      <c r="B2" s="14" t="s">
        <v>762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450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451</v>
      </c>
    </row>
    <row r="25" spans="2:64" x14ac:dyDescent="0.15">
      <c r="B25" s="14"/>
    </row>
    <row r="26" spans="2:64" s="102" customFormat="1" x14ac:dyDescent="0.15">
      <c r="B26" s="299" t="s">
        <v>447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396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448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446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449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549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452</v>
      </c>
    </row>
    <row r="35" spans="2:64" x14ac:dyDescent="0.15">
      <c r="B35" s="14"/>
    </row>
    <row r="36" spans="2:64" x14ac:dyDescent="0.15">
      <c r="B36" s="47" t="s">
        <v>447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396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448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446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449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453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526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454</v>
      </c>
    </row>
    <row r="63" spans="2:64" x14ac:dyDescent="0.15">
      <c r="B63" s="14"/>
    </row>
    <row r="64" spans="2:64" s="102" customFormat="1" x14ac:dyDescent="0.15">
      <c r="B64" s="299" t="s">
        <v>447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396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448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446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449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549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455</v>
      </c>
    </row>
    <row r="73" spans="2:64" x14ac:dyDescent="0.15">
      <c r="B73" s="14"/>
    </row>
    <row r="74" spans="2:64" x14ac:dyDescent="0.15">
      <c r="B74" s="47" t="s">
        <v>447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396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448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446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449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456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527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996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995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457</v>
      </c>
    </row>
    <row r="107" spans="2:64" x14ac:dyDescent="0.15">
      <c r="B107" s="14"/>
    </row>
    <row r="108" spans="2:64" s="102" customFormat="1" x14ac:dyDescent="0.15">
      <c r="B108" s="299" t="s">
        <v>447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396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448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446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449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549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458</v>
      </c>
    </row>
    <row r="117" spans="2:64" x14ac:dyDescent="0.15">
      <c r="B117" s="14"/>
    </row>
    <row r="118" spans="2:64" x14ac:dyDescent="0.15">
      <c r="B118" s="47" t="s">
        <v>447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396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448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446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449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459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528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462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463</v>
      </c>
    </row>
    <row r="182" spans="2:64" hidden="1" x14ac:dyDescent="0.15">
      <c r="B182" s="14"/>
    </row>
    <row r="183" spans="2:64" s="102" customFormat="1" x14ac:dyDescent="0.15">
      <c r="B183" s="299" t="s">
        <v>447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396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448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446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449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549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460</v>
      </c>
    </row>
    <row r="192" spans="2:64" x14ac:dyDescent="0.15">
      <c r="B192" s="14"/>
    </row>
    <row r="193" spans="2:64" x14ac:dyDescent="0.15">
      <c r="B193" s="47" t="s">
        <v>447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396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448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446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449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461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690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383</v>
      </c>
      <c r="C3" s="169">
        <f>C25</f>
        <v>0</v>
      </c>
      <c r="D3" s="169">
        <f>SUM(D25:O25)</f>
        <v>339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2527</v>
      </c>
    </row>
    <row r="5" spans="2:63" x14ac:dyDescent="0.15">
      <c r="B5" s="16" t="s">
        <v>364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1102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1103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1478400</v>
      </c>
      <c r="G7" s="114">
        <f t="shared" si="0"/>
        <v>1556160</v>
      </c>
      <c r="H7" s="114">
        <f t="shared" si="0"/>
        <v>1626144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1109</v>
      </c>
    </row>
    <row r="9" spans="2:63" s="169" customFormat="1" x14ac:dyDescent="0.15">
      <c r="B9" s="315" t="s">
        <v>1102</v>
      </c>
      <c r="C9" s="169">
        <f>C34</f>
        <v>0</v>
      </c>
      <c r="D9" s="169">
        <f>SUM(D34:O34)</f>
        <v>410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1104</v>
      </c>
      <c r="C10" s="9">
        <f>C35</f>
        <v>0</v>
      </c>
      <c r="D10" s="9">
        <f>SUM(D35:O35)</f>
        <v>4920000</v>
      </c>
      <c r="E10" s="9">
        <f>SUM(P35:AA35)</f>
        <v>4104000</v>
      </c>
      <c r="F10" s="9">
        <f>SUM(AB35:AM35)</f>
        <v>5763960</v>
      </c>
      <c r="G10" s="9">
        <f>SUM(AN35:AY35)</f>
        <v>5511240</v>
      </c>
      <c r="H10" s="9">
        <f>SUM(AZ35:BK35)</f>
        <v>17037604.800000001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363</v>
      </c>
      <c r="C11" s="107"/>
    </row>
    <row r="12" spans="2:63" s="169" customFormat="1" x14ac:dyDescent="0.15">
      <c r="B12" s="315" t="s">
        <v>1102</v>
      </c>
      <c r="C12" s="169">
        <v>0</v>
      </c>
      <c r="D12" s="169">
        <f>SUM(D38:O38)</f>
        <v>339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1105</v>
      </c>
      <c r="C13" s="9">
        <v>0</v>
      </c>
      <c r="D13" s="9">
        <f>SUM(D39:O39)</f>
        <v>4068000</v>
      </c>
      <c r="E13" s="9">
        <f>SUM(P39:AA39)</f>
        <v>3477600</v>
      </c>
      <c r="F13" s="9">
        <f>SUM(AB39:AM39)</f>
        <v>5686200</v>
      </c>
      <c r="G13" s="9">
        <f>SUM(AN39:AY39)</f>
        <v>5441256</v>
      </c>
      <c r="H13" s="9">
        <f>SUM(AZ39:BK39)</f>
        <v>5188438.7999999989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365</v>
      </c>
      <c r="C14" s="97"/>
    </row>
    <row r="15" spans="2:63" s="169" customFormat="1" ht="16.5" customHeight="1" x14ac:dyDescent="0.15">
      <c r="B15" s="315" t="s">
        <v>1102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1105</v>
      </c>
      <c r="C16" s="9">
        <f t="shared" si="1"/>
        <v>0</v>
      </c>
      <c r="D16" s="9">
        <f t="shared" si="1"/>
        <v>852000</v>
      </c>
      <c r="E16" s="9">
        <f t="shared" si="1"/>
        <v>626400</v>
      </c>
      <c r="F16" s="9">
        <f t="shared" si="1"/>
        <v>77760</v>
      </c>
      <c r="G16" s="9">
        <f t="shared" si="1"/>
        <v>69984</v>
      </c>
      <c r="H16" s="9">
        <f t="shared" si="1"/>
        <v>11849166.000000002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366</v>
      </c>
    </row>
    <row r="18" spans="2:69" x14ac:dyDescent="0.15">
      <c r="B18" s="106" t="s">
        <v>1102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1104</v>
      </c>
      <c r="C19" s="9">
        <f t="shared" si="2"/>
        <v>0</v>
      </c>
      <c r="D19" s="9">
        <f t="shared" si="2"/>
        <v>852000</v>
      </c>
      <c r="E19" s="9">
        <f t="shared" si="2"/>
        <v>1478400</v>
      </c>
      <c r="F19" s="9">
        <f t="shared" si="2"/>
        <v>1556160</v>
      </c>
      <c r="G19" s="9">
        <f t="shared" si="2"/>
        <v>1626144</v>
      </c>
      <c r="H19" s="9">
        <f t="shared" si="2"/>
        <v>13475310.000000002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4" t="s">
        <v>35</v>
      </c>
      <c r="E21" s="364"/>
      <c r="F21" s="364"/>
      <c r="G21" s="364"/>
      <c r="H21" s="364"/>
      <c r="I21" s="364"/>
      <c r="J21" s="364"/>
      <c r="K21" s="364"/>
      <c r="L21" s="364"/>
      <c r="M21" s="364"/>
      <c r="N21" s="364"/>
      <c r="O21" s="364"/>
      <c r="P21" s="364" t="s">
        <v>36</v>
      </c>
      <c r="Q21" s="364"/>
      <c r="R21" s="364"/>
      <c r="S21" s="364"/>
      <c r="T21" s="364"/>
      <c r="U21" s="364"/>
      <c r="V21" s="364"/>
      <c r="W21" s="364"/>
      <c r="X21" s="364"/>
      <c r="Y21" s="364"/>
      <c r="Z21" s="364"/>
      <c r="AA21" s="364"/>
      <c r="AB21" s="364" t="s">
        <v>37</v>
      </c>
      <c r="AC21" s="364"/>
      <c r="AD21" s="364"/>
      <c r="AE21" s="364"/>
      <c r="AF21" s="364"/>
      <c r="AG21" s="364"/>
      <c r="AH21" s="364"/>
      <c r="AI21" s="364"/>
      <c r="AJ21" s="364"/>
      <c r="AK21" s="364"/>
      <c r="AL21" s="364"/>
      <c r="AM21" s="364"/>
      <c r="AN21" s="364" t="s">
        <v>38</v>
      </c>
      <c r="AO21" s="364"/>
      <c r="AP21" s="364"/>
      <c r="AQ21" s="364"/>
      <c r="AR21" s="364"/>
      <c r="AS21" s="364"/>
      <c r="AT21" s="364"/>
      <c r="AU21" s="364"/>
      <c r="AV21" s="364"/>
      <c r="AW21" s="364"/>
      <c r="AX21" s="364"/>
      <c r="AY21" s="364"/>
      <c r="AZ21" s="364" t="s">
        <v>39</v>
      </c>
      <c r="BA21" s="364"/>
      <c r="BB21" s="364"/>
      <c r="BC21" s="364"/>
      <c r="BD21" s="364"/>
      <c r="BE21" s="364"/>
      <c r="BF21" s="364"/>
      <c r="BG21" s="364"/>
      <c r="BH21" s="364"/>
      <c r="BI21" s="364"/>
      <c r="BJ21" s="364"/>
      <c r="BK21" s="364"/>
      <c r="BM21" s="10" t="s">
        <v>661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689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382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39</v>
      </c>
      <c r="H25" s="314">
        <f>'REV-REVCALC_CWS'!I6</f>
        <v>43</v>
      </c>
      <c r="I25" s="314">
        <f>'REV-REVCALC_CWS'!J6</f>
        <v>48</v>
      </c>
      <c r="J25" s="314">
        <f>'REV-REVCALC_CWS'!K6</f>
        <v>39</v>
      </c>
      <c r="K25" s="314">
        <f>'REV-REVCALC_CWS'!L6</f>
        <v>43</v>
      </c>
      <c r="L25" s="314">
        <f>'REV-REVCALC_CWS'!M6</f>
        <v>35</v>
      </c>
      <c r="M25" s="314">
        <f>'REV-REVCALC_CWS'!N6</f>
        <v>35</v>
      </c>
      <c r="N25" s="314">
        <f>'REV-REVCALC_CWS'!O6</f>
        <v>35</v>
      </c>
      <c r="O25" s="314">
        <f>'REV-REVCALC_CWS'!P6</f>
        <v>22</v>
      </c>
      <c r="P25" s="314">
        <f>'REV-REVCALC_CWS'!Q6</f>
        <v>16</v>
      </c>
      <c r="Q25" s="314">
        <f>'REV-REVCALC_CWS'!R6</f>
        <v>26</v>
      </c>
      <c r="R25" s="314">
        <f>'REV-REVCALC_CWS'!S6</f>
        <v>29</v>
      </c>
      <c r="S25" s="314">
        <f>'REV-REVCALC_CWS'!T6</f>
        <v>29</v>
      </c>
      <c r="T25" s="314">
        <f>'REV-REVCALC_CWS'!U6</f>
        <v>32</v>
      </c>
      <c r="U25" s="314">
        <f>'REV-REVCALC_CWS'!V6</f>
        <v>35</v>
      </c>
      <c r="V25" s="314">
        <f>'REV-REVCALC_CWS'!W6</f>
        <v>29</v>
      </c>
      <c r="W25" s="314">
        <f>'REV-REVCALC_CWS'!X6</f>
        <v>32</v>
      </c>
      <c r="X25" s="314">
        <f>'REV-REVCALC_CWS'!Y6</f>
        <v>26</v>
      </c>
      <c r="Y25" s="314">
        <f>'REV-REVCALC_CWS'!Z6</f>
        <v>26</v>
      </c>
      <c r="Z25" s="314">
        <f>'REV-REVCALC_CWS'!AA6</f>
        <v>26</v>
      </c>
      <c r="AA25" s="314">
        <f>'REV-REVCALC_CWS'!AB6</f>
        <v>16</v>
      </c>
      <c r="AB25" s="314">
        <f>'REV-REVCALC_CWS'!AC6</f>
        <v>29</v>
      </c>
      <c r="AC25" s="314">
        <f>'REV-REVCALC_CWS'!AD6</f>
        <v>47</v>
      </c>
      <c r="AD25" s="314">
        <f>'REV-REVCALC_CWS'!AE6</f>
        <v>53</v>
      </c>
      <c r="AE25" s="314">
        <f>'REV-REVCALC_CWS'!AF6</f>
        <v>53</v>
      </c>
      <c r="AF25" s="314">
        <f>'REV-REVCALC_CWS'!AG6</f>
        <v>58</v>
      </c>
      <c r="AG25" s="314">
        <f>'REV-REVCALC_CWS'!AH6</f>
        <v>64</v>
      </c>
      <c r="AH25" s="314">
        <f>'REV-REVCALC_CWS'!AI6</f>
        <v>53</v>
      </c>
      <c r="AI25" s="314">
        <f>'REV-REVCALC_CWS'!AJ6</f>
        <v>58</v>
      </c>
      <c r="AJ25" s="314">
        <f>'REV-REVCALC_CWS'!AK6</f>
        <v>47</v>
      </c>
      <c r="AK25" s="314">
        <f>'REV-REVCALC_CWS'!AL6</f>
        <v>47</v>
      </c>
      <c r="AL25" s="314">
        <f>'REV-REVCALC_CWS'!AM6</f>
        <v>47</v>
      </c>
      <c r="AM25" s="314">
        <f>'REV-REVCALC_CWS'!AN6</f>
        <v>29</v>
      </c>
      <c r="AN25" s="314">
        <f>'REV-REVCALC_CWS'!AO6</f>
        <v>31</v>
      </c>
      <c r="AO25" s="314">
        <f>'REV-REVCALC_CWS'!AP6</f>
        <v>50</v>
      </c>
      <c r="AP25" s="314">
        <f>'REV-REVCALC_CWS'!AQ6</f>
        <v>56</v>
      </c>
      <c r="AQ25" s="314">
        <f>'REV-REVCALC_CWS'!AR6</f>
        <v>56</v>
      </c>
      <c r="AR25" s="314">
        <f>'REV-REVCALC_CWS'!AS6</f>
        <v>62</v>
      </c>
      <c r="AS25" s="314">
        <f>'REV-REVCALC_CWS'!AT6</f>
        <v>68</v>
      </c>
      <c r="AT25" s="314">
        <f>'REV-REVCALC_CWS'!AU6</f>
        <v>56</v>
      </c>
      <c r="AU25" s="314">
        <f>'REV-REVCALC_CWS'!AV6</f>
        <v>62</v>
      </c>
      <c r="AV25" s="314">
        <f>'REV-REVCALC_CWS'!AW6</f>
        <v>50</v>
      </c>
      <c r="AW25" s="314">
        <f>'REV-REVCALC_CWS'!AX6</f>
        <v>50</v>
      </c>
      <c r="AX25" s="314">
        <f>'REV-REVCALC_CWS'!AY6</f>
        <v>50</v>
      </c>
      <c r="AY25" s="314">
        <f>'REV-REVCALC_CWS'!AZ6</f>
        <v>31</v>
      </c>
      <c r="AZ25" s="314">
        <f>'REV-REVCALC_CWS'!BA6</f>
        <v>33</v>
      </c>
      <c r="BA25" s="314">
        <f>'REV-REVCALC_CWS'!BB6</f>
        <v>53</v>
      </c>
      <c r="BB25" s="314">
        <f>'REV-REVCALC_CWS'!BC6</f>
        <v>59</v>
      </c>
      <c r="BC25" s="314">
        <f>'REV-REVCALC_CWS'!BD6</f>
        <v>59</v>
      </c>
      <c r="BD25" s="314">
        <f>'REV-REVCALC_CWS'!BE6</f>
        <v>66</v>
      </c>
      <c r="BE25" s="314">
        <f>'REV-REVCALC_CWS'!BF6</f>
        <v>72</v>
      </c>
      <c r="BF25" s="314">
        <f>'REV-REVCALC_CWS'!BG6</f>
        <v>59</v>
      </c>
      <c r="BG25" s="314">
        <f>'REV-REVCALC_CWS'!BH6</f>
        <v>66</v>
      </c>
      <c r="BH25" s="314">
        <f>'REV-REVCALC_CWS'!BI6</f>
        <v>53</v>
      </c>
      <c r="BI25" s="314">
        <f>'REV-REVCALC_CWS'!BJ6</f>
        <v>53</v>
      </c>
      <c r="BJ25" s="314">
        <f>'REV-REVCALC_CWS'!BK6</f>
        <v>53</v>
      </c>
      <c r="BK25" s="314">
        <f>'REV-REVCALC_CWS'!BL6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367</v>
      </c>
      <c r="C27" s="145">
        <f>'COGS-PRICE-MARGIN_CWS'!$F5</f>
        <v>12000</v>
      </c>
      <c r="D27" s="145">
        <f>'COGS-PRICE-MARGIN_CWS'!$F5</f>
        <v>12000</v>
      </c>
      <c r="E27" s="145">
        <f>'COGS-PRICE-MARGIN_CWS'!$F5</f>
        <v>12000</v>
      </c>
      <c r="F27" s="145">
        <f>'COGS-PRICE-MARGIN_CWS'!$F5</f>
        <v>12000</v>
      </c>
      <c r="G27" s="145">
        <f>'COGS-PRICE-MARGIN_CWS'!$F5</f>
        <v>12000</v>
      </c>
      <c r="H27" s="145">
        <f>'COGS-PRICE-MARGIN_CWS'!$F5</f>
        <v>12000</v>
      </c>
      <c r="I27" s="145">
        <f>'COGS-PRICE-MARGIN_CWS'!$F5</f>
        <v>12000</v>
      </c>
      <c r="J27" s="145">
        <f>'COGS-PRICE-MARGIN_CWS'!$F5</f>
        <v>12000</v>
      </c>
      <c r="K27" s="145">
        <f>'COGS-PRICE-MARGIN_CWS'!$F5</f>
        <v>12000</v>
      </c>
      <c r="L27" s="145">
        <f>'COGS-PRICE-MARGIN_CWS'!$F5</f>
        <v>12000</v>
      </c>
      <c r="M27" s="145">
        <f>'COGS-PRICE-MARGIN_CWS'!$F5</f>
        <v>12000</v>
      </c>
      <c r="N27" s="145">
        <f>'COGS-PRICE-MARGIN_CWS'!$F5</f>
        <v>12000</v>
      </c>
      <c r="O27" s="145">
        <f>'COGS-PRICE-MARGIN_CWS'!$F5</f>
        <v>12000</v>
      </c>
      <c r="P27" s="145">
        <f>'COGS-PRICE-MARGIN_CWS'!$F27</f>
        <v>10800</v>
      </c>
      <c r="Q27" s="145">
        <f>'COGS-PRICE-MARGIN_CWS'!$F27</f>
        <v>10800</v>
      </c>
      <c r="R27" s="145">
        <f>'COGS-PRICE-MARGIN_CWS'!$F27</f>
        <v>10800</v>
      </c>
      <c r="S27" s="145">
        <f>'COGS-PRICE-MARGIN_CWS'!$F27</f>
        <v>10800</v>
      </c>
      <c r="T27" s="145">
        <f>'COGS-PRICE-MARGIN_CWS'!$F27</f>
        <v>10800</v>
      </c>
      <c r="U27" s="145">
        <f>'COGS-PRICE-MARGIN_CWS'!$F27</f>
        <v>10800</v>
      </c>
      <c r="V27" s="145">
        <f>'COGS-PRICE-MARGIN_CWS'!$F27</f>
        <v>10800</v>
      </c>
      <c r="W27" s="145">
        <f>'COGS-PRICE-MARGIN_CWS'!$F27</f>
        <v>10800</v>
      </c>
      <c r="X27" s="145">
        <f>'COGS-PRICE-MARGIN_CWS'!$F27</f>
        <v>10800</v>
      </c>
      <c r="Y27" s="145">
        <f>'COGS-PRICE-MARGIN_CWS'!$F27</f>
        <v>10800</v>
      </c>
      <c r="Z27" s="145">
        <f>'COGS-PRICE-MARGIN_CWS'!$F27</f>
        <v>10800</v>
      </c>
      <c r="AA27" s="145">
        <f>'COGS-PRICE-MARGIN_CWS'!$F27</f>
        <v>10800</v>
      </c>
      <c r="AB27" s="145">
        <f>'COGS-PRICE-MARGIN_CWS'!$F48</f>
        <v>9720</v>
      </c>
      <c r="AC27" s="145">
        <f>'COGS-PRICE-MARGIN_CWS'!$F48</f>
        <v>9720</v>
      </c>
      <c r="AD27" s="145">
        <f>'COGS-PRICE-MARGIN_CWS'!$F48</f>
        <v>9720</v>
      </c>
      <c r="AE27" s="145">
        <f>'COGS-PRICE-MARGIN_CWS'!$F48</f>
        <v>9720</v>
      </c>
      <c r="AF27" s="145">
        <f>'COGS-PRICE-MARGIN_CWS'!$F48</f>
        <v>9720</v>
      </c>
      <c r="AG27" s="145">
        <f>'COGS-PRICE-MARGIN_CWS'!$F48</f>
        <v>9720</v>
      </c>
      <c r="AH27" s="145">
        <f>'COGS-PRICE-MARGIN_CWS'!$F48</f>
        <v>9720</v>
      </c>
      <c r="AI27" s="145">
        <f>'COGS-PRICE-MARGIN_CWS'!$F48</f>
        <v>9720</v>
      </c>
      <c r="AJ27" s="145">
        <f>'COGS-PRICE-MARGIN_CWS'!$F48</f>
        <v>9720</v>
      </c>
      <c r="AK27" s="145">
        <f>'COGS-PRICE-MARGIN_CWS'!$F48</f>
        <v>9720</v>
      </c>
      <c r="AL27" s="145">
        <f>'COGS-PRICE-MARGIN_CWS'!$F48</f>
        <v>9720</v>
      </c>
      <c r="AM27" s="145">
        <f>'COGS-PRICE-MARGIN_CWS'!$F48</f>
        <v>9720</v>
      </c>
      <c r="AN27" s="145">
        <f>'COGS-PRICE-MARGIN_CWS'!$F69</f>
        <v>8748</v>
      </c>
      <c r="AO27" s="145">
        <f>'COGS-PRICE-MARGIN_CWS'!$F69</f>
        <v>8748</v>
      </c>
      <c r="AP27" s="145">
        <f>'COGS-PRICE-MARGIN_CWS'!$F69</f>
        <v>8748</v>
      </c>
      <c r="AQ27" s="145">
        <f>'COGS-PRICE-MARGIN_CWS'!$F69</f>
        <v>8748</v>
      </c>
      <c r="AR27" s="145">
        <f>'COGS-PRICE-MARGIN_CWS'!$F69</f>
        <v>8748</v>
      </c>
      <c r="AS27" s="145">
        <f>'COGS-PRICE-MARGIN_CWS'!$F69</f>
        <v>8748</v>
      </c>
      <c r="AT27" s="145">
        <f>'COGS-PRICE-MARGIN_CWS'!$F69</f>
        <v>8748</v>
      </c>
      <c r="AU27" s="145">
        <f>'COGS-PRICE-MARGIN_CWS'!$F69</f>
        <v>8748</v>
      </c>
      <c r="AV27" s="145">
        <f>'COGS-PRICE-MARGIN_CWS'!$F69</f>
        <v>8748</v>
      </c>
      <c r="AW27" s="145">
        <f>'COGS-PRICE-MARGIN_CWS'!$F69</f>
        <v>8748</v>
      </c>
      <c r="AX27" s="145">
        <f>'COGS-PRICE-MARGIN_CWS'!$F69</f>
        <v>8748</v>
      </c>
      <c r="AY27" s="145">
        <f>'COGS-PRICE-MARGIN_CWS'!$F69</f>
        <v>8748</v>
      </c>
      <c r="AZ27" s="145">
        <f>'COGS-PRICE-MARGIN_CWS'!$F90</f>
        <v>7873.2</v>
      </c>
      <c r="BA27" s="145">
        <f>'COGS-PRICE-MARGIN_CWS'!$F90</f>
        <v>7873.2</v>
      </c>
      <c r="BB27" s="145">
        <f>'COGS-PRICE-MARGIN_CWS'!$F90</f>
        <v>7873.2</v>
      </c>
      <c r="BC27" s="145">
        <f>'COGS-PRICE-MARGIN_CWS'!$F90</f>
        <v>7873.2</v>
      </c>
      <c r="BD27" s="145">
        <f>'COGS-PRICE-MARGIN_CWS'!$F90</f>
        <v>7873.2</v>
      </c>
      <c r="BE27" s="145">
        <f>'COGS-PRICE-MARGIN_CWS'!$F90</f>
        <v>7873.2</v>
      </c>
      <c r="BF27" s="145">
        <f>'COGS-PRICE-MARGIN_CWS'!$F90</f>
        <v>7873.2</v>
      </c>
      <c r="BG27" s="145">
        <f>'COGS-PRICE-MARGIN_CWS'!$F90</f>
        <v>7873.2</v>
      </c>
      <c r="BH27" s="145">
        <f>'COGS-PRICE-MARGIN_CWS'!$F90</f>
        <v>7873.2</v>
      </c>
      <c r="BI27" s="145">
        <f>'COGS-PRICE-MARGIN_CWS'!$F90</f>
        <v>7873.2</v>
      </c>
      <c r="BJ27" s="145">
        <f>'COGS-PRICE-MARGIN_CWS'!$F90</f>
        <v>7873.2</v>
      </c>
      <c r="BK27" s="145">
        <f>'COGS-PRICE-MARGIN_CWS'!$F90</f>
        <v>7873.2</v>
      </c>
      <c r="BL27" s="145">
        <f>'COGS-PRICE-MARGIN_CWS'!$F90</f>
        <v>7873.2</v>
      </c>
      <c r="BM27" s="145">
        <f>'COGS-PRICE-MARGIN_CWS'!$F90</f>
        <v>7873.2</v>
      </c>
      <c r="BN27" s="145">
        <f>'COGS-PRICE-MARGIN_CWS'!$F90</f>
        <v>7873.2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364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1102</v>
      </c>
      <c r="C30" s="169">
        <v>0</v>
      </c>
      <c r="D30" s="169">
        <f t="shared" ref="D30:AI30" si="3">C47</f>
        <v>0</v>
      </c>
      <c r="E30" s="169">
        <f t="shared" si="3"/>
        <v>39</v>
      </c>
      <c r="F30" s="169">
        <f t="shared" si="3"/>
        <v>82</v>
      </c>
      <c r="G30" s="169">
        <f t="shared" si="3"/>
        <v>130</v>
      </c>
      <c r="H30" s="169">
        <f t="shared" si="3"/>
        <v>130</v>
      </c>
      <c r="I30" s="169">
        <f t="shared" si="3"/>
        <v>130</v>
      </c>
      <c r="J30" s="169">
        <f t="shared" si="3"/>
        <v>117</v>
      </c>
      <c r="K30" s="169">
        <f t="shared" si="3"/>
        <v>113</v>
      </c>
      <c r="L30" s="169">
        <f t="shared" si="3"/>
        <v>105</v>
      </c>
      <c r="M30" s="169">
        <f t="shared" si="3"/>
        <v>92</v>
      </c>
      <c r="N30" s="169">
        <f t="shared" si="3"/>
        <v>73</v>
      </c>
      <c r="O30" s="169">
        <f t="shared" si="3"/>
        <v>64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1103</v>
      </c>
      <c r="C31" s="145">
        <v>0</v>
      </c>
      <c r="D31" s="145">
        <f t="shared" ref="D31:AI31" si="5">C48</f>
        <v>0</v>
      </c>
      <c r="E31" s="145">
        <f t="shared" si="5"/>
        <v>468000</v>
      </c>
      <c r="F31" s="145">
        <f t="shared" si="5"/>
        <v>984000</v>
      </c>
      <c r="G31" s="145">
        <f t="shared" si="5"/>
        <v>1560000</v>
      </c>
      <c r="H31" s="145">
        <f t="shared" si="5"/>
        <v>1560000</v>
      </c>
      <c r="I31" s="145">
        <f t="shared" si="5"/>
        <v>1560000</v>
      </c>
      <c r="J31" s="145">
        <f t="shared" si="5"/>
        <v>1404000</v>
      </c>
      <c r="K31" s="145">
        <f t="shared" si="5"/>
        <v>1356000</v>
      </c>
      <c r="L31" s="145">
        <f t="shared" si="5"/>
        <v>1260000</v>
      </c>
      <c r="M31" s="145">
        <f t="shared" si="5"/>
        <v>1104000</v>
      </c>
      <c r="N31" s="145">
        <f t="shared" si="5"/>
        <v>876000</v>
      </c>
      <c r="O31" s="145">
        <f t="shared" si="5"/>
        <v>768000</v>
      </c>
      <c r="P31" s="145">
        <f t="shared" si="5"/>
        <v>852000</v>
      </c>
      <c r="Q31" s="145">
        <f t="shared" si="5"/>
        <v>992400</v>
      </c>
      <c r="R31" s="145">
        <f t="shared" si="5"/>
        <v>1057200</v>
      </c>
      <c r="S31" s="145">
        <f t="shared" si="5"/>
        <v>1122000</v>
      </c>
      <c r="T31" s="145">
        <f t="shared" si="5"/>
        <v>1122000</v>
      </c>
      <c r="U31" s="145">
        <f t="shared" si="5"/>
        <v>1122000</v>
      </c>
      <c r="V31" s="145">
        <f t="shared" si="5"/>
        <v>1024800</v>
      </c>
      <c r="W31" s="145">
        <f t="shared" si="5"/>
        <v>992400</v>
      </c>
      <c r="X31" s="145">
        <f t="shared" si="5"/>
        <v>927600</v>
      </c>
      <c r="Y31" s="145">
        <f t="shared" si="5"/>
        <v>819600</v>
      </c>
      <c r="Z31" s="145">
        <f t="shared" si="5"/>
        <v>852000</v>
      </c>
      <c r="AA31" s="145">
        <f t="shared" si="5"/>
        <v>1078800</v>
      </c>
      <c r="AB31" s="145">
        <f t="shared" si="5"/>
        <v>1478400</v>
      </c>
      <c r="AC31" s="145">
        <f t="shared" si="5"/>
        <v>1711680</v>
      </c>
      <c r="AD31" s="145">
        <f t="shared" si="5"/>
        <v>1818600</v>
      </c>
      <c r="AE31" s="145">
        <f t="shared" si="5"/>
        <v>1925520</v>
      </c>
      <c r="AF31" s="145">
        <f t="shared" si="5"/>
        <v>1925520</v>
      </c>
      <c r="AG31" s="145">
        <f t="shared" si="5"/>
        <v>1925520</v>
      </c>
      <c r="AH31" s="145">
        <f t="shared" si="5"/>
        <v>1760280</v>
      </c>
      <c r="AI31" s="145">
        <f t="shared" si="5"/>
        <v>1701960</v>
      </c>
      <c r="AJ31" s="145">
        <f t="shared" ref="AJ31:BN31" si="6">AI48</f>
        <v>1595040</v>
      </c>
      <c r="AK31" s="145">
        <f t="shared" si="6"/>
        <v>1420080</v>
      </c>
      <c r="AL31" s="145">
        <f t="shared" si="6"/>
        <v>1264560</v>
      </c>
      <c r="AM31" s="145">
        <f t="shared" si="6"/>
        <v>1293720</v>
      </c>
      <c r="AN31" s="145">
        <f t="shared" si="6"/>
        <v>1556160</v>
      </c>
      <c r="AO31" s="145">
        <f t="shared" si="6"/>
        <v>1774860</v>
      </c>
      <c r="AP31" s="145">
        <f t="shared" si="6"/>
        <v>1879836</v>
      </c>
      <c r="AQ31" s="145">
        <f t="shared" si="6"/>
        <v>1984812</v>
      </c>
      <c r="AR31" s="145">
        <f t="shared" si="6"/>
        <v>1984812</v>
      </c>
      <c r="AS31" s="145">
        <f t="shared" si="6"/>
        <v>1984812</v>
      </c>
      <c r="AT31" s="145">
        <f t="shared" si="6"/>
        <v>1827348</v>
      </c>
      <c r="AU31" s="145">
        <f t="shared" si="6"/>
        <v>1774860</v>
      </c>
      <c r="AV31" s="145">
        <f t="shared" si="6"/>
        <v>1669884</v>
      </c>
      <c r="AW31" s="145">
        <f t="shared" si="6"/>
        <v>1503672</v>
      </c>
      <c r="AX31" s="145">
        <f t="shared" si="6"/>
        <v>1354956</v>
      </c>
      <c r="AY31" s="145">
        <f t="shared" si="6"/>
        <v>1381200</v>
      </c>
      <c r="AZ31" s="145">
        <f t="shared" si="6"/>
        <v>1626144</v>
      </c>
      <c r="BA31" s="145">
        <f t="shared" si="6"/>
        <v>1830847.2</v>
      </c>
      <c r="BB31" s="145">
        <f t="shared" si="6"/>
        <v>1933198.8</v>
      </c>
      <c r="BC31" s="145">
        <f t="shared" si="6"/>
        <v>2035550.4000000001</v>
      </c>
      <c r="BD31" s="145">
        <f t="shared" si="6"/>
        <v>2035550.4000000001</v>
      </c>
      <c r="BE31" s="145">
        <f t="shared" si="6"/>
        <v>2035550.4000000001</v>
      </c>
      <c r="BF31" s="145">
        <f t="shared" si="6"/>
        <v>1885959.6</v>
      </c>
      <c r="BG31" s="145">
        <f t="shared" si="6"/>
        <v>1838720.4000000001</v>
      </c>
      <c r="BH31" s="145">
        <f t="shared" si="6"/>
        <v>1736368.8</v>
      </c>
      <c r="BI31" s="145">
        <f t="shared" si="6"/>
        <v>1578904.8</v>
      </c>
      <c r="BJ31" s="145">
        <f t="shared" si="6"/>
        <v>5098225.2</v>
      </c>
      <c r="BK31" s="145">
        <f t="shared" si="6"/>
        <v>8617545.5999999996</v>
      </c>
      <c r="BL31" s="145">
        <f t="shared" si="6"/>
        <v>13475310</v>
      </c>
      <c r="BM31" s="145">
        <f t="shared" si="6"/>
        <v>14656290</v>
      </c>
      <c r="BN31" s="145">
        <f t="shared" si="6"/>
        <v>15837270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1109</v>
      </c>
    </row>
    <row r="34" spans="2:66" s="169" customFormat="1" x14ac:dyDescent="0.15">
      <c r="B34" s="315" t="s">
        <v>1102</v>
      </c>
      <c r="C34" s="169">
        <f t="shared" ref="C34:AH34" si="7">C47-(C30-C38)</f>
        <v>0</v>
      </c>
      <c r="D34" s="169">
        <f t="shared" si="7"/>
        <v>39</v>
      </c>
      <c r="E34" s="169">
        <f t="shared" si="7"/>
        <v>43</v>
      </c>
      <c r="F34" s="169">
        <f t="shared" si="7"/>
        <v>48</v>
      </c>
      <c r="G34" s="169">
        <f t="shared" si="7"/>
        <v>39</v>
      </c>
      <c r="H34" s="169">
        <f t="shared" si="7"/>
        <v>43</v>
      </c>
      <c r="I34" s="169">
        <f t="shared" si="7"/>
        <v>35</v>
      </c>
      <c r="J34" s="169">
        <f t="shared" si="7"/>
        <v>35</v>
      </c>
      <c r="K34" s="169">
        <f t="shared" si="7"/>
        <v>35</v>
      </c>
      <c r="L34" s="169">
        <f t="shared" si="7"/>
        <v>22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2677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1105</v>
      </c>
      <c r="C35" s="145">
        <f t="shared" ref="C35:AH35" si="9">C34*C27</f>
        <v>0</v>
      </c>
      <c r="D35" s="145">
        <f t="shared" si="9"/>
        <v>468000</v>
      </c>
      <c r="E35" s="145">
        <f t="shared" si="9"/>
        <v>516000</v>
      </c>
      <c r="F35" s="145">
        <f t="shared" si="9"/>
        <v>576000</v>
      </c>
      <c r="G35" s="145">
        <f t="shared" si="9"/>
        <v>468000</v>
      </c>
      <c r="H35" s="145">
        <f t="shared" si="9"/>
        <v>516000</v>
      </c>
      <c r="I35" s="145">
        <f t="shared" si="9"/>
        <v>420000</v>
      </c>
      <c r="J35" s="145">
        <f t="shared" si="9"/>
        <v>420000</v>
      </c>
      <c r="K35" s="145">
        <f t="shared" si="9"/>
        <v>420000</v>
      </c>
      <c r="L35" s="145">
        <f t="shared" si="9"/>
        <v>264000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313200</v>
      </c>
      <c r="Q35" s="145">
        <f t="shared" si="9"/>
        <v>345600</v>
      </c>
      <c r="R35" s="145">
        <f t="shared" si="9"/>
        <v>378000</v>
      </c>
      <c r="S35" s="145">
        <f t="shared" si="9"/>
        <v>313200</v>
      </c>
      <c r="T35" s="145">
        <f t="shared" si="9"/>
        <v>345600</v>
      </c>
      <c r="U35" s="145">
        <f t="shared" si="9"/>
        <v>280800</v>
      </c>
      <c r="V35" s="145">
        <f t="shared" si="9"/>
        <v>280800</v>
      </c>
      <c r="W35" s="145">
        <f t="shared" si="9"/>
        <v>280800</v>
      </c>
      <c r="X35" s="145">
        <f t="shared" si="9"/>
        <v>172800</v>
      </c>
      <c r="Y35" s="145">
        <f t="shared" si="9"/>
        <v>313200</v>
      </c>
      <c r="Z35" s="145">
        <f t="shared" si="9"/>
        <v>507600</v>
      </c>
      <c r="AA35" s="145">
        <f t="shared" si="9"/>
        <v>572400</v>
      </c>
      <c r="AB35" s="145">
        <f t="shared" si="9"/>
        <v>515160</v>
      </c>
      <c r="AC35" s="145">
        <f t="shared" si="9"/>
        <v>563760</v>
      </c>
      <c r="AD35" s="145">
        <f t="shared" si="9"/>
        <v>622080</v>
      </c>
      <c r="AE35" s="145">
        <f t="shared" si="9"/>
        <v>515160</v>
      </c>
      <c r="AF35" s="145">
        <f t="shared" si="9"/>
        <v>563760</v>
      </c>
      <c r="AG35" s="145">
        <f t="shared" si="9"/>
        <v>456840</v>
      </c>
      <c r="AH35" s="145">
        <f t="shared" si="9"/>
        <v>456840</v>
      </c>
      <c r="AI35" s="145">
        <f t="shared" ref="AI35:BN35" si="10">AI34*AI27</f>
        <v>456840</v>
      </c>
      <c r="AJ35" s="145">
        <f t="shared" si="10"/>
        <v>281880</v>
      </c>
      <c r="AK35" s="145">
        <f t="shared" si="10"/>
        <v>301320</v>
      </c>
      <c r="AL35" s="145">
        <f t="shared" si="10"/>
        <v>486000</v>
      </c>
      <c r="AM35" s="145">
        <f t="shared" si="10"/>
        <v>544320</v>
      </c>
      <c r="AN35" s="145">
        <f t="shared" si="10"/>
        <v>489888</v>
      </c>
      <c r="AO35" s="145">
        <f t="shared" si="10"/>
        <v>542376</v>
      </c>
      <c r="AP35" s="145">
        <f t="shared" si="10"/>
        <v>594864</v>
      </c>
      <c r="AQ35" s="145">
        <f t="shared" si="10"/>
        <v>489888</v>
      </c>
      <c r="AR35" s="145">
        <f t="shared" si="10"/>
        <v>542376</v>
      </c>
      <c r="AS35" s="145">
        <f t="shared" si="10"/>
        <v>437400</v>
      </c>
      <c r="AT35" s="145">
        <f t="shared" si="10"/>
        <v>437400</v>
      </c>
      <c r="AU35" s="145">
        <f t="shared" si="10"/>
        <v>437400</v>
      </c>
      <c r="AV35" s="145">
        <f t="shared" si="10"/>
        <v>271188</v>
      </c>
      <c r="AW35" s="145">
        <f t="shared" si="10"/>
        <v>288684</v>
      </c>
      <c r="AX35" s="145">
        <f t="shared" si="10"/>
        <v>463644</v>
      </c>
      <c r="AY35" s="145">
        <f t="shared" si="10"/>
        <v>516132</v>
      </c>
      <c r="AZ35" s="145">
        <f t="shared" si="10"/>
        <v>464518.8</v>
      </c>
      <c r="BA35" s="145">
        <f t="shared" si="10"/>
        <v>519631.2</v>
      </c>
      <c r="BB35" s="145">
        <f t="shared" si="10"/>
        <v>566870.4</v>
      </c>
      <c r="BC35" s="145">
        <f t="shared" si="10"/>
        <v>464518.8</v>
      </c>
      <c r="BD35" s="145">
        <f t="shared" si="10"/>
        <v>519631.2</v>
      </c>
      <c r="BE35" s="145">
        <f t="shared" si="10"/>
        <v>417279.6</v>
      </c>
      <c r="BF35" s="145">
        <f t="shared" si="10"/>
        <v>417279.6</v>
      </c>
      <c r="BG35" s="145">
        <f t="shared" si="10"/>
        <v>417279.6</v>
      </c>
      <c r="BH35" s="145">
        <f t="shared" si="10"/>
        <v>259815.6</v>
      </c>
      <c r="BI35" s="145">
        <f t="shared" si="10"/>
        <v>3936600</v>
      </c>
      <c r="BJ35" s="145">
        <f t="shared" si="10"/>
        <v>3936600</v>
      </c>
      <c r="BK35" s="145">
        <f t="shared" si="10"/>
        <v>5117580</v>
      </c>
      <c r="BL35" s="145">
        <f t="shared" si="10"/>
        <v>21076556.399999999</v>
      </c>
      <c r="BM35" s="145">
        <f t="shared" si="10"/>
        <v>1180980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363</v>
      </c>
      <c r="C37" s="107"/>
    </row>
    <row r="38" spans="2:66" s="169" customFormat="1" x14ac:dyDescent="0.15">
      <c r="B38" s="315" t="s">
        <v>1102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39</v>
      </c>
      <c r="H38" s="169">
        <f>'REV-REVCALC_CWS'!I6</f>
        <v>43</v>
      </c>
      <c r="I38" s="169">
        <f>'REV-REVCALC_CWS'!J6</f>
        <v>48</v>
      </c>
      <c r="J38" s="169">
        <f>'REV-REVCALC_CWS'!K6</f>
        <v>39</v>
      </c>
      <c r="K38" s="169">
        <f>'REV-REVCALC_CWS'!L6</f>
        <v>43</v>
      </c>
      <c r="L38" s="169">
        <f>'REV-REVCALC_CWS'!M6</f>
        <v>35</v>
      </c>
      <c r="M38" s="169">
        <f>'REV-REVCALC_CWS'!N6</f>
        <v>35</v>
      </c>
      <c r="N38" s="169">
        <f>'REV-REVCALC_CWS'!O6</f>
        <v>35</v>
      </c>
      <c r="O38" s="169">
        <f>'REV-REVCALC_CWS'!P6</f>
        <v>22</v>
      </c>
      <c r="P38" s="169">
        <f>'REV-REVCALC_CWS'!Q6</f>
        <v>16</v>
      </c>
      <c r="Q38" s="169">
        <f>'REV-REVCALC_CWS'!R6</f>
        <v>26</v>
      </c>
      <c r="R38" s="169">
        <f>'REV-REVCALC_CWS'!S6</f>
        <v>29</v>
      </c>
      <c r="S38" s="169">
        <f>'REV-REVCALC_CWS'!T6</f>
        <v>29</v>
      </c>
      <c r="T38" s="169">
        <f>'REV-REVCALC_CWS'!U6</f>
        <v>32</v>
      </c>
      <c r="U38" s="169">
        <f>'REV-REVCALC_CWS'!V6</f>
        <v>35</v>
      </c>
      <c r="V38" s="169">
        <f>'REV-REVCALC_CWS'!W6</f>
        <v>29</v>
      </c>
      <c r="W38" s="169">
        <f>'REV-REVCALC_CWS'!X6</f>
        <v>32</v>
      </c>
      <c r="X38" s="169">
        <f>'REV-REVCALC_CWS'!Y6</f>
        <v>26</v>
      </c>
      <c r="Y38" s="169">
        <f>'REV-REVCALC_CWS'!Z6</f>
        <v>26</v>
      </c>
      <c r="Z38" s="169">
        <f>'REV-REVCALC_CWS'!AA6</f>
        <v>26</v>
      </c>
      <c r="AA38" s="169">
        <f>'REV-REVCALC_CWS'!AB6</f>
        <v>16</v>
      </c>
      <c r="AB38" s="169">
        <f>'REV-REVCALC_CWS'!AC6</f>
        <v>29</v>
      </c>
      <c r="AC38" s="169">
        <f>'REV-REVCALC_CWS'!AD6</f>
        <v>47</v>
      </c>
      <c r="AD38" s="169">
        <f>'REV-REVCALC_CWS'!AE6</f>
        <v>53</v>
      </c>
      <c r="AE38" s="169">
        <f>'REV-REVCALC_CWS'!AF6</f>
        <v>53</v>
      </c>
      <c r="AF38" s="169">
        <f>'REV-REVCALC_CWS'!AG6</f>
        <v>58</v>
      </c>
      <c r="AG38" s="169">
        <f>'REV-REVCALC_CWS'!AH6</f>
        <v>64</v>
      </c>
      <c r="AH38" s="169">
        <f>'REV-REVCALC_CWS'!AI6</f>
        <v>53</v>
      </c>
      <c r="AI38" s="169">
        <f>'REV-REVCALC_CWS'!AJ6</f>
        <v>58</v>
      </c>
      <c r="AJ38" s="169">
        <f>'REV-REVCALC_CWS'!AK6</f>
        <v>47</v>
      </c>
      <c r="AK38" s="169">
        <f>'REV-REVCALC_CWS'!AL6</f>
        <v>47</v>
      </c>
      <c r="AL38" s="169">
        <f>'REV-REVCALC_CWS'!AM6</f>
        <v>47</v>
      </c>
      <c r="AM38" s="169">
        <f>'REV-REVCALC_CWS'!AN6</f>
        <v>29</v>
      </c>
      <c r="AN38" s="169">
        <f>'REV-REVCALC_CWS'!AO6</f>
        <v>31</v>
      </c>
      <c r="AO38" s="169">
        <f>'REV-REVCALC_CWS'!AP6</f>
        <v>50</v>
      </c>
      <c r="AP38" s="169">
        <f>'REV-REVCALC_CWS'!AQ6</f>
        <v>56</v>
      </c>
      <c r="AQ38" s="169">
        <f>'REV-REVCALC_CWS'!AR6</f>
        <v>56</v>
      </c>
      <c r="AR38" s="169">
        <f>'REV-REVCALC_CWS'!AS6</f>
        <v>62</v>
      </c>
      <c r="AS38" s="169">
        <f>'REV-REVCALC_CWS'!AT6</f>
        <v>68</v>
      </c>
      <c r="AT38" s="169">
        <f>'REV-REVCALC_CWS'!AU6</f>
        <v>56</v>
      </c>
      <c r="AU38" s="169">
        <f>'REV-REVCALC_CWS'!AV6</f>
        <v>62</v>
      </c>
      <c r="AV38" s="169">
        <f>'REV-REVCALC_CWS'!AW6</f>
        <v>50</v>
      </c>
      <c r="AW38" s="169">
        <f>'REV-REVCALC_CWS'!AX6</f>
        <v>50</v>
      </c>
      <c r="AX38" s="169">
        <f>'REV-REVCALC_CWS'!AY6</f>
        <v>50</v>
      </c>
      <c r="AY38" s="169">
        <f>'REV-REVCALC_CWS'!AZ6</f>
        <v>31</v>
      </c>
      <c r="AZ38" s="169">
        <f>'REV-REVCALC_CWS'!BA6</f>
        <v>33</v>
      </c>
      <c r="BA38" s="169">
        <f>'REV-REVCALC_CWS'!BB6</f>
        <v>53</v>
      </c>
      <c r="BB38" s="169">
        <f>'REV-REVCALC_CWS'!BC6</f>
        <v>59</v>
      </c>
      <c r="BC38" s="169">
        <f>'REV-REVCALC_CWS'!BD6</f>
        <v>59</v>
      </c>
      <c r="BD38" s="169">
        <f>'REV-REVCALC_CWS'!BE6</f>
        <v>66</v>
      </c>
      <c r="BE38" s="169">
        <f>'REV-REVCALC_CWS'!BF6</f>
        <v>72</v>
      </c>
      <c r="BF38" s="169">
        <f>'REV-REVCALC_CWS'!BG6</f>
        <v>59</v>
      </c>
      <c r="BG38" s="169">
        <f>'REV-REVCALC_CWS'!BH6</f>
        <v>66</v>
      </c>
      <c r="BH38" s="169">
        <f>'REV-REVCALC_CWS'!BI6</f>
        <v>53</v>
      </c>
      <c r="BI38" s="169">
        <f>'REV-REVCALC_CWS'!BJ6</f>
        <v>53</v>
      </c>
      <c r="BJ38" s="169">
        <f>'REV-REVCALC_CWS'!BK6</f>
        <v>53</v>
      </c>
      <c r="BK38" s="169">
        <f>'REV-REVCALC_CWS'!BL6</f>
        <v>33</v>
      </c>
      <c r="BL38" s="169">
        <f>'REV-REVCALC_CWS'!BM6</f>
        <v>2527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1104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468000</v>
      </c>
      <c r="H39" s="145">
        <f t="shared" si="11"/>
        <v>516000</v>
      </c>
      <c r="I39" s="145">
        <f t="shared" si="11"/>
        <v>576000</v>
      </c>
      <c r="J39" s="145">
        <f t="shared" si="11"/>
        <v>468000</v>
      </c>
      <c r="K39" s="145">
        <f t="shared" si="11"/>
        <v>516000</v>
      </c>
      <c r="L39" s="145">
        <f t="shared" si="11"/>
        <v>420000</v>
      </c>
      <c r="M39" s="145">
        <f t="shared" si="11"/>
        <v>420000</v>
      </c>
      <c r="N39" s="145">
        <f t="shared" si="11"/>
        <v>420000</v>
      </c>
      <c r="O39" s="145">
        <f t="shared" si="11"/>
        <v>264000</v>
      </c>
      <c r="P39" s="145">
        <f t="shared" si="11"/>
        <v>172800</v>
      </c>
      <c r="Q39" s="145">
        <f t="shared" si="11"/>
        <v>280800</v>
      </c>
      <c r="R39" s="145">
        <f t="shared" si="11"/>
        <v>313200</v>
      </c>
      <c r="S39" s="145">
        <f t="shared" si="11"/>
        <v>313200</v>
      </c>
      <c r="T39" s="145">
        <f t="shared" si="11"/>
        <v>345600</v>
      </c>
      <c r="U39" s="145">
        <f t="shared" si="11"/>
        <v>378000</v>
      </c>
      <c r="V39" s="145">
        <f t="shared" si="11"/>
        <v>313200</v>
      </c>
      <c r="W39" s="145">
        <f t="shared" si="11"/>
        <v>345600</v>
      </c>
      <c r="X39" s="145">
        <f t="shared" si="11"/>
        <v>280800</v>
      </c>
      <c r="Y39" s="145">
        <f t="shared" si="11"/>
        <v>280800</v>
      </c>
      <c r="Z39" s="145">
        <f t="shared" si="11"/>
        <v>280800</v>
      </c>
      <c r="AA39" s="145">
        <f t="shared" si="11"/>
        <v>172800</v>
      </c>
      <c r="AB39" s="145">
        <f t="shared" si="11"/>
        <v>281880</v>
      </c>
      <c r="AC39" s="145">
        <f t="shared" si="11"/>
        <v>456840</v>
      </c>
      <c r="AD39" s="145">
        <f t="shared" si="11"/>
        <v>515160</v>
      </c>
      <c r="AE39" s="145">
        <f t="shared" si="11"/>
        <v>515160</v>
      </c>
      <c r="AF39" s="145">
        <f t="shared" si="11"/>
        <v>563760</v>
      </c>
      <c r="AG39" s="145">
        <f t="shared" si="11"/>
        <v>622080</v>
      </c>
      <c r="AH39" s="145">
        <f t="shared" si="11"/>
        <v>515160</v>
      </c>
      <c r="AI39" s="145">
        <f t="shared" si="11"/>
        <v>563760</v>
      </c>
      <c r="AJ39" s="145">
        <f t="shared" ref="AJ39:BN39" si="12">AJ38*AJ27</f>
        <v>456840</v>
      </c>
      <c r="AK39" s="145">
        <f t="shared" si="12"/>
        <v>456840</v>
      </c>
      <c r="AL39" s="145">
        <f t="shared" si="12"/>
        <v>456840</v>
      </c>
      <c r="AM39" s="145">
        <f t="shared" si="12"/>
        <v>281880</v>
      </c>
      <c r="AN39" s="145">
        <f t="shared" si="12"/>
        <v>271188</v>
      </c>
      <c r="AO39" s="145">
        <f t="shared" si="12"/>
        <v>437400</v>
      </c>
      <c r="AP39" s="145">
        <f t="shared" si="12"/>
        <v>489888</v>
      </c>
      <c r="AQ39" s="145">
        <f t="shared" si="12"/>
        <v>489888</v>
      </c>
      <c r="AR39" s="145">
        <f t="shared" si="12"/>
        <v>542376</v>
      </c>
      <c r="AS39" s="145">
        <f t="shared" si="12"/>
        <v>594864</v>
      </c>
      <c r="AT39" s="145">
        <f t="shared" si="12"/>
        <v>489888</v>
      </c>
      <c r="AU39" s="145">
        <f t="shared" si="12"/>
        <v>542376</v>
      </c>
      <c r="AV39" s="145">
        <f t="shared" si="12"/>
        <v>437400</v>
      </c>
      <c r="AW39" s="145">
        <f t="shared" si="12"/>
        <v>437400</v>
      </c>
      <c r="AX39" s="145">
        <f t="shared" si="12"/>
        <v>437400</v>
      </c>
      <c r="AY39" s="145">
        <f t="shared" si="12"/>
        <v>271188</v>
      </c>
      <c r="AZ39" s="145">
        <f t="shared" si="12"/>
        <v>259815.6</v>
      </c>
      <c r="BA39" s="145">
        <f t="shared" si="12"/>
        <v>417279.6</v>
      </c>
      <c r="BB39" s="145">
        <f t="shared" si="12"/>
        <v>464518.8</v>
      </c>
      <c r="BC39" s="145">
        <f t="shared" si="12"/>
        <v>464518.8</v>
      </c>
      <c r="BD39" s="145">
        <f t="shared" si="12"/>
        <v>519631.2</v>
      </c>
      <c r="BE39" s="145">
        <f t="shared" si="12"/>
        <v>566870.4</v>
      </c>
      <c r="BF39" s="145">
        <f t="shared" si="12"/>
        <v>464518.8</v>
      </c>
      <c r="BG39" s="145">
        <f t="shared" si="12"/>
        <v>519631.2</v>
      </c>
      <c r="BH39" s="145">
        <f t="shared" si="12"/>
        <v>417279.6</v>
      </c>
      <c r="BI39" s="145">
        <f t="shared" si="12"/>
        <v>417279.6</v>
      </c>
      <c r="BJ39" s="145">
        <f t="shared" si="12"/>
        <v>417279.6</v>
      </c>
      <c r="BK39" s="145">
        <f t="shared" si="12"/>
        <v>259815.6</v>
      </c>
      <c r="BL39" s="145">
        <f t="shared" si="12"/>
        <v>19895576.399999999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365</v>
      </c>
      <c r="C41" s="97"/>
    </row>
    <row r="42" spans="2:66" s="169" customFormat="1" ht="16.5" customHeight="1" x14ac:dyDescent="0.15">
      <c r="B42" s="315" t="s">
        <v>1106</v>
      </c>
      <c r="C42" s="169">
        <f t="shared" ref="C42:AH42" si="13">C34-C38</f>
        <v>0</v>
      </c>
      <c r="D42" s="169">
        <f t="shared" si="13"/>
        <v>39</v>
      </c>
      <c r="E42" s="169">
        <f t="shared" si="13"/>
        <v>43</v>
      </c>
      <c r="F42" s="169">
        <f t="shared" si="13"/>
        <v>48</v>
      </c>
      <c r="G42" s="169">
        <f t="shared" si="13"/>
        <v>0</v>
      </c>
      <c r="H42" s="169">
        <f t="shared" si="13"/>
        <v>0</v>
      </c>
      <c r="I42" s="169">
        <f t="shared" si="13"/>
        <v>-13</v>
      </c>
      <c r="J42" s="169">
        <f t="shared" si="13"/>
        <v>-4</v>
      </c>
      <c r="K42" s="169">
        <f t="shared" si="13"/>
        <v>-8</v>
      </c>
      <c r="L42" s="169">
        <f t="shared" si="13"/>
        <v>-13</v>
      </c>
      <c r="M42" s="169">
        <f t="shared" si="13"/>
        <v>-19</v>
      </c>
      <c r="N42" s="169">
        <f t="shared" si="13"/>
        <v>-9</v>
      </c>
      <c r="O42" s="169">
        <f t="shared" si="13"/>
        <v>7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1107</v>
      </c>
      <c r="C43" s="145">
        <f t="shared" ref="C43:AH43" si="15">C35-C39</f>
        <v>0</v>
      </c>
      <c r="D43" s="145">
        <f t="shared" si="15"/>
        <v>468000</v>
      </c>
      <c r="E43" s="145">
        <f t="shared" si="15"/>
        <v>516000</v>
      </c>
      <c r="F43" s="145">
        <f t="shared" si="15"/>
        <v>576000</v>
      </c>
      <c r="G43" s="145">
        <f t="shared" si="15"/>
        <v>0</v>
      </c>
      <c r="H43" s="145">
        <f t="shared" si="15"/>
        <v>0</v>
      </c>
      <c r="I43" s="145">
        <f t="shared" si="15"/>
        <v>-156000</v>
      </c>
      <c r="J43" s="145">
        <f t="shared" si="15"/>
        <v>-48000</v>
      </c>
      <c r="K43" s="145">
        <f t="shared" si="15"/>
        <v>-96000</v>
      </c>
      <c r="L43" s="145">
        <f t="shared" si="15"/>
        <v>-156000</v>
      </c>
      <c r="M43" s="145">
        <f t="shared" si="15"/>
        <v>-228000</v>
      </c>
      <c r="N43" s="145">
        <f t="shared" si="15"/>
        <v>-108000</v>
      </c>
      <c r="O43" s="145">
        <f t="shared" si="15"/>
        <v>84000</v>
      </c>
      <c r="P43" s="145">
        <f t="shared" si="15"/>
        <v>140400</v>
      </c>
      <c r="Q43" s="145">
        <f t="shared" si="15"/>
        <v>64800</v>
      </c>
      <c r="R43" s="145">
        <f t="shared" si="15"/>
        <v>64800</v>
      </c>
      <c r="S43" s="145">
        <f t="shared" si="15"/>
        <v>0</v>
      </c>
      <c r="T43" s="145">
        <f t="shared" si="15"/>
        <v>0</v>
      </c>
      <c r="U43" s="145">
        <f t="shared" si="15"/>
        <v>-97200</v>
      </c>
      <c r="V43" s="145">
        <f t="shared" si="15"/>
        <v>-32400</v>
      </c>
      <c r="W43" s="145">
        <f t="shared" si="15"/>
        <v>-64800</v>
      </c>
      <c r="X43" s="145">
        <f t="shared" si="15"/>
        <v>-108000</v>
      </c>
      <c r="Y43" s="145">
        <f t="shared" si="15"/>
        <v>32400</v>
      </c>
      <c r="Z43" s="145">
        <f t="shared" si="15"/>
        <v>226800</v>
      </c>
      <c r="AA43" s="145">
        <f t="shared" si="15"/>
        <v>399600</v>
      </c>
      <c r="AB43" s="145">
        <f t="shared" si="15"/>
        <v>233280</v>
      </c>
      <c r="AC43" s="145">
        <f t="shared" si="15"/>
        <v>106920</v>
      </c>
      <c r="AD43" s="145">
        <f t="shared" si="15"/>
        <v>106920</v>
      </c>
      <c r="AE43" s="145">
        <f t="shared" si="15"/>
        <v>0</v>
      </c>
      <c r="AF43" s="145">
        <f t="shared" si="15"/>
        <v>0</v>
      </c>
      <c r="AG43" s="145">
        <f t="shared" si="15"/>
        <v>-165240</v>
      </c>
      <c r="AH43" s="145">
        <f t="shared" si="15"/>
        <v>-58320</v>
      </c>
      <c r="AI43" s="145">
        <f t="shared" ref="AI43:BN43" si="16">AI35-AI39</f>
        <v>-106920</v>
      </c>
      <c r="AJ43" s="145">
        <f t="shared" si="16"/>
        <v>-174960</v>
      </c>
      <c r="AK43" s="145">
        <f t="shared" si="16"/>
        <v>-155520</v>
      </c>
      <c r="AL43" s="145">
        <f t="shared" si="16"/>
        <v>29160</v>
      </c>
      <c r="AM43" s="145">
        <f t="shared" si="16"/>
        <v>262440</v>
      </c>
      <c r="AN43" s="145">
        <f t="shared" si="16"/>
        <v>218700</v>
      </c>
      <c r="AO43" s="145">
        <f t="shared" si="16"/>
        <v>104976</v>
      </c>
      <c r="AP43" s="145">
        <f t="shared" si="16"/>
        <v>104976</v>
      </c>
      <c r="AQ43" s="145">
        <f t="shared" si="16"/>
        <v>0</v>
      </c>
      <c r="AR43" s="145">
        <f t="shared" si="16"/>
        <v>0</v>
      </c>
      <c r="AS43" s="145">
        <f t="shared" si="16"/>
        <v>-157464</v>
      </c>
      <c r="AT43" s="145">
        <f t="shared" si="16"/>
        <v>-52488</v>
      </c>
      <c r="AU43" s="145">
        <f t="shared" si="16"/>
        <v>-104976</v>
      </c>
      <c r="AV43" s="145">
        <f t="shared" si="16"/>
        <v>-166212</v>
      </c>
      <c r="AW43" s="145">
        <f t="shared" si="16"/>
        <v>-148716</v>
      </c>
      <c r="AX43" s="145">
        <f t="shared" si="16"/>
        <v>26244</v>
      </c>
      <c r="AY43" s="145">
        <f t="shared" si="16"/>
        <v>244944</v>
      </c>
      <c r="AZ43" s="145">
        <f t="shared" si="16"/>
        <v>204703.19999999998</v>
      </c>
      <c r="BA43" s="145">
        <f t="shared" si="16"/>
        <v>102351.60000000003</v>
      </c>
      <c r="BB43" s="145">
        <f t="shared" si="16"/>
        <v>102351.60000000003</v>
      </c>
      <c r="BC43" s="145">
        <f t="shared" si="16"/>
        <v>0</v>
      </c>
      <c r="BD43" s="145">
        <f t="shared" si="16"/>
        <v>0</v>
      </c>
      <c r="BE43" s="145">
        <f t="shared" si="16"/>
        <v>-149590.80000000005</v>
      </c>
      <c r="BF43" s="145">
        <f t="shared" si="16"/>
        <v>-47239.200000000012</v>
      </c>
      <c r="BG43" s="145">
        <f t="shared" si="16"/>
        <v>-102351.60000000003</v>
      </c>
      <c r="BH43" s="145">
        <f t="shared" si="16"/>
        <v>-157463.99999999997</v>
      </c>
      <c r="BI43" s="145">
        <f t="shared" si="16"/>
        <v>3519320.4</v>
      </c>
      <c r="BJ43" s="145">
        <f t="shared" si="16"/>
        <v>3519320.4</v>
      </c>
      <c r="BK43" s="145">
        <f t="shared" si="16"/>
        <v>4857764.4000000004</v>
      </c>
      <c r="BL43" s="145">
        <f t="shared" si="16"/>
        <v>1180980</v>
      </c>
      <c r="BM43" s="145">
        <f t="shared" si="16"/>
        <v>1180980</v>
      </c>
      <c r="BN43" s="145">
        <f t="shared" si="16"/>
        <v>0</v>
      </c>
    </row>
    <row r="45" spans="2:66" x14ac:dyDescent="0.15">
      <c r="B45" s="14" t="s">
        <v>366</v>
      </c>
    </row>
    <row r="47" spans="2:66" s="169" customFormat="1" x14ac:dyDescent="0.15">
      <c r="B47" s="315" t="s">
        <v>1102</v>
      </c>
      <c r="C47" s="169">
        <f>SUM(D25:F25)</f>
        <v>0</v>
      </c>
      <c r="D47" s="169">
        <f t="shared" ref="D47:BK47" si="17">SUM(E25:G25)</f>
        <v>39</v>
      </c>
      <c r="E47" s="169">
        <f t="shared" si="17"/>
        <v>82</v>
      </c>
      <c r="F47" s="169">
        <f t="shared" si="17"/>
        <v>130</v>
      </c>
      <c r="G47" s="169">
        <f t="shared" si="17"/>
        <v>130</v>
      </c>
      <c r="H47" s="169">
        <f t="shared" si="17"/>
        <v>130</v>
      </c>
      <c r="I47" s="169">
        <f t="shared" si="17"/>
        <v>117</v>
      </c>
      <c r="J47" s="169">
        <f t="shared" si="17"/>
        <v>113</v>
      </c>
      <c r="K47" s="169">
        <f t="shared" si="17"/>
        <v>105</v>
      </c>
      <c r="L47" s="169">
        <f>SUM(M25:O25)</f>
        <v>92</v>
      </c>
      <c r="M47" s="169">
        <f t="shared" si="17"/>
        <v>73</v>
      </c>
      <c r="N47" s="169">
        <f>SUM(O25:Q25)</f>
        <v>64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1104</v>
      </c>
      <c r="C48" s="145">
        <f>C31+C43</f>
        <v>0</v>
      </c>
      <c r="D48" s="145">
        <f t="shared" ref="D48:AI48" si="18">C48+D43</f>
        <v>468000</v>
      </c>
      <c r="E48" s="145">
        <f t="shared" si="18"/>
        <v>984000</v>
      </c>
      <c r="F48" s="145">
        <f t="shared" si="18"/>
        <v>1560000</v>
      </c>
      <c r="G48" s="145">
        <f t="shared" si="18"/>
        <v>1560000</v>
      </c>
      <c r="H48" s="145">
        <f t="shared" si="18"/>
        <v>1560000</v>
      </c>
      <c r="I48" s="145">
        <f t="shared" si="18"/>
        <v>1404000</v>
      </c>
      <c r="J48" s="145">
        <f t="shared" si="18"/>
        <v>1356000</v>
      </c>
      <c r="K48" s="145">
        <f t="shared" si="18"/>
        <v>1260000</v>
      </c>
      <c r="L48" s="145">
        <f t="shared" si="18"/>
        <v>1104000</v>
      </c>
      <c r="M48" s="145">
        <f t="shared" si="18"/>
        <v>876000</v>
      </c>
      <c r="N48" s="145">
        <f t="shared" si="18"/>
        <v>768000</v>
      </c>
      <c r="O48" s="145">
        <f t="shared" si="18"/>
        <v>852000</v>
      </c>
      <c r="P48" s="145">
        <f t="shared" si="18"/>
        <v>992400</v>
      </c>
      <c r="Q48" s="145">
        <f t="shared" si="18"/>
        <v>1057200</v>
      </c>
      <c r="R48" s="145">
        <f t="shared" si="18"/>
        <v>1122000</v>
      </c>
      <c r="S48" s="145">
        <f t="shared" si="18"/>
        <v>1122000</v>
      </c>
      <c r="T48" s="145">
        <f t="shared" si="18"/>
        <v>1122000</v>
      </c>
      <c r="U48" s="145">
        <f t="shared" si="18"/>
        <v>1024800</v>
      </c>
      <c r="V48" s="145">
        <f t="shared" si="18"/>
        <v>992400</v>
      </c>
      <c r="W48" s="145">
        <f t="shared" si="18"/>
        <v>927600</v>
      </c>
      <c r="X48" s="145">
        <f t="shared" si="18"/>
        <v>819600</v>
      </c>
      <c r="Y48" s="145">
        <f t="shared" si="18"/>
        <v>852000</v>
      </c>
      <c r="Z48" s="145">
        <f t="shared" si="18"/>
        <v>1078800</v>
      </c>
      <c r="AA48" s="145">
        <f t="shared" si="18"/>
        <v>1478400</v>
      </c>
      <c r="AB48" s="145">
        <f t="shared" si="18"/>
        <v>1711680</v>
      </c>
      <c r="AC48" s="145">
        <f t="shared" si="18"/>
        <v>1818600</v>
      </c>
      <c r="AD48" s="145">
        <f t="shared" si="18"/>
        <v>1925520</v>
      </c>
      <c r="AE48" s="145">
        <f t="shared" si="18"/>
        <v>1925520</v>
      </c>
      <c r="AF48" s="145">
        <f t="shared" si="18"/>
        <v>1925520</v>
      </c>
      <c r="AG48" s="145">
        <f t="shared" si="18"/>
        <v>1760280</v>
      </c>
      <c r="AH48" s="145">
        <f t="shared" si="18"/>
        <v>1701960</v>
      </c>
      <c r="AI48" s="145">
        <f t="shared" si="18"/>
        <v>1595040</v>
      </c>
      <c r="AJ48" s="145">
        <f t="shared" ref="AJ48:BN48" si="19">AI48+AJ43</f>
        <v>1420080</v>
      </c>
      <c r="AK48" s="145">
        <f t="shared" si="19"/>
        <v>1264560</v>
      </c>
      <c r="AL48" s="145">
        <f t="shared" si="19"/>
        <v>1293720</v>
      </c>
      <c r="AM48" s="145">
        <f t="shared" si="19"/>
        <v>1556160</v>
      </c>
      <c r="AN48" s="145">
        <f t="shared" si="19"/>
        <v>1774860</v>
      </c>
      <c r="AO48" s="145">
        <f t="shared" si="19"/>
        <v>1879836</v>
      </c>
      <c r="AP48" s="145">
        <f t="shared" si="19"/>
        <v>1984812</v>
      </c>
      <c r="AQ48" s="145">
        <f t="shared" si="19"/>
        <v>1984812</v>
      </c>
      <c r="AR48" s="145">
        <f t="shared" si="19"/>
        <v>1984812</v>
      </c>
      <c r="AS48" s="145">
        <f t="shared" si="19"/>
        <v>1827348</v>
      </c>
      <c r="AT48" s="145">
        <f t="shared" si="19"/>
        <v>1774860</v>
      </c>
      <c r="AU48" s="145">
        <f t="shared" si="19"/>
        <v>1669884</v>
      </c>
      <c r="AV48" s="145">
        <f t="shared" si="19"/>
        <v>1503672</v>
      </c>
      <c r="AW48" s="145">
        <f t="shared" si="19"/>
        <v>1354956</v>
      </c>
      <c r="AX48" s="145">
        <f t="shared" si="19"/>
        <v>1381200</v>
      </c>
      <c r="AY48" s="145">
        <f t="shared" si="19"/>
        <v>1626144</v>
      </c>
      <c r="AZ48" s="145">
        <f t="shared" si="19"/>
        <v>1830847.2</v>
      </c>
      <c r="BA48" s="145">
        <f t="shared" si="19"/>
        <v>1933198.8</v>
      </c>
      <c r="BB48" s="145">
        <f t="shared" si="19"/>
        <v>2035550.4000000001</v>
      </c>
      <c r="BC48" s="145">
        <f t="shared" si="19"/>
        <v>2035550.4000000001</v>
      </c>
      <c r="BD48" s="145">
        <f t="shared" si="19"/>
        <v>2035550.4000000001</v>
      </c>
      <c r="BE48" s="145">
        <f t="shared" si="19"/>
        <v>1885959.6</v>
      </c>
      <c r="BF48" s="145">
        <f t="shared" si="19"/>
        <v>1838720.4000000001</v>
      </c>
      <c r="BG48" s="145">
        <f t="shared" si="19"/>
        <v>1736368.8</v>
      </c>
      <c r="BH48" s="145">
        <f t="shared" si="19"/>
        <v>1578904.8</v>
      </c>
      <c r="BI48" s="145">
        <f t="shared" si="19"/>
        <v>5098225.2</v>
      </c>
      <c r="BJ48" s="145">
        <f t="shared" si="19"/>
        <v>8617545.5999999996</v>
      </c>
      <c r="BK48" s="145">
        <f t="shared" si="19"/>
        <v>13475310</v>
      </c>
      <c r="BL48" s="145">
        <f t="shared" si="19"/>
        <v>14656290</v>
      </c>
      <c r="BM48" s="145">
        <f t="shared" si="19"/>
        <v>15837270</v>
      </c>
      <c r="BN48" s="145">
        <f t="shared" si="19"/>
        <v>15837270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691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388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1080000</v>
      </c>
      <c r="G53" s="9">
        <f>F57</f>
        <v>1030320</v>
      </c>
      <c r="H53" s="9">
        <f>G57</f>
        <v>979776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384</v>
      </c>
      <c r="C54" s="9">
        <f t="shared" si="20"/>
        <v>0</v>
      </c>
      <c r="D54" s="66">
        <f>SUM(D66:O66)</f>
        <v>4920000</v>
      </c>
      <c r="E54" s="66">
        <f>SUM(P66:AA66)</f>
        <v>4104000</v>
      </c>
      <c r="F54" s="66">
        <f>SUM(AB66:AM66)</f>
        <v>5763960</v>
      </c>
      <c r="G54" s="66">
        <f>SUM(AN66:AY66)</f>
        <v>5511240</v>
      </c>
      <c r="H54" s="66">
        <f>SUM(AZ66:BK66)</f>
        <v>17037604.800000001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385</v>
      </c>
      <c r="C55" s="9">
        <f t="shared" si="20"/>
        <v>0</v>
      </c>
      <c r="D55" s="9">
        <f>D53+D54</f>
        <v>4920000</v>
      </c>
      <c r="E55" s="9">
        <f>E53+E54</f>
        <v>4764000</v>
      </c>
      <c r="F55" s="9">
        <f>F53+F54</f>
        <v>6843960</v>
      </c>
      <c r="G55" s="9">
        <f>G53+G54</f>
        <v>6541560</v>
      </c>
      <c r="H55" s="9">
        <f>H53+H54</f>
        <v>18017380.800000001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386</v>
      </c>
      <c r="C56" s="9">
        <f t="shared" si="20"/>
        <v>0</v>
      </c>
      <c r="D56" s="66">
        <f>SUM(D68:O68)</f>
        <v>4260000</v>
      </c>
      <c r="E56" s="66">
        <f>SUM(P68:AA68)</f>
        <v>3684000</v>
      </c>
      <c r="F56" s="66">
        <f>SUM(AB68:AM68)</f>
        <v>5813640</v>
      </c>
      <c r="G56" s="66">
        <f>SUM(AN68:AY68)</f>
        <v>5561784</v>
      </c>
      <c r="H56" s="66">
        <f>SUM(AZ68:BK68)</f>
        <v>8963200.7999999989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387</v>
      </c>
      <c r="C57" s="9">
        <f t="shared" si="20"/>
        <v>0</v>
      </c>
      <c r="D57" s="9">
        <f>D55-D56</f>
        <v>660000</v>
      </c>
      <c r="E57" s="9">
        <f>E55-E56</f>
        <v>1080000</v>
      </c>
      <c r="F57" s="9">
        <f>F55-F56</f>
        <v>1030320</v>
      </c>
      <c r="G57" s="9">
        <f>G55-G56</f>
        <v>979776</v>
      </c>
      <c r="H57" s="9">
        <f>H55-H56</f>
        <v>9054180.0000000019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554</v>
      </c>
      <c r="C58" s="9">
        <f t="shared" si="20"/>
        <v>0</v>
      </c>
      <c r="D58" s="9">
        <f>D57-C57</f>
        <v>660000</v>
      </c>
      <c r="E58" s="9">
        <f>E57-D57</f>
        <v>420000</v>
      </c>
      <c r="F58" s="9">
        <f>F57-E57</f>
        <v>-49680</v>
      </c>
      <c r="G58" s="9">
        <f>G57-F57</f>
        <v>-50544</v>
      </c>
      <c r="H58" s="9">
        <f>H57-G57</f>
        <v>8074404.0000000019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4" t="s">
        <v>35</v>
      </c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 t="s">
        <v>36</v>
      </c>
      <c r="Q60" s="364"/>
      <c r="R60" s="364"/>
      <c r="S60" s="364"/>
      <c r="T60" s="364"/>
      <c r="U60" s="364"/>
      <c r="V60" s="364"/>
      <c r="W60" s="364"/>
      <c r="X60" s="364"/>
      <c r="Y60" s="364"/>
      <c r="Z60" s="364"/>
      <c r="AA60" s="364"/>
      <c r="AB60" s="364" t="s">
        <v>37</v>
      </c>
      <c r="AC60" s="364"/>
      <c r="AD60" s="364"/>
      <c r="AE60" s="364"/>
      <c r="AF60" s="364"/>
      <c r="AG60" s="364"/>
      <c r="AH60" s="364"/>
      <c r="AI60" s="364"/>
      <c r="AJ60" s="364"/>
      <c r="AK60" s="364"/>
      <c r="AL60" s="364"/>
      <c r="AM60" s="364"/>
      <c r="AN60" s="364" t="s">
        <v>38</v>
      </c>
      <c r="AO60" s="364"/>
      <c r="AP60" s="364"/>
      <c r="AQ60" s="364"/>
      <c r="AR60" s="364"/>
      <c r="AS60" s="364"/>
      <c r="AT60" s="364"/>
      <c r="AU60" s="364"/>
      <c r="AV60" s="364"/>
      <c r="AW60" s="364"/>
      <c r="AX60" s="364"/>
      <c r="AY60" s="364"/>
      <c r="AZ60" s="364" t="s">
        <v>39</v>
      </c>
      <c r="BA60" s="364"/>
      <c r="BB60" s="364"/>
      <c r="BC60" s="364"/>
      <c r="BD60" s="364"/>
      <c r="BE60" s="364"/>
      <c r="BF60" s="364"/>
      <c r="BG60" s="364"/>
      <c r="BH60" s="364"/>
      <c r="BI60" s="364"/>
      <c r="BJ60" s="364"/>
      <c r="BK60" s="364"/>
      <c r="BM60" s="10" t="s">
        <v>661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877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388</v>
      </c>
      <c r="C65" s="9">
        <v>0</v>
      </c>
      <c r="D65" s="9">
        <f t="shared" ref="D65:AI65" si="21">C69</f>
        <v>0</v>
      </c>
      <c r="E65" s="9">
        <f t="shared" si="21"/>
        <v>468000</v>
      </c>
      <c r="F65" s="9">
        <f t="shared" si="21"/>
        <v>984000</v>
      </c>
      <c r="G65" s="9">
        <f t="shared" si="21"/>
        <v>1092000</v>
      </c>
      <c r="H65" s="9">
        <f t="shared" si="21"/>
        <v>1044000</v>
      </c>
      <c r="I65" s="9">
        <f t="shared" si="21"/>
        <v>984000</v>
      </c>
      <c r="J65" s="9">
        <f t="shared" si="21"/>
        <v>936000</v>
      </c>
      <c r="K65" s="9">
        <f t="shared" si="21"/>
        <v>840000</v>
      </c>
      <c r="L65" s="9">
        <f t="shared" si="21"/>
        <v>840000</v>
      </c>
      <c r="M65" s="9">
        <f t="shared" si="21"/>
        <v>684000</v>
      </c>
      <c r="N65" s="9">
        <f t="shared" si="21"/>
        <v>456000</v>
      </c>
      <c r="O65" s="9">
        <f t="shared" si="21"/>
        <v>504000</v>
      </c>
      <c r="P65" s="9">
        <f t="shared" si="21"/>
        <v>660000</v>
      </c>
      <c r="Q65" s="9">
        <f t="shared" si="21"/>
        <v>661200</v>
      </c>
      <c r="R65" s="9">
        <f t="shared" si="21"/>
        <v>658800</v>
      </c>
      <c r="S65" s="9">
        <f t="shared" si="21"/>
        <v>723600</v>
      </c>
      <c r="T65" s="9">
        <f t="shared" si="21"/>
        <v>691200</v>
      </c>
      <c r="U65" s="9">
        <f t="shared" si="21"/>
        <v>658800</v>
      </c>
      <c r="V65" s="9">
        <f t="shared" si="21"/>
        <v>626400</v>
      </c>
      <c r="W65" s="9">
        <f t="shared" si="21"/>
        <v>561600</v>
      </c>
      <c r="X65" s="9">
        <f t="shared" si="21"/>
        <v>561600</v>
      </c>
      <c r="Y65" s="9">
        <f t="shared" si="21"/>
        <v>453600</v>
      </c>
      <c r="Z65" s="9">
        <f t="shared" si="21"/>
        <v>486000</v>
      </c>
      <c r="AA65" s="9">
        <f t="shared" si="21"/>
        <v>820800</v>
      </c>
      <c r="AB65" s="9">
        <f t="shared" si="21"/>
        <v>1080000</v>
      </c>
      <c r="AC65" s="9">
        <f t="shared" si="21"/>
        <v>1087560</v>
      </c>
      <c r="AD65" s="9">
        <f t="shared" si="21"/>
        <v>1078920</v>
      </c>
      <c r="AE65" s="9">
        <f t="shared" si="21"/>
        <v>1185840</v>
      </c>
      <c r="AF65" s="9">
        <f t="shared" si="21"/>
        <v>1137240</v>
      </c>
      <c r="AG65" s="9">
        <f t="shared" si="21"/>
        <v>1078920</v>
      </c>
      <c r="AH65" s="9">
        <f t="shared" si="21"/>
        <v>1020600</v>
      </c>
      <c r="AI65" s="9">
        <f t="shared" si="21"/>
        <v>913680</v>
      </c>
      <c r="AJ65" s="9">
        <f t="shared" ref="AJ65:BN65" si="22">AI69</f>
        <v>913680</v>
      </c>
      <c r="AK65" s="9">
        <f t="shared" si="22"/>
        <v>738720</v>
      </c>
      <c r="AL65" s="9">
        <f t="shared" si="22"/>
        <v>583200</v>
      </c>
      <c r="AM65" s="9">
        <f t="shared" si="22"/>
        <v>787320</v>
      </c>
      <c r="AN65" s="9">
        <f t="shared" si="22"/>
        <v>1030320</v>
      </c>
      <c r="AO65" s="9">
        <f t="shared" si="22"/>
        <v>1034208</v>
      </c>
      <c r="AP65" s="9">
        <f t="shared" si="22"/>
        <v>1032264</v>
      </c>
      <c r="AQ65" s="9">
        <f t="shared" si="22"/>
        <v>1137240</v>
      </c>
      <c r="AR65" s="9">
        <f t="shared" si="22"/>
        <v>1084752</v>
      </c>
      <c r="AS65" s="9">
        <f t="shared" si="22"/>
        <v>1032264</v>
      </c>
      <c r="AT65" s="9">
        <f t="shared" si="22"/>
        <v>979776</v>
      </c>
      <c r="AU65" s="9">
        <f t="shared" si="22"/>
        <v>874800</v>
      </c>
      <c r="AV65" s="9">
        <f t="shared" si="22"/>
        <v>874800</v>
      </c>
      <c r="AW65" s="9">
        <f t="shared" si="22"/>
        <v>708588</v>
      </c>
      <c r="AX65" s="9">
        <f t="shared" si="22"/>
        <v>559872</v>
      </c>
      <c r="AY65" s="9">
        <f t="shared" si="22"/>
        <v>752328</v>
      </c>
      <c r="AZ65" s="9">
        <f t="shared" si="22"/>
        <v>979776</v>
      </c>
      <c r="BA65" s="9">
        <f t="shared" si="22"/>
        <v>980650.8</v>
      </c>
      <c r="BB65" s="9">
        <f t="shared" si="22"/>
        <v>984150</v>
      </c>
      <c r="BC65" s="9">
        <f t="shared" si="22"/>
        <v>1086501.5999999999</v>
      </c>
      <c r="BD65" s="9">
        <f t="shared" si="22"/>
        <v>1031389.2</v>
      </c>
      <c r="BE65" s="9">
        <f t="shared" si="22"/>
        <v>984149.99999999988</v>
      </c>
      <c r="BF65" s="9">
        <f t="shared" si="22"/>
        <v>936910.79999999981</v>
      </c>
      <c r="BG65" s="9">
        <f t="shared" si="22"/>
        <v>834559.2</v>
      </c>
      <c r="BH65" s="9">
        <f t="shared" si="22"/>
        <v>834559.19999999984</v>
      </c>
      <c r="BI65" s="9">
        <f t="shared" si="22"/>
        <v>677095.19999999984</v>
      </c>
      <c r="BJ65" s="9">
        <f t="shared" si="22"/>
        <v>4196415.6000000006</v>
      </c>
      <c r="BK65" s="9">
        <f t="shared" si="22"/>
        <v>7873200.0000000009</v>
      </c>
      <c r="BL65" s="9">
        <f t="shared" si="22"/>
        <v>9054180</v>
      </c>
      <c r="BM65" s="9">
        <f t="shared" si="22"/>
        <v>26194136.399999999</v>
      </c>
      <c r="BN65" s="9">
        <f t="shared" si="22"/>
        <v>22257536.399999999</v>
      </c>
    </row>
    <row r="66" spans="2:66" x14ac:dyDescent="0.15">
      <c r="B66" s="33" t="s">
        <v>384</v>
      </c>
      <c r="C66" s="9">
        <f t="shared" ref="C66:AH66" si="23">C35</f>
        <v>0</v>
      </c>
      <c r="D66" s="9">
        <f t="shared" si="23"/>
        <v>468000</v>
      </c>
      <c r="E66" s="9">
        <f t="shared" si="23"/>
        <v>516000</v>
      </c>
      <c r="F66" s="9">
        <f t="shared" si="23"/>
        <v>576000</v>
      </c>
      <c r="G66" s="9">
        <f t="shared" si="23"/>
        <v>468000</v>
      </c>
      <c r="H66" s="9">
        <f t="shared" si="23"/>
        <v>516000</v>
      </c>
      <c r="I66" s="9">
        <f t="shared" si="23"/>
        <v>420000</v>
      </c>
      <c r="J66" s="9">
        <f t="shared" si="23"/>
        <v>420000</v>
      </c>
      <c r="K66" s="9">
        <f t="shared" si="23"/>
        <v>420000</v>
      </c>
      <c r="L66" s="9">
        <f t="shared" si="23"/>
        <v>264000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313200</v>
      </c>
      <c r="Q66" s="9">
        <f t="shared" si="23"/>
        <v>345600</v>
      </c>
      <c r="R66" s="9">
        <f t="shared" si="23"/>
        <v>378000</v>
      </c>
      <c r="S66" s="9">
        <f t="shared" si="23"/>
        <v>313200</v>
      </c>
      <c r="T66" s="9">
        <f t="shared" si="23"/>
        <v>345600</v>
      </c>
      <c r="U66" s="9">
        <f t="shared" si="23"/>
        <v>280800</v>
      </c>
      <c r="V66" s="9">
        <f t="shared" si="23"/>
        <v>280800</v>
      </c>
      <c r="W66" s="9">
        <f t="shared" si="23"/>
        <v>280800</v>
      </c>
      <c r="X66" s="9">
        <f t="shared" si="23"/>
        <v>172800</v>
      </c>
      <c r="Y66" s="9">
        <f t="shared" si="23"/>
        <v>313200</v>
      </c>
      <c r="Z66" s="9">
        <f t="shared" si="23"/>
        <v>507600</v>
      </c>
      <c r="AA66" s="9">
        <f t="shared" si="23"/>
        <v>572400</v>
      </c>
      <c r="AB66" s="9">
        <f t="shared" si="23"/>
        <v>515160</v>
      </c>
      <c r="AC66" s="9">
        <f t="shared" si="23"/>
        <v>563760</v>
      </c>
      <c r="AD66" s="9">
        <f t="shared" si="23"/>
        <v>622080</v>
      </c>
      <c r="AE66" s="9">
        <f t="shared" si="23"/>
        <v>515160</v>
      </c>
      <c r="AF66" s="9">
        <f t="shared" si="23"/>
        <v>563760</v>
      </c>
      <c r="AG66" s="9">
        <f t="shared" si="23"/>
        <v>456840</v>
      </c>
      <c r="AH66" s="9">
        <f t="shared" si="23"/>
        <v>456840</v>
      </c>
      <c r="AI66" s="9">
        <f t="shared" ref="AI66:BN66" si="24">AI35</f>
        <v>456840</v>
      </c>
      <c r="AJ66" s="9">
        <f t="shared" si="24"/>
        <v>281880</v>
      </c>
      <c r="AK66" s="9">
        <f t="shared" si="24"/>
        <v>301320</v>
      </c>
      <c r="AL66" s="9">
        <f t="shared" si="24"/>
        <v>486000</v>
      </c>
      <c r="AM66" s="9">
        <f t="shared" si="24"/>
        <v>544320</v>
      </c>
      <c r="AN66" s="9">
        <f t="shared" si="24"/>
        <v>489888</v>
      </c>
      <c r="AO66" s="9">
        <f t="shared" si="24"/>
        <v>542376</v>
      </c>
      <c r="AP66" s="9">
        <f t="shared" si="24"/>
        <v>594864</v>
      </c>
      <c r="AQ66" s="9">
        <f t="shared" si="24"/>
        <v>489888</v>
      </c>
      <c r="AR66" s="9">
        <f t="shared" si="24"/>
        <v>542376</v>
      </c>
      <c r="AS66" s="9">
        <f t="shared" si="24"/>
        <v>437400</v>
      </c>
      <c r="AT66" s="9">
        <f t="shared" si="24"/>
        <v>437400</v>
      </c>
      <c r="AU66" s="9">
        <f t="shared" si="24"/>
        <v>437400</v>
      </c>
      <c r="AV66" s="9">
        <f t="shared" si="24"/>
        <v>271188</v>
      </c>
      <c r="AW66" s="9">
        <f t="shared" si="24"/>
        <v>288684</v>
      </c>
      <c r="AX66" s="9">
        <f t="shared" si="24"/>
        <v>463644</v>
      </c>
      <c r="AY66" s="9">
        <f t="shared" si="24"/>
        <v>516132</v>
      </c>
      <c r="AZ66" s="9">
        <f t="shared" si="24"/>
        <v>464518.8</v>
      </c>
      <c r="BA66" s="9">
        <f t="shared" si="24"/>
        <v>519631.2</v>
      </c>
      <c r="BB66" s="9">
        <f t="shared" si="24"/>
        <v>566870.4</v>
      </c>
      <c r="BC66" s="9">
        <f t="shared" si="24"/>
        <v>464518.8</v>
      </c>
      <c r="BD66" s="9">
        <f t="shared" si="24"/>
        <v>519631.2</v>
      </c>
      <c r="BE66" s="9">
        <f t="shared" si="24"/>
        <v>417279.6</v>
      </c>
      <c r="BF66" s="9">
        <f t="shared" si="24"/>
        <v>417279.6</v>
      </c>
      <c r="BG66" s="9">
        <f t="shared" si="24"/>
        <v>417279.6</v>
      </c>
      <c r="BH66" s="9">
        <f t="shared" si="24"/>
        <v>259815.6</v>
      </c>
      <c r="BI66" s="9">
        <f t="shared" si="24"/>
        <v>3936600</v>
      </c>
      <c r="BJ66" s="9">
        <f t="shared" si="24"/>
        <v>3936600</v>
      </c>
      <c r="BK66" s="9">
        <f t="shared" si="24"/>
        <v>5117580</v>
      </c>
      <c r="BL66" s="9">
        <f t="shared" si="24"/>
        <v>21076556.399999999</v>
      </c>
      <c r="BM66" s="9">
        <f t="shared" si="24"/>
        <v>1180980</v>
      </c>
      <c r="BN66" s="9">
        <f t="shared" si="24"/>
        <v>0</v>
      </c>
    </row>
    <row r="67" spans="2:66" x14ac:dyDescent="0.15">
      <c r="B67" s="33" t="s">
        <v>385</v>
      </c>
      <c r="C67" s="9">
        <f>C66</f>
        <v>0</v>
      </c>
      <c r="D67" s="9">
        <f t="shared" ref="D67:AI67" si="25">D65+D66</f>
        <v>468000</v>
      </c>
      <c r="E67" s="9">
        <f t="shared" si="25"/>
        <v>984000</v>
      </c>
      <c r="F67" s="9">
        <f t="shared" si="25"/>
        <v>1560000</v>
      </c>
      <c r="G67" s="9">
        <f t="shared" si="25"/>
        <v>1560000</v>
      </c>
      <c r="H67" s="9">
        <f t="shared" si="25"/>
        <v>1560000</v>
      </c>
      <c r="I67" s="9">
        <f t="shared" si="25"/>
        <v>1404000</v>
      </c>
      <c r="J67" s="9">
        <f t="shared" si="25"/>
        <v>1356000</v>
      </c>
      <c r="K67" s="9">
        <f t="shared" si="25"/>
        <v>1260000</v>
      </c>
      <c r="L67" s="9">
        <f t="shared" si="25"/>
        <v>1104000</v>
      </c>
      <c r="M67" s="9">
        <f t="shared" si="25"/>
        <v>876000</v>
      </c>
      <c r="N67" s="9">
        <f t="shared" si="25"/>
        <v>768000</v>
      </c>
      <c r="O67" s="9">
        <f t="shared" si="25"/>
        <v>852000</v>
      </c>
      <c r="P67" s="9">
        <f t="shared" si="25"/>
        <v>973200</v>
      </c>
      <c r="Q67" s="9">
        <f t="shared" si="25"/>
        <v>1006800</v>
      </c>
      <c r="R67" s="9">
        <f t="shared" si="25"/>
        <v>1036800</v>
      </c>
      <c r="S67" s="9">
        <f t="shared" si="25"/>
        <v>1036800</v>
      </c>
      <c r="T67" s="9">
        <f t="shared" si="25"/>
        <v>1036800</v>
      </c>
      <c r="U67" s="9">
        <f t="shared" si="25"/>
        <v>939600</v>
      </c>
      <c r="V67" s="9">
        <f t="shared" si="25"/>
        <v>907200</v>
      </c>
      <c r="W67" s="9">
        <f t="shared" si="25"/>
        <v>842400</v>
      </c>
      <c r="X67" s="9">
        <f t="shared" si="25"/>
        <v>734400</v>
      </c>
      <c r="Y67" s="9">
        <f t="shared" si="25"/>
        <v>766800</v>
      </c>
      <c r="Z67" s="9">
        <f t="shared" si="25"/>
        <v>993600</v>
      </c>
      <c r="AA67" s="9">
        <f t="shared" si="25"/>
        <v>1393200</v>
      </c>
      <c r="AB67" s="9">
        <f t="shared" si="25"/>
        <v>1595160</v>
      </c>
      <c r="AC67" s="9">
        <f t="shared" si="25"/>
        <v>1651320</v>
      </c>
      <c r="AD67" s="9">
        <f t="shared" si="25"/>
        <v>1701000</v>
      </c>
      <c r="AE67" s="9">
        <f t="shared" si="25"/>
        <v>1701000</v>
      </c>
      <c r="AF67" s="9">
        <f t="shared" si="25"/>
        <v>1701000</v>
      </c>
      <c r="AG67" s="9">
        <f t="shared" si="25"/>
        <v>1535760</v>
      </c>
      <c r="AH67" s="9">
        <f t="shared" si="25"/>
        <v>1477440</v>
      </c>
      <c r="AI67" s="9">
        <f t="shared" si="25"/>
        <v>1370520</v>
      </c>
      <c r="AJ67" s="9">
        <f t="shared" ref="AJ67:BN67" si="26">AJ65+AJ66</f>
        <v>1195560</v>
      </c>
      <c r="AK67" s="9">
        <f t="shared" si="26"/>
        <v>1040040</v>
      </c>
      <c r="AL67" s="9">
        <f t="shared" si="26"/>
        <v>1069200</v>
      </c>
      <c r="AM67" s="9">
        <f t="shared" si="26"/>
        <v>1331640</v>
      </c>
      <c r="AN67" s="9">
        <f t="shared" si="26"/>
        <v>1520208</v>
      </c>
      <c r="AO67" s="9">
        <f t="shared" si="26"/>
        <v>1576584</v>
      </c>
      <c r="AP67" s="9">
        <f t="shared" si="26"/>
        <v>1627128</v>
      </c>
      <c r="AQ67" s="9">
        <f t="shared" si="26"/>
        <v>1627128</v>
      </c>
      <c r="AR67" s="9">
        <f t="shared" si="26"/>
        <v>1627128</v>
      </c>
      <c r="AS67" s="9">
        <f t="shared" si="26"/>
        <v>1469664</v>
      </c>
      <c r="AT67" s="9">
        <f t="shared" si="26"/>
        <v>1417176</v>
      </c>
      <c r="AU67" s="9">
        <f t="shared" si="26"/>
        <v>1312200</v>
      </c>
      <c r="AV67" s="9">
        <f t="shared" si="26"/>
        <v>1145988</v>
      </c>
      <c r="AW67" s="9">
        <f t="shared" si="26"/>
        <v>997272</v>
      </c>
      <c r="AX67" s="9">
        <f t="shared" si="26"/>
        <v>1023516</v>
      </c>
      <c r="AY67" s="9">
        <f t="shared" si="26"/>
        <v>1268460</v>
      </c>
      <c r="AZ67" s="9">
        <f t="shared" si="26"/>
        <v>1444294.8</v>
      </c>
      <c r="BA67" s="9">
        <f t="shared" si="26"/>
        <v>1500282</v>
      </c>
      <c r="BB67" s="9">
        <f t="shared" si="26"/>
        <v>1551020.4</v>
      </c>
      <c r="BC67" s="9">
        <f t="shared" si="26"/>
        <v>1551020.4</v>
      </c>
      <c r="BD67" s="9">
        <f t="shared" si="26"/>
        <v>1551020.4</v>
      </c>
      <c r="BE67" s="9">
        <f t="shared" si="26"/>
        <v>1401429.5999999999</v>
      </c>
      <c r="BF67" s="9">
        <f t="shared" si="26"/>
        <v>1354190.4</v>
      </c>
      <c r="BG67" s="9">
        <f t="shared" si="26"/>
        <v>1251838.7999999998</v>
      </c>
      <c r="BH67" s="9">
        <f t="shared" si="26"/>
        <v>1094374.7999999998</v>
      </c>
      <c r="BI67" s="9">
        <f t="shared" si="26"/>
        <v>4613695.2</v>
      </c>
      <c r="BJ67" s="9">
        <f t="shared" si="26"/>
        <v>8133015.6000000006</v>
      </c>
      <c r="BK67" s="9">
        <f t="shared" si="26"/>
        <v>12990780</v>
      </c>
      <c r="BL67" s="9">
        <f t="shared" si="26"/>
        <v>30130736.399999999</v>
      </c>
      <c r="BM67" s="9">
        <f t="shared" si="26"/>
        <v>27375116.399999999</v>
      </c>
      <c r="BN67" s="9">
        <f t="shared" si="26"/>
        <v>22257536.399999999</v>
      </c>
    </row>
    <row r="68" spans="2:66" x14ac:dyDescent="0.15">
      <c r="B68" s="33" t="s">
        <v>386</v>
      </c>
      <c r="C68" s="9">
        <v>0</v>
      </c>
      <c r="D68" s="9">
        <v>0</v>
      </c>
      <c r="E68" s="9">
        <v>0</v>
      </c>
      <c r="F68" s="9">
        <f t="shared" ref="F68:AK68" si="27">D66</f>
        <v>468000</v>
      </c>
      <c r="G68" s="9">
        <f t="shared" si="27"/>
        <v>516000</v>
      </c>
      <c r="H68" s="9">
        <f t="shared" si="27"/>
        <v>576000</v>
      </c>
      <c r="I68" s="9">
        <f t="shared" si="27"/>
        <v>468000</v>
      </c>
      <c r="J68" s="9">
        <f t="shared" si="27"/>
        <v>516000</v>
      </c>
      <c r="K68" s="9">
        <f t="shared" si="27"/>
        <v>420000</v>
      </c>
      <c r="L68" s="9">
        <f t="shared" si="27"/>
        <v>420000</v>
      </c>
      <c r="M68" s="9">
        <f t="shared" si="27"/>
        <v>420000</v>
      </c>
      <c r="N68" s="9">
        <f t="shared" si="27"/>
        <v>264000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313200</v>
      </c>
      <c r="S68" s="9">
        <f t="shared" si="27"/>
        <v>345600</v>
      </c>
      <c r="T68" s="9">
        <f t="shared" si="27"/>
        <v>378000</v>
      </c>
      <c r="U68" s="9">
        <f t="shared" si="27"/>
        <v>313200</v>
      </c>
      <c r="V68" s="9">
        <f t="shared" si="27"/>
        <v>345600</v>
      </c>
      <c r="W68" s="9">
        <f t="shared" si="27"/>
        <v>280800</v>
      </c>
      <c r="X68" s="9">
        <f t="shared" si="27"/>
        <v>280800</v>
      </c>
      <c r="Y68" s="9">
        <f t="shared" si="27"/>
        <v>280800</v>
      </c>
      <c r="Z68" s="9">
        <f t="shared" si="27"/>
        <v>172800</v>
      </c>
      <c r="AA68" s="9">
        <f t="shared" si="27"/>
        <v>313200</v>
      </c>
      <c r="AB68" s="9">
        <f t="shared" si="27"/>
        <v>507600</v>
      </c>
      <c r="AC68" s="9">
        <f t="shared" si="27"/>
        <v>572400</v>
      </c>
      <c r="AD68" s="9">
        <f t="shared" si="27"/>
        <v>515160</v>
      </c>
      <c r="AE68" s="9">
        <f t="shared" si="27"/>
        <v>563760</v>
      </c>
      <c r="AF68" s="9">
        <f t="shared" si="27"/>
        <v>622080</v>
      </c>
      <c r="AG68" s="9">
        <f t="shared" si="27"/>
        <v>515160</v>
      </c>
      <c r="AH68" s="9">
        <f t="shared" si="27"/>
        <v>563760</v>
      </c>
      <c r="AI68" s="9">
        <f t="shared" si="27"/>
        <v>456840</v>
      </c>
      <c r="AJ68" s="9">
        <f t="shared" si="27"/>
        <v>456840</v>
      </c>
      <c r="AK68" s="9">
        <f t="shared" si="27"/>
        <v>456840</v>
      </c>
      <c r="AL68" s="9">
        <f t="shared" ref="AL68:BN68" si="28">AJ66</f>
        <v>281880</v>
      </c>
      <c r="AM68" s="9">
        <f t="shared" si="28"/>
        <v>301320</v>
      </c>
      <c r="AN68" s="9">
        <f t="shared" si="28"/>
        <v>486000</v>
      </c>
      <c r="AO68" s="9">
        <f t="shared" si="28"/>
        <v>544320</v>
      </c>
      <c r="AP68" s="9">
        <f t="shared" si="28"/>
        <v>489888</v>
      </c>
      <c r="AQ68" s="9">
        <f t="shared" si="28"/>
        <v>542376</v>
      </c>
      <c r="AR68" s="9">
        <f t="shared" si="28"/>
        <v>594864</v>
      </c>
      <c r="AS68" s="9">
        <f t="shared" si="28"/>
        <v>489888</v>
      </c>
      <c r="AT68" s="9">
        <f t="shared" si="28"/>
        <v>542376</v>
      </c>
      <c r="AU68" s="9">
        <f t="shared" si="28"/>
        <v>437400</v>
      </c>
      <c r="AV68" s="9">
        <f t="shared" si="28"/>
        <v>437400</v>
      </c>
      <c r="AW68" s="9">
        <f t="shared" si="28"/>
        <v>437400</v>
      </c>
      <c r="AX68" s="9">
        <f t="shared" si="28"/>
        <v>271188</v>
      </c>
      <c r="AY68" s="9">
        <f t="shared" si="28"/>
        <v>288684</v>
      </c>
      <c r="AZ68" s="9">
        <f t="shared" si="28"/>
        <v>463644</v>
      </c>
      <c r="BA68" s="9">
        <f t="shared" si="28"/>
        <v>516132</v>
      </c>
      <c r="BB68" s="9">
        <f t="shared" si="28"/>
        <v>464518.8</v>
      </c>
      <c r="BC68" s="9">
        <f t="shared" si="28"/>
        <v>519631.2</v>
      </c>
      <c r="BD68" s="9">
        <f t="shared" si="28"/>
        <v>566870.4</v>
      </c>
      <c r="BE68" s="9">
        <f t="shared" si="28"/>
        <v>464518.8</v>
      </c>
      <c r="BF68" s="9">
        <f t="shared" si="28"/>
        <v>519631.2</v>
      </c>
      <c r="BG68" s="9">
        <f t="shared" si="28"/>
        <v>417279.6</v>
      </c>
      <c r="BH68" s="9">
        <f t="shared" si="28"/>
        <v>417279.6</v>
      </c>
      <c r="BI68" s="9">
        <f t="shared" si="28"/>
        <v>417279.6</v>
      </c>
      <c r="BJ68" s="9">
        <f t="shared" si="28"/>
        <v>259815.6</v>
      </c>
      <c r="BK68" s="9">
        <f t="shared" si="28"/>
        <v>3936600</v>
      </c>
      <c r="BL68" s="9">
        <f t="shared" si="28"/>
        <v>3936600</v>
      </c>
      <c r="BM68" s="9">
        <f t="shared" si="28"/>
        <v>5117580</v>
      </c>
      <c r="BN68" s="9">
        <f t="shared" si="28"/>
        <v>21076556.399999999</v>
      </c>
    </row>
    <row r="69" spans="2:66" x14ac:dyDescent="0.15">
      <c r="B69" s="33" t="s">
        <v>387</v>
      </c>
      <c r="C69" s="9">
        <f t="shared" ref="C69:AH69" si="29">C67-C68</f>
        <v>0</v>
      </c>
      <c r="D69" s="9">
        <f t="shared" si="29"/>
        <v>468000</v>
      </c>
      <c r="E69" s="9">
        <f t="shared" si="29"/>
        <v>984000</v>
      </c>
      <c r="F69" s="9">
        <f t="shared" si="29"/>
        <v>1092000</v>
      </c>
      <c r="G69" s="9">
        <f t="shared" si="29"/>
        <v>1044000</v>
      </c>
      <c r="H69" s="9">
        <f t="shared" si="29"/>
        <v>984000</v>
      </c>
      <c r="I69" s="9">
        <f t="shared" si="29"/>
        <v>936000</v>
      </c>
      <c r="J69" s="9">
        <f t="shared" si="29"/>
        <v>840000</v>
      </c>
      <c r="K69" s="9">
        <f t="shared" si="29"/>
        <v>840000</v>
      </c>
      <c r="L69" s="9">
        <f t="shared" si="29"/>
        <v>684000</v>
      </c>
      <c r="M69" s="9">
        <f t="shared" si="29"/>
        <v>456000</v>
      </c>
      <c r="N69" s="9">
        <f t="shared" si="29"/>
        <v>504000</v>
      </c>
      <c r="O69" s="9">
        <f t="shared" si="29"/>
        <v>660000</v>
      </c>
      <c r="P69" s="9">
        <f t="shared" si="29"/>
        <v>661200</v>
      </c>
      <c r="Q69" s="9">
        <f t="shared" si="29"/>
        <v>658800</v>
      </c>
      <c r="R69" s="9">
        <f t="shared" si="29"/>
        <v>723600</v>
      </c>
      <c r="S69" s="9">
        <f t="shared" si="29"/>
        <v>691200</v>
      </c>
      <c r="T69" s="9">
        <f t="shared" si="29"/>
        <v>658800</v>
      </c>
      <c r="U69" s="9">
        <f t="shared" si="29"/>
        <v>626400</v>
      </c>
      <c r="V69" s="9">
        <f t="shared" si="29"/>
        <v>561600</v>
      </c>
      <c r="W69" s="9">
        <f t="shared" si="29"/>
        <v>561600</v>
      </c>
      <c r="X69" s="9">
        <f t="shared" si="29"/>
        <v>453600</v>
      </c>
      <c r="Y69" s="9">
        <f t="shared" si="29"/>
        <v>486000</v>
      </c>
      <c r="Z69" s="9">
        <f t="shared" si="29"/>
        <v>820800</v>
      </c>
      <c r="AA69" s="9">
        <f t="shared" si="29"/>
        <v>1080000</v>
      </c>
      <c r="AB69" s="9">
        <f t="shared" si="29"/>
        <v>1087560</v>
      </c>
      <c r="AC69" s="9">
        <f t="shared" si="29"/>
        <v>1078920</v>
      </c>
      <c r="AD69" s="9">
        <f t="shared" si="29"/>
        <v>1185840</v>
      </c>
      <c r="AE69" s="9">
        <f t="shared" si="29"/>
        <v>1137240</v>
      </c>
      <c r="AF69" s="9">
        <f t="shared" si="29"/>
        <v>1078920</v>
      </c>
      <c r="AG69" s="9">
        <f t="shared" si="29"/>
        <v>1020600</v>
      </c>
      <c r="AH69" s="9">
        <f t="shared" si="29"/>
        <v>913680</v>
      </c>
      <c r="AI69" s="9">
        <f t="shared" ref="AI69:BN69" si="30">AI67-AI68</f>
        <v>913680</v>
      </c>
      <c r="AJ69" s="9">
        <f t="shared" si="30"/>
        <v>738720</v>
      </c>
      <c r="AK69" s="9">
        <f t="shared" si="30"/>
        <v>583200</v>
      </c>
      <c r="AL69" s="9">
        <f t="shared" si="30"/>
        <v>787320</v>
      </c>
      <c r="AM69" s="9">
        <f t="shared" si="30"/>
        <v>1030320</v>
      </c>
      <c r="AN69" s="9">
        <f t="shared" si="30"/>
        <v>1034208</v>
      </c>
      <c r="AO69" s="9">
        <f t="shared" si="30"/>
        <v>1032264</v>
      </c>
      <c r="AP69" s="9">
        <f t="shared" si="30"/>
        <v>1137240</v>
      </c>
      <c r="AQ69" s="9">
        <f t="shared" si="30"/>
        <v>1084752</v>
      </c>
      <c r="AR69" s="9">
        <f t="shared" si="30"/>
        <v>1032264</v>
      </c>
      <c r="AS69" s="9">
        <f t="shared" si="30"/>
        <v>979776</v>
      </c>
      <c r="AT69" s="9">
        <f t="shared" si="30"/>
        <v>874800</v>
      </c>
      <c r="AU69" s="9">
        <f t="shared" si="30"/>
        <v>874800</v>
      </c>
      <c r="AV69" s="9">
        <f t="shared" si="30"/>
        <v>708588</v>
      </c>
      <c r="AW69" s="9">
        <f t="shared" si="30"/>
        <v>559872</v>
      </c>
      <c r="AX69" s="9">
        <f t="shared" si="30"/>
        <v>752328</v>
      </c>
      <c r="AY69" s="9">
        <f t="shared" si="30"/>
        <v>979776</v>
      </c>
      <c r="AZ69" s="9">
        <f t="shared" si="30"/>
        <v>980650.8</v>
      </c>
      <c r="BA69" s="9">
        <f t="shared" si="30"/>
        <v>984150</v>
      </c>
      <c r="BB69" s="9">
        <f t="shared" si="30"/>
        <v>1086501.5999999999</v>
      </c>
      <c r="BC69" s="9">
        <f t="shared" si="30"/>
        <v>1031389.2</v>
      </c>
      <c r="BD69" s="9">
        <f t="shared" si="30"/>
        <v>984149.99999999988</v>
      </c>
      <c r="BE69" s="9">
        <f t="shared" si="30"/>
        <v>936910.79999999981</v>
      </c>
      <c r="BF69" s="9">
        <f t="shared" si="30"/>
        <v>834559.2</v>
      </c>
      <c r="BG69" s="9">
        <f t="shared" si="30"/>
        <v>834559.19999999984</v>
      </c>
      <c r="BH69" s="9">
        <f t="shared" si="30"/>
        <v>677095.19999999984</v>
      </c>
      <c r="BI69" s="9">
        <f t="shared" si="30"/>
        <v>4196415.6000000006</v>
      </c>
      <c r="BJ69" s="9">
        <f t="shared" si="30"/>
        <v>7873200.0000000009</v>
      </c>
      <c r="BK69" s="9">
        <f t="shared" si="30"/>
        <v>9054180</v>
      </c>
      <c r="BL69" s="9">
        <f t="shared" si="30"/>
        <v>26194136.399999999</v>
      </c>
      <c r="BM69" s="9">
        <f t="shared" si="30"/>
        <v>22257536.399999999</v>
      </c>
      <c r="BN69" s="9">
        <f t="shared" si="30"/>
        <v>1180980</v>
      </c>
    </row>
    <row r="70" spans="2:66" x14ac:dyDescent="0.15">
      <c r="B70" s="33" t="s">
        <v>554</v>
      </c>
      <c r="C70" s="9">
        <f>C67</f>
        <v>0</v>
      </c>
      <c r="D70" s="9">
        <f t="shared" ref="D70:AI70" si="31">D69-C69</f>
        <v>468000</v>
      </c>
      <c r="E70" s="9">
        <f t="shared" si="31"/>
        <v>516000</v>
      </c>
      <c r="F70" s="9">
        <f t="shared" si="31"/>
        <v>108000</v>
      </c>
      <c r="G70" s="9">
        <f t="shared" si="31"/>
        <v>-48000</v>
      </c>
      <c r="H70" s="9">
        <f t="shared" si="31"/>
        <v>-60000</v>
      </c>
      <c r="I70" s="9">
        <f t="shared" si="31"/>
        <v>-48000</v>
      </c>
      <c r="J70" s="9">
        <f t="shared" si="31"/>
        <v>-96000</v>
      </c>
      <c r="K70" s="9">
        <f t="shared" si="31"/>
        <v>0</v>
      </c>
      <c r="L70" s="9">
        <f t="shared" si="31"/>
        <v>-156000</v>
      </c>
      <c r="M70" s="9">
        <f t="shared" si="31"/>
        <v>-228000</v>
      </c>
      <c r="N70" s="9">
        <f t="shared" si="31"/>
        <v>48000</v>
      </c>
      <c r="O70" s="9">
        <f t="shared" si="31"/>
        <v>156000</v>
      </c>
      <c r="P70" s="9">
        <f t="shared" si="31"/>
        <v>1200</v>
      </c>
      <c r="Q70" s="9">
        <f t="shared" si="31"/>
        <v>-2400</v>
      </c>
      <c r="R70" s="9">
        <f t="shared" si="31"/>
        <v>64800</v>
      </c>
      <c r="S70" s="9">
        <f t="shared" si="31"/>
        <v>-32400</v>
      </c>
      <c r="T70" s="9">
        <f t="shared" si="31"/>
        <v>-32400</v>
      </c>
      <c r="U70" s="9">
        <f t="shared" si="31"/>
        <v>-32400</v>
      </c>
      <c r="V70" s="9">
        <f t="shared" si="31"/>
        <v>-64800</v>
      </c>
      <c r="W70" s="9">
        <f t="shared" si="31"/>
        <v>0</v>
      </c>
      <c r="X70" s="9">
        <f t="shared" si="31"/>
        <v>-108000</v>
      </c>
      <c r="Y70" s="9">
        <f t="shared" si="31"/>
        <v>32400</v>
      </c>
      <c r="Z70" s="9">
        <f t="shared" si="31"/>
        <v>334800</v>
      </c>
      <c r="AA70" s="9">
        <f t="shared" si="31"/>
        <v>259200</v>
      </c>
      <c r="AB70" s="9">
        <f t="shared" si="31"/>
        <v>7560</v>
      </c>
      <c r="AC70" s="9">
        <f t="shared" si="31"/>
        <v>-8640</v>
      </c>
      <c r="AD70" s="9">
        <f t="shared" si="31"/>
        <v>106920</v>
      </c>
      <c r="AE70" s="9">
        <f t="shared" si="31"/>
        <v>-48600</v>
      </c>
      <c r="AF70" s="9">
        <f t="shared" si="31"/>
        <v>-58320</v>
      </c>
      <c r="AG70" s="9">
        <f t="shared" si="31"/>
        <v>-58320</v>
      </c>
      <c r="AH70" s="9">
        <f t="shared" si="31"/>
        <v>-106920</v>
      </c>
      <c r="AI70" s="9">
        <f t="shared" si="31"/>
        <v>0</v>
      </c>
      <c r="AJ70" s="9">
        <f t="shared" ref="AJ70:BN70" si="32">AJ69-AI69</f>
        <v>-174960</v>
      </c>
      <c r="AK70" s="9">
        <f t="shared" si="32"/>
        <v>-155520</v>
      </c>
      <c r="AL70" s="9">
        <f t="shared" si="32"/>
        <v>204120</v>
      </c>
      <c r="AM70" s="9">
        <f t="shared" si="32"/>
        <v>243000</v>
      </c>
      <c r="AN70" s="9">
        <f t="shared" si="32"/>
        <v>3888</v>
      </c>
      <c r="AO70" s="9">
        <f t="shared" si="32"/>
        <v>-1944</v>
      </c>
      <c r="AP70" s="9">
        <f t="shared" si="32"/>
        <v>104976</v>
      </c>
      <c r="AQ70" s="9">
        <f t="shared" si="32"/>
        <v>-52488</v>
      </c>
      <c r="AR70" s="9">
        <f t="shared" si="32"/>
        <v>-52488</v>
      </c>
      <c r="AS70" s="9">
        <f t="shared" si="32"/>
        <v>-52488</v>
      </c>
      <c r="AT70" s="9">
        <f t="shared" si="32"/>
        <v>-104976</v>
      </c>
      <c r="AU70" s="9">
        <f t="shared" si="32"/>
        <v>0</v>
      </c>
      <c r="AV70" s="9">
        <f t="shared" si="32"/>
        <v>-166212</v>
      </c>
      <c r="AW70" s="9">
        <f t="shared" si="32"/>
        <v>-148716</v>
      </c>
      <c r="AX70" s="9">
        <f t="shared" si="32"/>
        <v>192456</v>
      </c>
      <c r="AY70" s="9">
        <f t="shared" si="32"/>
        <v>227448</v>
      </c>
      <c r="AZ70" s="9">
        <f t="shared" si="32"/>
        <v>874.80000000004657</v>
      </c>
      <c r="BA70" s="9">
        <f t="shared" si="32"/>
        <v>3499.1999999999534</v>
      </c>
      <c r="BB70" s="9">
        <f t="shared" si="32"/>
        <v>102351.59999999986</v>
      </c>
      <c r="BC70" s="9">
        <f t="shared" si="32"/>
        <v>-55112.399999999907</v>
      </c>
      <c r="BD70" s="9">
        <f t="shared" si="32"/>
        <v>-47239.20000000007</v>
      </c>
      <c r="BE70" s="9">
        <f t="shared" si="32"/>
        <v>-47239.20000000007</v>
      </c>
      <c r="BF70" s="9">
        <f t="shared" si="32"/>
        <v>-102351.59999999986</v>
      </c>
      <c r="BG70" s="9">
        <f t="shared" si="32"/>
        <v>0</v>
      </c>
      <c r="BH70" s="9">
        <f t="shared" si="32"/>
        <v>-157464</v>
      </c>
      <c r="BI70" s="9">
        <f t="shared" si="32"/>
        <v>3519320.4000000008</v>
      </c>
      <c r="BJ70" s="9">
        <f t="shared" si="32"/>
        <v>3676784.4000000004</v>
      </c>
      <c r="BK70" s="9">
        <f t="shared" si="32"/>
        <v>1180979.9999999991</v>
      </c>
      <c r="BL70" s="9">
        <f t="shared" si="32"/>
        <v>17139956.399999999</v>
      </c>
      <c r="BM70" s="9">
        <f t="shared" si="32"/>
        <v>-3936600</v>
      </c>
      <c r="BN70" s="9">
        <f t="shared" si="32"/>
        <v>-21076556.399999999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7"/>
  <sheetViews>
    <sheetView tabSelected="1" zoomScale="120" zoomScaleNormal="12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5" sqref="A5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356</v>
      </c>
      <c r="D1" s="6" t="s">
        <v>357</v>
      </c>
      <c r="E1" s="6" t="s">
        <v>358</v>
      </c>
      <c r="F1" s="6" t="s">
        <v>359</v>
      </c>
      <c r="G1" s="6" t="s">
        <v>360</v>
      </c>
      <c r="H1" s="6" t="s">
        <v>361</v>
      </c>
    </row>
    <row r="2" spans="2:8" x14ac:dyDescent="0.15">
      <c r="C2" s="10" t="s">
        <v>322</v>
      </c>
      <c r="D2" s="10" t="s">
        <v>323</v>
      </c>
      <c r="E2" s="10" t="s">
        <v>652</v>
      </c>
      <c r="F2" s="10" t="s">
        <v>344</v>
      </c>
      <c r="G2" s="10" t="s">
        <v>345</v>
      </c>
      <c r="H2" s="10" t="s">
        <v>327</v>
      </c>
    </row>
    <row r="3" spans="2:8" x14ac:dyDescent="0.15">
      <c r="B3" s="10" t="s">
        <v>35</v>
      </c>
    </row>
    <row r="4" spans="2:8" x14ac:dyDescent="0.15">
      <c r="B4" s="14" t="s">
        <v>1244</v>
      </c>
    </row>
    <row r="5" spans="2:8" x14ac:dyDescent="0.15">
      <c r="B5" s="47" t="s">
        <v>643</v>
      </c>
      <c r="C5" s="281">
        <v>18000</v>
      </c>
      <c r="D5" s="313">
        <v>0.09</v>
      </c>
      <c r="E5" s="93">
        <f>C5*(1-D5)</f>
        <v>16380</v>
      </c>
      <c r="F5" s="281">
        <v>12000</v>
      </c>
      <c r="G5" s="93">
        <f>E5-F5</f>
        <v>4380</v>
      </c>
      <c r="H5" s="4">
        <f>G5/E5</f>
        <v>0.26739926739926739</v>
      </c>
    </row>
    <row r="6" spans="2:8" x14ac:dyDescent="0.15">
      <c r="B6" s="17" t="s">
        <v>685</v>
      </c>
      <c r="C6" s="93" t="s">
        <v>329</v>
      </c>
      <c r="D6" s="93"/>
      <c r="E6" s="93"/>
      <c r="F6" s="281">
        <v>0</v>
      </c>
      <c r="G6" s="93">
        <f>E6-F6</f>
        <v>0</v>
      </c>
      <c r="H6" s="4"/>
    </row>
    <row r="7" spans="2:8" x14ac:dyDescent="0.15">
      <c r="B7" s="17" t="s">
        <v>328</v>
      </c>
      <c r="C7" s="93" t="s">
        <v>329</v>
      </c>
      <c r="D7" s="93"/>
      <c r="E7" s="93"/>
      <c r="F7" s="281">
        <v>0</v>
      </c>
      <c r="G7" s="93">
        <f>E7-F7</f>
        <v>0</v>
      </c>
      <c r="H7" s="4"/>
    </row>
    <row r="8" spans="2:8" x14ac:dyDescent="0.15">
      <c r="B8" s="17" t="s">
        <v>326</v>
      </c>
      <c r="C8" s="93" t="s">
        <v>329</v>
      </c>
      <c r="D8" s="93"/>
      <c r="E8" s="93"/>
      <c r="F8" s="281">
        <v>0</v>
      </c>
      <c r="G8" s="93">
        <f>E8-F8</f>
        <v>0</v>
      </c>
      <c r="H8" s="4"/>
    </row>
    <row r="9" spans="2:8" x14ac:dyDescent="0.15">
      <c r="B9" s="14" t="s">
        <v>1246</v>
      </c>
      <c r="C9" s="92">
        <f>SUM(C5:C8)</f>
        <v>18000</v>
      </c>
      <c r="D9" s="92"/>
      <c r="E9" s="92">
        <f>SUM(E5:E8)</f>
        <v>16380</v>
      </c>
      <c r="F9" s="92">
        <f>SUM(F5:F8)</f>
        <v>12000</v>
      </c>
      <c r="G9" s="93">
        <f>SUM(G5:G8)</f>
        <v>4380</v>
      </c>
      <c r="H9" s="4">
        <f>G9/E9</f>
        <v>0.26739926739926739</v>
      </c>
    </row>
    <row r="11" spans="2:8" x14ac:dyDescent="0.15">
      <c r="B11" s="14" t="s">
        <v>1245</v>
      </c>
    </row>
    <row r="12" spans="2:8" x14ac:dyDescent="0.15">
      <c r="B12" s="47" t="s">
        <v>643</v>
      </c>
      <c r="C12" s="281">
        <v>23000</v>
      </c>
      <c r="D12" s="313">
        <v>0.09</v>
      </c>
      <c r="E12" s="93">
        <f>C12*(1-D12)</f>
        <v>20930</v>
      </c>
      <c r="F12" s="281">
        <v>13000</v>
      </c>
      <c r="G12" s="93">
        <f>E12-F12</f>
        <v>7930</v>
      </c>
      <c r="H12" s="4">
        <f>G12/E12</f>
        <v>0.37888198757763975</v>
      </c>
    </row>
    <row r="13" spans="2:8" x14ac:dyDescent="0.15">
      <c r="B13" s="17" t="s">
        <v>685</v>
      </c>
      <c r="C13" s="93" t="s">
        <v>329</v>
      </c>
      <c r="D13" s="93"/>
      <c r="E13" s="93"/>
      <c r="F13" s="281">
        <v>0</v>
      </c>
      <c r="G13" s="93">
        <f>E13-F13</f>
        <v>0</v>
      </c>
      <c r="H13" s="4"/>
    </row>
    <row r="14" spans="2:8" x14ac:dyDescent="0.15">
      <c r="B14" s="17" t="s">
        <v>328</v>
      </c>
      <c r="C14" s="93" t="s">
        <v>329</v>
      </c>
      <c r="D14" s="93"/>
      <c r="E14" s="93"/>
      <c r="F14" s="281">
        <v>0</v>
      </c>
      <c r="G14" s="93">
        <f>E14-F14</f>
        <v>0</v>
      </c>
      <c r="H14" s="4"/>
    </row>
    <row r="15" spans="2:8" x14ac:dyDescent="0.15">
      <c r="B15" s="17" t="s">
        <v>326</v>
      </c>
      <c r="C15" s="93" t="s">
        <v>329</v>
      </c>
      <c r="D15" s="93"/>
      <c r="E15" s="93"/>
      <c r="F15" s="281">
        <v>0</v>
      </c>
      <c r="G15" s="93">
        <f>E15-F15</f>
        <v>0</v>
      </c>
      <c r="H15" s="4"/>
    </row>
    <row r="16" spans="2:8" s="14" customFormat="1" x14ac:dyDescent="0.15">
      <c r="B16" s="14" t="s">
        <v>1247</v>
      </c>
      <c r="C16" s="195">
        <f>SUM(C12:C15)</f>
        <v>23000</v>
      </c>
      <c r="D16" s="195"/>
      <c r="E16" s="195">
        <f>SUM(E12:E15)</f>
        <v>20930</v>
      </c>
      <c r="F16" s="195">
        <f>SUM(F12:F15)</f>
        <v>13000</v>
      </c>
      <c r="G16" s="195">
        <f>SUM(G12:G15)</f>
        <v>7930</v>
      </c>
      <c r="H16" s="96">
        <f>G16/E16</f>
        <v>0.37888198757763975</v>
      </c>
    </row>
    <row r="17" spans="2:8" x14ac:dyDescent="0.15">
      <c r="C17" s="3"/>
      <c r="D17" s="3"/>
      <c r="E17" s="3"/>
      <c r="F17" s="93"/>
      <c r="G17" s="3"/>
    </row>
    <row r="18" spans="2:8" x14ac:dyDescent="0.15">
      <c r="B18" s="14" t="s">
        <v>645</v>
      </c>
      <c r="C18" s="91"/>
      <c r="E18" s="91"/>
      <c r="F18" s="91"/>
      <c r="G18" s="3"/>
      <c r="H18" s="94"/>
    </row>
    <row r="19" spans="2:8" x14ac:dyDescent="0.15">
      <c r="B19" s="47" t="s">
        <v>341</v>
      </c>
      <c r="C19" s="281">
        <v>0</v>
      </c>
      <c r="D19" s="313">
        <v>0.9</v>
      </c>
      <c r="E19" s="93">
        <f>C19*(1-D19)</f>
        <v>0</v>
      </c>
      <c r="G19" s="93">
        <f>E19-F19</f>
        <v>0</v>
      </c>
      <c r="H19" s="4">
        <f>IFERROR(G19/E19, 0)</f>
        <v>0</v>
      </c>
    </row>
    <row r="20" spans="2:8" x14ac:dyDescent="0.15">
      <c r="B20" s="47" t="s">
        <v>342</v>
      </c>
      <c r="C20" s="281">
        <v>0</v>
      </c>
      <c r="D20" s="313">
        <f>D5</f>
        <v>0.09</v>
      </c>
      <c r="E20" s="93">
        <f>C20*(1-D20)</f>
        <v>0</v>
      </c>
      <c r="G20" s="93">
        <f>E20-F20</f>
        <v>0</v>
      </c>
      <c r="H20" s="4">
        <f>IFERROR(G20/E20, 0)</f>
        <v>0</v>
      </c>
    </row>
    <row r="21" spans="2:8" x14ac:dyDescent="0.15">
      <c r="B21" s="47" t="s">
        <v>346</v>
      </c>
      <c r="C21" s="313">
        <v>0.25</v>
      </c>
      <c r="D21" s="4"/>
      <c r="E21" s="93"/>
      <c r="G21" s="93"/>
      <c r="H21" s="4"/>
    </row>
    <row r="22" spans="2:8" x14ac:dyDescent="0.15">
      <c r="B22" s="47"/>
      <c r="C22" s="96"/>
      <c r="D22" s="4"/>
      <c r="E22" s="93"/>
      <c r="G22" s="93"/>
      <c r="H22" s="4"/>
    </row>
    <row r="23" spans="2:8" s="14" customFormat="1" x14ac:dyDescent="0.15">
      <c r="B23" s="14" t="s">
        <v>688</v>
      </c>
      <c r="C23" s="27">
        <f>C20+C19+C9</f>
        <v>18000</v>
      </c>
      <c r="D23" s="64"/>
      <c r="E23" s="27">
        <f>E20+E19+E9</f>
        <v>16380</v>
      </c>
      <c r="F23" s="27">
        <f>F20+F19+F9</f>
        <v>12000</v>
      </c>
      <c r="G23" s="27">
        <f>G20+G19+G9</f>
        <v>4380</v>
      </c>
      <c r="H23" s="179">
        <f>G23/E23</f>
        <v>0.26739926739926739</v>
      </c>
    </row>
    <row r="24" spans="2:8" x14ac:dyDescent="0.15">
      <c r="C24" s="3"/>
      <c r="D24" s="4"/>
      <c r="E24" s="3"/>
      <c r="F24" s="93"/>
      <c r="G24" s="3"/>
      <c r="H24" s="94"/>
    </row>
    <row r="25" spans="2:8" x14ac:dyDescent="0.15">
      <c r="B25" s="10" t="s">
        <v>36</v>
      </c>
    </row>
    <row r="26" spans="2:8" x14ac:dyDescent="0.15">
      <c r="B26" s="14" t="s">
        <v>337</v>
      </c>
    </row>
    <row r="27" spans="2:8" x14ac:dyDescent="0.15">
      <c r="B27" s="47" t="s">
        <v>643</v>
      </c>
      <c r="C27" s="93">
        <f>C5*1.1</f>
        <v>19800</v>
      </c>
      <c r="D27" s="313">
        <v>0.25</v>
      </c>
      <c r="E27" s="93">
        <f>C27*(1-D27)</f>
        <v>14850</v>
      </c>
      <c r="F27" s="93">
        <f>F5*0.9</f>
        <v>10800</v>
      </c>
      <c r="G27" s="93">
        <f>E27-F27</f>
        <v>4050</v>
      </c>
      <c r="H27" s="4">
        <f>G27/E27</f>
        <v>0.27272727272727271</v>
      </c>
    </row>
    <row r="28" spans="2:8" x14ac:dyDescent="0.15">
      <c r="B28" s="17" t="s">
        <v>685</v>
      </c>
      <c r="C28" s="93" t="s">
        <v>329</v>
      </c>
      <c r="D28" s="93"/>
      <c r="E28" s="93"/>
      <c r="F28" s="93">
        <f>F6*1.1</f>
        <v>0</v>
      </c>
      <c r="G28" s="93">
        <f>E28-F28</f>
        <v>0</v>
      </c>
      <c r="H28" s="4"/>
    </row>
    <row r="29" spans="2:8" x14ac:dyDescent="0.15">
      <c r="B29" s="17" t="s">
        <v>328</v>
      </c>
      <c r="C29" s="93" t="s">
        <v>329</v>
      </c>
      <c r="D29" s="93"/>
      <c r="E29" s="93"/>
      <c r="F29" s="93">
        <f>F7*0.9</f>
        <v>0</v>
      </c>
      <c r="G29" s="93"/>
      <c r="H29" s="4"/>
    </row>
    <row r="30" spans="2:8" x14ac:dyDescent="0.15">
      <c r="B30" s="17" t="s">
        <v>326</v>
      </c>
      <c r="C30" s="93" t="s">
        <v>329</v>
      </c>
      <c r="D30" s="93"/>
      <c r="E30" s="93"/>
      <c r="F30" s="93">
        <f>F8*0.9</f>
        <v>0</v>
      </c>
      <c r="G30" s="93">
        <f>E30-F30</f>
        <v>0</v>
      </c>
      <c r="H30" s="4"/>
    </row>
    <row r="31" spans="2:8" x14ac:dyDescent="0.15">
      <c r="B31" s="14" t="s">
        <v>218</v>
      </c>
      <c r="C31" s="92">
        <f>SUM(C27:C30)</f>
        <v>19800</v>
      </c>
      <c r="D31" s="92"/>
      <c r="E31" s="92">
        <f>SUM(E27:E30)</f>
        <v>14850</v>
      </c>
      <c r="F31" s="92">
        <f>SUM(F27:F30)</f>
        <v>10800</v>
      </c>
      <c r="G31" s="93">
        <f>E31-F31</f>
        <v>4050</v>
      </c>
      <c r="H31" s="4">
        <f>G31/E31</f>
        <v>0.27272727272727271</v>
      </c>
    </row>
    <row r="33" spans="2:8" x14ac:dyDescent="0.15">
      <c r="B33" s="14" t="s">
        <v>644</v>
      </c>
    </row>
    <row r="34" spans="2:8" x14ac:dyDescent="0.15">
      <c r="B34" s="47" t="s">
        <v>338</v>
      </c>
      <c r="C34" s="281">
        <v>250</v>
      </c>
      <c r="D34" s="313">
        <f>D27</f>
        <v>0.25</v>
      </c>
      <c r="E34" s="93">
        <f>C34*(1-D34)</f>
        <v>187.5</v>
      </c>
      <c r="F34" s="93"/>
      <c r="G34" s="93">
        <f>E34-F34</f>
        <v>187.5</v>
      </c>
      <c r="H34" s="4">
        <f>G34/E34</f>
        <v>1</v>
      </c>
    </row>
    <row r="35" spans="2:8" x14ac:dyDescent="0.15">
      <c r="B35" s="47" t="s">
        <v>343</v>
      </c>
      <c r="C35" s="313">
        <v>0.1</v>
      </c>
      <c r="D35" s="3"/>
      <c r="E35" s="93">
        <f>C34*C35</f>
        <v>25</v>
      </c>
      <c r="F35" s="93"/>
      <c r="G35" s="93">
        <f>E35-F35</f>
        <v>25</v>
      </c>
      <c r="H35" s="218">
        <f>G35/E35</f>
        <v>1</v>
      </c>
    </row>
    <row r="36" spans="2:8" x14ac:dyDescent="0.15">
      <c r="B36" s="47"/>
      <c r="C36" s="4"/>
      <c r="D36" s="3"/>
      <c r="E36" s="3"/>
      <c r="F36" s="93"/>
      <c r="G36" s="93"/>
      <c r="H36" s="4"/>
    </row>
    <row r="37" spans="2:8" s="14" customFormat="1" x14ac:dyDescent="0.15">
      <c r="B37" s="14" t="s">
        <v>687</v>
      </c>
      <c r="C37" s="27">
        <f>C34+C31</f>
        <v>20050</v>
      </c>
      <c r="D37" s="64"/>
      <c r="E37" s="27">
        <f>E34+E31</f>
        <v>15037.5</v>
      </c>
      <c r="F37" s="27">
        <f>F34+F31</f>
        <v>10800</v>
      </c>
      <c r="G37" s="27">
        <f>G34+G31</f>
        <v>4237.5</v>
      </c>
      <c r="H37" s="179">
        <f>G37/E37</f>
        <v>0.28179551122194513</v>
      </c>
    </row>
    <row r="38" spans="2:8" x14ac:dyDescent="0.15">
      <c r="C38" s="3"/>
      <c r="D38" s="3"/>
      <c r="E38" s="3"/>
      <c r="F38" s="93"/>
      <c r="G38" s="3"/>
    </row>
    <row r="39" spans="2:8" x14ac:dyDescent="0.15">
      <c r="B39" s="14" t="s">
        <v>645</v>
      </c>
      <c r="C39" s="91"/>
      <c r="E39" s="91"/>
      <c r="F39" s="91"/>
      <c r="G39" s="3"/>
      <c r="H39" s="94"/>
    </row>
    <row r="40" spans="2:8" x14ac:dyDescent="0.15">
      <c r="B40" s="47" t="s">
        <v>341</v>
      </c>
      <c r="C40" s="281">
        <v>25</v>
      </c>
      <c r="D40" s="313">
        <v>0.9</v>
      </c>
      <c r="E40" s="93">
        <f>C40*(1-D40)</f>
        <v>2.4999999999999996</v>
      </c>
      <c r="G40" s="93">
        <f>E40-F40</f>
        <v>2.4999999999999996</v>
      </c>
      <c r="H40" s="4">
        <f>G40/E40</f>
        <v>1</v>
      </c>
    </row>
    <row r="41" spans="2:8" x14ac:dyDescent="0.15">
      <c r="B41" s="47" t="s">
        <v>342</v>
      </c>
      <c r="C41" s="281">
        <v>225</v>
      </c>
      <c r="D41" s="313">
        <f>D27</f>
        <v>0.25</v>
      </c>
      <c r="E41" s="93">
        <f>C41*(1-D41)</f>
        <v>168.75</v>
      </c>
      <c r="G41" s="93">
        <f>E41-F41</f>
        <v>168.75</v>
      </c>
      <c r="H41" s="4">
        <f>G41/E41</f>
        <v>1</v>
      </c>
    </row>
    <row r="42" spans="2:8" x14ac:dyDescent="0.15">
      <c r="B42" s="47" t="s">
        <v>346</v>
      </c>
      <c r="C42" s="313">
        <v>0.4</v>
      </c>
      <c r="D42" s="4"/>
      <c r="E42" s="93"/>
      <c r="G42" s="93"/>
      <c r="H42" s="4"/>
    </row>
    <row r="43" spans="2:8" x14ac:dyDescent="0.15">
      <c r="B43" s="47"/>
      <c r="C43" s="96"/>
      <c r="D43" s="4"/>
      <c r="E43" s="93"/>
      <c r="G43" s="93"/>
      <c r="H43" s="4"/>
    </row>
    <row r="44" spans="2:8" s="14" customFormat="1" x14ac:dyDescent="0.15">
      <c r="B44" s="14" t="s">
        <v>688</v>
      </c>
      <c r="C44" s="27">
        <f>C41+C40+C31</f>
        <v>20050</v>
      </c>
      <c r="D44" s="64"/>
      <c r="E44" s="27">
        <f>E41+E40+E31</f>
        <v>15021.25</v>
      </c>
      <c r="F44" s="27">
        <f>F41+F40+F31</f>
        <v>10800</v>
      </c>
      <c r="G44" s="27">
        <f>G41+G40+G31</f>
        <v>4221.25</v>
      </c>
      <c r="H44" s="179">
        <f>G44/E44</f>
        <v>0.28101855704418738</v>
      </c>
    </row>
    <row r="46" spans="2:8" x14ac:dyDescent="0.15">
      <c r="B46" s="10" t="s">
        <v>37</v>
      </c>
    </row>
    <row r="47" spans="2:8" x14ac:dyDescent="0.15">
      <c r="B47" s="14" t="s">
        <v>337</v>
      </c>
    </row>
    <row r="48" spans="2:8" x14ac:dyDescent="0.15">
      <c r="B48" s="47" t="s">
        <v>643</v>
      </c>
      <c r="C48" s="281">
        <v>6000</v>
      </c>
      <c r="D48" s="313">
        <v>0.15</v>
      </c>
      <c r="E48" s="93">
        <f>C48*(1-D48)</f>
        <v>5100</v>
      </c>
      <c r="F48" s="93">
        <f>F27*0.9</f>
        <v>9720</v>
      </c>
      <c r="G48" s="93">
        <f>E48-F48</f>
        <v>-4620</v>
      </c>
      <c r="H48" s="4">
        <f>G48/E48</f>
        <v>-0.90588235294117647</v>
      </c>
    </row>
    <row r="49" spans="2:8" x14ac:dyDescent="0.15">
      <c r="B49" s="17" t="s">
        <v>685</v>
      </c>
      <c r="C49" s="93" t="s">
        <v>329</v>
      </c>
      <c r="D49" s="93"/>
      <c r="E49" s="93"/>
      <c r="F49" s="93">
        <f>F28*1.1</f>
        <v>0</v>
      </c>
      <c r="G49" s="93">
        <f>E49-F49</f>
        <v>0</v>
      </c>
      <c r="H49" s="4"/>
    </row>
    <row r="50" spans="2:8" x14ac:dyDescent="0.15">
      <c r="B50" s="17" t="s">
        <v>328</v>
      </c>
      <c r="C50" s="93" t="s">
        <v>329</v>
      </c>
      <c r="D50" s="93"/>
      <c r="E50" s="93"/>
      <c r="F50" s="93">
        <f>F29*0.9</f>
        <v>0</v>
      </c>
      <c r="G50" s="93"/>
      <c r="H50" s="4"/>
    </row>
    <row r="51" spans="2:8" x14ac:dyDescent="0.15">
      <c r="B51" s="17" t="s">
        <v>326</v>
      </c>
      <c r="C51" s="93" t="s">
        <v>329</v>
      </c>
      <c r="D51" s="93"/>
      <c r="E51" s="93"/>
      <c r="F51" s="93">
        <f>F30*0.9</f>
        <v>0</v>
      </c>
      <c r="G51" s="93">
        <f>E51-F51</f>
        <v>0</v>
      </c>
      <c r="H51" s="4"/>
    </row>
    <row r="52" spans="2:8" x14ac:dyDescent="0.15">
      <c r="B52" s="14" t="s">
        <v>218</v>
      </c>
      <c r="C52" s="92">
        <f>SUM(C48:C51)</f>
        <v>6000</v>
      </c>
      <c r="D52" s="92"/>
      <c r="E52" s="92">
        <f>SUM(E48:E51)</f>
        <v>5100</v>
      </c>
      <c r="F52" s="92">
        <f>SUM(F48:F51)</f>
        <v>9720</v>
      </c>
      <c r="G52" s="93">
        <f>E52-F52</f>
        <v>-4620</v>
      </c>
      <c r="H52" s="4">
        <f>G52/E52</f>
        <v>-0.90588235294117647</v>
      </c>
    </row>
    <row r="54" spans="2:8" x14ac:dyDescent="0.15">
      <c r="B54" s="14" t="s">
        <v>644</v>
      </c>
    </row>
    <row r="55" spans="2:8" x14ac:dyDescent="0.15">
      <c r="B55" s="47" t="s">
        <v>338</v>
      </c>
      <c r="C55" s="286">
        <v>250</v>
      </c>
      <c r="D55" s="313">
        <f>D48</f>
        <v>0.15</v>
      </c>
      <c r="E55" s="93">
        <f>C55*(1-D55)</f>
        <v>212.5</v>
      </c>
      <c r="F55" s="93"/>
      <c r="G55" s="93">
        <f>E55-F55</f>
        <v>212.5</v>
      </c>
      <c r="H55" s="4">
        <f>G55/E55</f>
        <v>1</v>
      </c>
    </row>
    <row r="56" spans="2:8" x14ac:dyDescent="0.15">
      <c r="B56" s="47" t="s">
        <v>343</v>
      </c>
      <c r="C56" s="313">
        <v>0.1</v>
      </c>
      <c r="D56" s="3"/>
      <c r="E56" s="93">
        <f>C55*C56</f>
        <v>25</v>
      </c>
      <c r="F56" s="93"/>
      <c r="G56" s="93">
        <f>E56-F56</f>
        <v>25</v>
      </c>
      <c r="H56" s="218">
        <f>G56/E56</f>
        <v>1</v>
      </c>
    </row>
    <row r="57" spans="2:8" x14ac:dyDescent="0.15">
      <c r="B57" s="47"/>
      <c r="C57" s="4"/>
      <c r="D57" s="3"/>
      <c r="E57" s="3"/>
      <c r="F57" s="93"/>
      <c r="G57" s="93"/>
      <c r="H57" s="4"/>
    </row>
    <row r="58" spans="2:8" s="14" customFormat="1" x14ac:dyDescent="0.15">
      <c r="B58" s="14" t="s">
        <v>687</v>
      </c>
      <c r="C58" s="27">
        <f>C55+C52</f>
        <v>6250</v>
      </c>
      <c r="D58" s="64"/>
      <c r="E58" s="27">
        <f>E55+E52</f>
        <v>5312.5</v>
      </c>
      <c r="F58" s="27">
        <f>F55+F52</f>
        <v>9720</v>
      </c>
      <c r="G58" s="27">
        <f>G55+G52</f>
        <v>-4407.5</v>
      </c>
      <c r="H58" s="179">
        <f>G58/E58</f>
        <v>-0.8296470588235294</v>
      </c>
    </row>
    <row r="59" spans="2:8" x14ac:dyDescent="0.15">
      <c r="B59" s="47"/>
      <c r="C59" s="96"/>
      <c r="D59" s="4"/>
      <c r="E59" s="93"/>
      <c r="G59" s="93"/>
      <c r="H59" s="4"/>
    </row>
    <row r="60" spans="2:8" x14ac:dyDescent="0.15">
      <c r="B60" s="14" t="s">
        <v>645</v>
      </c>
      <c r="C60" s="91"/>
      <c r="E60" s="91"/>
      <c r="F60" s="91"/>
      <c r="G60" s="3"/>
      <c r="H60" s="94"/>
    </row>
    <row r="61" spans="2:8" x14ac:dyDescent="0.15">
      <c r="B61" s="47" t="s">
        <v>341</v>
      </c>
      <c r="C61" s="286">
        <v>25</v>
      </c>
      <c r="D61" s="313">
        <v>0.9</v>
      </c>
      <c r="E61" s="93">
        <f>C61*(1-D61)</f>
        <v>2.4999999999999996</v>
      </c>
      <c r="G61" s="93">
        <f>E61-F61</f>
        <v>2.4999999999999996</v>
      </c>
      <c r="H61" s="4">
        <f>G61/E61</f>
        <v>1</v>
      </c>
    </row>
    <row r="62" spans="2:8" x14ac:dyDescent="0.15">
      <c r="B62" s="47" t="s">
        <v>342</v>
      </c>
      <c r="C62" s="281">
        <v>225</v>
      </c>
      <c r="D62" s="313">
        <f>D48</f>
        <v>0.15</v>
      </c>
      <c r="E62" s="93">
        <f>C62*(1-D62)</f>
        <v>191.25</v>
      </c>
      <c r="G62" s="93">
        <f>E62-F62</f>
        <v>191.25</v>
      </c>
      <c r="H62" s="4">
        <f>G62/E62</f>
        <v>1</v>
      </c>
    </row>
    <row r="63" spans="2:8" x14ac:dyDescent="0.15">
      <c r="B63" s="47" t="s">
        <v>346</v>
      </c>
      <c r="C63" s="313">
        <v>0.6</v>
      </c>
      <c r="D63" s="4"/>
      <c r="E63" s="93"/>
      <c r="G63" s="93"/>
      <c r="H63" s="4"/>
    </row>
    <row r="64" spans="2:8" x14ac:dyDescent="0.15">
      <c r="B64" s="47"/>
      <c r="C64" s="96"/>
      <c r="D64" s="4"/>
      <c r="E64" s="93"/>
      <c r="G64" s="93"/>
      <c r="H64" s="4"/>
    </row>
    <row r="65" spans="2:8" s="14" customFormat="1" x14ac:dyDescent="0.15">
      <c r="B65" s="14" t="s">
        <v>688</v>
      </c>
      <c r="C65" s="27">
        <f>C62+C61+C52</f>
        <v>6250</v>
      </c>
      <c r="D65" s="64"/>
      <c r="E65" s="27">
        <f>E62+E61+E52</f>
        <v>5293.75</v>
      </c>
      <c r="F65" s="27">
        <f>F62+F61+F52</f>
        <v>9720</v>
      </c>
      <c r="G65" s="27">
        <f>G62+G61+G52</f>
        <v>-4426.25</v>
      </c>
      <c r="H65" s="179">
        <f>G65/E65</f>
        <v>-0.8361275088547816</v>
      </c>
    </row>
    <row r="67" spans="2:8" x14ac:dyDescent="0.15">
      <c r="B67" s="10" t="s">
        <v>38</v>
      </c>
    </row>
    <row r="68" spans="2:8" x14ac:dyDescent="0.15">
      <c r="B68" s="14" t="s">
        <v>337</v>
      </c>
    </row>
    <row r="69" spans="2:8" x14ac:dyDescent="0.15">
      <c r="B69" s="47" t="s">
        <v>643</v>
      </c>
      <c r="C69" s="281">
        <v>6500</v>
      </c>
      <c r="D69" s="313">
        <v>0.1</v>
      </c>
      <c r="E69" s="93">
        <f>C69*(1-D69)</f>
        <v>5850</v>
      </c>
      <c r="F69" s="93">
        <f>F48*0.9</f>
        <v>8748</v>
      </c>
      <c r="G69" s="93">
        <f>E69-F69</f>
        <v>-2898</v>
      </c>
      <c r="H69" s="4">
        <f>G69/E69</f>
        <v>-0.49538461538461537</v>
      </c>
    </row>
    <row r="70" spans="2:8" x14ac:dyDescent="0.15">
      <c r="B70" s="17" t="s">
        <v>685</v>
      </c>
      <c r="C70" s="93" t="s">
        <v>329</v>
      </c>
      <c r="D70" s="93"/>
      <c r="E70" s="93"/>
      <c r="F70" s="93">
        <f>F49*1.1</f>
        <v>0</v>
      </c>
      <c r="G70" s="93">
        <f>E70-F70</f>
        <v>0</v>
      </c>
      <c r="H70" s="4"/>
    </row>
    <row r="71" spans="2:8" x14ac:dyDescent="0.15">
      <c r="B71" s="17" t="s">
        <v>328</v>
      </c>
      <c r="C71" s="93" t="s">
        <v>329</v>
      </c>
      <c r="D71" s="93"/>
      <c r="E71" s="93"/>
      <c r="F71" s="93">
        <f>F50*0.9</f>
        <v>0</v>
      </c>
      <c r="G71" s="93"/>
      <c r="H71" s="4"/>
    </row>
    <row r="72" spans="2:8" x14ac:dyDescent="0.15">
      <c r="B72" s="17" t="s">
        <v>326</v>
      </c>
      <c r="C72" s="93" t="s">
        <v>329</v>
      </c>
      <c r="D72" s="93"/>
      <c r="E72" s="93"/>
      <c r="F72" s="93">
        <f>F51*0.9</f>
        <v>0</v>
      </c>
      <c r="G72" s="93">
        <f>E72-F72</f>
        <v>0</v>
      </c>
      <c r="H72" s="4"/>
    </row>
    <row r="73" spans="2:8" x14ac:dyDescent="0.15">
      <c r="B73" s="14" t="s">
        <v>218</v>
      </c>
      <c r="C73" s="92">
        <f>SUM(C69:C72)</f>
        <v>6500</v>
      </c>
      <c r="D73" s="92"/>
      <c r="E73" s="92">
        <f>SUM(E69:E72)</f>
        <v>5850</v>
      </c>
      <c r="F73" s="92">
        <f>SUM(F69:F72)</f>
        <v>8748</v>
      </c>
      <c r="G73" s="93">
        <f>E73-F73</f>
        <v>-2898</v>
      </c>
      <c r="H73" s="4">
        <f>G73/E73</f>
        <v>-0.49538461538461537</v>
      </c>
    </row>
    <row r="75" spans="2:8" x14ac:dyDescent="0.15">
      <c r="B75" s="14" t="s">
        <v>644</v>
      </c>
    </row>
    <row r="76" spans="2:8" x14ac:dyDescent="0.15">
      <c r="B76" s="47" t="s">
        <v>1108</v>
      </c>
      <c r="C76" s="286">
        <v>350</v>
      </c>
      <c r="D76" s="313">
        <f>D69</f>
        <v>0.1</v>
      </c>
      <c r="E76" s="93">
        <f>C76*(1-D76)</f>
        <v>315</v>
      </c>
      <c r="F76" s="93"/>
      <c r="G76" s="93">
        <f>E76-F76</f>
        <v>315</v>
      </c>
      <c r="H76" s="4">
        <f>G76/E76</f>
        <v>1</v>
      </c>
    </row>
    <row r="77" spans="2:8" x14ac:dyDescent="0.15">
      <c r="B77" s="47" t="s">
        <v>343</v>
      </c>
      <c r="C77" s="313">
        <v>0.1</v>
      </c>
      <c r="D77" s="3"/>
      <c r="E77" s="93">
        <f>C76*C77</f>
        <v>35</v>
      </c>
      <c r="F77" s="93"/>
      <c r="G77" s="93">
        <f>E77-F77</f>
        <v>35</v>
      </c>
      <c r="H77" s="218">
        <f>G77/E77</f>
        <v>1</v>
      </c>
    </row>
    <row r="78" spans="2:8" x14ac:dyDescent="0.15">
      <c r="B78" s="47"/>
      <c r="C78" s="4"/>
      <c r="D78" s="3"/>
      <c r="E78" s="3"/>
      <c r="F78" s="93"/>
      <c r="G78" s="93"/>
      <c r="H78" s="4"/>
    </row>
    <row r="79" spans="2:8" s="14" customFormat="1" x14ac:dyDescent="0.15">
      <c r="B79" s="14" t="s">
        <v>687</v>
      </c>
      <c r="C79" s="27">
        <f>C76+C73</f>
        <v>6850</v>
      </c>
      <c r="D79" s="64"/>
      <c r="E79" s="27">
        <f>E76+E73</f>
        <v>6165</v>
      </c>
      <c r="F79" s="27">
        <f>F76+F73</f>
        <v>8748</v>
      </c>
      <c r="G79" s="27">
        <f>G76+G73</f>
        <v>-2583</v>
      </c>
      <c r="H79" s="179">
        <f>G79/E79</f>
        <v>-0.41897810218978104</v>
      </c>
    </row>
    <row r="80" spans="2:8" x14ac:dyDescent="0.15">
      <c r="C80" s="3"/>
      <c r="D80" s="3"/>
      <c r="E80" s="3"/>
      <c r="F80" s="93"/>
      <c r="G80" s="3"/>
    </row>
    <row r="81" spans="2:8" x14ac:dyDescent="0.15">
      <c r="B81" s="14" t="s">
        <v>645</v>
      </c>
      <c r="C81" s="91"/>
      <c r="E81" s="91"/>
      <c r="F81" s="91"/>
      <c r="G81" s="3"/>
      <c r="H81" s="94"/>
    </row>
    <row r="82" spans="2:8" x14ac:dyDescent="0.15">
      <c r="B82" s="47" t="s">
        <v>341</v>
      </c>
      <c r="C82" s="286">
        <v>25</v>
      </c>
      <c r="D82" s="313">
        <v>0.9</v>
      </c>
      <c r="E82" s="93">
        <f>C82*(1-D82)</f>
        <v>2.4999999999999996</v>
      </c>
      <c r="G82" s="93">
        <f>E82-F82</f>
        <v>2.4999999999999996</v>
      </c>
      <c r="H82" s="4">
        <f>G82/E82</f>
        <v>1</v>
      </c>
    </row>
    <row r="83" spans="2:8" x14ac:dyDescent="0.15">
      <c r="B83" s="47" t="s">
        <v>342</v>
      </c>
      <c r="C83" s="281">
        <v>225</v>
      </c>
      <c r="D83" s="313">
        <f>D69</f>
        <v>0.1</v>
      </c>
      <c r="E83" s="93">
        <f>C83*(1-D83)</f>
        <v>202.5</v>
      </c>
      <c r="G83" s="93">
        <f>E83-F83</f>
        <v>202.5</v>
      </c>
      <c r="H83" s="4">
        <f>G83/E83</f>
        <v>1</v>
      </c>
    </row>
    <row r="84" spans="2:8" x14ac:dyDescent="0.15">
      <c r="B84" s="47" t="s">
        <v>346</v>
      </c>
      <c r="C84" s="313">
        <v>0.8</v>
      </c>
      <c r="D84" s="4"/>
      <c r="E84" s="93"/>
      <c r="G84" s="93"/>
      <c r="H84" s="4"/>
    </row>
    <row r="85" spans="2:8" x14ac:dyDescent="0.15">
      <c r="B85" s="47"/>
      <c r="C85" s="96"/>
      <c r="D85" s="4"/>
      <c r="E85" s="93"/>
      <c r="G85" s="93"/>
      <c r="H85" s="4"/>
    </row>
    <row r="86" spans="2:8" s="14" customFormat="1" x14ac:dyDescent="0.15">
      <c r="B86" s="14" t="s">
        <v>688</v>
      </c>
      <c r="C86" s="27">
        <f>C83+C82+C73</f>
        <v>6750</v>
      </c>
      <c r="D86" s="64"/>
      <c r="E86" s="27">
        <f>E83+E82+E73</f>
        <v>6055</v>
      </c>
      <c r="F86" s="27">
        <f>F83+F82+F73</f>
        <v>8748</v>
      </c>
      <c r="G86" s="27">
        <f>G83+G82+G73</f>
        <v>-2693</v>
      </c>
      <c r="H86" s="179">
        <f>G86/E86</f>
        <v>-0.44475639966969449</v>
      </c>
    </row>
    <row r="87" spans="2:8" x14ac:dyDescent="0.15">
      <c r="B87" s="47"/>
      <c r="C87" s="96"/>
      <c r="D87" s="4"/>
      <c r="E87" s="93"/>
      <c r="G87" s="93"/>
      <c r="H87" s="4"/>
    </row>
    <row r="88" spans="2:8" x14ac:dyDescent="0.15">
      <c r="B88" s="10" t="s">
        <v>39</v>
      </c>
    </row>
    <row r="89" spans="2:8" x14ac:dyDescent="0.15">
      <c r="B89" s="14" t="s">
        <v>337</v>
      </c>
    </row>
    <row r="90" spans="2:8" x14ac:dyDescent="0.15">
      <c r="B90" s="47" t="s">
        <v>643</v>
      </c>
      <c r="C90" s="93">
        <v>7250</v>
      </c>
      <c r="D90" s="313">
        <v>0.1</v>
      </c>
      <c r="E90" s="93">
        <f>C90*(1-D90)</f>
        <v>6525</v>
      </c>
      <c r="F90" s="93">
        <f>F69*0.9</f>
        <v>7873.2</v>
      </c>
      <c r="G90" s="93">
        <f>E90-F90</f>
        <v>-1348.1999999999998</v>
      </c>
      <c r="H90" s="4">
        <f>G90/E90</f>
        <v>-0.20662068965517238</v>
      </c>
    </row>
    <row r="91" spans="2:8" x14ac:dyDescent="0.15">
      <c r="B91" s="17" t="s">
        <v>685</v>
      </c>
      <c r="C91" s="93" t="s">
        <v>329</v>
      </c>
      <c r="D91" s="93"/>
      <c r="E91" s="93"/>
      <c r="F91" s="93">
        <v>1.1000000000000001</v>
      </c>
      <c r="G91" s="93">
        <f>E91-F91</f>
        <v>-1.1000000000000001</v>
      </c>
      <c r="H91" s="4"/>
    </row>
    <row r="92" spans="2:8" x14ac:dyDescent="0.15">
      <c r="B92" s="17" t="s">
        <v>328</v>
      </c>
      <c r="C92" s="93" t="s">
        <v>329</v>
      </c>
      <c r="D92" s="93"/>
      <c r="E92" s="93"/>
      <c r="F92" s="93">
        <f>F71*0.9</f>
        <v>0</v>
      </c>
      <c r="G92" s="93"/>
      <c r="H92" s="4"/>
    </row>
    <row r="93" spans="2:8" x14ac:dyDescent="0.15">
      <c r="B93" s="17" t="s">
        <v>326</v>
      </c>
      <c r="C93" s="93" t="s">
        <v>329</v>
      </c>
      <c r="D93" s="93"/>
      <c r="E93" s="93"/>
      <c r="F93" s="93">
        <f>F72*0.9</f>
        <v>0</v>
      </c>
      <c r="G93" s="93">
        <f>E93-F93</f>
        <v>0</v>
      </c>
      <c r="H93" s="4"/>
    </row>
    <row r="94" spans="2:8" x14ac:dyDescent="0.15">
      <c r="B94" s="14" t="s">
        <v>218</v>
      </c>
      <c r="C94" s="92">
        <f>SUM(C90:C93)</f>
        <v>7250</v>
      </c>
      <c r="D94" s="92"/>
      <c r="E94" s="92">
        <f>SUM(E90:E93)</f>
        <v>6525</v>
      </c>
      <c r="F94" s="92">
        <f>SUM(F90:F93)</f>
        <v>7874.3</v>
      </c>
      <c r="G94" s="93">
        <f>E94-F94</f>
        <v>-1349.3000000000002</v>
      </c>
      <c r="H94" s="4">
        <f>G94/E94</f>
        <v>-0.20678927203065137</v>
      </c>
    </row>
    <row r="96" spans="2:8" x14ac:dyDescent="0.15">
      <c r="B96" s="14" t="s">
        <v>644</v>
      </c>
    </row>
    <row r="97" spans="2:8" x14ac:dyDescent="0.15">
      <c r="B97" s="47" t="s">
        <v>1108</v>
      </c>
      <c r="C97" s="286">
        <v>350</v>
      </c>
      <c r="D97" s="313">
        <f>D90</f>
        <v>0.1</v>
      </c>
      <c r="E97" s="93">
        <f>C97*(1-D97)</f>
        <v>315</v>
      </c>
      <c r="F97" s="93"/>
      <c r="G97" s="93">
        <f>E97-F97</f>
        <v>315</v>
      </c>
      <c r="H97" s="4">
        <f>G97/E97</f>
        <v>1</v>
      </c>
    </row>
    <row r="98" spans="2:8" x14ac:dyDescent="0.15">
      <c r="B98" s="47" t="s">
        <v>343</v>
      </c>
      <c r="C98" s="313">
        <v>0.1</v>
      </c>
      <c r="D98" s="3"/>
      <c r="E98" s="93">
        <f>C97*C98</f>
        <v>35</v>
      </c>
      <c r="F98" s="93"/>
      <c r="G98" s="93">
        <f>E98-F98</f>
        <v>35</v>
      </c>
      <c r="H98" s="218">
        <f>G98/E98</f>
        <v>1</v>
      </c>
    </row>
    <row r="99" spans="2:8" x14ac:dyDescent="0.15">
      <c r="B99" s="47"/>
      <c r="C99" s="4"/>
      <c r="D99" s="3"/>
      <c r="E99" s="3"/>
      <c r="F99" s="93"/>
      <c r="G99" s="93"/>
      <c r="H99" s="4"/>
    </row>
    <row r="100" spans="2:8" s="14" customFormat="1" x14ac:dyDescent="0.15">
      <c r="B100" s="14" t="s">
        <v>687</v>
      </c>
      <c r="C100" s="27">
        <f>C97+C94</f>
        <v>7600</v>
      </c>
      <c r="D100" s="64"/>
      <c r="E100" s="27">
        <f>E97+E94</f>
        <v>6840</v>
      </c>
      <c r="F100" s="27">
        <f>F97+F94</f>
        <v>7874.3</v>
      </c>
      <c r="G100" s="27">
        <f>G97+G94</f>
        <v>-1034.3000000000002</v>
      </c>
      <c r="H100" s="179">
        <f>G100/E100</f>
        <v>-0.15121345029239769</v>
      </c>
    </row>
    <row r="101" spans="2:8" x14ac:dyDescent="0.15">
      <c r="C101" s="3"/>
      <c r="D101" s="3"/>
      <c r="E101" s="3"/>
      <c r="F101" s="93"/>
      <c r="G101" s="3"/>
    </row>
    <row r="102" spans="2:8" x14ac:dyDescent="0.15">
      <c r="B102" s="14" t="s">
        <v>645</v>
      </c>
      <c r="C102" s="91"/>
      <c r="E102" s="91"/>
      <c r="F102" s="91"/>
      <c r="G102" s="3"/>
      <c r="H102" s="94"/>
    </row>
    <row r="103" spans="2:8" x14ac:dyDescent="0.15">
      <c r="B103" s="47" t="s">
        <v>341</v>
      </c>
      <c r="C103" s="286">
        <v>25</v>
      </c>
      <c r="D103" s="313">
        <v>0.9</v>
      </c>
      <c r="E103" s="93">
        <f>C103*(1-D103)</f>
        <v>2.4999999999999996</v>
      </c>
      <c r="G103" s="93">
        <f>E103-F103</f>
        <v>2.4999999999999996</v>
      </c>
      <c r="H103" s="4">
        <f>G103/E103</f>
        <v>1</v>
      </c>
    </row>
    <row r="104" spans="2:8" x14ac:dyDescent="0.15">
      <c r="B104" s="47" t="s">
        <v>342</v>
      </c>
      <c r="C104" s="281">
        <v>225</v>
      </c>
      <c r="D104" s="313">
        <f>D90</f>
        <v>0.1</v>
      </c>
      <c r="E104" s="93">
        <f>C104*(1-D104)</f>
        <v>202.5</v>
      </c>
      <c r="G104" s="93">
        <f>E104-F104</f>
        <v>202.5</v>
      </c>
      <c r="H104" s="4">
        <f>G104/E104</f>
        <v>1</v>
      </c>
    </row>
    <row r="105" spans="2:8" x14ac:dyDescent="0.15">
      <c r="B105" s="47" t="s">
        <v>346</v>
      </c>
      <c r="C105" s="313">
        <v>0.9</v>
      </c>
      <c r="D105" s="4"/>
      <c r="E105" s="93"/>
      <c r="G105" s="93"/>
      <c r="H105" s="4"/>
    </row>
    <row r="106" spans="2:8" x14ac:dyDescent="0.15">
      <c r="B106" s="47"/>
      <c r="C106" s="96"/>
      <c r="D106" s="4"/>
      <c r="E106" s="93"/>
      <c r="G106" s="93"/>
      <c r="H106" s="4"/>
    </row>
    <row r="107" spans="2:8" s="14" customFormat="1" x14ac:dyDescent="0.15">
      <c r="B107" s="14" t="s">
        <v>688</v>
      </c>
      <c r="C107" s="27">
        <f>C104+C103+C94</f>
        <v>7500</v>
      </c>
      <c r="D107" s="64"/>
      <c r="E107" s="27">
        <f>E104+E103+E94</f>
        <v>6730</v>
      </c>
      <c r="F107" s="27">
        <f>F104+F103+F94</f>
        <v>7874.3</v>
      </c>
      <c r="G107" s="27">
        <f>G104+G103+G94</f>
        <v>-1144.3000000000002</v>
      </c>
      <c r="H107" s="179">
        <f>G107/E107</f>
        <v>-0.17002971768202083</v>
      </c>
    </row>
  </sheetData>
  <printOptions gridLines="1"/>
  <pageMargins left="0.7" right="0.7" top="0.75" bottom="0.75" header="0.3" footer="0.3"/>
  <pageSetup scale="51" orientation="portrait" r:id="rId1"/>
  <ignoredErrors>
    <ignoredError sqref="F28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553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376</v>
      </c>
      <c r="D3" s="75"/>
      <c r="E3" s="63">
        <f>SUM(E12:P12)</f>
        <v>10827180</v>
      </c>
      <c r="F3" s="63"/>
      <c r="G3" s="63">
        <f>SUM(Q12:AB12)</f>
        <v>4868593.75</v>
      </c>
      <c r="H3" s="63"/>
      <c r="I3" s="63">
        <f>SUM(AC12:AN12)</f>
        <v>3168117.5</v>
      </c>
      <c r="J3" s="63"/>
      <c r="K3" s="63">
        <f>SUM(AO12:AZ12)</f>
        <v>3935575</v>
      </c>
      <c r="L3" s="63"/>
      <c r="M3" s="63">
        <f>SUM(BA12:BL12)</f>
        <v>4703192.5</v>
      </c>
      <c r="O3" s="323">
        <f>SUM(E3:M3)</f>
        <v>27502658.75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668</v>
      </c>
      <c r="D4" s="75"/>
      <c r="E4" s="63">
        <f>SUM(E13:P13)</f>
        <v>6759180</v>
      </c>
      <c r="F4" s="63"/>
      <c r="G4" s="63">
        <f>SUM(Q13:AB13)</f>
        <v>1390993.75</v>
      </c>
      <c r="H4" s="63"/>
      <c r="I4" s="63">
        <f>SUM(AC13:AN13)</f>
        <v>-2518082.5</v>
      </c>
      <c r="J4" s="63"/>
      <c r="K4" s="63">
        <f>SUM(AO13:AZ13)</f>
        <v>-1505681</v>
      </c>
      <c r="L4" s="63"/>
      <c r="M4" s="63">
        <f>SUM(BA13:BL13)</f>
        <v>-485971.19999999984</v>
      </c>
      <c r="O4" s="323">
        <f>SUM(E4:M4)</f>
        <v>3640439.0500000003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679</v>
      </c>
      <c r="D5" s="75"/>
      <c r="E5" s="96">
        <f>E4/E3</f>
        <v>0.62427889810643211</v>
      </c>
      <c r="F5" s="96"/>
      <c r="G5" s="96">
        <f>G4/G3</f>
        <v>0.28570750024070091</v>
      </c>
      <c r="H5" s="96"/>
      <c r="I5" s="96">
        <f>I4/I3</f>
        <v>-0.79481979440472139</v>
      </c>
      <c r="J5" s="96"/>
      <c r="K5" s="96">
        <f>K4/K3</f>
        <v>-0.38258221479707538</v>
      </c>
      <c r="L5" s="96"/>
      <c r="M5" s="96">
        <f>M4/M3</f>
        <v>-0.1033279416056221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674</v>
      </c>
      <c r="D6" s="75"/>
      <c r="E6" s="63">
        <f>SUM(E15:P15)</f>
        <v>6378120</v>
      </c>
      <c r="F6" s="96">
        <f>E6/E3</f>
        <v>0.58908413825206563</v>
      </c>
      <c r="G6" s="63">
        <f>SUM(Q15:AB15)</f>
        <v>807650</v>
      </c>
      <c r="H6" s="96">
        <f>G6/G3</f>
        <v>0.16588979107160051</v>
      </c>
      <c r="I6" s="63">
        <f>SUM(AC15:AN15)</f>
        <v>-988210</v>
      </c>
      <c r="J6" s="96">
        <f>I6/I3</f>
        <v>-0.3119234056186363</v>
      </c>
      <c r="K6" s="63">
        <f>SUM(AO15:AZ15)</f>
        <v>-287476</v>
      </c>
      <c r="L6" s="96">
        <f>K6/K3</f>
        <v>-7.3045488905687225E-2</v>
      </c>
      <c r="M6" s="63">
        <f>SUM(BA15:BL15)</f>
        <v>-32307.999999999982</v>
      </c>
      <c r="N6" s="96">
        <f>M6/M3</f>
        <v>-6.869376492669603E-3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675</v>
      </c>
      <c r="D7" s="75"/>
      <c r="E7" s="63">
        <f>SUM(E16:P16)</f>
        <v>381060</v>
      </c>
      <c r="F7" s="96">
        <f>E7/E3</f>
        <v>3.5194759854366514E-2</v>
      </c>
      <c r="G7" s="63">
        <f>SUM(Q16:AB16)</f>
        <v>583343.75</v>
      </c>
      <c r="H7" s="96">
        <f>G7/G3</f>
        <v>0.11981770916910042</v>
      </c>
      <c r="I7" s="63">
        <f>SUM(AC16:AN16)</f>
        <v>-1529872.5</v>
      </c>
      <c r="J7" s="96">
        <f>I7/I3</f>
        <v>-0.4828963887860851</v>
      </c>
      <c r="K7" s="63">
        <f>SUM(AO16:AZ16)</f>
        <v>-1218205</v>
      </c>
      <c r="L7" s="96">
        <f>K7/K3</f>
        <v>-0.3095367258913882</v>
      </c>
      <c r="M7" s="63">
        <f>SUM(BA16:BL16)</f>
        <v>-453663.1999999999</v>
      </c>
      <c r="N7" s="96">
        <f>M7/M3</f>
        <v>-9.6458565112952505E-2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69" t="s">
        <v>35</v>
      </c>
      <c r="F9" s="369"/>
      <c r="G9" s="369"/>
      <c r="H9" s="369"/>
      <c r="I9" s="369"/>
      <c r="J9" s="369"/>
      <c r="K9" s="369"/>
      <c r="L9" s="369"/>
      <c r="M9" s="369"/>
      <c r="N9" s="369"/>
      <c r="O9" s="369"/>
      <c r="P9" s="369"/>
      <c r="Q9" s="369" t="s">
        <v>36</v>
      </c>
      <c r="R9" s="369"/>
      <c r="S9" s="369"/>
      <c r="T9" s="369"/>
      <c r="U9" s="369"/>
      <c r="V9" s="369"/>
      <c r="W9" s="369"/>
      <c r="X9" s="369"/>
      <c r="Y9" s="369"/>
      <c r="Z9" s="369"/>
      <c r="AA9" s="369"/>
      <c r="AB9" s="369"/>
      <c r="AC9" s="369" t="s">
        <v>37</v>
      </c>
      <c r="AD9" s="369"/>
      <c r="AE9" s="369"/>
      <c r="AF9" s="369"/>
      <c r="AG9" s="369"/>
      <c r="AH9" s="369"/>
      <c r="AI9" s="369"/>
      <c r="AJ9" s="369"/>
      <c r="AK9" s="369"/>
      <c r="AL9" s="369"/>
      <c r="AM9" s="369"/>
      <c r="AN9" s="369"/>
      <c r="AO9" s="369" t="s">
        <v>38</v>
      </c>
      <c r="AP9" s="369"/>
      <c r="AQ9" s="369"/>
      <c r="AR9" s="369"/>
      <c r="AS9" s="369"/>
      <c r="AT9" s="369"/>
      <c r="AU9" s="369"/>
      <c r="AV9" s="369"/>
      <c r="AW9" s="369"/>
      <c r="AX9" s="369"/>
      <c r="AY9" s="369"/>
      <c r="AZ9" s="369"/>
      <c r="BA9" s="369" t="s">
        <v>39</v>
      </c>
      <c r="BB9" s="369"/>
      <c r="BC9" s="369"/>
      <c r="BD9" s="369"/>
      <c r="BE9" s="369"/>
      <c r="BF9" s="369"/>
      <c r="BG9" s="369"/>
      <c r="BH9" s="369"/>
      <c r="BI9" s="369"/>
      <c r="BJ9" s="369"/>
      <c r="BK9" s="369"/>
      <c r="BL9" s="369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376</v>
      </c>
      <c r="D12" s="75"/>
      <c r="E12" s="63">
        <f t="shared" ref="E12:AJ12" si="0">E82</f>
        <v>0</v>
      </c>
      <c r="F12" s="63">
        <f t="shared" si="0"/>
        <v>0</v>
      </c>
      <c r="G12" s="63">
        <f t="shared" si="0"/>
        <v>0</v>
      </c>
      <c r="H12" s="63">
        <f t="shared" si="0"/>
        <v>1245790</v>
      </c>
      <c r="I12" s="63">
        <f t="shared" si="0"/>
        <v>1374100</v>
      </c>
      <c r="J12" s="63">
        <f t="shared" si="0"/>
        <v>1539720</v>
      </c>
      <c r="K12" s="63">
        <f t="shared" si="0"/>
        <v>1245790</v>
      </c>
      <c r="L12" s="63">
        <f t="shared" si="0"/>
        <v>1374100</v>
      </c>
      <c r="M12" s="63">
        <f t="shared" si="0"/>
        <v>1117480</v>
      </c>
      <c r="N12" s="63">
        <f t="shared" si="0"/>
        <v>1117480</v>
      </c>
      <c r="O12" s="63">
        <f t="shared" si="0"/>
        <v>1117480</v>
      </c>
      <c r="P12" s="63">
        <f t="shared" si="0"/>
        <v>695240</v>
      </c>
      <c r="Q12" s="63">
        <f t="shared" si="0"/>
        <v>240868.75</v>
      </c>
      <c r="R12" s="63">
        <f t="shared" si="0"/>
        <v>391418.75</v>
      </c>
      <c r="S12" s="63">
        <f t="shared" si="0"/>
        <v>436587.5</v>
      </c>
      <c r="T12" s="63">
        <f t="shared" si="0"/>
        <v>439000</v>
      </c>
      <c r="U12" s="63">
        <f t="shared" si="0"/>
        <v>484412.5</v>
      </c>
      <c r="V12" s="63">
        <f t="shared" si="0"/>
        <v>529850</v>
      </c>
      <c r="W12" s="63">
        <f t="shared" si="0"/>
        <v>439000</v>
      </c>
      <c r="X12" s="63">
        <f t="shared" si="0"/>
        <v>484412.5</v>
      </c>
      <c r="Y12" s="63">
        <f t="shared" si="0"/>
        <v>393587.5</v>
      </c>
      <c r="Z12" s="63">
        <f t="shared" si="0"/>
        <v>393587.5</v>
      </c>
      <c r="AA12" s="63">
        <f t="shared" si="0"/>
        <v>393587.5</v>
      </c>
      <c r="AB12" s="63">
        <f t="shared" si="0"/>
        <v>242281.25</v>
      </c>
      <c r="AC12" s="63">
        <f t="shared" si="0"/>
        <v>155968.75</v>
      </c>
      <c r="AD12" s="63">
        <f t="shared" si="0"/>
        <v>252725</v>
      </c>
      <c r="AE12" s="63">
        <f t="shared" si="0"/>
        <v>284927.5</v>
      </c>
      <c r="AF12" s="63">
        <f t="shared" si="0"/>
        <v>287565</v>
      </c>
      <c r="AG12" s="63">
        <f t="shared" si="0"/>
        <v>314696.25</v>
      </c>
      <c r="AH12" s="63">
        <f t="shared" si="0"/>
        <v>347168.75</v>
      </c>
      <c r="AI12" s="63">
        <f t="shared" si="0"/>
        <v>287565</v>
      </c>
      <c r="AJ12" s="63">
        <f t="shared" si="0"/>
        <v>314696.25</v>
      </c>
      <c r="AK12" s="63">
        <f t="shared" ref="AK12:BL12" si="1">AK82</f>
        <v>255096.25</v>
      </c>
      <c r="AL12" s="63">
        <f t="shared" si="1"/>
        <v>255096.25</v>
      </c>
      <c r="AM12" s="63">
        <f t="shared" si="1"/>
        <v>255096.25</v>
      </c>
      <c r="AN12" s="63">
        <f t="shared" si="1"/>
        <v>157516.25</v>
      </c>
      <c r="AO12" s="63">
        <f t="shared" si="1"/>
        <v>194900</v>
      </c>
      <c r="AP12" s="63">
        <f t="shared" si="1"/>
        <v>314355</v>
      </c>
      <c r="AQ12" s="63">
        <f t="shared" si="1"/>
        <v>351927.5</v>
      </c>
      <c r="AR12" s="63">
        <f t="shared" si="1"/>
        <v>354967.5</v>
      </c>
      <c r="AS12" s="63">
        <f t="shared" si="1"/>
        <v>392812.5</v>
      </c>
      <c r="AT12" s="63">
        <f t="shared" si="1"/>
        <v>430895</v>
      </c>
      <c r="AU12" s="63">
        <f t="shared" si="1"/>
        <v>354967.5</v>
      </c>
      <c r="AV12" s="63">
        <f t="shared" si="1"/>
        <v>392812.5</v>
      </c>
      <c r="AW12" s="63">
        <f t="shared" si="1"/>
        <v>317087.5</v>
      </c>
      <c r="AX12" s="63">
        <f t="shared" si="1"/>
        <v>317087.5</v>
      </c>
      <c r="AY12" s="63">
        <f t="shared" si="1"/>
        <v>317087.5</v>
      </c>
      <c r="AZ12" s="63">
        <f t="shared" si="1"/>
        <v>196675</v>
      </c>
      <c r="BA12" s="63">
        <f t="shared" si="1"/>
        <v>234235</v>
      </c>
      <c r="BB12" s="63">
        <f t="shared" si="1"/>
        <v>376200</v>
      </c>
      <c r="BC12" s="63">
        <f t="shared" si="1"/>
        <v>418747.5</v>
      </c>
      <c r="BD12" s="63">
        <f t="shared" si="1"/>
        <v>421787.5</v>
      </c>
      <c r="BE12" s="63">
        <f t="shared" si="1"/>
        <v>471482.5</v>
      </c>
      <c r="BF12" s="63">
        <f t="shared" si="1"/>
        <v>514662.5</v>
      </c>
      <c r="BG12" s="63">
        <f t="shared" si="1"/>
        <v>421787.5</v>
      </c>
      <c r="BH12" s="63">
        <f t="shared" si="1"/>
        <v>471482.5</v>
      </c>
      <c r="BI12" s="63">
        <f t="shared" si="1"/>
        <v>378932.5</v>
      </c>
      <c r="BJ12" s="63">
        <f t="shared" si="1"/>
        <v>378932.5</v>
      </c>
      <c r="BK12" s="63">
        <f t="shared" si="1"/>
        <v>378932.5</v>
      </c>
      <c r="BL12" s="63">
        <f t="shared" si="1"/>
        <v>236010</v>
      </c>
    </row>
    <row r="13" spans="2:64" x14ac:dyDescent="0.15">
      <c r="B13" s="33" t="s">
        <v>668</v>
      </c>
      <c r="D13" s="75"/>
      <c r="E13" s="63">
        <f t="shared" ref="E13:AJ13" si="2">E83</f>
        <v>0</v>
      </c>
      <c r="F13" s="63">
        <f t="shared" si="2"/>
        <v>0</v>
      </c>
      <c r="G13" s="63">
        <f t="shared" si="2"/>
        <v>0</v>
      </c>
      <c r="H13" s="63">
        <f t="shared" si="2"/>
        <v>777790</v>
      </c>
      <c r="I13" s="63">
        <f t="shared" si="2"/>
        <v>858100</v>
      </c>
      <c r="J13" s="63">
        <f t="shared" si="2"/>
        <v>963720</v>
      </c>
      <c r="K13" s="63">
        <f t="shared" si="2"/>
        <v>777790</v>
      </c>
      <c r="L13" s="63">
        <f t="shared" si="2"/>
        <v>858100</v>
      </c>
      <c r="M13" s="63">
        <f t="shared" si="2"/>
        <v>697480</v>
      </c>
      <c r="N13" s="63">
        <f t="shared" si="2"/>
        <v>697480</v>
      </c>
      <c r="O13" s="63">
        <f t="shared" si="2"/>
        <v>697480</v>
      </c>
      <c r="P13" s="63">
        <f t="shared" si="2"/>
        <v>431240</v>
      </c>
      <c r="Q13" s="63">
        <f t="shared" si="2"/>
        <v>68068.75</v>
      </c>
      <c r="R13" s="63">
        <f t="shared" si="2"/>
        <v>110618.75</v>
      </c>
      <c r="S13" s="63">
        <f t="shared" si="2"/>
        <v>123387.5</v>
      </c>
      <c r="T13" s="63">
        <f t="shared" si="2"/>
        <v>125800</v>
      </c>
      <c r="U13" s="63">
        <f t="shared" si="2"/>
        <v>138812.5</v>
      </c>
      <c r="V13" s="63">
        <f t="shared" si="2"/>
        <v>151850</v>
      </c>
      <c r="W13" s="63">
        <f t="shared" si="2"/>
        <v>125800</v>
      </c>
      <c r="X13" s="63">
        <f t="shared" si="2"/>
        <v>138812.5</v>
      </c>
      <c r="Y13" s="63">
        <f t="shared" si="2"/>
        <v>112787.5</v>
      </c>
      <c r="Z13" s="63">
        <f t="shared" si="2"/>
        <v>112787.5</v>
      </c>
      <c r="AA13" s="63">
        <f t="shared" si="2"/>
        <v>112787.5</v>
      </c>
      <c r="AB13" s="63">
        <f t="shared" si="2"/>
        <v>69481.25</v>
      </c>
      <c r="AC13" s="63">
        <f t="shared" si="2"/>
        <v>-125911.25</v>
      </c>
      <c r="AD13" s="63">
        <f t="shared" si="2"/>
        <v>-204115</v>
      </c>
      <c r="AE13" s="63">
        <f t="shared" si="2"/>
        <v>-230232.5</v>
      </c>
      <c r="AF13" s="63">
        <f t="shared" si="2"/>
        <v>-227595</v>
      </c>
      <c r="AG13" s="63">
        <f t="shared" si="2"/>
        <v>-249063.75</v>
      </c>
      <c r="AH13" s="63">
        <f t="shared" si="2"/>
        <v>-274911.25</v>
      </c>
      <c r="AI13" s="63">
        <f t="shared" si="2"/>
        <v>-227595</v>
      </c>
      <c r="AJ13" s="63">
        <f t="shared" si="2"/>
        <v>-249063.75</v>
      </c>
      <c r="AK13" s="63">
        <f t="shared" ref="AK13:BL13" si="3">AK83</f>
        <v>-201743.75</v>
      </c>
      <c r="AL13" s="63">
        <f t="shared" si="3"/>
        <v>-201743.75</v>
      </c>
      <c r="AM13" s="63">
        <f t="shared" si="3"/>
        <v>-201743.75</v>
      </c>
      <c r="AN13" s="63">
        <f t="shared" si="3"/>
        <v>-124363.75</v>
      </c>
      <c r="AO13" s="63">
        <f t="shared" si="3"/>
        <v>-76288</v>
      </c>
      <c r="AP13" s="63">
        <f t="shared" si="3"/>
        <v>-123045</v>
      </c>
      <c r="AQ13" s="63">
        <f t="shared" si="3"/>
        <v>-137960.5</v>
      </c>
      <c r="AR13" s="63">
        <f t="shared" si="3"/>
        <v>-134920.5</v>
      </c>
      <c r="AS13" s="63">
        <f t="shared" si="3"/>
        <v>-149563.5</v>
      </c>
      <c r="AT13" s="63">
        <f t="shared" si="3"/>
        <v>-163969</v>
      </c>
      <c r="AU13" s="63">
        <f t="shared" si="3"/>
        <v>-134920.5</v>
      </c>
      <c r="AV13" s="63">
        <f t="shared" si="3"/>
        <v>-149563.5</v>
      </c>
      <c r="AW13" s="63">
        <f t="shared" si="3"/>
        <v>-120312.5</v>
      </c>
      <c r="AX13" s="63">
        <f t="shared" si="3"/>
        <v>-120312.5</v>
      </c>
      <c r="AY13" s="63">
        <f t="shared" si="3"/>
        <v>-120312.5</v>
      </c>
      <c r="AZ13" s="63">
        <f t="shared" si="3"/>
        <v>-74513</v>
      </c>
      <c r="BA13" s="63">
        <f t="shared" si="3"/>
        <v>-25616.899999999994</v>
      </c>
      <c r="BB13" s="63">
        <f t="shared" si="3"/>
        <v>-41137.899999999965</v>
      </c>
      <c r="BC13" s="63">
        <f t="shared" si="3"/>
        <v>-45836.200000000012</v>
      </c>
      <c r="BD13" s="63">
        <f t="shared" si="3"/>
        <v>-42796.200000000012</v>
      </c>
      <c r="BE13" s="63">
        <f t="shared" si="3"/>
        <v>-48221.299999999988</v>
      </c>
      <c r="BF13" s="63">
        <f t="shared" si="3"/>
        <v>-52287.099999999977</v>
      </c>
      <c r="BG13" s="63">
        <f t="shared" si="3"/>
        <v>-42796.200000000012</v>
      </c>
      <c r="BH13" s="63">
        <f t="shared" si="3"/>
        <v>-48221.299999999988</v>
      </c>
      <c r="BI13" s="63">
        <f t="shared" si="3"/>
        <v>-38405.399999999965</v>
      </c>
      <c r="BJ13" s="63">
        <f t="shared" si="3"/>
        <v>-38405.399999999965</v>
      </c>
      <c r="BK13" s="63">
        <f t="shared" si="3"/>
        <v>-38405.399999999965</v>
      </c>
      <c r="BL13" s="63">
        <f t="shared" si="3"/>
        <v>-23841.899999999994</v>
      </c>
    </row>
    <row r="14" spans="2:64" x14ac:dyDescent="0.15">
      <c r="B14" s="33" t="s">
        <v>673</v>
      </c>
      <c r="D14" s="75"/>
      <c r="E14" s="96">
        <f>IF(E12&gt;0,E13/E12,0)</f>
        <v>0</v>
      </c>
      <c r="F14" s="96">
        <f>IF(F12&gt;0,F13/F12,0)</f>
        <v>0</v>
      </c>
      <c r="G14" s="96">
        <f>IF(G12&gt;0,G13/G12,0)</f>
        <v>0</v>
      </c>
      <c r="H14" s="96">
        <f>IF(H12&gt;0,H13/H12,0)</f>
        <v>0.62433475946989458</v>
      </c>
      <c r="I14" s="96">
        <f>IF(I12&gt;0,I13/I12,0)</f>
        <v>0.6244814787861146</v>
      </c>
      <c r="J14" s="96">
        <f t="shared" ref="J14:BL14" si="4">IF(J12&gt;0,J13/J12,0)</f>
        <v>0.62590600888473225</v>
      </c>
      <c r="K14" s="96">
        <f t="shared" si="4"/>
        <v>0.62433475946989458</v>
      </c>
      <c r="L14" s="96">
        <f t="shared" si="4"/>
        <v>0.6244814787861146</v>
      </c>
      <c r="M14" s="96">
        <f t="shared" si="4"/>
        <v>0.62415434728138308</v>
      </c>
      <c r="N14" s="96">
        <f t="shared" si="4"/>
        <v>0.62415434728138308</v>
      </c>
      <c r="O14" s="96">
        <f t="shared" si="4"/>
        <v>0.62415434728138308</v>
      </c>
      <c r="P14" s="96">
        <f t="shared" si="4"/>
        <v>0.62027501294517007</v>
      </c>
      <c r="Q14" s="96">
        <f t="shared" si="4"/>
        <v>0.28259684994421236</v>
      </c>
      <c r="R14" s="96">
        <f t="shared" si="4"/>
        <v>0.28260973701438674</v>
      </c>
      <c r="S14" s="96">
        <f t="shared" si="4"/>
        <v>0.28261803189509549</v>
      </c>
      <c r="T14" s="96">
        <f t="shared" si="4"/>
        <v>0.28656036446469246</v>
      </c>
      <c r="U14" s="96">
        <f t="shared" si="4"/>
        <v>0.2865584599901943</v>
      </c>
      <c r="V14" s="96">
        <f t="shared" si="4"/>
        <v>0.28659054449372462</v>
      </c>
      <c r="W14" s="96">
        <f t="shared" si="4"/>
        <v>0.28656036446469246</v>
      </c>
      <c r="X14" s="96">
        <f t="shared" si="4"/>
        <v>0.2865584599901943</v>
      </c>
      <c r="Y14" s="96">
        <f t="shared" si="4"/>
        <v>0.28656270841934767</v>
      </c>
      <c r="Z14" s="96">
        <f t="shared" si="4"/>
        <v>0.28656270841934767</v>
      </c>
      <c r="AA14" s="96">
        <f t="shared" si="4"/>
        <v>0.28656270841934767</v>
      </c>
      <c r="AB14" s="96">
        <f t="shared" si="4"/>
        <v>0.2867793112343609</v>
      </c>
      <c r="AC14" s="96">
        <f t="shared" si="4"/>
        <v>-0.80728511320376684</v>
      </c>
      <c r="AD14" s="96">
        <f t="shared" si="4"/>
        <v>-0.8076565436739539</v>
      </c>
      <c r="AE14" s="96">
        <f t="shared" si="4"/>
        <v>-0.80803888708531113</v>
      </c>
      <c r="AF14" s="96">
        <f t="shared" si="4"/>
        <v>-0.79145584476553132</v>
      </c>
      <c r="AG14" s="96">
        <f t="shared" si="4"/>
        <v>-0.79144174739927786</v>
      </c>
      <c r="AH14" s="96">
        <f t="shared" si="4"/>
        <v>-0.79186634741750228</v>
      </c>
      <c r="AI14" s="96">
        <f t="shared" si="4"/>
        <v>-0.79145584476553132</v>
      </c>
      <c r="AJ14" s="96">
        <f t="shared" si="4"/>
        <v>-0.79144174739927786</v>
      </c>
      <c r="AK14" s="96">
        <f t="shared" si="4"/>
        <v>-0.7908534523733689</v>
      </c>
      <c r="AL14" s="96">
        <f t="shared" si="4"/>
        <v>-0.7908534523733689</v>
      </c>
      <c r="AM14" s="96">
        <f t="shared" si="4"/>
        <v>-0.7908534523733689</v>
      </c>
      <c r="AN14" s="96">
        <f t="shared" si="4"/>
        <v>-0.78952965170260214</v>
      </c>
      <c r="AO14" s="96">
        <f t="shared" si="4"/>
        <v>-0.39142124166239095</v>
      </c>
      <c r="AP14" s="96">
        <f t="shared" si="4"/>
        <v>-0.39142052774729208</v>
      </c>
      <c r="AQ14" s="96">
        <f t="shared" si="4"/>
        <v>-0.39201398015216204</v>
      </c>
      <c r="AR14" s="96">
        <f t="shared" si="4"/>
        <v>-0.38009254368357664</v>
      </c>
      <c r="AS14" s="96">
        <f t="shared" si="4"/>
        <v>-0.38075035799522672</v>
      </c>
      <c r="AT14" s="96">
        <f t="shared" si="4"/>
        <v>-0.38053121990276051</v>
      </c>
      <c r="AU14" s="96">
        <f t="shared" si="4"/>
        <v>-0.38009254368357664</v>
      </c>
      <c r="AV14" s="96">
        <f t="shared" si="4"/>
        <v>-0.38075035799522672</v>
      </c>
      <c r="AW14" s="96">
        <f t="shared" si="4"/>
        <v>-0.37942996806875073</v>
      </c>
      <c r="AX14" s="96">
        <f t="shared" si="4"/>
        <v>-0.37942996806875073</v>
      </c>
      <c r="AY14" s="96">
        <f t="shared" si="4"/>
        <v>-0.37942996806875073</v>
      </c>
      <c r="AZ14" s="96">
        <f t="shared" si="4"/>
        <v>-0.37886360747425957</v>
      </c>
      <c r="BA14" s="96">
        <f t="shared" si="4"/>
        <v>-0.10936410015582639</v>
      </c>
      <c r="BB14" s="96">
        <f t="shared" si="4"/>
        <v>-0.10935114300903766</v>
      </c>
      <c r="BC14" s="96">
        <f t="shared" si="4"/>
        <v>-0.10946023558349605</v>
      </c>
      <c r="BD14" s="96">
        <f t="shared" si="4"/>
        <v>-0.10146388880656732</v>
      </c>
      <c r="BE14" s="96">
        <f t="shared" si="4"/>
        <v>-0.10227590631677737</v>
      </c>
      <c r="BF14" s="96">
        <f t="shared" si="4"/>
        <v>-0.10159492871542025</v>
      </c>
      <c r="BG14" s="96">
        <f t="shared" si="4"/>
        <v>-0.10146388880656732</v>
      </c>
      <c r="BH14" s="96">
        <f t="shared" si="4"/>
        <v>-0.10227590631677737</v>
      </c>
      <c r="BI14" s="96">
        <f t="shared" si="4"/>
        <v>-0.10135155997440168</v>
      </c>
      <c r="BJ14" s="96">
        <f t="shared" si="4"/>
        <v>-0.10135155997440168</v>
      </c>
      <c r="BK14" s="96">
        <f t="shared" si="4"/>
        <v>-0.10135155997440168</v>
      </c>
      <c r="BL14" s="96">
        <f t="shared" si="4"/>
        <v>-0.10102071946103976</v>
      </c>
    </row>
    <row r="15" spans="2:64" x14ac:dyDescent="0.15">
      <c r="B15" s="33" t="s">
        <v>674</v>
      </c>
      <c r="D15" s="75"/>
      <c r="E15" s="63">
        <f t="shared" ref="E15:AJ15" si="5">E23</f>
        <v>0</v>
      </c>
      <c r="F15" s="63">
        <f t="shared" si="5"/>
        <v>0</v>
      </c>
      <c r="G15" s="63">
        <f t="shared" si="5"/>
        <v>0</v>
      </c>
      <c r="H15" s="63">
        <f t="shared" si="5"/>
        <v>733990</v>
      </c>
      <c r="I15" s="63">
        <f t="shared" si="5"/>
        <v>809920</v>
      </c>
      <c r="J15" s="63">
        <f t="shared" si="5"/>
        <v>911160</v>
      </c>
      <c r="K15" s="63">
        <f t="shared" si="5"/>
        <v>733990</v>
      </c>
      <c r="L15" s="63">
        <f t="shared" si="5"/>
        <v>809920</v>
      </c>
      <c r="M15" s="63">
        <f t="shared" si="5"/>
        <v>658060</v>
      </c>
      <c r="N15" s="63">
        <f t="shared" si="5"/>
        <v>658060</v>
      </c>
      <c r="O15" s="63">
        <f t="shared" si="5"/>
        <v>658060</v>
      </c>
      <c r="P15" s="63">
        <f t="shared" si="5"/>
        <v>404960</v>
      </c>
      <c r="Q15" s="63">
        <f t="shared" si="5"/>
        <v>38362.5</v>
      </c>
      <c r="R15" s="63">
        <f t="shared" si="5"/>
        <v>63937.5</v>
      </c>
      <c r="S15" s="63">
        <f t="shared" si="5"/>
        <v>72462.5</v>
      </c>
      <c r="T15" s="63">
        <f t="shared" si="5"/>
        <v>73187.5</v>
      </c>
      <c r="U15" s="63">
        <f t="shared" si="5"/>
        <v>81787.5</v>
      </c>
      <c r="V15" s="63">
        <f t="shared" si="5"/>
        <v>90412.5</v>
      </c>
      <c r="W15" s="63">
        <f t="shared" si="5"/>
        <v>73187.5</v>
      </c>
      <c r="X15" s="63">
        <f t="shared" si="5"/>
        <v>81787.5</v>
      </c>
      <c r="Y15" s="63">
        <f t="shared" si="5"/>
        <v>64587.5</v>
      </c>
      <c r="Z15" s="63">
        <f t="shared" si="5"/>
        <v>64587.5</v>
      </c>
      <c r="AA15" s="63">
        <f t="shared" si="5"/>
        <v>64587.5</v>
      </c>
      <c r="AB15" s="63">
        <f t="shared" si="5"/>
        <v>38762.5</v>
      </c>
      <c r="AC15" s="63">
        <f t="shared" si="5"/>
        <v>-47982.5</v>
      </c>
      <c r="AD15" s="63">
        <f t="shared" si="5"/>
        <v>-78510</v>
      </c>
      <c r="AE15" s="63">
        <f t="shared" si="5"/>
        <v>-91607.5</v>
      </c>
      <c r="AF15" s="63">
        <f t="shared" si="5"/>
        <v>-90882.5</v>
      </c>
      <c r="AG15" s="63">
        <f t="shared" si="5"/>
        <v>-99522.5</v>
      </c>
      <c r="AH15" s="63">
        <f t="shared" si="5"/>
        <v>-108137.5</v>
      </c>
      <c r="AI15" s="63">
        <f t="shared" si="5"/>
        <v>-90882.5</v>
      </c>
      <c r="AJ15" s="63">
        <f t="shared" si="5"/>
        <v>-99522.5</v>
      </c>
      <c r="AK15" s="63">
        <f t="shared" ref="AK15:BL15" si="6">AK23</f>
        <v>-77860</v>
      </c>
      <c r="AL15" s="63">
        <f t="shared" si="6"/>
        <v>-77860</v>
      </c>
      <c r="AM15" s="63">
        <f t="shared" si="6"/>
        <v>-77860</v>
      </c>
      <c r="AN15" s="63">
        <f t="shared" si="6"/>
        <v>-47582.5</v>
      </c>
      <c r="AO15" s="63">
        <f t="shared" si="6"/>
        <v>-14588</v>
      </c>
      <c r="AP15" s="63">
        <f t="shared" si="6"/>
        <v>-24325</v>
      </c>
      <c r="AQ15" s="63">
        <f t="shared" si="6"/>
        <v>-26698</v>
      </c>
      <c r="AR15" s="63">
        <f t="shared" si="6"/>
        <v>-25683</v>
      </c>
      <c r="AS15" s="63">
        <f t="shared" si="6"/>
        <v>-27986</v>
      </c>
      <c r="AT15" s="63">
        <f t="shared" si="6"/>
        <v>-30254</v>
      </c>
      <c r="AU15" s="63">
        <f t="shared" si="6"/>
        <v>-25683</v>
      </c>
      <c r="AV15" s="63">
        <f t="shared" si="6"/>
        <v>-27986</v>
      </c>
      <c r="AW15" s="63">
        <f t="shared" si="6"/>
        <v>-23415</v>
      </c>
      <c r="AX15" s="63">
        <f t="shared" si="6"/>
        <v>-23415</v>
      </c>
      <c r="AY15" s="63">
        <f t="shared" si="6"/>
        <v>-23415</v>
      </c>
      <c r="AZ15" s="63">
        <f t="shared" si="6"/>
        <v>-14028</v>
      </c>
      <c r="BA15" s="63">
        <f t="shared" si="6"/>
        <v>-2087.8999999999992</v>
      </c>
      <c r="BB15" s="63">
        <f t="shared" si="6"/>
        <v>-3491.4999999999964</v>
      </c>
      <c r="BC15" s="63">
        <f t="shared" si="6"/>
        <v>-3281.5000000000009</v>
      </c>
      <c r="BD15" s="63">
        <f t="shared" si="6"/>
        <v>-2266.5000000000009</v>
      </c>
      <c r="BE15" s="63">
        <f t="shared" si="6"/>
        <v>-2985.7999999999984</v>
      </c>
      <c r="BF15" s="63">
        <f t="shared" si="6"/>
        <v>-3670.0999999999985</v>
      </c>
      <c r="BG15" s="63">
        <f t="shared" si="6"/>
        <v>-2266.5000000000009</v>
      </c>
      <c r="BH15" s="63">
        <f t="shared" si="6"/>
        <v>-2985.7999999999984</v>
      </c>
      <c r="BI15" s="63">
        <f t="shared" si="6"/>
        <v>-2581.4999999999964</v>
      </c>
      <c r="BJ15" s="63">
        <f t="shared" si="6"/>
        <v>-2581.4999999999964</v>
      </c>
      <c r="BK15" s="63">
        <f t="shared" si="6"/>
        <v>-2581.4999999999964</v>
      </c>
      <c r="BL15" s="63">
        <f t="shared" si="6"/>
        <v>-1527.8999999999992</v>
      </c>
    </row>
    <row r="16" spans="2:64" x14ac:dyDescent="0.15">
      <c r="B16" s="33" t="s">
        <v>675</v>
      </c>
      <c r="D16" s="75"/>
      <c r="E16" s="63">
        <f t="shared" ref="E16:AJ16" si="7">E31</f>
        <v>0</v>
      </c>
      <c r="F16" s="63">
        <f t="shared" si="7"/>
        <v>0</v>
      </c>
      <c r="G16" s="63">
        <f t="shared" si="7"/>
        <v>0</v>
      </c>
      <c r="H16" s="63">
        <f t="shared" si="7"/>
        <v>43800</v>
      </c>
      <c r="I16" s="63">
        <f t="shared" si="7"/>
        <v>48180</v>
      </c>
      <c r="J16" s="63">
        <f t="shared" si="7"/>
        <v>52560</v>
      </c>
      <c r="K16" s="63">
        <f t="shared" si="7"/>
        <v>43800</v>
      </c>
      <c r="L16" s="63">
        <f t="shared" si="7"/>
        <v>48180</v>
      </c>
      <c r="M16" s="63">
        <f t="shared" si="7"/>
        <v>39420</v>
      </c>
      <c r="N16" s="63">
        <f t="shared" si="7"/>
        <v>39420</v>
      </c>
      <c r="O16" s="63">
        <f t="shared" si="7"/>
        <v>39420</v>
      </c>
      <c r="P16" s="63">
        <f t="shared" si="7"/>
        <v>26280</v>
      </c>
      <c r="Q16" s="63">
        <f t="shared" si="7"/>
        <v>29706.25</v>
      </c>
      <c r="R16" s="63">
        <f t="shared" si="7"/>
        <v>46681.25</v>
      </c>
      <c r="S16" s="63">
        <f t="shared" si="7"/>
        <v>50925</v>
      </c>
      <c r="T16" s="63">
        <f t="shared" si="7"/>
        <v>52612.5</v>
      </c>
      <c r="U16" s="63">
        <f t="shared" si="7"/>
        <v>57025</v>
      </c>
      <c r="V16" s="63">
        <f t="shared" si="7"/>
        <v>61437.5</v>
      </c>
      <c r="W16" s="63">
        <f t="shared" si="7"/>
        <v>52612.5</v>
      </c>
      <c r="X16" s="63">
        <f t="shared" si="7"/>
        <v>57025</v>
      </c>
      <c r="Y16" s="63">
        <f t="shared" si="7"/>
        <v>48200</v>
      </c>
      <c r="Z16" s="63">
        <f t="shared" si="7"/>
        <v>48200</v>
      </c>
      <c r="AA16" s="63">
        <f t="shared" si="7"/>
        <v>48200</v>
      </c>
      <c r="AB16" s="63">
        <f t="shared" si="7"/>
        <v>30718.75</v>
      </c>
      <c r="AC16" s="63">
        <f t="shared" si="7"/>
        <v>-77928.75</v>
      </c>
      <c r="AD16" s="63">
        <f t="shared" si="7"/>
        <v>-125605</v>
      </c>
      <c r="AE16" s="63">
        <f t="shared" si="7"/>
        <v>-138625</v>
      </c>
      <c r="AF16" s="63">
        <f t="shared" si="7"/>
        <v>-136712.5</v>
      </c>
      <c r="AG16" s="63">
        <f t="shared" si="7"/>
        <v>-149541.25</v>
      </c>
      <c r="AH16" s="63">
        <f t="shared" si="7"/>
        <v>-166773.75</v>
      </c>
      <c r="AI16" s="63">
        <f t="shared" si="7"/>
        <v>-136712.5</v>
      </c>
      <c r="AJ16" s="63">
        <f t="shared" si="7"/>
        <v>-149541.25</v>
      </c>
      <c r="AK16" s="63">
        <f t="shared" ref="AK16:BL16" si="8">AK31</f>
        <v>-123883.75</v>
      </c>
      <c r="AL16" s="63">
        <f t="shared" si="8"/>
        <v>-123883.75</v>
      </c>
      <c r="AM16" s="63">
        <f t="shared" si="8"/>
        <v>-123883.75</v>
      </c>
      <c r="AN16" s="63">
        <f t="shared" si="8"/>
        <v>-76781.25</v>
      </c>
      <c r="AO16" s="63">
        <f t="shared" si="8"/>
        <v>-61700</v>
      </c>
      <c r="AP16" s="63">
        <f t="shared" si="8"/>
        <v>-98720</v>
      </c>
      <c r="AQ16" s="63">
        <f t="shared" si="8"/>
        <v>-111262.5</v>
      </c>
      <c r="AR16" s="63">
        <f t="shared" si="8"/>
        <v>-109237.5</v>
      </c>
      <c r="AS16" s="63">
        <f t="shared" si="8"/>
        <v>-121577.5</v>
      </c>
      <c r="AT16" s="63">
        <f t="shared" si="8"/>
        <v>-133715</v>
      </c>
      <c r="AU16" s="63">
        <f t="shared" si="8"/>
        <v>-109237.5</v>
      </c>
      <c r="AV16" s="63">
        <f t="shared" si="8"/>
        <v>-121577.5</v>
      </c>
      <c r="AW16" s="63">
        <f t="shared" si="8"/>
        <v>-96897.5</v>
      </c>
      <c r="AX16" s="63">
        <f t="shared" si="8"/>
        <v>-96897.5</v>
      </c>
      <c r="AY16" s="63">
        <f t="shared" si="8"/>
        <v>-96897.5</v>
      </c>
      <c r="AZ16" s="63">
        <f t="shared" si="8"/>
        <v>-60485</v>
      </c>
      <c r="BA16" s="63">
        <f t="shared" si="8"/>
        <v>-23528.999999999993</v>
      </c>
      <c r="BB16" s="63">
        <f t="shared" si="8"/>
        <v>-37646.399999999965</v>
      </c>
      <c r="BC16" s="63">
        <f t="shared" si="8"/>
        <v>-42554.700000000012</v>
      </c>
      <c r="BD16" s="63">
        <f t="shared" si="8"/>
        <v>-40529.700000000012</v>
      </c>
      <c r="BE16" s="63">
        <f t="shared" si="8"/>
        <v>-45235.499999999985</v>
      </c>
      <c r="BF16" s="63">
        <f t="shared" si="8"/>
        <v>-48616.999999999985</v>
      </c>
      <c r="BG16" s="63">
        <f t="shared" si="8"/>
        <v>-40529.700000000012</v>
      </c>
      <c r="BH16" s="63">
        <f t="shared" si="8"/>
        <v>-45235.499999999985</v>
      </c>
      <c r="BI16" s="63">
        <f t="shared" si="8"/>
        <v>-35823.899999999965</v>
      </c>
      <c r="BJ16" s="63">
        <f t="shared" si="8"/>
        <v>-35823.899999999965</v>
      </c>
      <c r="BK16" s="63">
        <f t="shared" si="8"/>
        <v>-35823.899999999965</v>
      </c>
      <c r="BL16" s="63">
        <f t="shared" si="8"/>
        <v>-22313.999999999993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665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663</v>
      </c>
      <c r="D19" s="75"/>
      <c r="E19" s="101">
        <f t="shared" ref="E19:AJ19" si="9">E66</f>
        <v>0</v>
      </c>
      <c r="F19" s="101">
        <f t="shared" si="9"/>
        <v>0</v>
      </c>
      <c r="G19" s="101">
        <f t="shared" si="9"/>
        <v>0</v>
      </c>
      <c r="H19" s="101">
        <f t="shared" si="9"/>
        <v>29</v>
      </c>
      <c r="I19" s="101">
        <f t="shared" si="9"/>
        <v>32</v>
      </c>
      <c r="J19" s="101">
        <f t="shared" si="9"/>
        <v>36</v>
      </c>
      <c r="K19" s="101">
        <f t="shared" si="9"/>
        <v>29</v>
      </c>
      <c r="L19" s="101">
        <f t="shared" si="9"/>
        <v>32</v>
      </c>
      <c r="M19" s="101">
        <f t="shared" si="9"/>
        <v>26</v>
      </c>
      <c r="N19" s="101">
        <f t="shared" si="9"/>
        <v>26</v>
      </c>
      <c r="O19" s="101">
        <f t="shared" si="9"/>
        <v>26</v>
      </c>
      <c r="P19" s="101">
        <f t="shared" si="9"/>
        <v>16</v>
      </c>
      <c r="Q19" s="101">
        <f t="shared" si="9"/>
        <v>9</v>
      </c>
      <c r="R19" s="101">
        <f t="shared" si="9"/>
        <v>15</v>
      </c>
      <c r="S19" s="101">
        <f t="shared" si="9"/>
        <v>17</v>
      </c>
      <c r="T19" s="101">
        <f t="shared" si="9"/>
        <v>17</v>
      </c>
      <c r="U19" s="101">
        <f t="shared" si="9"/>
        <v>19</v>
      </c>
      <c r="V19" s="101">
        <f t="shared" si="9"/>
        <v>21</v>
      </c>
      <c r="W19" s="101">
        <f t="shared" si="9"/>
        <v>17</v>
      </c>
      <c r="X19" s="101">
        <f t="shared" si="9"/>
        <v>19</v>
      </c>
      <c r="Y19" s="101">
        <f t="shared" si="9"/>
        <v>15</v>
      </c>
      <c r="Z19" s="101">
        <f t="shared" si="9"/>
        <v>15</v>
      </c>
      <c r="AA19" s="101">
        <f t="shared" si="9"/>
        <v>15</v>
      </c>
      <c r="AB19" s="101">
        <f t="shared" si="9"/>
        <v>9</v>
      </c>
      <c r="AC19" s="101">
        <f t="shared" si="9"/>
        <v>11</v>
      </c>
      <c r="AD19" s="101">
        <f t="shared" si="9"/>
        <v>18</v>
      </c>
      <c r="AE19" s="101">
        <f t="shared" si="9"/>
        <v>21</v>
      </c>
      <c r="AF19" s="101">
        <f t="shared" si="9"/>
        <v>21</v>
      </c>
      <c r="AG19" s="101">
        <f t="shared" si="9"/>
        <v>23</v>
      </c>
      <c r="AH19" s="101">
        <f t="shared" si="9"/>
        <v>25</v>
      </c>
      <c r="AI19" s="101">
        <f t="shared" si="9"/>
        <v>21</v>
      </c>
      <c r="AJ19" s="101">
        <f t="shared" si="9"/>
        <v>23</v>
      </c>
      <c r="AK19" s="101">
        <f t="shared" ref="AK19:BL19" si="10">AK66</f>
        <v>18</v>
      </c>
      <c r="AL19" s="101">
        <f t="shared" si="10"/>
        <v>18</v>
      </c>
      <c r="AM19" s="101">
        <f t="shared" si="10"/>
        <v>18</v>
      </c>
      <c r="AN19" s="101">
        <f t="shared" si="10"/>
        <v>11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678</v>
      </c>
      <c r="D20" s="75"/>
      <c r="E20" s="101">
        <f t="shared" ref="E20:AJ20" si="11">E19*E47</f>
        <v>0</v>
      </c>
      <c r="F20" s="180">
        <f t="shared" si="11"/>
        <v>0</v>
      </c>
      <c r="G20" s="180">
        <f t="shared" si="11"/>
        <v>0</v>
      </c>
      <c r="H20" s="180">
        <f t="shared" si="11"/>
        <v>475020</v>
      </c>
      <c r="I20" s="180">
        <f t="shared" si="11"/>
        <v>524160</v>
      </c>
      <c r="J20" s="180">
        <f t="shared" si="11"/>
        <v>589680</v>
      </c>
      <c r="K20" s="180">
        <f t="shared" si="11"/>
        <v>475020</v>
      </c>
      <c r="L20" s="180">
        <f t="shared" si="11"/>
        <v>524160</v>
      </c>
      <c r="M20" s="180">
        <f t="shared" si="11"/>
        <v>425880</v>
      </c>
      <c r="N20" s="180">
        <f t="shared" si="11"/>
        <v>425880</v>
      </c>
      <c r="O20" s="180">
        <f t="shared" si="11"/>
        <v>425880</v>
      </c>
      <c r="P20" s="180">
        <f t="shared" si="11"/>
        <v>262080</v>
      </c>
      <c r="Q20" s="180">
        <f t="shared" si="11"/>
        <v>133650</v>
      </c>
      <c r="R20" s="180">
        <f t="shared" si="11"/>
        <v>222750</v>
      </c>
      <c r="S20" s="180">
        <f t="shared" si="11"/>
        <v>252450</v>
      </c>
      <c r="T20" s="180">
        <f t="shared" si="11"/>
        <v>252450</v>
      </c>
      <c r="U20" s="180">
        <f t="shared" si="11"/>
        <v>282150</v>
      </c>
      <c r="V20" s="180">
        <f t="shared" si="11"/>
        <v>311850</v>
      </c>
      <c r="W20" s="180">
        <f t="shared" si="11"/>
        <v>252450</v>
      </c>
      <c r="X20" s="180">
        <f t="shared" si="11"/>
        <v>282150</v>
      </c>
      <c r="Y20" s="180">
        <f t="shared" si="11"/>
        <v>222750</v>
      </c>
      <c r="Z20" s="180">
        <f t="shared" si="11"/>
        <v>222750</v>
      </c>
      <c r="AA20" s="180">
        <f t="shared" si="11"/>
        <v>222750</v>
      </c>
      <c r="AB20" s="180">
        <f t="shared" si="11"/>
        <v>133650</v>
      </c>
      <c r="AC20" s="180">
        <f t="shared" si="11"/>
        <v>56100</v>
      </c>
      <c r="AD20" s="180">
        <f t="shared" si="11"/>
        <v>91800</v>
      </c>
      <c r="AE20" s="180">
        <f t="shared" si="11"/>
        <v>107100</v>
      </c>
      <c r="AF20" s="180">
        <f t="shared" si="11"/>
        <v>107100</v>
      </c>
      <c r="AG20" s="180">
        <f t="shared" si="11"/>
        <v>117300</v>
      </c>
      <c r="AH20" s="180">
        <f t="shared" si="11"/>
        <v>127500</v>
      </c>
      <c r="AI20" s="180">
        <f t="shared" si="11"/>
        <v>107100</v>
      </c>
      <c r="AJ20" s="180">
        <f t="shared" si="11"/>
        <v>117300</v>
      </c>
      <c r="AK20" s="180">
        <f t="shared" ref="AK20:BL20" si="12">AK19*AK47</f>
        <v>91800</v>
      </c>
      <c r="AL20" s="180">
        <f t="shared" si="12"/>
        <v>91800</v>
      </c>
      <c r="AM20" s="180">
        <f t="shared" si="12"/>
        <v>91800</v>
      </c>
      <c r="AN20" s="180">
        <f t="shared" si="12"/>
        <v>56100</v>
      </c>
      <c r="AO20" s="180">
        <f t="shared" si="12"/>
        <v>35100</v>
      </c>
      <c r="AP20" s="180">
        <f t="shared" si="12"/>
        <v>58500</v>
      </c>
      <c r="AQ20" s="180">
        <f t="shared" si="12"/>
        <v>64350</v>
      </c>
      <c r="AR20" s="180">
        <f t="shared" si="12"/>
        <v>64350</v>
      </c>
      <c r="AS20" s="180">
        <f t="shared" si="12"/>
        <v>70200</v>
      </c>
      <c r="AT20" s="180">
        <f t="shared" si="12"/>
        <v>76050</v>
      </c>
      <c r="AU20" s="180">
        <f t="shared" si="12"/>
        <v>64350</v>
      </c>
      <c r="AV20" s="180">
        <f t="shared" si="12"/>
        <v>70200</v>
      </c>
      <c r="AW20" s="180">
        <f t="shared" si="12"/>
        <v>58500</v>
      </c>
      <c r="AX20" s="180">
        <f t="shared" si="12"/>
        <v>58500</v>
      </c>
      <c r="AY20" s="180">
        <f t="shared" si="12"/>
        <v>58500</v>
      </c>
      <c r="AZ20" s="180">
        <f t="shared" si="12"/>
        <v>35100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662</v>
      </c>
      <c r="D21" s="75"/>
      <c r="E21" s="104">
        <f t="shared" ref="E21:AJ21" si="13">E19*E59</f>
        <v>0</v>
      </c>
      <c r="F21" s="104">
        <f t="shared" si="13"/>
        <v>0</v>
      </c>
      <c r="G21" s="104">
        <f t="shared" si="13"/>
        <v>0</v>
      </c>
      <c r="H21" s="104">
        <f t="shared" si="13"/>
        <v>127020</v>
      </c>
      <c r="I21" s="104">
        <f t="shared" si="13"/>
        <v>140160</v>
      </c>
      <c r="J21" s="104">
        <f t="shared" si="13"/>
        <v>157680</v>
      </c>
      <c r="K21" s="104">
        <f t="shared" si="13"/>
        <v>127020</v>
      </c>
      <c r="L21" s="104">
        <f t="shared" si="13"/>
        <v>140160</v>
      </c>
      <c r="M21" s="104">
        <f t="shared" si="13"/>
        <v>113880</v>
      </c>
      <c r="N21" s="104">
        <f t="shared" si="13"/>
        <v>113880</v>
      </c>
      <c r="O21" s="104">
        <f t="shared" si="13"/>
        <v>113880</v>
      </c>
      <c r="P21" s="104">
        <f t="shared" si="13"/>
        <v>70080</v>
      </c>
      <c r="Q21" s="104">
        <f t="shared" si="13"/>
        <v>36450</v>
      </c>
      <c r="R21" s="104">
        <f t="shared" si="13"/>
        <v>60750</v>
      </c>
      <c r="S21" s="104">
        <f t="shared" si="13"/>
        <v>68850</v>
      </c>
      <c r="T21" s="104">
        <f t="shared" si="13"/>
        <v>68850</v>
      </c>
      <c r="U21" s="104">
        <f t="shared" si="13"/>
        <v>76950</v>
      </c>
      <c r="V21" s="104">
        <f t="shared" si="13"/>
        <v>85050</v>
      </c>
      <c r="W21" s="104">
        <f t="shared" si="13"/>
        <v>68850</v>
      </c>
      <c r="X21" s="104">
        <f t="shared" si="13"/>
        <v>76950</v>
      </c>
      <c r="Y21" s="104">
        <f t="shared" si="13"/>
        <v>60750</v>
      </c>
      <c r="Z21" s="104">
        <f t="shared" si="13"/>
        <v>60750</v>
      </c>
      <c r="AA21" s="104">
        <f t="shared" si="13"/>
        <v>60750</v>
      </c>
      <c r="AB21" s="104">
        <f t="shared" si="13"/>
        <v>36450</v>
      </c>
      <c r="AC21" s="104">
        <f t="shared" si="13"/>
        <v>-50820</v>
      </c>
      <c r="AD21" s="104">
        <f t="shared" si="13"/>
        <v>-83160</v>
      </c>
      <c r="AE21" s="104">
        <f t="shared" si="13"/>
        <v>-97020</v>
      </c>
      <c r="AF21" s="104">
        <f t="shared" si="13"/>
        <v>-97020</v>
      </c>
      <c r="AG21" s="104">
        <f t="shared" si="13"/>
        <v>-106260</v>
      </c>
      <c r="AH21" s="104">
        <f t="shared" si="13"/>
        <v>-115500</v>
      </c>
      <c r="AI21" s="104">
        <f t="shared" si="13"/>
        <v>-97020</v>
      </c>
      <c r="AJ21" s="104">
        <f t="shared" si="13"/>
        <v>-106260</v>
      </c>
      <c r="AK21" s="104">
        <f t="shared" ref="AK21:BL21" si="14">AK19*AK59</f>
        <v>-83160</v>
      </c>
      <c r="AL21" s="104">
        <f t="shared" si="14"/>
        <v>-83160</v>
      </c>
      <c r="AM21" s="104">
        <f t="shared" si="14"/>
        <v>-83160</v>
      </c>
      <c r="AN21" s="104">
        <f t="shared" si="14"/>
        <v>-50820</v>
      </c>
      <c r="AO21" s="104">
        <f t="shared" si="14"/>
        <v>-17388</v>
      </c>
      <c r="AP21" s="104">
        <f t="shared" si="14"/>
        <v>-28980</v>
      </c>
      <c r="AQ21" s="104">
        <f t="shared" si="14"/>
        <v>-31878</v>
      </c>
      <c r="AR21" s="104">
        <f t="shared" si="14"/>
        <v>-31878</v>
      </c>
      <c r="AS21" s="104">
        <f t="shared" si="14"/>
        <v>-34776</v>
      </c>
      <c r="AT21" s="104">
        <f t="shared" si="14"/>
        <v>-37674</v>
      </c>
      <c r="AU21" s="104">
        <f t="shared" si="14"/>
        <v>-31878</v>
      </c>
      <c r="AV21" s="104">
        <f t="shared" si="14"/>
        <v>-34776</v>
      </c>
      <c r="AW21" s="104">
        <f t="shared" si="14"/>
        <v>-28980</v>
      </c>
      <c r="AX21" s="104">
        <f t="shared" si="14"/>
        <v>-28980</v>
      </c>
      <c r="AY21" s="104">
        <f t="shared" si="14"/>
        <v>-28980</v>
      </c>
      <c r="AZ21" s="104">
        <f t="shared" si="14"/>
        <v>-17388</v>
      </c>
      <c r="BA21" s="104">
        <f t="shared" si="14"/>
        <v>-4047.8999999999992</v>
      </c>
      <c r="BB21" s="104">
        <f t="shared" si="14"/>
        <v>-6746.4999999999964</v>
      </c>
      <c r="BC21" s="104">
        <f t="shared" si="14"/>
        <v>-6746.5000000000009</v>
      </c>
      <c r="BD21" s="104">
        <f t="shared" si="14"/>
        <v>-6746.5000000000009</v>
      </c>
      <c r="BE21" s="104">
        <f t="shared" si="14"/>
        <v>-8095.7999999999984</v>
      </c>
      <c r="BF21" s="104">
        <f t="shared" si="14"/>
        <v>-9445.0999999999985</v>
      </c>
      <c r="BG21" s="104">
        <f t="shared" si="14"/>
        <v>-6746.5000000000009</v>
      </c>
      <c r="BH21" s="104">
        <f t="shared" si="14"/>
        <v>-8095.7999999999984</v>
      </c>
      <c r="BI21" s="104">
        <f t="shared" si="14"/>
        <v>-6746.4999999999964</v>
      </c>
      <c r="BJ21" s="104">
        <f t="shared" si="14"/>
        <v>-6746.4999999999964</v>
      </c>
      <c r="BK21" s="104">
        <f t="shared" si="14"/>
        <v>-6746.4999999999964</v>
      </c>
      <c r="BL21" s="104">
        <f t="shared" si="14"/>
        <v>-4047.8999999999992</v>
      </c>
    </row>
    <row r="22" spans="2:66" x14ac:dyDescent="0.15">
      <c r="B22" s="47" t="s">
        <v>664</v>
      </c>
      <c r="D22" s="75"/>
      <c r="E22" s="63">
        <f t="shared" ref="E22:AJ22" si="15">E75</f>
        <v>0</v>
      </c>
      <c r="F22" s="63">
        <f t="shared" si="15"/>
        <v>0</v>
      </c>
      <c r="G22" s="63">
        <f t="shared" si="15"/>
        <v>0</v>
      </c>
      <c r="H22" s="63">
        <f t="shared" si="15"/>
        <v>606970</v>
      </c>
      <c r="I22" s="63">
        <f t="shared" si="15"/>
        <v>669760</v>
      </c>
      <c r="J22" s="63">
        <f t="shared" si="15"/>
        <v>753480</v>
      </c>
      <c r="K22" s="63">
        <f t="shared" si="15"/>
        <v>606970</v>
      </c>
      <c r="L22" s="63">
        <f t="shared" si="15"/>
        <v>669760</v>
      </c>
      <c r="M22" s="63">
        <f t="shared" si="15"/>
        <v>544180</v>
      </c>
      <c r="N22" s="63">
        <f t="shared" si="15"/>
        <v>544180</v>
      </c>
      <c r="O22" s="63">
        <f t="shared" si="15"/>
        <v>544180</v>
      </c>
      <c r="P22" s="63">
        <f t="shared" si="15"/>
        <v>334880</v>
      </c>
      <c r="Q22" s="63">
        <f t="shared" si="15"/>
        <v>1912.5</v>
      </c>
      <c r="R22" s="63">
        <f t="shared" si="15"/>
        <v>3187.5</v>
      </c>
      <c r="S22" s="63">
        <f t="shared" si="15"/>
        <v>3612.5</v>
      </c>
      <c r="T22" s="63">
        <f t="shared" si="15"/>
        <v>4337.5</v>
      </c>
      <c r="U22" s="63">
        <f t="shared" si="15"/>
        <v>4837.5</v>
      </c>
      <c r="V22" s="63">
        <f t="shared" si="15"/>
        <v>5362.5</v>
      </c>
      <c r="W22" s="63">
        <f t="shared" si="15"/>
        <v>4337.5</v>
      </c>
      <c r="X22" s="63">
        <f t="shared" si="15"/>
        <v>4837.5</v>
      </c>
      <c r="Y22" s="63">
        <f t="shared" si="15"/>
        <v>3837.5</v>
      </c>
      <c r="Z22" s="63">
        <f t="shared" si="15"/>
        <v>3837.5</v>
      </c>
      <c r="AA22" s="63">
        <f t="shared" si="15"/>
        <v>3837.5</v>
      </c>
      <c r="AB22" s="63">
        <f t="shared" si="15"/>
        <v>2312.5</v>
      </c>
      <c r="AC22" s="63">
        <f t="shared" si="15"/>
        <v>2837.5</v>
      </c>
      <c r="AD22" s="63">
        <f t="shared" si="15"/>
        <v>4650</v>
      </c>
      <c r="AE22" s="63">
        <f t="shared" si="15"/>
        <v>5412.5</v>
      </c>
      <c r="AF22" s="63">
        <f t="shared" si="15"/>
        <v>6137.5</v>
      </c>
      <c r="AG22" s="63">
        <f t="shared" si="15"/>
        <v>6737.5</v>
      </c>
      <c r="AH22" s="63">
        <f t="shared" si="15"/>
        <v>7362.5</v>
      </c>
      <c r="AI22" s="63">
        <f t="shared" si="15"/>
        <v>6137.5</v>
      </c>
      <c r="AJ22" s="63">
        <f t="shared" si="15"/>
        <v>6737.5</v>
      </c>
      <c r="AK22" s="63">
        <f t="shared" ref="AK22:BL22" si="16">AK75</f>
        <v>5300</v>
      </c>
      <c r="AL22" s="63">
        <f t="shared" si="16"/>
        <v>5300</v>
      </c>
      <c r="AM22" s="63">
        <f t="shared" si="16"/>
        <v>5300</v>
      </c>
      <c r="AN22" s="63">
        <f t="shared" si="16"/>
        <v>3237.5</v>
      </c>
      <c r="AO22" s="63">
        <f t="shared" si="16"/>
        <v>2800</v>
      </c>
      <c r="AP22" s="63">
        <f t="shared" si="16"/>
        <v>4655</v>
      </c>
      <c r="AQ22" s="63">
        <f t="shared" si="16"/>
        <v>5180</v>
      </c>
      <c r="AR22" s="63">
        <f t="shared" si="16"/>
        <v>6195</v>
      </c>
      <c r="AS22" s="63">
        <f t="shared" si="16"/>
        <v>6790</v>
      </c>
      <c r="AT22" s="63">
        <f t="shared" si="16"/>
        <v>7420</v>
      </c>
      <c r="AU22" s="63">
        <f t="shared" si="16"/>
        <v>6195</v>
      </c>
      <c r="AV22" s="63">
        <f t="shared" si="16"/>
        <v>6790</v>
      </c>
      <c r="AW22" s="63">
        <f t="shared" si="16"/>
        <v>5565</v>
      </c>
      <c r="AX22" s="63">
        <f t="shared" si="16"/>
        <v>5565</v>
      </c>
      <c r="AY22" s="63">
        <f t="shared" si="16"/>
        <v>5565</v>
      </c>
      <c r="AZ22" s="63">
        <f t="shared" si="16"/>
        <v>3360</v>
      </c>
      <c r="BA22" s="63">
        <f t="shared" si="16"/>
        <v>1960</v>
      </c>
      <c r="BB22" s="63">
        <f t="shared" si="16"/>
        <v>3255</v>
      </c>
      <c r="BC22" s="63">
        <f t="shared" si="16"/>
        <v>3465</v>
      </c>
      <c r="BD22" s="63">
        <f t="shared" si="16"/>
        <v>4480</v>
      </c>
      <c r="BE22" s="63">
        <f t="shared" si="16"/>
        <v>5110</v>
      </c>
      <c r="BF22" s="63">
        <f t="shared" si="16"/>
        <v>5775</v>
      </c>
      <c r="BG22" s="63">
        <f t="shared" si="16"/>
        <v>4480</v>
      </c>
      <c r="BH22" s="63">
        <f t="shared" si="16"/>
        <v>5110</v>
      </c>
      <c r="BI22" s="63">
        <f t="shared" si="16"/>
        <v>4165</v>
      </c>
      <c r="BJ22" s="63">
        <f t="shared" si="16"/>
        <v>4165</v>
      </c>
      <c r="BK22" s="63">
        <f t="shared" si="16"/>
        <v>4165</v>
      </c>
      <c r="BL22" s="63">
        <f t="shared" si="16"/>
        <v>2520</v>
      </c>
      <c r="BN22" s="104">
        <f>BL20+BL22</f>
        <v>22095</v>
      </c>
    </row>
    <row r="23" spans="2:66" x14ac:dyDescent="0.15">
      <c r="B23" s="47" t="s">
        <v>666</v>
      </c>
      <c r="D23" s="75"/>
      <c r="E23" s="63">
        <f>SUM(E21:E22)</f>
        <v>0</v>
      </c>
      <c r="F23" s="63">
        <f t="shared" ref="F23:BL23" si="17">SUM(F21:F22)</f>
        <v>0</v>
      </c>
      <c r="G23" s="63">
        <f t="shared" si="17"/>
        <v>0</v>
      </c>
      <c r="H23" s="63">
        <f t="shared" si="17"/>
        <v>733990</v>
      </c>
      <c r="I23" s="63">
        <f t="shared" si="17"/>
        <v>809920</v>
      </c>
      <c r="J23" s="63">
        <f t="shared" si="17"/>
        <v>911160</v>
      </c>
      <c r="K23" s="63">
        <f t="shared" si="17"/>
        <v>733990</v>
      </c>
      <c r="L23" s="63">
        <f t="shared" si="17"/>
        <v>809920</v>
      </c>
      <c r="M23" s="63">
        <f t="shared" si="17"/>
        <v>658060</v>
      </c>
      <c r="N23" s="63">
        <f t="shared" si="17"/>
        <v>658060</v>
      </c>
      <c r="O23" s="63">
        <f t="shared" si="17"/>
        <v>658060</v>
      </c>
      <c r="P23" s="63">
        <f t="shared" si="17"/>
        <v>404960</v>
      </c>
      <c r="Q23" s="63">
        <f t="shared" si="17"/>
        <v>38362.5</v>
      </c>
      <c r="R23" s="63">
        <f t="shared" si="17"/>
        <v>63937.5</v>
      </c>
      <c r="S23" s="63">
        <f t="shared" si="17"/>
        <v>72462.5</v>
      </c>
      <c r="T23" s="63">
        <f t="shared" si="17"/>
        <v>73187.5</v>
      </c>
      <c r="U23" s="63">
        <f t="shared" si="17"/>
        <v>81787.5</v>
      </c>
      <c r="V23" s="63">
        <f t="shared" si="17"/>
        <v>90412.5</v>
      </c>
      <c r="W23" s="63">
        <f t="shared" si="17"/>
        <v>73187.5</v>
      </c>
      <c r="X23" s="63">
        <f t="shared" si="17"/>
        <v>81787.5</v>
      </c>
      <c r="Y23" s="63">
        <f t="shared" si="17"/>
        <v>64587.5</v>
      </c>
      <c r="Z23" s="63">
        <f t="shared" si="17"/>
        <v>64587.5</v>
      </c>
      <c r="AA23" s="63">
        <f t="shared" si="17"/>
        <v>64587.5</v>
      </c>
      <c r="AB23" s="63">
        <f t="shared" si="17"/>
        <v>38762.5</v>
      </c>
      <c r="AC23" s="63">
        <f t="shared" si="17"/>
        <v>-47982.5</v>
      </c>
      <c r="AD23" s="63">
        <f t="shared" si="17"/>
        <v>-78510</v>
      </c>
      <c r="AE23" s="63">
        <f t="shared" si="17"/>
        <v>-91607.5</v>
      </c>
      <c r="AF23" s="63">
        <f t="shared" si="17"/>
        <v>-90882.5</v>
      </c>
      <c r="AG23" s="63">
        <f t="shared" si="17"/>
        <v>-99522.5</v>
      </c>
      <c r="AH23" s="63">
        <f t="shared" si="17"/>
        <v>-108137.5</v>
      </c>
      <c r="AI23" s="63">
        <f t="shared" si="17"/>
        <v>-90882.5</v>
      </c>
      <c r="AJ23" s="63">
        <f t="shared" si="17"/>
        <v>-99522.5</v>
      </c>
      <c r="AK23" s="63">
        <f t="shared" si="17"/>
        <v>-77860</v>
      </c>
      <c r="AL23" s="63">
        <f t="shared" si="17"/>
        <v>-77860</v>
      </c>
      <c r="AM23" s="63">
        <f t="shared" si="17"/>
        <v>-77860</v>
      </c>
      <c r="AN23" s="63">
        <f t="shared" si="17"/>
        <v>-47582.5</v>
      </c>
      <c r="AO23" s="63">
        <f t="shared" si="17"/>
        <v>-14588</v>
      </c>
      <c r="AP23" s="63">
        <f t="shared" si="17"/>
        <v>-24325</v>
      </c>
      <c r="AQ23" s="63">
        <f t="shared" si="17"/>
        <v>-26698</v>
      </c>
      <c r="AR23" s="63">
        <f t="shared" si="17"/>
        <v>-25683</v>
      </c>
      <c r="AS23" s="63">
        <f t="shared" si="17"/>
        <v>-27986</v>
      </c>
      <c r="AT23" s="63">
        <f t="shared" si="17"/>
        <v>-30254</v>
      </c>
      <c r="AU23" s="63">
        <f t="shared" si="17"/>
        <v>-25683</v>
      </c>
      <c r="AV23" s="63">
        <f t="shared" si="17"/>
        <v>-27986</v>
      </c>
      <c r="AW23" s="63">
        <f t="shared" si="17"/>
        <v>-23415</v>
      </c>
      <c r="AX23" s="63">
        <f t="shared" si="17"/>
        <v>-23415</v>
      </c>
      <c r="AY23" s="63">
        <f t="shared" si="17"/>
        <v>-23415</v>
      </c>
      <c r="AZ23" s="63">
        <f t="shared" si="17"/>
        <v>-14028</v>
      </c>
      <c r="BA23" s="63">
        <f t="shared" si="17"/>
        <v>-2087.8999999999992</v>
      </c>
      <c r="BB23" s="63">
        <f t="shared" si="17"/>
        <v>-3491.4999999999964</v>
      </c>
      <c r="BC23" s="63">
        <f t="shared" si="17"/>
        <v>-3281.5000000000009</v>
      </c>
      <c r="BD23" s="63">
        <f t="shared" si="17"/>
        <v>-2266.5000000000009</v>
      </c>
      <c r="BE23" s="63">
        <f t="shared" si="17"/>
        <v>-2985.7999999999984</v>
      </c>
      <c r="BF23" s="63">
        <f t="shared" si="17"/>
        <v>-3670.0999999999985</v>
      </c>
      <c r="BG23" s="63">
        <f t="shared" si="17"/>
        <v>-2266.5000000000009</v>
      </c>
      <c r="BH23" s="63">
        <f t="shared" si="17"/>
        <v>-2985.7999999999984</v>
      </c>
      <c r="BI23" s="63">
        <f t="shared" si="17"/>
        <v>-2581.4999999999964</v>
      </c>
      <c r="BJ23" s="63">
        <f t="shared" si="17"/>
        <v>-2581.4999999999964</v>
      </c>
      <c r="BK23" s="63">
        <f t="shared" si="17"/>
        <v>-2581.4999999999964</v>
      </c>
      <c r="BL23" s="63">
        <f t="shared" si="17"/>
        <v>-1527.8999999999992</v>
      </c>
      <c r="BN23" s="104">
        <f>BL21+BL22</f>
        <v>-1527.8999999999992</v>
      </c>
    </row>
    <row r="24" spans="2:66" x14ac:dyDescent="0.15">
      <c r="B24" s="47" t="s">
        <v>327</v>
      </c>
      <c r="D24" s="75"/>
      <c r="E24" s="96">
        <f>IF(E22+E20&gt;0,(+E23/(E22+E20)),0)</f>
        <v>0</v>
      </c>
      <c r="F24" s="96">
        <f t="shared" ref="F24:BL24" si="18">IF(F22+F20&gt;0,(+F23/(F22+F20)),0)</f>
        <v>0</v>
      </c>
      <c r="G24" s="96">
        <f t="shared" si="18"/>
        <v>0</v>
      </c>
      <c r="H24" s="96">
        <f t="shared" si="18"/>
        <v>0.67837041007772714</v>
      </c>
      <c r="I24" s="96">
        <f t="shared" si="18"/>
        <v>0.67837041007772714</v>
      </c>
      <c r="J24" s="96">
        <f t="shared" si="18"/>
        <v>0.67837041007772714</v>
      </c>
      <c r="K24" s="96">
        <f t="shared" si="18"/>
        <v>0.67837041007772714</v>
      </c>
      <c r="L24" s="96">
        <f t="shared" si="18"/>
        <v>0.67837041007772714</v>
      </c>
      <c r="M24" s="96">
        <f t="shared" si="18"/>
        <v>0.67837041007772714</v>
      </c>
      <c r="N24" s="96">
        <f t="shared" si="18"/>
        <v>0.67837041007772714</v>
      </c>
      <c r="O24" s="96">
        <f t="shared" si="18"/>
        <v>0.67837041007772714</v>
      </c>
      <c r="P24" s="96">
        <f t="shared" si="18"/>
        <v>0.67837041007772714</v>
      </c>
      <c r="Q24" s="96">
        <f t="shared" si="18"/>
        <v>0.28298755186721991</v>
      </c>
      <c r="R24" s="96">
        <f t="shared" si="18"/>
        <v>0.28298755186721991</v>
      </c>
      <c r="S24" s="96">
        <f t="shared" si="18"/>
        <v>0.28298755186721991</v>
      </c>
      <c r="T24" s="96">
        <f t="shared" si="18"/>
        <v>0.28501192620357302</v>
      </c>
      <c r="U24" s="96">
        <f t="shared" si="18"/>
        <v>0.28498627989023911</v>
      </c>
      <c r="V24" s="96">
        <f t="shared" si="18"/>
        <v>0.28502187019742287</v>
      </c>
      <c r="W24" s="96">
        <f t="shared" si="18"/>
        <v>0.28501192620357302</v>
      </c>
      <c r="X24" s="96">
        <f t="shared" si="18"/>
        <v>0.28498627989023911</v>
      </c>
      <c r="Y24" s="96">
        <f t="shared" si="18"/>
        <v>0.28504440889281185</v>
      </c>
      <c r="Z24" s="96">
        <f t="shared" si="18"/>
        <v>0.28504440889281185</v>
      </c>
      <c r="AA24" s="96">
        <f t="shared" si="18"/>
        <v>0.28504440889281185</v>
      </c>
      <c r="AB24" s="96">
        <f t="shared" si="18"/>
        <v>0.28509699365633906</v>
      </c>
      <c r="AC24" s="96">
        <f t="shared" si="18"/>
        <v>-0.81412513255567343</v>
      </c>
      <c r="AD24" s="96">
        <f t="shared" si="18"/>
        <v>-0.81399688958009331</v>
      </c>
      <c r="AE24" s="96">
        <f t="shared" si="18"/>
        <v>-0.81419842239751139</v>
      </c>
      <c r="AF24" s="96">
        <f t="shared" si="18"/>
        <v>-0.80258306656363843</v>
      </c>
      <c r="AG24" s="96">
        <f t="shared" si="18"/>
        <v>-0.80235815781517683</v>
      </c>
      <c r="AH24" s="96">
        <f t="shared" si="18"/>
        <v>-0.80183520252108631</v>
      </c>
      <c r="AI24" s="96">
        <f t="shared" si="18"/>
        <v>-0.80258306656363843</v>
      </c>
      <c r="AJ24" s="96">
        <f t="shared" si="18"/>
        <v>-0.80235815781517683</v>
      </c>
      <c r="AK24" s="96">
        <f t="shared" si="18"/>
        <v>-0.80185375901132849</v>
      </c>
      <c r="AL24" s="96">
        <f t="shared" si="18"/>
        <v>-0.80185375901132849</v>
      </c>
      <c r="AM24" s="96">
        <f t="shared" si="18"/>
        <v>-0.80185375901132849</v>
      </c>
      <c r="AN24" s="96">
        <f t="shared" si="18"/>
        <v>-0.80189593427427852</v>
      </c>
      <c r="AO24" s="96">
        <f t="shared" si="18"/>
        <v>-0.3849076517150396</v>
      </c>
      <c r="AP24" s="96">
        <f t="shared" si="18"/>
        <v>-0.38516348665980527</v>
      </c>
      <c r="AQ24" s="96">
        <f t="shared" si="18"/>
        <v>-0.38397813893283472</v>
      </c>
      <c r="AR24" s="96">
        <f t="shared" si="18"/>
        <v>-0.36406549011269401</v>
      </c>
      <c r="AS24" s="96">
        <f t="shared" si="18"/>
        <v>-0.36350175347447722</v>
      </c>
      <c r="AT24" s="96">
        <f t="shared" si="18"/>
        <v>-0.3624535761351384</v>
      </c>
      <c r="AU24" s="96">
        <f t="shared" si="18"/>
        <v>-0.36406549011269401</v>
      </c>
      <c r="AV24" s="96">
        <f t="shared" si="18"/>
        <v>-0.36350175347447722</v>
      </c>
      <c r="AW24" s="96">
        <f t="shared" si="18"/>
        <v>-0.36548817607117773</v>
      </c>
      <c r="AX24" s="96">
        <f t="shared" si="18"/>
        <v>-0.36548817607117773</v>
      </c>
      <c r="AY24" s="96">
        <f t="shared" si="18"/>
        <v>-0.36548817607117773</v>
      </c>
      <c r="AZ24" s="96">
        <f t="shared" si="18"/>
        <v>-0.36474258970358814</v>
      </c>
      <c r="BA24" s="96">
        <f t="shared" si="18"/>
        <v>-9.695379614580911E-2</v>
      </c>
      <c r="BB24" s="96">
        <f t="shared" si="18"/>
        <v>-9.731047937569666E-2</v>
      </c>
      <c r="BC24" s="96">
        <f t="shared" si="18"/>
        <v>-9.0925464117484089E-2</v>
      </c>
      <c r="BD24" s="96">
        <f t="shared" si="18"/>
        <v>-6.1083411939091795E-2</v>
      </c>
      <c r="BE24" s="96">
        <f t="shared" si="18"/>
        <v>-6.7460460912788039E-2</v>
      </c>
      <c r="BF24" s="96">
        <f t="shared" si="18"/>
        <v>-7.1333333333333304E-2</v>
      </c>
      <c r="BG24" s="96">
        <f t="shared" si="18"/>
        <v>-6.1083411939091795E-2</v>
      </c>
      <c r="BH24" s="96">
        <f t="shared" si="18"/>
        <v>-6.7460460912788039E-2</v>
      </c>
      <c r="BI24" s="96">
        <f t="shared" si="18"/>
        <v>-7.0168524055449752E-2</v>
      </c>
      <c r="BJ24" s="96">
        <f t="shared" si="18"/>
        <v>-7.0168524055449752E-2</v>
      </c>
      <c r="BK24" s="96">
        <f t="shared" si="18"/>
        <v>-7.0168524055449752E-2</v>
      </c>
      <c r="BL24" s="96">
        <f t="shared" si="18"/>
        <v>-6.9151391717583124E-2</v>
      </c>
      <c r="BN24" s="178">
        <f>BN23/BN22</f>
        <v>-6.9151391717583124E-2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676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663</v>
      </c>
      <c r="D27" s="75"/>
      <c r="E27" s="101">
        <f t="shared" ref="E27:AJ27" si="19">E67</f>
        <v>0</v>
      </c>
      <c r="F27" s="101">
        <f t="shared" si="19"/>
        <v>0</v>
      </c>
      <c r="G27" s="101">
        <f t="shared" si="19"/>
        <v>0</v>
      </c>
      <c r="H27" s="101">
        <f t="shared" si="19"/>
        <v>10</v>
      </c>
      <c r="I27" s="101">
        <f t="shared" si="19"/>
        <v>11</v>
      </c>
      <c r="J27" s="101">
        <f t="shared" si="19"/>
        <v>12</v>
      </c>
      <c r="K27" s="101">
        <f t="shared" si="19"/>
        <v>10</v>
      </c>
      <c r="L27" s="101">
        <f t="shared" si="19"/>
        <v>11</v>
      </c>
      <c r="M27" s="101">
        <f t="shared" si="19"/>
        <v>9</v>
      </c>
      <c r="N27" s="101">
        <f t="shared" si="19"/>
        <v>9</v>
      </c>
      <c r="O27" s="101">
        <f t="shared" si="19"/>
        <v>9</v>
      </c>
      <c r="P27" s="101">
        <f t="shared" si="19"/>
        <v>6</v>
      </c>
      <c r="Q27" s="101">
        <f t="shared" si="19"/>
        <v>7</v>
      </c>
      <c r="R27" s="101">
        <f t="shared" si="19"/>
        <v>11</v>
      </c>
      <c r="S27" s="101">
        <f t="shared" si="19"/>
        <v>12</v>
      </c>
      <c r="T27" s="101">
        <f t="shared" si="19"/>
        <v>12</v>
      </c>
      <c r="U27" s="101">
        <f t="shared" si="19"/>
        <v>13</v>
      </c>
      <c r="V27" s="101">
        <f t="shared" si="19"/>
        <v>14</v>
      </c>
      <c r="W27" s="101">
        <f t="shared" si="19"/>
        <v>12</v>
      </c>
      <c r="X27" s="101">
        <f t="shared" si="19"/>
        <v>13</v>
      </c>
      <c r="Y27" s="101">
        <f t="shared" si="19"/>
        <v>11</v>
      </c>
      <c r="Z27" s="101">
        <f t="shared" si="19"/>
        <v>11</v>
      </c>
      <c r="AA27" s="101">
        <f t="shared" si="19"/>
        <v>11</v>
      </c>
      <c r="AB27" s="101">
        <f t="shared" si="19"/>
        <v>7</v>
      </c>
      <c r="AC27" s="101">
        <f t="shared" si="19"/>
        <v>18</v>
      </c>
      <c r="AD27" s="101">
        <f t="shared" si="19"/>
        <v>29</v>
      </c>
      <c r="AE27" s="101">
        <f t="shared" si="19"/>
        <v>32</v>
      </c>
      <c r="AF27" s="101">
        <f t="shared" si="19"/>
        <v>32</v>
      </c>
      <c r="AG27" s="101">
        <f t="shared" si="19"/>
        <v>35</v>
      </c>
      <c r="AH27" s="101">
        <f t="shared" si="19"/>
        <v>39</v>
      </c>
      <c r="AI27" s="101">
        <f t="shared" si="19"/>
        <v>32</v>
      </c>
      <c r="AJ27" s="101">
        <f t="shared" si="19"/>
        <v>35</v>
      </c>
      <c r="AK27" s="101">
        <f t="shared" ref="AK27:BL27" si="20">AK67</f>
        <v>29</v>
      </c>
      <c r="AL27" s="101">
        <f t="shared" si="20"/>
        <v>29</v>
      </c>
      <c r="AM27" s="101">
        <f t="shared" si="20"/>
        <v>29</v>
      </c>
      <c r="AN27" s="101">
        <f t="shared" si="20"/>
        <v>18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678</v>
      </c>
      <c r="D28" s="75"/>
      <c r="E28" s="101">
        <f t="shared" ref="E28:AJ28" si="21">E27*E47</f>
        <v>0</v>
      </c>
      <c r="F28" s="180">
        <f t="shared" si="21"/>
        <v>0</v>
      </c>
      <c r="G28" s="180">
        <f t="shared" si="21"/>
        <v>0</v>
      </c>
      <c r="H28" s="180">
        <f t="shared" si="21"/>
        <v>163800</v>
      </c>
      <c r="I28" s="180">
        <f t="shared" si="21"/>
        <v>180180</v>
      </c>
      <c r="J28" s="180">
        <f t="shared" si="21"/>
        <v>196560</v>
      </c>
      <c r="K28" s="180">
        <f t="shared" si="21"/>
        <v>163800</v>
      </c>
      <c r="L28" s="180">
        <f t="shared" si="21"/>
        <v>180180</v>
      </c>
      <c r="M28" s="180">
        <f t="shared" si="21"/>
        <v>147420</v>
      </c>
      <c r="N28" s="180">
        <f t="shared" si="21"/>
        <v>147420</v>
      </c>
      <c r="O28" s="180">
        <f t="shared" si="21"/>
        <v>147420</v>
      </c>
      <c r="P28" s="180">
        <f t="shared" si="21"/>
        <v>98280</v>
      </c>
      <c r="Q28" s="180">
        <f t="shared" si="21"/>
        <v>103950</v>
      </c>
      <c r="R28" s="180">
        <f t="shared" si="21"/>
        <v>163350</v>
      </c>
      <c r="S28" s="180">
        <f t="shared" si="21"/>
        <v>178200</v>
      </c>
      <c r="T28" s="180">
        <f t="shared" si="21"/>
        <v>178200</v>
      </c>
      <c r="U28" s="180">
        <f t="shared" si="21"/>
        <v>193050</v>
      </c>
      <c r="V28" s="180">
        <f t="shared" si="21"/>
        <v>207900</v>
      </c>
      <c r="W28" s="180">
        <f t="shared" si="21"/>
        <v>178200</v>
      </c>
      <c r="X28" s="180">
        <f t="shared" si="21"/>
        <v>193050</v>
      </c>
      <c r="Y28" s="180">
        <f t="shared" si="21"/>
        <v>163350</v>
      </c>
      <c r="Z28" s="180">
        <f t="shared" si="21"/>
        <v>163350</v>
      </c>
      <c r="AA28" s="180">
        <f t="shared" si="21"/>
        <v>163350</v>
      </c>
      <c r="AB28" s="180">
        <f t="shared" si="21"/>
        <v>103950</v>
      </c>
      <c r="AC28" s="180">
        <f t="shared" si="21"/>
        <v>91800</v>
      </c>
      <c r="AD28" s="180">
        <f t="shared" si="21"/>
        <v>147900</v>
      </c>
      <c r="AE28" s="180">
        <f t="shared" si="21"/>
        <v>163200</v>
      </c>
      <c r="AF28" s="180">
        <f t="shared" si="21"/>
        <v>163200</v>
      </c>
      <c r="AG28" s="180">
        <f t="shared" si="21"/>
        <v>178500</v>
      </c>
      <c r="AH28" s="180">
        <f t="shared" si="21"/>
        <v>198900</v>
      </c>
      <c r="AI28" s="180">
        <f t="shared" si="21"/>
        <v>163200</v>
      </c>
      <c r="AJ28" s="180">
        <f t="shared" si="21"/>
        <v>178500</v>
      </c>
      <c r="AK28" s="180">
        <f t="shared" ref="AK28:BL28" si="22">AK27*AK47</f>
        <v>147900</v>
      </c>
      <c r="AL28" s="180">
        <f t="shared" si="22"/>
        <v>147900</v>
      </c>
      <c r="AM28" s="180">
        <f t="shared" si="22"/>
        <v>147900</v>
      </c>
      <c r="AN28" s="180">
        <f t="shared" si="22"/>
        <v>91800</v>
      </c>
      <c r="AO28" s="180">
        <f t="shared" si="22"/>
        <v>146250</v>
      </c>
      <c r="AP28" s="180">
        <f t="shared" si="22"/>
        <v>234000</v>
      </c>
      <c r="AQ28" s="180">
        <f t="shared" si="22"/>
        <v>263250</v>
      </c>
      <c r="AR28" s="180">
        <f t="shared" si="22"/>
        <v>263250</v>
      </c>
      <c r="AS28" s="180">
        <f t="shared" si="22"/>
        <v>292500</v>
      </c>
      <c r="AT28" s="180">
        <f t="shared" si="22"/>
        <v>321750</v>
      </c>
      <c r="AU28" s="180">
        <f t="shared" si="22"/>
        <v>263250</v>
      </c>
      <c r="AV28" s="180">
        <f t="shared" si="22"/>
        <v>292500</v>
      </c>
      <c r="AW28" s="180">
        <f t="shared" si="22"/>
        <v>234000</v>
      </c>
      <c r="AX28" s="180">
        <f t="shared" si="22"/>
        <v>234000</v>
      </c>
      <c r="AY28" s="180">
        <f t="shared" si="22"/>
        <v>234000</v>
      </c>
      <c r="AZ28" s="180">
        <f t="shared" si="22"/>
        <v>146250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662</v>
      </c>
      <c r="D29" s="75"/>
      <c r="E29" s="63">
        <f t="shared" ref="E29:AJ29" si="23">E27*E59</f>
        <v>0</v>
      </c>
      <c r="F29" s="63">
        <f t="shared" si="23"/>
        <v>0</v>
      </c>
      <c r="G29" s="63">
        <f t="shared" si="23"/>
        <v>0</v>
      </c>
      <c r="H29" s="63">
        <f t="shared" si="23"/>
        <v>43800</v>
      </c>
      <c r="I29" s="63">
        <f t="shared" si="23"/>
        <v>48180</v>
      </c>
      <c r="J29" s="63">
        <f t="shared" si="23"/>
        <v>52560</v>
      </c>
      <c r="K29" s="63">
        <f t="shared" si="23"/>
        <v>43800</v>
      </c>
      <c r="L29" s="63">
        <f t="shared" si="23"/>
        <v>48180</v>
      </c>
      <c r="M29" s="63">
        <f t="shared" si="23"/>
        <v>39420</v>
      </c>
      <c r="N29" s="63">
        <f t="shared" si="23"/>
        <v>39420</v>
      </c>
      <c r="O29" s="63">
        <f t="shared" si="23"/>
        <v>39420</v>
      </c>
      <c r="P29" s="63">
        <f t="shared" si="23"/>
        <v>26280</v>
      </c>
      <c r="Q29" s="63">
        <f t="shared" si="23"/>
        <v>28350</v>
      </c>
      <c r="R29" s="63">
        <f t="shared" si="23"/>
        <v>44550</v>
      </c>
      <c r="S29" s="63">
        <f t="shared" si="23"/>
        <v>48600</v>
      </c>
      <c r="T29" s="63">
        <f t="shared" si="23"/>
        <v>48600</v>
      </c>
      <c r="U29" s="63">
        <f t="shared" si="23"/>
        <v>52650</v>
      </c>
      <c r="V29" s="63">
        <f t="shared" si="23"/>
        <v>56700</v>
      </c>
      <c r="W29" s="63">
        <f t="shared" si="23"/>
        <v>48600</v>
      </c>
      <c r="X29" s="63">
        <f t="shared" si="23"/>
        <v>52650</v>
      </c>
      <c r="Y29" s="63">
        <f t="shared" si="23"/>
        <v>44550</v>
      </c>
      <c r="Z29" s="63">
        <f t="shared" si="23"/>
        <v>44550</v>
      </c>
      <c r="AA29" s="63">
        <f t="shared" si="23"/>
        <v>44550</v>
      </c>
      <c r="AB29" s="63">
        <f t="shared" si="23"/>
        <v>28350</v>
      </c>
      <c r="AC29" s="63">
        <f t="shared" si="23"/>
        <v>-83160</v>
      </c>
      <c r="AD29" s="63">
        <f t="shared" si="23"/>
        <v>-133980</v>
      </c>
      <c r="AE29" s="63">
        <f t="shared" si="23"/>
        <v>-147840</v>
      </c>
      <c r="AF29" s="63">
        <f t="shared" si="23"/>
        <v>-147840</v>
      </c>
      <c r="AG29" s="63">
        <f t="shared" si="23"/>
        <v>-161700</v>
      </c>
      <c r="AH29" s="63">
        <f t="shared" si="23"/>
        <v>-180180</v>
      </c>
      <c r="AI29" s="63">
        <f t="shared" si="23"/>
        <v>-147840</v>
      </c>
      <c r="AJ29" s="63">
        <f t="shared" si="23"/>
        <v>-161700</v>
      </c>
      <c r="AK29" s="63">
        <f t="shared" ref="AK29:BL29" si="24">AK27*AK59</f>
        <v>-133980</v>
      </c>
      <c r="AL29" s="63">
        <f t="shared" si="24"/>
        <v>-133980</v>
      </c>
      <c r="AM29" s="63">
        <f t="shared" si="24"/>
        <v>-133980</v>
      </c>
      <c r="AN29" s="63">
        <f t="shared" si="24"/>
        <v>-83160</v>
      </c>
      <c r="AO29" s="63">
        <f t="shared" si="24"/>
        <v>-72450</v>
      </c>
      <c r="AP29" s="63">
        <f t="shared" si="24"/>
        <v>-115920</v>
      </c>
      <c r="AQ29" s="63">
        <f t="shared" si="24"/>
        <v>-130410</v>
      </c>
      <c r="AR29" s="63">
        <f t="shared" si="24"/>
        <v>-130410</v>
      </c>
      <c r="AS29" s="63">
        <f t="shared" si="24"/>
        <v>-144900</v>
      </c>
      <c r="AT29" s="63">
        <f t="shared" si="24"/>
        <v>-159390</v>
      </c>
      <c r="AU29" s="63">
        <f t="shared" si="24"/>
        <v>-130410</v>
      </c>
      <c r="AV29" s="63">
        <f t="shared" si="24"/>
        <v>-144900</v>
      </c>
      <c r="AW29" s="63">
        <f t="shared" si="24"/>
        <v>-115920</v>
      </c>
      <c r="AX29" s="63">
        <f t="shared" si="24"/>
        <v>-115920</v>
      </c>
      <c r="AY29" s="63">
        <f t="shared" si="24"/>
        <v>-115920</v>
      </c>
      <c r="AZ29" s="63">
        <f t="shared" si="24"/>
        <v>-72450</v>
      </c>
      <c r="BA29" s="63">
        <f t="shared" si="24"/>
        <v>-40478.999999999993</v>
      </c>
      <c r="BB29" s="63">
        <f t="shared" si="24"/>
        <v>-64766.399999999965</v>
      </c>
      <c r="BC29" s="63">
        <f t="shared" si="24"/>
        <v>-72862.200000000012</v>
      </c>
      <c r="BD29" s="63">
        <f t="shared" si="24"/>
        <v>-72862.200000000012</v>
      </c>
      <c r="BE29" s="63">
        <f t="shared" si="24"/>
        <v>-80957.999999999985</v>
      </c>
      <c r="BF29" s="63">
        <f t="shared" si="24"/>
        <v>-87704.499999999985</v>
      </c>
      <c r="BG29" s="63">
        <f t="shared" si="24"/>
        <v>-72862.200000000012</v>
      </c>
      <c r="BH29" s="63">
        <f t="shared" si="24"/>
        <v>-80957.999999999985</v>
      </c>
      <c r="BI29" s="63">
        <f t="shared" si="24"/>
        <v>-64766.399999999965</v>
      </c>
      <c r="BJ29" s="63">
        <f t="shared" si="24"/>
        <v>-64766.399999999965</v>
      </c>
      <c r="BK29" s="63">
        <f t="shared" si="24"/>
        <v>-64766.399999999965</v>
      </c>
      <c r="BL29" s="63">
        <f t="shared" si="24"/>
        <v>-40478.999999999993</v>
      </c>
      <c r="BN29" s="104">
        <f>BL28+BL30</f>
        <v>213915</v>
      </c>
    </row>
    <row r="30" spans="2:66" x14ac:dyDescent="0.15">
      <c r="B30" s="47" t="s">
        <v>671</v>
      </c>
      <c r="D30" s="75"/>
      <c r="E30" s="63">
        <f t="shared" ref="E30:AJ30" si="25">E80</f>
        <v>0</v>
      </c>
      <c r="F30" s="63">
        <f t="shared" si="25"/>
        <v>0</v>
      </c>
      <c r="G30" s="63">
        <f t="shared" si="25"/>
        <v>0</v>
      </c>
      <c r="H30" s="63">
        <f t="shared" si="25"/>
        <v>0</v>
      </c>
      <c r="I30" s="63">
        <f t="shared" si="25"/>
        <v>0</v>
      </c>
      <c r="J30" s="63">
        <f t="shared" si="25"/>
        <v>0</v>
      </c>
      <c r="K30" s="63">
        <f t="shared" si="25"/>
        <v>0</v>
      </c>
      <c r="L30" s="63">
        <f t="shared" si="25"/>
        <v>0</v>
      </c>
      <c r="M30" s="63">
        <f t="shared" si="25"/>
        <v>0</v>
      </c>
      <c r="N30" s="63">
        <f t="shared" si="25"/>
        <v>0</v>
      </c>
      <c r="O30" s="63">
        <f t="shared" si="25"/>
        <v>0</v>
      </c>
      <c r="P30" s="63">
        <f t="shared" si="25"/>
        <v>0</v>
      </c>
      <c r="Q30" s="63">
        <f t="shared" si="25"/>
        <v>1356.25</v>
      </c>
      <c r="R30" s="63">
        <f t="shared" si="25"/>
        <v>2131.25</v>
      </c>
      <c r="S30" s="63">
        <f t="shared" si="25"/>
        <v>2325</v>
      </c>
      <c r="T30" s="63">
        <f t="shared" si="25"/>
        <v>4012.5</v>
      </c>
      <c r="U30" s="63">
        <f t="shared" si="25"/>
        <v>4375</v>
      </c>
      <c r="V30" s="63">
        <f t="shared" si="25"/>
        <v>4737.5</v>
      </c>
      <c r="W30" s="63">
        <f t="shared" si="25"/>
        <v>4012.5</v>
      </c>
      <c r="X30" s="63">
        <f t="shared" si="25"/>
        <v>4375</v>
      </c>
      <c r="Y30" s="63">
        <f t="shared" si="25"/>
        <v>3650</v>
      </c>
      <c r="Z30" s="63">
        <f t="shared" si="25"/>
        <v>3650</v>
      </c>
      <c r="AA30" s="63">
        <f t="shared" si="25"/>
        <v>3650</v>
      </c>
      <c r="AB30" s="63">
        <f t="shared" si="25"/>
        <v>2368.75</v>
      </c>
      <c r="AC30" s="63">
        <f t="shared" si="25"/>
        <v>5231.25</v>
      </c>
      <c r="AD30" s="63">
        <f t="shared" si="25"/>
        <v>8375</v>
      </c>
      <c r="AE30" s="63">
        <f t="shared" si="25"/>
        <v>9215</v>
      </c>
      <c r="AF30" s="63">
        <f t="shared" si="25"/>
        <v>11127.5</v>
      </c>
      <c r="AG30" s="63">
        <f t="shared" si="25"/>
        <v>12158.75</v>
      </c>
      <c r="AH30" s="63">
        <f t="shared" si="25"/>
        <v>13406.25</v>
      </c>
      <c r="AI30" s="63">
        <f t="shared" si="25"/>
        <v>11127.5</v>
      </c>
      <c r="AJ30" s="63">
        <f t="shared" si="25"/>
        <v>12158.75</v>
      </c>
      <c r="AK30" s="63">
        <f t="shared" ref="AK30:BL30" si="26">AK80</f>
        <v>10096.25</v>
      </c>
      <c r="AL30" s="63">
        <f t="shared" si="26"/>
        <v>10096.25</v>
      </c>
      <c r="AM30" s="63">
        <f t="shared" si="26"/>
        <v>10096.25</v>
      </c>
      <c r="AN30" s="63">
        <f t="shared" si="26"/>
        <v>6378.75</v>
      </c>
      <c r="AO30" s="63">
        <f t="shared" si="26"/>
        <v>10750</v>
      </c>
      <c r="AP30" s="63">
        <f t="shared" si="26"/>
        <v>17200</v>
      </c>
      <c r="AQ30" s="63">
        <f t="shared" si="26"/>
        <v>19147.5</v>
      </c>
      <c r="AR30" s="63">
        <f t="shared" si="26"/>
        <v>21172.5</v>
      </c>
      <c r="AS30" s="63">
        <f t="shared" si="26"/>
        <v>23322.5</v>
      </c>
      <c r="AT30" s="63">
        <f t="shared" si="26"/>
        <v>25675</v>
      </c>
      <c r="AU30" s="63">
        <f t="shared" si="26"/>
        <v>21172.5</v>
      </c>
      <c r="AV30" s="63">
        <f t="shared" si="26"/>
        <v>23322.5</v>
      </c>
      <c r="AW30" s="63">
        <f t="shared" si="26"/>
        <v>19022.5</v>
      </c>
      <c r="AX30" s="63">
        <f t="shared" si="26"/>
        <v>19022.5</v>
      </c>
      <c r="AY30" s="63">
        <f t="shared" si="26"/>
        <v>19022.5</v>
      </c>
      <c r="AZ30" s="63">
        <f t="shared" si="26"/>
        <v>11965</v>
      </c>
      <c r="BA30" s="63">
        <f t="shared" si="26"/>
        <v>16950</v>
      </c>
      <c r="BB30" s="63">
        <f t="shared" si="26"/>
        <v>27120</v>
      </c>
      <c r="BC30" s="63">
        <f t="shared" si="26"/>
        <v>30307.5</v>
      </c>
      <c r="BD30" s="63">
        <f t="shared" si="26"/>
        <v>32332.5</v>
      </c>
      <c r="BE30" s="63">
        <f t="shared" si="26"/>
        <v>35722.5</v>
      </c>
      <c r="BF30" s="63">
        <f t="shared" si="26"/>
        <v>39087.5</v>
      </c>
      <c r="BG30" s="63">
        <f t="shared" si="26"/>
        <v>32332.5</v>
      </c>
      <c r="BH30" s="63">
        <f t="shared" si="26"/>
        <v>35722.5</v>
      </c>
      <c r="BI30" s="63">
        <f t="shared" si="26"/>
        <v>28942.5</v>
      </c>
      <c r="BJ30" s="63">
        <f t="shared" si="26"/>
        <v>28942.5</v>
      </c>
      <c r="BK30" s="63">
        <f t="shared" si="26"/>
        <v>28942.5</v>
      </c>
      <c r="BL30" s="63">
        <f t="shared" si="26"/>
        <v>18165</v>
      </c>
      <c r="BN30" s="104">
        <f>BL29+BL30</f>
        <v>-22313.999999999993</v>
      </c>
    </row>
    <row r="31" spans="2:66" x14ac:dyDescent="0.15">
      <c r="B31" s="47" t="s">
        <v>666</v>
      </c>
      <c r="D31" s="75"/>
      <c r="E31" s="63">
        <f>SUM(E29:E30)</f>
        <v>0</v>
      </c>
      <c r="F31" s="63">
        <f t="shared" ref="F31:BL31" si="27">SUM(F29:F30)</f>
        <v>0</v>
      </c>
      <c r="G31" s="63">
        <f t="shared" si="27"/>
        <v>0</v>
      </c>
      <c r="H31" s="63">
        <f t="shared" si="27"/>
        <v>43800</v>
      </c>
      <c r="I31" s="63">
        <f t="shared" si="27"/>
        <v>48180</v>
      </c>
      <c r="J31" s="63">
        <f t="shared" si="27"/>
        <v>52560</v>
      </c>
      <c r="K31" s="63">
        <f t="shared" si="27"/>
        <v>43800</v>
      </c>
      <c r="L31" s="63">
        <f t="shared" si="27"/>
        <v>48180</v>
      </c>
      <c r="M31" s="63">
        <f t="shared" si="27"/>
        <v>39420</v>
      </c>
      <c r="N31" s="63">
        <f t="shared" si="27"/>
        <v>39420</v>
      </c>
      <c r="O31" s="63">
        <f t="shared" si="27"/>
        <v>39420</v>
      </c>
      <c r="P31" s="63">
        <f t="shared" si="27"/>
        <v>26280</v>
      </c>
      <c r="Q31" s="63">
        <f t="shared" si="27"/>
        <v>29706.25</v>
      </c>
      <c r="R31" s="63">
        <f t="shared" si="27"/>
        <v>46681.25</v>
      </c>
      <c r="S31" s="63">
        <f t="shared" si="27"/>
        <v>50925</v>
      </c>
      <c r="T31" s="63">
        <f t="shared" si="27"/>
        <v>52612.5</v>
      </c>
      <c r="U31" s="63">
        <f t="shared" si="27"/>
        <v>57025</v>
      </c>
      <c r="V31" s="63">
        <f t="shared" si="27"/>
        <v>61437.5</v>
      </c>
      <c r="W31" s="63">
        <f t="shared" si="27"/>
        <v>52612.5</v>
      </c>
      <c r="X31" s="63">
        <f t="shared" si="27"/>
        <v>57025</v>
      </c>
      <c r="Y31" s="63">
        <f t="shared" si="27"/>
        <v>48200</v>
      </c>
      <c r="Z31" s="63">
        <f t="shared" si="27"/>
        <v>48200</v>
      </c>
      <c r="AA31" s="63">
        <f t="shared" si="27"/>
        <v>48200</v>
      </c>
      <c r="AB31" s="63">
        <f t="shared" si="27"/>
        <v>30718.75</v>
      </c>
      <c r="AC31" s="63">
        <f t="shared" si="27"/>
        <v>-77928.75</v>
      </c>
      <c r="AD31" s="63">
        <f t="shared" si="27"/>
        <v>-125605</v>
      </c>
      <c r="AE31" s="63">
        <f t="shared" si="27"/>
        <v>-138625</v>
      </c>
      <c r="AF31" s="63">
        <f t="shared" si="27"/>
        <v>-136712.5</v>
      </c>
      <c r="AG31" s="63">
        <f t="shared" si="27"/>
        <v>-149541.25</v>
      </c>
      <c r="AH31" s="63">
        <f t="shared" si="27"/>
        <v>-166773.75</v>
      </c>
      <c r="AI31" s="63">
        <f t="shared" si="27"/>
        <v>-136712.5</v>
      </c>
      <c r="AJ31" s="63">
        <f t="shared" si="27"/>
        <v>-149541.25</v>
      </c>
      <c r="AK31" s="63">
        <f t="shared" si="27"/>
        <v>-123883.75</v>
      </c>
      <c r="AL31" s="63">
        <f t="shared" si="27"/>
        <v>-123883.75</v>
      </c>
      <c r="AM31" s="63">
        <f t="shared" si="27"/>
        <v>-123883.75</v>
      </c>
      <c r="AN31" s="63">
        <f t="shared" si="27"/>
        <v>-76781.25</v>
      </c>
      <c r="AO31" s="63">
        <f t="shared" si="27"/>
        <v>-61700</v>
      </c>
      <c r="AP31" s="63">
        <f t="shared" si="27"/>
        <v>-98720</v>
      </c>
      <c r="AQ31" s="63">
        <f t="shared" si="27"/>
        <v>-111262.5</v>
      </c>
      <c r="AR31" s="63">
        <f t="shared" si="27"/>
        <v>-109237.5</v>
      </c>
      <c r="AS31" s="63">
        <f t="shared" si="27"/>
        <v>-121577.5</v>
      </c>
      <c r="AT31" s="63">
        <f t="shared" si="27"/>
        <v>-133715</v>
      </c>
      <c r="AU31" s="63">
        <f t="shared" si="27"/>
        <v>-109237.5</v>
      </c>
      <c r="AV31" s="63">
        <f t="shared" si="27"/>
        <v>-121577.5</v>
      </c>
      <c r="AW31" s="63">
        <f t="shared" si="27"/>
        <v>-96897.5</v>
      </c>
      <c r="AX31" s="63">
        <f t="shared" si="27"/>
        <v>-96897.5</v>
      </c>
      <c r="AY31" s="63">
        <f t="shared" si="27"/>
        <v>-96897.5</v>
      </c>
      <c r="AZ31" s="63">
        <f t="shared" si="27"/>
        <v>-60485</v>
      </c>
      <c r="BA31" s="63">
        <f t="shared" si="27"/>
        <v>-23528.999999999993</v>
      </c>
      <c r="BB31" s="63">
        <f t="shared" si="27"/>
        <v>-37646.399999999965</v>
      </c>
      <c r="BC31" s="63">
        <f t="shared" si="27"/>
        <v>-42554.700000000012</v>
      </c>
      <c r="BD31" s="63">
        <f t="shared" si="27"/>
        <v>-40529.700000000012</v>
      </c>
      <c r="BE31" s="63">
        <f t="shared" si="27"/>
        <v>-45235.499999999985</v>
      </c>
      <c r="BF31" s="63">
        <f t="shared" si="27"/>
        <v>-48616.999999999985</v>
      </c>
      <c r="BG31" s="63">
        <f t="shared" si="27"/>
        <v>-40529.700000000012</v>
      </c>
      <c r="BH31" s="63">
        <f t="shared" si="27"/>
        <v>-45235.499999999985</v>
      </c>
      <c r="BI31" s="63">
        <f t="shared" si="27"/>
        <v>-35823.899999999965</v>
      </c>
      <c r="BJ31" s="63">
        <f t="shared" si="27"/>
        <v>-35823.899999999965</v>
      </c>
      <c r="BK31" s="63">
        <f t="shared" si="27"/>
        <v>-35823.899999999965</v>
      </c>
      <c r="BL31" s="63">
        <f t="shared" si="27"/>
        <v>-22313.999999999993</v>
      </c>
      <c r="BN31" s="178">
        <f>BN30/BN29</f>
        <v>-0.10431246055676317</v>
      </c>
    </row>
    <row r="32" spans="2:66" x14ac:dyDescent="0.15">
      <c r="B32" s="47" t="s">
        <v>327</v>
      </c>
      <c r="D32" s="75"/>
      <c r="E32" s="96">
        <f t="shared" ref="E32:AJ32" si="28">IF(E30+E28&gt;0,(+E31/(E30+E28)),0)</f>
        <v>0</v>
      </c>
      <c r="F32" s="96">
        <f t="shared" si="28"/>
        <v>0</v>
      </c>
      <c r="G32" s="96">
        <f t="shared" si="28"/>
        <v>0</v>
      </c>
      <c r="H32" s="96">
        <f t="shared" si="28"/>
        <v>0.26739926739926739</v>
      </c>
      <c r="I32" s="96">
        <f t="shared" si="28"/>
        <v>0.26739926739926739</v>
      </c>
      <c r="J32" s="96">
        <f t="shared" si="28"/>
        <v>0.26739926739926739</v>
      </c>
      <c r="K32" s="96">
        <f t="shared" si="28"/>
        <v>0.26739926739926739</v>
      </c>
      <c r="L32" s="96">
        <f t="shared" si="28"/>
        <v>0.26739926739926739</v>
      </c>
      <c r="M32" s="96">
        <f t="shared" si="28"/>
        <v>0.26739926739926739</v>
      </c>
      <c r="N32" s="96">
        <f t="shared" si="28"/>
        <v>0.26739926739926739</v>
      </c>
      <c r="O32" s="96">
        <f t="shared" si="28"/>
        <v>0.26739926739926739</v>
      </c>
      <c r="P32" s="96">
        <f t="shared" si="28"/>
        <v>0.26739926739926739</v>
      </c>
      <c r="Q32" s="96">
        <f t="shared" si="28"/>
        <v>0.28209389281262981</v>
      </c>
      <c r="R32" s="96">
        <f t="shared" si="28"/>
        <v>0.28209389281262981</v>
      </c>
      <c r="S32" s="96">
        <f t="shared" si="28"/>
        <v>0.28209389281262981</v>
      </c>
      <c r="T32" s="96">
        <f t="shared" si="28"/>
        <v>0.2887425396172052</v>
      </c>
      <c r="U32" s="96">
        <f t="shared" si="28"/>
        <v>0.28884386475876916</v>
      </c>
      <c r="V32" s="96">
        <f t="shared" si="28"/>
        <v>0.28893069190523779</v>
      </c>
      <c r="W32" s="96">
        <f t="shared" si="28"/>
        <v>0.2887425396172052</v>
      </c>
      <c r="X32" s="96">
        <f t="shared" si="28"/>
        <v>0.28884386475876916</v>
      </c>
      <c r="Y32" s="96">
        <f t="shared" si="28"/>
        <v>0.28862275449101799</v>
      </c>
      <c r="Z32" s="96">
        <f t="shared" si="28"/>
        <v>0.28862275449101799</v>
      </c>
      <c r="AA32" s="96">
        <f t="shared" si="28"/>
        <v>0.28862275449101799</v>
      </c>
      <c r="AB32" s="96">
        <f t="shared" si="28"/>
        <v>0.28893069190523779</v>
      </c>
      <c r="AC32" s="96">
        <f t="shared" si="28"/>
        <v>-0.8031304347826087</v>
      </c>
      <c r="AD32" s="96">
        <f t="shared" si="28"/>
        <v>-0.80374340105583109</v>
      </c>
      <c r="AE32" s="96">
        <f t="shared" si="28"/>
        <v>-0.80401937186439698</v>
      </c>
      <c r="AF32" s="96">
        <f t="shared" si="28"/>
        <v>-0.78422796173868148</v>
      </c>
      <c r="AG32" s="96">
        <f t="shared" si="28"/>
        <v>-0.78433982180204165</v>
      </c>
      <c r="AH32" s="96">
        <f t="shared" si="28"/>
        <v>-0.78553386911595868</v>
      </c>
      <c r="AI32" s="96">
        <f t="shared" si="28"/>
        <v>-0.78422796173868148</v>
      </c>
      <c r="AJ32" s="96">
        <f t="shared" si="28"/>
        <v>-0.78433982180204165</v>
      </c>
      <c r="AK32" s="96">
        <f t="shared" ref="AK32:BL32" si="29">IF(AK30+AK28&gt;0,(+AK31/(AK30+AK28)),0)</f>
        <v>-0.78409297689027424</v>
      </c>
      <c r="AL32" s="96">
        <f t="shared" si="29"/>
        <v>-0.78409297689027424</v>
      </c>
      <c r="AM32" s="96">
        <f t="shared" si="29"/>
        <v>-0.78409297689027424</v>
      </c>
      <c r="AN32" s="96">
        <f t="shared" si="29"/>
        <v>-0.78205568924028879</v>
      </c>
      <c r="AO32" s="96">
        <f t="shared" si="29"/>
        <v>-0.39299363057324843</v>
      </c>
      <c r="AP32" s="96">
        <f t="shared" si="29"/>
        <v>-0.39299363057324843</v>
      </c>
      <c r="AQ32" s="96">
        <f t="shared" si="29"/>
        <v>-0.39399251055692774</v>
      </c>
      <c r="AR32" s="96">
        <f t="shared" si="29"/>
        <v>-0.38406771616169605</v>
      </c>
      <c r="AS32" s="96">
        <f t="shared" si="29"/>
        <v>-0.38495515677318748</v>
      </c>
      <c r="AT32" s="96">
        <f t="shared" si="29"/>
        <v>-0.38487443333093474</v>
      </c>
      <c r="AU32" s="96">
        <f t="shared" si="29"/>
        <v>-0.38406771616169605</v>
      </c>
      <c r="AV32" s="96">
        <f t="shared" si="29"/>
        <v>-0.38495515677318748</v>
      </c>
      <c r="AW32" s="96">
        <f t="shared" si="29"/>
        <v>-0.38296001343754016</v>
      </c>
      <c r="AX32" s="96">
        <f t="shared" si="29"/>
        <v>-0.38296001343754016</v>
      </c>
      <c r="AY32" s="96">
        <f t="shared" si="29"/>
        <v>-0.38296001343754016</v>
      </c>
      <c r="AZ32" s="96">
        <f t="shared" si="29"/>
        <v>-0.38229624245488736</v>
      </c>
      <c r="BA32" s="96">
        <f t="shared" si="29"/>
        <v>-0.11062059238363889</v>
      </c>
      <c r="BB32" s="96">
        <f t="shared" si="29"/>
        <v>-0.11062059238363882</v>
      </c>
      <c r="BC32" s="96">
        <f t="shared" si="29"/>
        <v>-0.11120832598341862</v>
      </c>
      <c r="BD32" s="96">
        <f t="shared" si="29"/>
        <v>-0.10535883488331289</v>
      </c>
      <c r="BE32" s="96">
        <f t="shared" si="29"/>
        <v>-0.10588276600600387</v>
      </c>
      <c r="BF32" s="96">
        <f t="shared" si="29"/>
        <v>-0.10495614863588523</v>
      </c>
      <c r="BG32" s="96">
        <f t="shared" si="29"/>
        <v>-0.10535883488331289</v>
      </c>
      <c r="BH32" s="96">
        <f t="shared" si="29"/>
        <v>-0.10588276600600387</v>
      </c>
      <c r="BI32" s="96">
        <f t="shared" si="29"/>
        <v>-0.10470461868958099</v>
      </c>
      <c r="BJ32" s="96">
        <f t="shared" si="29"/>
        <v>-0.10470461868958099</v>
      </c>
      <c r="BK32" s="96">
        <f t="shared" si="29"/>
        <v>-0.10470461868958099</v>
      </c>
      <c r="BL32" s="96">
        <f t="shared" si="29"/>
        <v>-0.10431246055676317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663</v>
      </c>
      <c r="D35" s="75"/>
      <c r="E35" s="101">
        <f t="shared" ref="E35:AJ35" si="30">E19+E27</f>
        <v>0</v>
      </c>
      <c r="F35" s="101">
        <f t="shared" si="30"/>
        <v>0</v>
      </c>
      <c r="G35" s="101">
        <f t="shared" si="30"/>
        <v>0</v>
      </c>
      <c r="H35" s="101">
        <f t="shared" si="30"/>
        <v>39</v>
      </c>
      <c r="I35" s="101">
        <f t="shared" si="30"/>
        <v>43</v>
      </c>
      <c r="J35" s="101">
        <f t="shared" si="30"/>
        <v>48</v>
      </c>
      <c r="K35" s="101">
        <f t="shared" si="30"/>
        <v>39</v>
      </c>
      <c r="L35" s="101">
        <f t="shared" si="30"/>
        <v>43</v>
      </c>
      <c r="M35" s="101">
        <f t="shared" si="30"/>
        <v>35</v>
      </c>
      <c r="N35" s="101">
        <f t="shared" si="30"/>
        <v>35</v>
      </c>
      <c r="O35" s="101">
        <f t="shared" si="30"/>
        <v>35</v>
      </c>
      <c r="P35" s="101">
        <f t="shared" si="30"/>
        <v>22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686</v>
      </c>
      <c r="D36" s="75"/>
      <c r="E36" s="63">
        <f t="shared" ref="E36:AJ36" si="32">E28+E20</f>
        <v>0</v>
      </c>
      <c r="F36" s="63">
        <f t="shared" si="32"/>
        <v>0</v>
      </c>
      <c r="G36" s="63">
        <f t="shared" si="32"/>
        <v>0</v>
      </c>
      <c r="H36" s="63">
        <f t="shared" si="32"/>
        <v>638820</v>
      </c>
      <c r="I36" s="63">
        <f t="shared" si="32"/>
        <v>704340</v>
      </c>
      <c r="J36" s="63">
        <f t="shared" si="32"/>
        <v>786240</v>
      </c>
      <c r="K36" s="63">
        <f t="shared" si="32"/>
        <v>638820</v>
      </c>
      <c r="L36" s="63">
        <f t="shared" si="32"/>
        <v>704340</v>
      </c>
      <c r="M36" s="63">
        <f t="shared" si="32"/>
        <v>573300</v>
      </c>
      <c r="N36" s="63">
        <f>N28+N20</f>
        <v>573300</v>
      </c>
      <c r="O36" s="63">
        <f t="shared" si="32"/>
        <v>573300</v>
      </c>
      <c r="P36" s="63">
        <f t="shared" si="32"/>
        <v>360360</v>
      </c>
      <c r="Q36" s="63">
        <f t="shared" si="32"/>
        <v>237600</v>
      </c>
      <c r="R36" s="63">
        <f t="shared" si="32"/>
        <v>386100</v>
      </c>
      <c r="S36" s="63">
        <f t="shared" si="32"/>
        <v>430650</v>
      </c>
      <c r="T36" s="63">
        <f t="shared" si="32"/>
        <v>430650</v>
      </c>
      <c r="U36" s="63">
        <f t="shared" si="32"/>
        <v>475200</v>
      </c>
      <c r="V36" s="63">
        <f t="shared" si="32"/>
        <v>519750</v>
      </c>
      <c r="W36" s="63">
        <f t="shared" si="32"/>
        <v>430650</v>
      </c>
      <c r="X36" s="63">
        <f t="shared" si="32"/>
        <v>475200</v>
      </c>
      <c r="Y36" s="63">
        <f t="shared" si="32"/>
        <v>386100</v>
      </c>
      <c r="Z36" s="63">
        <f t="shared" si="32"/>
        <v>386100</v>
      </c>
      <c r="AA36" s="63">
        <f t="shared" si="32"/>
        <v>386100</v>
      </c>
      <c r="AB36" s="63">
        <f t="shared" si="32"/>
        <v>237600</v>
      </c>
      <c r="AC36" s="63">
        <f t="shared" si="32"/>
        <v>147900</v>
      </c>
      <c r="AD36" s="63">
        <f t="shared" si="32"/>
        <v>239700</v>
      </c>
      <c r="AE36" s="63">
        <f t="shared" si="32"/>
        <v>270300</v>
      </c>
      <c r="AF36" s="63">
        <f t="shared" si="32"/>
        <v>270300</v>
      </c>
      <c r="AG36" s="63">
        <f t="shared" si="32"/>
        <v>295800</v>
      </c>
      <c r="AH36" s="63">
        <f t="shared" si="32"/>
        <v>326400</v>
      </c>
      <c r="AI36" s="63">
        <f t="shared" si="32"/>
        <v>270300</v>
      </c>
      <c r="AJ36" s="63">
        <f t="shared" si="32"/>
        <v>295800</v>
      </c>
      <c r="AK36" s="63">
        <f t="shared" ref="AK36:BL36" si="33">AK28+AK20</f>
        <v>239700</v>
      </c>
      <c r="AL36" s="63">
        <f t="shared" si="33"/>
        <v>239700</v>
      </c>
      <c r="AM36" s="63">
        <f t="shared" si="33"/>
        <v>239700</v>
      </c>
      <c r="AN36" s="63">
        <f t="shared" si="33"/>
        <v>147900</v>
      </c>
      <c r="AO36" s="63">
        <f t="shared" si="33"/>
        <v>181350</v>
      </c>
      <c r="AP36" s="63">
        <f t="shared" si="33"/>
        <v>292500</v>
      </c>
      <c r="AQ36" s="63">
        <f t="shared" si="33"/>
        <v>327600</v>
      </c>
      <c r="AR36" s="63">
        <f t="shared" si="33"/>
        <v>327600</v>
      </c>
      <c r="AS36" s="63">
        <f t="shared" si="33"/>
        <v>362700</v>
      </c>
      <c r="AT36" s="63">
        <f t="shared" si="33"/>
        <v>397800</v>
      </c>
      <c r="AU36" s="63">
        <f t="shared" si="33"/>
        <v>327600</v>
      </c>
      <c r="AV36" s="63">
        <f t="shared" si="33"/>
        <v>362700</v>
      </c>
      <c r="AW36" s="63">
        <f t="shared" si="33"/>
        <v>292500</v>
      </c>
      <c r="AX36" s="63">
        <f t="shared" si="33"/>
        <v>292500</v>
      </c>
      <c r="AY36" s="63">
        <f t="shared" si="33"/>
        <v>292500</v>
      </c>
      <c r="AZ36" s="63">
        <f t="shared" si="33"/>
        <v>181350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662</v>
      </c>
      <c r="D37" s="75"/>
      <c r="E37" s="63">
        <f t="shared" ref="E37:AJ37" si="34">E21+E29</f>
        <v>0</v>
      </c>
      <c r="F37" s="63">
        <f t="shared" si="34"/>
        <v>0</v>
      </c>
      <c r="G37" s="63">
        <f t="shared" si="34"/>
        <v>0</v>
      </c>
      <c r="H37" s="63">
        <f t="shared" si="34"/>
        <v>170820</v>
      </c>
      <c r="I37" s="63">
        <f t="shared" si="34"/>
        <v>188340</v>
      </c>
      <c r="J37" s="63">
        <f t="shared" si="34"/>
        <v>210240</v>
      </c>
      <c r="K37" s="63">
        <f t="shared" si="34"/>
        <v>170820</v>
      </c>
      <c r="L37" s="63">
        <f t="shared" si="34"/>
        <v>188340</v>
      </c>
      <c r="M37" s="63">
        <f t="shared" si="34"/>
        <v>153300</v>
      </c>
      <c r="N37" s="63">
        <f t="shared" si="34"/>
        <v>153300</v>
      </c>
      <c r="O37" s="63">
        <f t="shared" si="34"/>
        <v>153300</v>
      </c>
      <c r="P37" s="63">
        <f t="shared" si="34"/>
        <v>96360</v>
      </c>
      <c r="Q37" s="63">
        <f t="shared" si="34"/>
        <v>64800</v>
      </c>
      <c r="R37" s="63">
        <f t="shared" si="34"/>
        <v>105300</v>
      </c>
      <c r="S37" s="63">
        <f t="shared" si="34"/>
        <v>117450</v>
      </c>
      <c r="T37" s="63">
        <f t="shared" si="34"/>
        <v>117450</v>
      </c>
      <c r="U37" s="63">
        <f t="shared" si="34"/>
        <v>129600</v>
      </c>
      <c r="V37" s="63">
        <f t="shared" si="34"/>
        <v>141750</v>
      </c>
      <c r="W37" s="63">
        <f t="shared" si="34"/>
        <v>117450</v>
      </c>
      <c r="X37" s="63">
        <f t="shared" si="34"/>
        <v>129600</v>
      </c>
      <c r="Y37" s="63">
        <f t="shared" si="34"/>
        <v>105300</v>
      </c>
      <c r="Z37" s="63">
        <f t="shared" si="34"/>
        <v>105300</v>
      </c>
      <c r="AA37" s="63">
        <f t="shared" si="34"/>
        <v>105300</v>
      </c>
      <c r="AB37" s="63">
        <f t="shared" si="34"/>
        <v>64800</v>
      </c>
      <c r="AC37" s="63">
        <f t="shared" si="34"/>
        <v>-133980</v>
      </c>
      <c r="AD37" s="63">
        <f t="shared" si="34"/>
        <v>-217140</v>
      </c>
      <c r="AE37" s="63">
        <f t="shared" si="34"/>
        <v>-244860</v>
      </c>
      <c r="AF37" s="63">
        <f t="shared" si="34"/>
        <v>-244860</v>
      </c>
      <c r="AG37" s="63">
        <f t="shared" si="34"/>
        <v>-267960</v>
      </c>
      <c r="AH37" s="63">
        <f t="shared" si="34"/>
        <v>-295680</v>
      </c>
      <c r="AI37" s="63">
        <f t="shared" si="34"/>
        <v>-244860</v>
      </c>
      <c r="AJ37" s="63">
        <f t="shared" si="34"/>
        <v>-267960</v>
      </c>
      <c r="AK37" s="63">
        <f t="shared" ref="AK37:BL37" si="35">AK21+AK29</f>
        <v>-217140</v>
      </c>
      <c r="AL37" s="63">
        <f t="shared" si="35"/>
        <v>-217140</v>
      </c>
      <c r="AM37" s="63">
        <f t="shared" si="35"/>
        <v>-217140</v>
      </c>
      <c r="AN37" s="63">
        <f t="shared" si="35"/>
        <v>-133980</v>
      </c>
      <c r="AO37" s="63">
        <f t="shared" si="35"/>
        <v>-89838</v>
      </c>
      <c r="AP37" s="63">
        <f t="shared" si="35"/>
        <v>-144900</v>
      </c>
      <c r="AQ37" s="63">
        <f t="shared" si="35"/>
        <v>-162288</v>
      </c>
      <c r="AR37" s="63">
        <f t="shared" si="35"/>
        <v>-162288</v>
      </c>
      <c r="AS37" s="63">
        <f t="shared" si="35"/>
        <v>-179676</v>
      </c>
      <c r="AT37" s="63">
        <f t="shared" si="35"/>
        <v>-197064</v>
      </c>
      <c r="AU37" s="63">
        <f t="shared" si="35"/>
        <v>-162288</v>
      </c>
      <c r="AV37" s="63">
        <f t="shared" si="35"/>
        <v>-179676</v>
      </c>
      <c r="AW37" s="63">
        <f t="shared" si="35"/>
        <v>-144900</v>
      </c>
      <c r="AX37" s="63">
        <f t="shared" si="35"/>
        <v>-144900</v>
      </c>
      <c r="AY37" s="63">
        <f t="shared" si="35"/>
        <v>-144900</v>
      </c>
      <c r="AZ37" s="63">
        <f t="shared" si="35"/>
        <v>-89838</v>
      </c>
      <c r="BA37" s="63">
        <f t="shared" si="35"/>
        <v>-44526.899999999994</v>
      </c>
      <c r="BB37" s="63">
        <f t="shared" si="35"/>
        <v>-71512.899999999965</v>
      </c>
      <c r="BC37" s="63">
        <f t="shared" si="35"/>
        <v>-79608.700000000012</v>
      </c>
      <c r="BD37" s="63">
        <f t="shared" si="35"/>
        <v>-79608.700000000012</v>
      </c>
      <c r="BE37" s="63">
        <f t="shared" si="35"/>
        <v>-89053.799999999988</v>
      </c>
      <c r="BF37" s="63">
        <f t="shared" si="35"/>
        <v>-97149.599999999977</v>
      </c>
      <c r="BG37" s="63">
        <f t="shared" si="35"/>
        <v>-79608.700000000012</v>
      </c>
      <c r="BH37" s="63">
        <f t="shared" si="35"/>
        <v>-89053.799999999988</v>
      </c>
      <c r="BI37" s="63">
        <f t="shared" si="35"/>
        <v>-71512.899999999965</v>
      </c>
      <c r="BJ37" s="63">
        <f t="shared" si="35"/>
        <v>-71512.899999999965</v>
      </c>
      <c r="BK37" s="63">
        <f t="shared" si="35"/>
        <v>-71512.899999999965</v>
      </c>
      <c r="BL37" s="63">
        <f t="shared" si="35"/>
        <v>-44526.899999999994</v>
      </c>
    </row>
    <row r="38" spans="2:65" x14ac:dyDescent="0.15">
      <c r="B38" s="47" t="s">
        <v>672</v>
      </c>
      <c r="D38" s="75"/>
      <c r="E38" s="63">
        <f t="shared" ref="E38:AJ38" si="36">E22+E30</f>
        <v>0</v>
      </c>
      <c r="F38" s="63">
        <f t="shared" si="36"/>
        <v>0</v>
      </c>
      <c r="G38" s="63">
        <f t="shared" si="36"/>
        <v>0</v>
      </c>
      <c r="H38" s="63">
        <f t="shared" si="36"/>
        <v>606970</v>
      </c>
      <c r="I38" s="63">
        <f t="shared" si="36"/>
        <v>669760</v>
      </c>
      <c r="J38" s="63">
        <f t="shared" si="36"/>
        <v>753480</v>
      </c>
      <c r="K38" s="63">
        <f t="shared" si="36"/>
        <v>606970</v>
      </c>
      <c r="L38" s="63">
        <f t="shared" si="36"/>
        <v>669760</v>
      </c>
      <c r="M38" s="63">
        <f t="shared" si="36"/>
        <v>544180</v>
      </c>
      <c r="N38" s="63">
        <f t="shared" si="36"/>
        <v>544180</v>
      </c>
      <c r="O38" s="63">
        <f t="shared" si="36"/>
        <v>544180</v>
      </c>
      <c r="P38" s="63">
        <f t="shared" si="36"/>
        <v>334880</v>
      </c>
      <c r="Q38" s="63">
        <f t="shared" si="36"/>
        <v>3268.75</v>
      </c>
      <c r="R38" s="63">
        <f t="shared" si="36"/>
        <v>5318.75</v>
      </c>
      <c r="S38" s="63">
        <f t="shared" si="36"/>
        <v>5937.5</v>
      </c>
      <c r="T38" s="63">
        <f t="shared" si="36"/>
        <v>8350</v>
      </c>
      <c r="U38" s="63">
        <f t="shared" si="36"/>
        <v>9212.5</v>
      </c>
      <c r="V38" s="63">
        <f t="shared" si="36"/>
        <v>10100</v>
      </c>
      <c r="W38" s="63">
        <f t="shared" si="36"/>
        <v>8350</v>
      </c>
      <c r="X38" s="63">
        <f t="shared" si="36"/>
        <v>9212.5</v>
      </c>
      <c r="Y38" s="63">
        <f t="shared" si="36"/>
        <v>7487.5</v>
      </c>
      <c r="Z38" s="63">
        <f t="shared" si="36"/>
        <v>7487.5</v>
      </c>
      <c r="AA38" s="63">
        <f t="shared" si="36"/>
        <v>7487.5</v>
      </c>
      <c r="AB38" s="63">
        <f t="shared" si="36"/>
        <v>4681.25</v>
      </c>
      <c r="AC38" s="63">
        <f t="shared" si="36"/>
        <v>8068.75</v>
      </c>
      <c r="AD38" s="63">
        <f t="shared" si="36"/>
        <v>13025</v>
      </c>
      <c r="AE38" s="63">
        <f t="shared" si="36"/>
        <v>14627.5</v>
      </c>
      <c r="AF38" s="63">
        <f t="shared" si="36"/>
        <v>17265</v>
      </c>
      <c r="AG38" s="63">
        <f t="shared" si="36"/>
        <v>18896.25</v>
      </c>
      <c r="AH38" s="63">
        <f t="shared" si="36"/>
        <v>20768.75</v>
      </c>
      <c r="AI38" s="63">
        <f t="shared" si="36"/>
        <v>17265</v>
      </c>
      <c r="AJ38" s="63">
        <f t="shared" si="36"/>
        <v>18896.25</v>
      </c>
      <c r="AK38" s="63">
        <f t="shared" ref="AK38:BL38" si="37">AK22+AK30</f>
        <v>15396.25</v>
      </c>
      <c r="AL38" s="63">
        <f t="shared" si="37"/>
        <v>15396.25</v>
      </c>
      <c r="AM38" s="63">
        <f t="shared" si="37"/>
        <v>15396.25</v>
      </c>
      <c r="AN38" s="63">
        <f t="shared" si="37"/>
        <v>9616.25</v>
      </c>
      <c r="AO38" s="63">
        <f t="shared" si="37"/>
        <v>13550</v>
      </c>
      <c r="AP38" s="63">
        <f t="shared" si="37"/>
        <v>21855</v>
      </c>
      <c r="AQ38" s="63">
        <f t="shared" si="37"/>
        <v>24327.5</v>
      </c>
      <c r="AR38" s="63">
        <f t="shared" si="37"/>
        <v>27367.5</v>
      </c>
      <c r="AS38" s="63">
        <f t="shared" si="37"/>
        <v>30112.5</v>
      </c>
      <c r="AT38" s="63">
        <f t="shared" si="37"/>
        <v>33095</v>
      </c>
      <c r="AU38" s="63">
        <f t="shared" si="37"/>
        <v>27367.5</v>
      </c>
      <c r="AV38" s="63">
        <f t="shared" si="37"/>
        <v>30112.5</v>
      </c>
      <c r="AW38" s="63">
        <f t="shared" si="37"/>
        <v>24587.5</v>
      </c>
      <c r="AX38" s="63">
        <f t="shared" si="37"/>
        <v>24587.5</v>
      </c>
      <c r="AY38" s="63">
        <f t="shared" si="37"/>
        <v>24587.5</v>
      </c>
      <c r="AZ38" s="63">
        <f t="shared" si="37"/>
        <v>15325</v>
      </c>
      <c r="BA38" s="63">
        <f t="shared" si="37"/>
        <v>18910</v>
      </c>
      <c r="BB38" s="63">
        <f t="shared" si="37"/>
        <v>30375</v>
      </c>
      <c r="BC38" s="63">
        <f t="shared" si="37"/>
        <v>33772.5</v>
      </c>
      <c r="BD38" s="63">
        <f t="shared" si="37"/>
        <v>36812.5</v>
      </c>
      <c r="BE38" s="63">
        <f t="shared" si="37"/>
        <v>40832.5</v>
      </c>
      <c r="BF38" s="63">
        <f t="shared" si="37"/>
        <v>44862.5</v>
      </c>
      <c r="BG38" s="63">
        <f t="shared" si="37"/>
        <v>36812.5</v>
      </c>
      <c r="BH38" s="63">
        <f t="shared" si="37"/>
        <v>40832.5</v>
      </c>
      <c r="BI38" s="63">
        <f t="shared" si="37"/>
        <v>33107.5</v>
      </c>
      <c r="BJ38" s="63">
        <f t="shared" si="37"/>
        <v>33107.5</v>
      </c>
      <c r="BK38" s="63">
        <f t="shared" si="37"/>
        <v>33107.5</v>
      </c>
      <c r="BL38" s="63">
        <f t="shared" si="37"/>
        <v>20685</v>
      </c>
    </row>
    <row r="39" spans="2:65" x14ac:dyDescent="0.15">
      <c r="B39" s="47" t="s">
        <v>666</v>
      </c>
      <c r="D39" s="75"/>
      <c r="E39" s="63">
        <f t="shared" ref="E39:AJ39" si="38">E23+E31</f>
        <v>0</v>
      </c>
      <c r="F39" s="63">
        <f t="shared" si="38"/>
        <v>0</v>
      </c>
      <c r="G39" s="63">
        <f t="shared" si="38"/>
        <v>0</v>
      </c>
      <c r="H39" s="63">
        <f t="shared" si="38"/>
        <v>777790</v>
      </c>
      <c r="I39" s="63">
        <f t="shared" si="38"/>
        <v>858100</v>
      </c>
      <c r="J39" s="63">
        <f t="shared" si="38"/>
        <v>963720</v>
      </c>
      <c r="K39" s="63">
        <f t="shared" si="38"/>
        <v>777790</v>
      </c>
      <c r="L39" s="63">
        <f t="shared" si="38"/>
        <v>858100</v>
      </c>
      <c r="M39" s="63">
        <f t="shared" si="38"/>
        <v>697480</v>
      </c>
      <c r="N39" s="63">
        <f t="shared" si="38"/>
        <v>697480</v>
      </c>
      <c r="O39" s="63">
        <f t="shared" si="38"/>
        <v>697480</v>
      </c>
      <c r="P39" s="63">
        <f t="shared" si="38"/>
        <v>431240</v>
      </c>
      <c r="Q39" s="63">
        <f t="shared" si="38"/>
        <v>68068.75</v>
      </c>
      <c r="R39" s="63">
        <f t="shared" si="38"/>
        <v>110618.75</v>
      </c>
      <c r="S39" s="63">
        <f t="shared" si="38"/>
        <v>123387.5</v>
      </c>
      <c r="T39" s="63">
        <f t="shared" si="38"/>
        <v>125800</v>
      </c>
      <c r="U39" s="63">
        <f t="shared" si="38"/>
        <v>138812.5</v>
      </c>
      <c r="V39" s="63">
        <f t="shared" si="38"/>
        <v>151850</v>
      </c>
      <c r="W39" s="63">
        <f t="shared" si="38"/>
        <v>125800</v>
      </c>
      <c r="X39" s="63">
        <f t="shared" si="38"/>
        <v>138812.5</v>
      </c>
      <c r="Y39" s="63">
        <f t="shared" si="38"/>
        <v>112787.5</v>
      </c>
      <c r="Z39" s="63">
        <f t="shared" si="38"/>
        <v>112787.5</v>
      </c>
      <c r="AA39" s="63">
        <f t="shared" si="38"/>
        <v>112787.5</v>
      </c>
      <c r="AB39" s="63">
        <f t="shared" si="38"/>
        <v>69481.25</v>
      </c>
      <c r="AC39" s="63">
        <f t="shared" si="38"/>
        <v>-125911.25</v>
      </c>
      <c r="AD39" s="63">
        <f t="shared" si="38"/>
        <v>-204115</v>
      </c>
      <c r="AE39" s="63">
        <f t="shared" si="38"/>
        <v>-230232.5</v>
      </c>
      <c r="AF39" s="63">
        <f t="shared" si="38"/>
        <v>-227595</v>
      </c>
      <c r="AG39" s="63">
        <f t="shared" si="38"/>
        <v>-249063.75</v>
      </c>
      <c r="AH39" s="63">
        <f t="shared" si="38"/>
        <v>-274911.25</v>
      </c>
      <c r="AI39" s="63">
        <f t="shared" si="38"/>
        <v>-227595</v>
      </c>
      <c r="AJ39" s="63">
        <f t="shared" si="38"/>
        <v>-249063.75</v>
      </c>
      <c r="AK39" s="63">
        <f t="shared" ref="AK39:BL39" si="39">AK23+AK31</f>
        <v>-201743.75</v>
      </c>
      <c r="AL39" s="63">
        <f t="shared" si="39"/>
        <v>-201743.75</v>
      </c>
      <c r="AM39" s="63">
        <f t="shared" si="39"/>
        <v>-201743.75</v>
      </c>
      <c r="AN39" s="63">
        <f t="shared" si="39"/>
        <v>-124363.75</v>
      </c>
      <c r="AO39" s="63">
        <f t="shared" si="39"/>
        <v>-76288</v>
      </c>
      <c r="AP39" s="63">
        <f t="shared" si="39"/>
        <v>-123045</v>
      </c>
      <c r="AQ39" s="63">
        <f t="shared" si="39"/>
        <v>-137960.5</v>
      </c>
      <c r="AR39" s="63">
        <f t="shared" si="39"/>
        <v>-134920.5</v>
      </c>
      <c r="AS39" s="63">
        <f t="shared" si="39"/>
        <v>-149563.5</v>
      </c>
      <c r="AT39" s="63">
        <f t="shared" si="39"/>
        <v>-163969</v>
      </c>
      <c r="AU39" s="63">
        <f t="shared" si="39"/>
        <v>-134920.5</v>
      </c>
      <c r="AV39" s="63">
        <f t="shared" si="39"/>
        <v>-149563.5</v>
      </c>
      <c r="AW39" s="63">
        <f t="shared" si="39"/>
        <v>-120312.5</v>
      </c>
      <c r="AX39" s="63">
        <f t="shared" si="39"/>
        <v>-120312.5</v>
      </c>
      <c r="AY39" s="63">
        <f t="shared" si="39"/>
        <v>-120312.5</v>
      </c>
      <c r="AZ39" s="63">
        <f t="shared" si="39"/>
        <v>-74513</v>
      </c>
      <c r="BA39" s="63">
        <f t="shared" si="39"/>
        <v>-25616.899999999991</v>
      </c>
      <c r="BB39" s="63">
        <f t="shared" si="39"/>
        <v>-41137.899999999965</v>
      </c>
      <c r="BC39" s="63">
        <f t="shared" si="39"/>
        <v>-45836.200000000012</v>
      </c>
      <c r="BD39" s="63">
        <f t="shared" si="39"/>
        <v>-42796.200000000012</v>
      </c>
      <c r="BE39" s="63">
        <f t="shared" si="39"/>
        <v>-48221.299999999981</v>
      </c>
      <c r="BF39" s="63">
        <f t="shared" si="39"/>
        <v>-52287.099999999984</v>
      </c>
      <c r="BG39" s="63">
        <f t="shared" si="39"/>
        <v>-42796.200000000012</v>
      </c>
      <c r="BH39" s="63">
        <f t="shared" si="39"/>
        <v>-48221.299999999981</v>
      </c>
      <c r="BI39" s="63">
        <f t="shared" si="39"/>
        <v>-38405.399999999965</v>
      </c>
      <c r="BJ39" s="63">
        <f t="shared" si="39"/>
        <v>-38405.399999999965</v>
      </c>
      <c r="BK39" s="63">
        <f t="shared" si="39"/>
        <v>-38405.399999999965</v>
      </c>
      <c r="BL39" s="63">
        <f t="shared" si="39"/>
        <v>-23841.899999999991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653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'COGS-PRICE-MARGIN_CWS'!$C5*E43</f>
        <v>0</v>
      </c>
      <c r="F44" s="63">
        <f>'COGS-PRICE-MARGIN_CWS'!$C5*F43</f>
        <v>0</v>
      </c>
      <c r="G44" s="63">
        <f>'COGS-PRICE-MARGIN_CWS'!$C5*G43</f>
        <v>0</v>
      </c>
      <c r="H44" s="63">
        <f>'COGS-PRICE-MARGIN_CWS'!$C5*H43</f>
        <v>702000</v>
      </c>
      <c r="I44" s="63">
        <f>'COGS-PRICE-MARGIN_CWS'!$C5*I43</f>
        <v>774000</v>
      </c>
      <c r="J44" s="63">
        <f>'COGS-PRICE-MARGIN_CWS'!$C5*J43</f>
        <v>864000</v>
      </c>
      <c r="K44" s="63">
        <f>'COGS-PRICE-MARGIN_CWS'!$C5*K43</f>
        <v>702000</v>
      </c>
      <c r="L44" s="63">
        <f>'COGS-PRICE-MARGIN_CWS'!$C5*L43</f>
        <v>774000</v>
      </c>
      <c r="M44" s="63">
        <f>'COGS-PRICE-MARGIN_CWS'!$C5*M43</f>
        <v>630000</v>
      </c>
      <c r="N44" s="63">
        <f>'COGS-PRICE-MARGIN_CWS'!$C5*N43</f>
        <v>630000</v>
      </c>
      <c r="O44" s="63">
        <f>'COGS-PRICE-MARGIN_CWS'!$C5*O43</f>
        <v>630000</v>
      </c>
      <c r="P44" s="63">
        <f>'COGS-PRICE-MARGIN_CWS'!$C5*P43</f>
        <v>396000</v>
      </c>
      <c r="Q44" s="63">
        <f>'COGS-PRICE-MARGIN_CWS'!$C27*Q43</f>
        <v>316800</v>
      </c>
      <c r="R44" s="63">
        <f>'COGS-PRICE-MARGIN_CWS'!$C27*R43</f>
        <v>514800</v>
      </c>
      <c r="S44" s="63">
        <f>'COGS-PRICE-MARGIN_CWS'!$C27*S43</f>
        <v>574200</v>
      </c>
      <c r="T44" s="63">
        <f>'COGS-PRICE-MARGIN_CWS'!$C27*T43</f>
        <v>574200</v>
      </c>
      <c r="U44" s="63">
        <f>'COGS-PRICE-MARGIN_CWS'!$C27*U43</f>
        <v>633600</v>
      </c>
      <c r="V44" s="63">
        <f>'COGS-PRICE-MARGIN_CWS'!$C27*V43</f>
        <v>693000</v>
      </c>
      <c r="W44" s="63">
        <f>'COGS-PRICE-MARGIN_CWS'!$C27*W43</f>
        <v>574200</v>
      </c>
      <c r="X44" s="63">
        <f>'COGS-PRICE-MARGIN_CWS'!$C27*X43</f>
        <v>633600</v>
      </c>
      <c r="Y44" s="63">
        <f>'COGS-PRICE-MARGIN_CWS'!$C27*Y43</f>
        <v>514800</v>
      </c>
      <c r="Z44" s="63">
        <f>'COGS-PRICE-MARGIN_CWS'!$C27*Z43</f>
        <v>514800</v>
      </c>
      <c r="AA44" s="63">
        <f>'COGS-PRICE-MARGIN_CWS'!$C27*AA43</f>
        <v>514800</v>
      </c>
      <c r="AB44" s="63">
        <f>'COGS-PRICE-MARGIN_CWS'!$C27*AB43</f>
        <v>316800</v>
      </c>
      <c r="AC44" s="63">
        <f>'COGS-PRICE-MARGIN_CWS'!$C48*AC43</f>
        <v>174000</v>
      </c>
      <c r="AD44" s="63">
        <f>'COGS-PRICE-MARGIN_CWS'!$C48*AD43</f>
        <v>282000</v>
      </c>
      <c r="AE44" s="63">
        <f>'COGS-PRICE-MARGIN_CWS'!$C48*AE43</f>
        <v>318000</v>
      </c>
      <c r="AF44" s="63">
        <f>'COGS-PRICE-MARGIN_CWS'!$C48*AF43</f>
        <v>318000</v>
      </c>
      <c r="AG44" s="63">
        <f>'COGS-PRICE-MARGIN_CWS'!$C48*AG43</f>
        <v>348000</v>
      </c>
      <c r="AH44" s="63">
        <f>'COGS-PRICE-MARGIN_CWS'!$C48*AH43</f>
        <v>384000</v>
      </c>
      <c r="AI44" s="63">
        <f>'COGS-PRICE-MARGIN_CWS'!$C48*AI43</f>
        <v>318000</v>
      </c>
      <c r="AJ44" s="63">
        <f>'COGS-PRICE-MARGIN_CWS'!$C48*AJ43</f>
        <v>348000</v>
      </c>
      <c r="AK44" s="63">
        <f>'COGS-PRICE-MARGIN_CWS'!$C48*AK43</f>
        <v>282000</v>
      </c>
      <c r="AL44" s="63">
        <f>'COGS-PRICE-MARGIN_CWS'!$C48*AL43</f>
        <v>282000</v>
      </c>
      <c r="AM44" s="63">
        <f>'COGS-PRICE-MARGIN_CWS'!$C48*AM43</f>
        <v>282000</v>
      </c>
      <c r="AN44" s="63">
        <f>'COGS-PRICE-MARGIN_CWS'!$C48*AN43</f>
        <v>174000</v>
      </c>
      <c r="AO44" s="63">
        <f>'COGS-PRICE-MARGIN_CWS'!$C69*AO43</f>
        <v>201500</v>
      </c>
      <c r="AP44" s="63">
        <f>'COGS-PRICE-MARGIN_CWS'!$C69*AP43</f>
        <v>325000</v>
      </c>
      <c r="AQ44" s="63">
        <f>'COGS-PRICE-MARGIN_CWS'!$C69*AQ43</f>
        <v>364000</v>
      </c>
      <c r="AR44" s="63">
        <f>'COGS-PRICE-MARGIN_CWS'!$C69*AR43</f>
        <v>364000</v>
      </c>
      <c r="AS44" s="63">
        <f>'COGS-PRICE-MARGIN_CWS'!$C69*AS43</f>
        <v>403000</v>
      </c>
      <c r="AT44" s="63">
        <f>'COGS-PRICE-MARGIN_CWS'!$C69*AT43</f>
        <v>442000</v>
      </c>
      <c r="AU44" s="63">
        <f>'COGS-PRICE-MARGIN_CWS'!$C69*AU43</f>
        <v>364000</v>
      </c>
      <c r="AV44" s="63">
        <f>'COGS-PRICE-MARGIN_CWS'!$C69*AV43</f>
        <v>403000</v>
      </c>
      <c r="AW44" s="63">
        <f>'COGS-PRICE-MARGIN_CWS'!$C69*AW43</f>
        <v>325000</v>
      </c>
      <c r="AX44" s="63">
        <f>'COGS-PRICE-MARGIN_CWS'!$C69*AX43</f>
        <v>325000</v>
      </c>
      <c r="AY44" s="63">
        <f>'COGS-PRICE-MARGIN_CWS'!$C69*AY43</f>
        <v>325000</v>
      </c>
      <c r="AZ44" s="63">
        <f>'COGS-PRICE-MARGIN_CWS'!$C69*AZ43</f>
        <v>201500</v>
      </c>
      <c r="BA44" s="63">
        <f>'COGS-PRICE-MARGIN_CWS'!$C90*BA43</f>
        <v>239250</v>
      </c>
      <c r="BB44" s="63">
        <f>'COGS-PRICE-MARGIN_CWS'!$C90*BB43</f>
        <v>384250</v>
      </c>
      <c r="BC44" s="63">
        <f>'COGS-PRICE-MARGIN_CWS'!$C90*BC43</f>
        <v>427750</v>
      </c>
      <c r="BD44" s="63">
        <f>'COGS-PRICE-MARGIN_CWS'!$C90*BD43</f>
        <v>427750</v>
      </c>
      <c r="BE44" s="63">
        <f>'COGS-PRICE-MARGIN_CWS'!$C90*BE43</f>
        <v>478500</v>
      </c>
      <c r="BF44" s="63">
        <f>'COGS-PRICE-MARGIN_CWS'!$C90*BF43</f>
        <v>522000</v>
      </c>
      <c r="BG44" s="63">
        <f>'COGS-PRICE-MARGIN_CWS'!$C90*BG43</f>
        <v>427750</v>
      </c>
      <c r="BH44" s="63">
        <f>'COGS-PRICE-MARGIN_CWS'!$C90*BH43</f>
        <v>478500</v>
      </c>
      <c r="BI44" s="63">
        <f>'COGS-PRICE-MARGIN_CWS'!$C90*BI43</f>
        <v>384250</v>
      </c>
      <c r="BJ44" s="63">
        <f>'COGS-PRICE-MARGIN_CWS'!$C90*BJ43</f>
        <v>384250</v>
      </c>
      <c r="BK44" s="63">
        <f>'COGS-PRICE-MARGIN_CWS'!$C90*BK43</f>
        <v>384250</v>
      </c>
      <c r="BL44" s="63">
        <f>'COGS-PRICE-MARGIN_CWS'!$C90*BL43</f>
        <v>239250</v>
      </c>
      <c r="BM44" s="118">
        <f>SUM(E44:BL44)</f>
        <v>24808350</v>
      </c>
    </row>
    <row r="45" spans="2:65" x14ac:dyDescent="0.15">
      <c r="B45" s="47" t="s">
        <v>351</v>
      </c>
      <c r="C45" s="47"/>
      <c r="E45" s="172">
        <f>'COGS-PRICE-MARGIN_CWS'!$D5</f>
        <v>0.09</v>
      </c>
      <c r="F45" s="172">
        <f>'COGS-PRICE-MARGIN_CWS'!$D5</f>
        <v>0.09</v>
      </c>
      <c r="G45" s="172">
        <f>'COGS-PRICE-MARGIN_CWS'!$D5</f>
        <v>0.09</v>
      </c>
      <c r="H45" s="172">
        <f>'COGS-PRICE-MARGIN_CWS'!$D5</f>
        <v>0.09</v>
      </c>
      <c r="I45" s="172">
        <f>'COGS-PRICE-MARGIN_CWS'!$D5</f>
        <v>0.09</v>
      </c>
      <c r="J45" s="172">
        <f>'COGS-PRICE-MARGIN_CWS'!$D5</f>
        <v>0.09</v>
      </c>
      <c r="K45" s="172">
        <f>'COGS-PRICE-MARGIN_CWS'!$D5</f>
        <v>0.09</v>
      </c>
      <c r="L45" s="172">
        <f>'COGS-PRICE-MARGIN_CWS'!$D5</f>
        <v>0.09</v>
      </c>
      <c r="M45" s="172">
        <f>'COGS-PRICE-MARGIN_CWS'!$D5</f>
        <v>0.09</v>
      </c>
      <c r="N45" s="172">
        <f>'COGS-PRICE-MARGIN_CWS'!$D5</f>
        <v>0.09</v>
      </c>
      <c r="O45" s="172">
        <f>'COGS-PRICE-MARGIN_CWS'!$D5</f>
        <v>0.09</v>
      </c>
      <c r="P45" s="172">
        <f>'COGS-PRICE-MARGIN_CWS'!$D5</f>
        <v>0.09</v>
      </c>
      <c r="Q45" s="172">
        <f>'COGS-PRICE-MARGIN_CWS'!$D27</f>
        <v>0.25</v>
      </c>
      <c r="R45" s="172">
        <f>'COGS-PRICE-MARGIN_CWS'!$D27</f>
        <v>0.25</v>
      </c>
      <c r="S45" s="172">
        <f>'COGS-PRICE-MARGIN_CWS'!$D27</f>
        <v>0.25</v>
      </c>
      <c r="T45" s="172">
        <f>'COGS-PRICE-MARGIN_CWS'!$D27</f>
        <v>0.25</v>
      </c>
      <c r="U45" s="172">
        <f>'COGS-PRICE-MARGIN_CWS'!$D27</f>
        <v>0.25</v>
      </c>
      <c r="V45" s="172">
        <f>'COGS-PRICE-MARGIN_CWS'!$D27</f>
        <v>0.25</v>
      </c>
      <c r="W45" s="172">
        <f>'COGS-PRICE-MARGIN_CWS'!$D27</f>
        <v>0.25</v>
      </c>
      <c r="X45" s="172">
        <f>'COGS-PRICE-MARGIN_CWS'!$D27</f>
        <v>0.25</v>
      </c>
      <c r="Y45" s="172">
        <f>'COGS-PRICE-MARGIN_CWS'!$D27</f>
        <v>0.25</v>
      </c>
      <c r="Z45" s="172">
        <f>'COGS-PRICE-MARGIN_CWS'!$D27</f>
        <v>0.25</v>
      </c>
      <c r="AA45" s="172">
        <f>'COGS-PRICE-MARGIN_CWS'!$D27</f>
        <v>0.25</v>
      </c>
      <c r="AB45" s="172">
        <f>'COGS-PRICE-MARGIN_CWS'!$D27</f>
        <v>0.25</v>
      </c>
      <c r="AC45" s="172">
        <f>'COGS-PRICE-MARGIN_CWS'!$D48</f>
        <v>0.15</v>
      </c>
      <c r="AD45" s="172">
        <f>'COGS-PRICE-MARGIN_CWS'!$D48</f>
        <v>0.15</v>
      </c>
      <c r="AE45" s="172">
        <f>'COGS-PRICE-MARGIN_CWS'!$D48</f>
        <v>0.15</v>
      </c>
      <c r="AF45" s="172">
        <f>'COGS-PRICE-MARGIN_CWS'!$D48</f>
        <v>0.15</v>
      </c>
      <c r="AG45" s="172">
        <f>'COGS-PRICE-MARGIN_CWS'!$D48</f>
        <v>0.15</v>
      </c>
      <c r="AH45" s="172">
        <f>'COGS-PRICE-MARGIN_CWS'!$D48</f>
        <v>0.15</v>
      </c>
      <c r="AI45" s="172">
        <f>'COGS-PRICE-MARGIN_CWS'!$D48</f>
        <v>0.15</v>
      </c>
      <c r="AJ45" s="172">
        <f>'COGS-PRICE-MARGIN_CWS'!$D48</f>
        <v>0.15</v>
      </c>
      <c r="AK45" s="172">
        <f>'COGS-PRICE-MARGIN_CWS'!$D48</f>
        <v>0.15</v>
      </c>
      <c r="AL45" s="172">
        <f>'COGS-PRICE-MARGIN_CWS'!$D48</f>
        <v>0.15</v>
      </c>
      <c r="AM45" s="172">
        <f>'COGS-PRICE-MARGIN_CWS'!$D48</f>
        <v>0.15</v>
      </c>
      <c r="AN45" s="172">
        <f>'COGS-PRICE-MARGIN_CWS'!$D48</f>
        <v>0.15</v>
      </c>
      <c r="AO45" s="172">
        <f>'COGS-PRICE-MARGIN_CWS'!$D69</f>
        <v>0.1</v>
      </c>
      <c r="AP45" s="172">
        <f>'COGS-PRICE-MARGIN_CWS'!$D69</f>
        <v>0.1</v>
      </c>
      <c r="AQ45" s="172">
        <f>'COGS-PRICE-MARGIN_CWS'!$D69</f>
        <v>0.1</v>
      </c>
      <c r="AR45" s="172">
        <f>'COGS-PRICE-MARGIN_CWS'!$D69</f>
        <v>0.1</v>
      </c>
      <c r="AS45" s="172">
        <f>'COGS-PRICE-MARGIN_CWS'!$D69</f>
        <v>0.1</v>
      </c>
      <c r="AT45" s="172">
        <f>'COGS-PRICE-MARGIN_CWS'!$D69</f>
        <v>0.1</v>
      </c>
      <c r="AU45" s="172">
        <f>'COGS-PRICE-MARGIN_CWS'!$D69</f>
        <v>0.1</v>
      </c>
      <c r="AV45" s="172">
        <f>'COGS-PRICE-MARGIN_CWS'!$D69</f>
        <v>0.1</v>
      </c>
      <c r="AW45" s="172">
        <f>'COGS-PRICE-MARGIN_CWS'!$D69</f>
        <v>0.1</v>
      </c>
      <c r="AX45" s="172">
        <f>'COGS-PRICE-MARGIN_CWS'!$D69</f>
        <v>0.1</v>
      </c>
      <c r="AY45" s="172">
        <f>'COGS-PRICE-MARGIN_CWS'!$D69</f>
        <v>0.1</v>
      </c>
      <c r="AZ45" s="172">
        <f>'COGS-PRICE-MARGIN_CWS'!$D69</f>
        <v>0.1</v>
      </c>
      <c r="BA45" s="172">
        <f>'COGS-PRICE-MARGIN_CWS'!$D90</f>
        <v>0.1</v>
      </c>
      <c r="BB45" s="172">
        <f>'COGS-PRICE-MARGIN_CWS'!$D90</f>
        <v>0.1</v>
      </c>
      <c r="BC45" s="172">
        <f>'COGS-PRICE-MARGIN_CWS'!$D90</f>
        <v>0.1</v>
      </c>
      <c r="BD45" s="172">
        <f>'COGS-PRICE-MARGIN_CWS'!$D90</f>
        <v>0.1</v>
      </c>
      <c r="BE45" s="172">
        <f>'COGS-PRICE-MARGIN_CWS'!$D90</f>
        <v>0.1</v>
      </c>
      <c r="BF45" s="172">
        <f>'COGS-PRICE-MARGIN_CWS'!$D90</f>
        <v>0.1</v>
      </c>
      <c r="BG45" s="172">
        <f>'COGS-PRICE-MARGIN_CWS'!$D90</f>
        <v>0.1</v>
      </c>
      <c r="BH45" s="172">
        <f>'COGS-PRICE-MARGIN_CWS'!$D90</f>
        <v>0.1</v>
      </c>
      <c r="BI45" s="172">
        <f>'COGS-PRICE-MARGIN_CWS'!$D90</f>
        <v>0.1</v>
      </c>
      <c r="BJ45" s="172">
        <f>'COGS-PRICE-MARGIN_CWS'!$D90</f>
        <v>0.1</v>
      </c>
      <c r="BK45" s="172">
        <f>'COGS-PRICE-MARGIN_CWS'!$D90</f>
        <v>0.1</v>
      </c>
      <c r="BL45" s="172">
        <f>'COGS-PRICE-MARGIN_CWS'!$D90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677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14850</v>
      </c>
      <c r="R47" s="70">
        <f t="shared" si="40"/>
        <v>14850</v>
      </c>
      <c r="S47" s="70">
        <f t="shared" si="40"/>
        <v>14850</v>
      </c>
      <c r="T47" s="70">
        <f t="shared" si="40"/>
        <v>14850</v>
      </c>
      <c r="U47" s="70">
        <f t="shared" si="40"/>
        <v>14850</v>
      </c>
      <c r="V47" s="70">
        <f t="shared" si="40"/>
        <v>14850</v>
      </c>
      <c r="W47" s="70">
        <f t="shared" si="40"/>
        <v>14850</v>
      </c>
      <c r="X47" s="70">
        <f t="shared" si="40"/>
        <v>14850</v>
      </c>
      <c r="Y47" s="70">
        <f t="shared" si="40"/>
        <v>14850</v>
      </c>
      <c r="Z47" s="70">
        <f t="shared" si="40"/>
        <v>14850</v>
      </c>
      <c r="AA47" s="70">
        <f t="shared" si="40"/>
        <v>14850</v>
      </c>
      <c r="AB47" s="70">
        <f t="shared" si="40"/>
        <v>14850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237600</v>
      </c>
      <c r="R48" s="178">
        <f t="shared" si="41"/>
        <v>386100</v>
      </c>
      <c r="S48" s="178">
        <f t="shared" si="41"/>
        <v>430650</v>
      </c>
      <c r="T48" s="178">
        <f t="shared" si="41"/>
        <v>430650</v>
      </c>
      <c r="U48" s="178">
        <f t="shared" si="41"/>
        <v>475200</v>
      </c>
      <c r="V48" s="178">
        <f t="shared" si="41"/>
        <v>519750</v>
      </c>
      <c r="W48" s="178">
        <f t="shared" si="41"/>
        <v>430650</v>
      </c>
      <c r="X48" s="178">
        <f t="shared" si="41"/>
        <v>475200</v>
      </c>
      <c r="Y48" s="178">
        <f t="shared" si="41"/>
        <v>386100</v>
      </c>
      <c r="Z48" s="178">
        <f t="shared" si="41"/>
        <v>386100</v>
      </c>
      <c r="AA48" s="178">
        <f t="shared" si="41"/>
        <v>386100</v>
      </c>
      <c r="AB48" s="178">
        <f t="shared" si="41"/>
        <v>237600</v>
      </c>
      <c r="AC48" s="178">
        <f t="shared" si="41"/>
        <v>147900</v>
      </c>
      <c r="AD48" s="178">
        <f t="shared" si="41"/>
        <v>239700</v>
      </c>
      <c r="AE48" s="178">
        <f t="shared" si="41"/>
        <v>270300</v>
      </c>
      <c r="AF48" s="178">
        <f t="shared" si="41"/>
        <v>270300</v>
      </c>
      <c r="AG48" s="178">
        <f t="shared" si="41"/>
        <v>295800</v>
      </c>
      <c r="AH48" s="178">
        <f t="shared" si="41"/>
        <v>326400</v>
      </c>
      <c r="AI48" s="178">
        <f t="shared" si="41"/>
        <v>270300</v>
      </c>
      <c r="AJ48" s="178">
        <f t="shared" si="41"/>
        <v>295800</v>
      </c>
      <c r="AK48" s="178">
        <f t="shared" ref="AK48:BL48" si="42">AK44*(1-AK45)</f>
        <v>239700</v>
      </c>
      <c r="AL48" s="178">
        <f t="shared" si="42"/>
        <v>239700</v>
      </c>
      <c r="AM48" s="178">
        <f t="shared" si="42"/>
        <v>239700</v>
      </c>
      <c r="AN48" s="178">
        <f t="shared" si="42"/>
        <v>147900</v>
      </c>
      <c r="AO48" s="178">
        <f t="shared" si="42"/>
        <v>181350</v>
      </c>
      <c r="AP48" s="178">
        <f t="shared" si="42"/>
        <v>292500</v>
      </c>
      <c r="AQ48" s="178">
        <f t="shared" si="42"/>
        <v>327600</v>
      </c>
      <c r="AR48" s="178">
        <f t="shared" si="42"/>
        <v>327600</v>
      </c>
      <c r="AS48" s="178">
        <f t="shared" si="42"/>
        <v>362700</v>
      </c>
      <c r="AT48" s="178">
        <f t="shared" si="42"/>
        <v>397800</v>
      </c>
      <c r="AU48" s="178">
        <f t="shared" si="42"/>
        <v>327600</v>
      </c>
      <c r="AV48" s="178">
        <f t="shared" si="42"/>
        <v>362700</v>
      </c>
      <c r="AW48" s="178">
        <f t="shared" si="42"/>
        <v>292500</v>
      </c>
      <c r="AX48" s="178">
        <f t="shared" si="42"/>
        <v>292500</v>
      </c>
      <c r="AY48" s="178">
        <f t="shared" si="42"/>
        <v>292500</v>
      </c>
      <c r="AZ48" s="178">
        <f t="shared" si="42"/>
        <v>181350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>
        <f>SUM(E48:BL48)</f>
        <v>21256695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'COGS-PRICE-MARGIN_CWS'!$F5*E43</f>
        <v>0</v>
      </c>
      <c r="F52" s="63">
        <f>'COGS-PRICE-MARGIN_CWS'!$F5*F43</f>
        <v>0</v>
      </c>
      <c r="G52" s="63">
        <f>'COGS-PRICE-MARGIN_CWS'!$F5*G43</f>
        <v>0</v>
      </c>
      <c r="H52" s="63">
        <f>'COGS-PRICE-MARGIN_CWS'!$F5*H43</f>
        <v>468000</v>
      </c>
      <c r="I52" s="63">
        <f>'COGS-PRICE-MARGIN_CWS'!$F5*I43</f>
        <v>516000</v>
      </c>
      <c r="J52" s="63">
        <f>'COGS-PRICE-MARGIN_CWS'!$F5*J43</f>
        <v>576000</v>
      </c>
      <c r="K52" s="63">
        <f>'COGS-PRICE-MARGIN_CWS'!$F5*K43</f>
        <v>468000</v>
      </c>
      <c r="L52" s="63">
        <f>'COGS-PRICE-MARGIN_CWS'!$F5*L43</f>
        <v>516000</v>
      </c>
      <c r="M52" s="63">
        <f>'COGS-PRICE-MARGIN_CWS'!$F5*M43</f>
        <v>420000</v>
      </c>
      <c r="N52" s="63">
        <f>'COGS-PRICE-MARGIN_CWS'!$F5*N43</f>
        <v>420000</v>
      </c>
      <c r="O52" s="63">
        <f>'COGS-PRICE-MARGIN_CWS'!$F5*O43</f>
        <v>420000</v>
      </c>
      <c r="P52" s="63">
        <f>'COGS-PRICE-MARGIN_CWS'!$F5*P43</f>
        <v>264000</v>
      </c>
      <c r="Q52" s="63">
        <f>'COGS-PRICE-MARGIN_CWS'!$F27*Q43</f>
        <v>172800</v>
      </c>
      <c r="R52" s="63">
        <f>'COGS-PRICE-MARGIN_CWS'!$F27*R43</f>
        <v>280800</v>
      </c>
      <c r="S52" s="63">
        <f>'COGS-PRICE-MARGIN_CWS'!$F27*S43</f>
        <v>313200</v>
      </c>
      <c r="T52" s="63">
        <f>'COGS-PRICE-MARGIN_CWS'!$F27*T43</f>
        <v>313200</v>
      </c>
      <c r="U52" s="63">
        <f>'COGS-PRICE-MARGIN_CWS'!$F27*U43</f>
        <v>345600</v>
      </c>
      <c r="V52" s="63">
        <f>'COGS-PRICE-MARGIN_CWS'!$F27*V43</f>
        <v>378000</v>
      </c>
      <c r="W52" s="63">
        <f>'COGS-PRICE-MARGIN_CWS'!$F27*W43</f>
        <v>313200</v>
      </c>
      <c r="X52" s="63">
        <f>'COGS-PRICE-MARGIN_CWS'!$F27*X43</f>
        <v>345600</v>
      </c>
      <c r="Y52" s="63">
        <f>'COGS-PRICE-MARGIN_CWS'!$F27*Y43</f>
        <v>280800</v>
      </c>
      <c r="Z52" s="63">
        <f>'COGS-PRICE-MARGIN_CWS'!$F27*Z43</f>
        <v>280800</v>
      </c>
      <c r="AA52" s="63">
        <f>'COGS-PRICE-MARGIN_CWS'!$F27*AA43</f>
        <v>280800</v>
      </c>
      <c r="AB52" s="63">
        <f>'COGS-PRICE-MARGIN_CWS'!$F27*AB43</f>
        <v>172800</v>
      </c>
      <c r="AC52" s="63">
        <f>'COGS-PRICE-MARGIN_CWS'!$F48*AC43</f>
        <v>281880</v>
      </c>
      <c r="AD52" s="63">
        <f>'COGS-PRICE-MARGIN_CWS'!$F48*AD43</f>
        <v>456840</v>
      </c>
      <c r="AE52" s="63">
        <f>'COGS-PRICE-MARGIN_CWS'!$F48*AE43</f>
        <v>515160</v>
      </c>
      <c r="AF52" s="63">
        <f>'COGS-PRICE-MARGIN_CWS'!$F48*AF43</f>
        <v>515160</v>
      </c>
      <c r="AG52" s="63">
        <f>'COGS-PRICE-MARGIN_CWS'!$F48*AG43</f>
        <v>563760</v>
      </c>
      <c r="AH52" s="63">
        <f>'COGS-PRICE-MARGIN_CWS'!$F48*AH43</f>
        <v>622080</v>
      </c>
      <c r="AI52" s="63">
        <f>'COGS-PRICE-MARGIN_CWS'!$F48*AI43</f>
        <v>515160</v>
      </c>
      <c r="AJ52" s="63">
        <f>'COGS-PRICE-MARGIN_CWS'!$F48*AJ43</f>
        <v>563760</v>
      </c>
      <c r="AK52" s="63">
        <f>'COGS-PRICE-MARGIN_CWS'!$F48*AK43</f>
        <v>456840</v>
      </c>
      <c r="AL52" s="63">
        <f>'COGS-PRICE-MARGIN_CWS'!$F48*AL43</f>
        <v>456840</v>
      </c>
      <c r="AM52" s="63">
        <f>'COGS-PRICE-MARGIN_CWS'!$F48*AM43</f>
        <v>456840</v>
      </c>
      <c r="AN52" s="63">
        <f>'COGS-PRICE-MARGIN_CWS'!$F48*AN43</f>
        <v>281880</v>
      </c>
      <c r="AO52" s="63">
        <f>'COGS-PRICE-MARGIN_CWS'!$F69*AO43</f>
        <v>271188</v>
      </c>
      <c r="AP52" s="63">
        <f>'COGS-PRICE-MARGIN_CWS'!$F69*AP43</f>
        <v>437400</v>
      </c>
      <c r="AQ52" s="63">
        <f>'COGS-PRICE-MARGIN_CWS'!$F69*AQ43</f>
        <v>489888</v>
      </c>
      <c r="AR52" s="63">
        <f>'COGS-PRICE-MARGIN_CWS'!$F69*AR43</f>
        <v>489888</v>
      </c>
      <c r="AS52" s="63">
        <f>'COGS-PRICE-MARGIN_CWS'!$F69*AS43</f>
        <v>542376</v>
      </c>
      <c r="AT52" s="63">
        <f>'COGS-PRICE-MARGIN_CWS'!$F69*AT43</f>
        <v>594864</v>
      </c>
      <c r="AU52" s="63">
        <f>'COGS-PRICE-MARGIN_CWS'!$F69*AU43</f>
        <v>489888</v>
      </c>
      <c r="AV52" s="63">
        <f>'COGS-PRICE-MARGIN_CWS'!$F69*AV43</f>
        <v>542376</v>
      </c>
      <c r="AW52" s="63">
        <f>'COGS-PRICE-MARGIN_CWS'!$F69*AW43</f>
        <v>437400</v>
      </c>
      <c r="AX52" s="63">
        <f>'COGS-PRICE-MARGIN_CWS'!$F69*AX43</f>
        <v>437400</v>
      </c>
      <c r="AY52" s="63">
        <f>'COGS-PRICE-MARGIN_CWS'!$F69*AY43</f>
        <v>437400</v>
      </c>
      <c r="AZ52" s="63">
        <f>'COGS-PRICE-MARGIN_CWS'!$F69*AZ43</f>
        <v>271188</v>
      </c>
      <c r="BA52" s="63">
        <f>'COGS-PRICE-MARGIN_CWS'!$F90*BA43</f>
        <v>259815.6</v>
      </c>
      <c r="BB52" s="63">
        <f>'COGS-PRICE-MARGIN_CWS'!$F90*BB43</f>
        <v>417279.6</v>
      </c>
      <c r="BC52" s="63">
        <f>'COGS-PRICE-MARGIN_CWS'!$F90*BC43</f>
        <v>464518.8</v>
      </c>
      <c r="BD52" s="63">
        <f>'COGS-PRICE-MARGIN_CWS'!$F90*BD43</f>
        <v>464518.8</v>
      </c>
      <c r="BE52" s="63">
        <f>'COGS-PRICE-MARGIN_CWS'!$F90*BE43</f>
        <v>519631.2</v>
      </c>
      <c r="BF52" s="63">
        <f>'COGS-PRICE-MARGIN_CWS'!$F90*BF43</f>
        <v>566870.4</v>
      </c>
      <c r="BG52" s="63">
        <f>'COGS-PRICE-MARGIN_CWS'!$F90*BG43</f>
        <v>464518.8</v>
      </c>
      <c r="BH52" s="63">
        <f>'COGS-PRICE-MARGIN_CWS'!$F90*BH43</f>
        <v>519631.2</v>
      </c>
      <c r="BI52" s="63">
        <f>'COGS-PRICE-MARGIN_CWS'!$F90*BI43</f>
        <v>417279.6</v>
      </c>
      <c r="BJ52" s="63">
        <f>'COGS-PRICE-MARGIN_CWS'!$F90*BJ43</f>
        <v>417279.6</v>
      </c>
      <c r="BK52" s="63">
        <f>'COGS-PRICE-MARGIN_CWS'!$F90*BK43</f>
        <v>417279.6</v>
      </c>
      <c r="BL52" s="63">
        <f>'COGS-PRICE-MARGIN_CWS'!$F90*BL43</f>
        <v>259815.6</v>
      </c>
      <c r="BM52" s="118">
        <f>SUM(E52:BL52)</f>
        <v>23861494.800000008</v>
      </c>
    </row>
    <row r="53" spans="2:65" x14ac:dyDescent="0.15">
      <c r="B53" s="47" t="s">
        <v>325</v>
      </c>
      <c r="C53" s="47"/>
      <c r="E53" s="63">
        <f>'COGS-PRICE-MARGIN_CWS'!$F6*E43</f>
        <v>0</v>
      </c>
      <c r="F53" s="63">
        <f>'COGS-PRICE-MARGIN_CWS'!$F6*F43</f>
        <v>0</v>
      </c>
      <c r="G53" s="63">
        <f>'COGS-PRICE-MARGIN_CWS'!$F6*G43</f>
        <v>0</v>
      </c>
      <c r="H53" s="63">
        <f>'COGS-PRICE-MARGIN_CWS'!$F6*H43</f>
        <v>0</v>
      </c>
      <c r="I53" s="63">
        <f>'COGS-PRICE-MARGIN_CWS'!$F6*I43</f>
        <v>0</v>
      </c>
      <c r="J53" s="63">
        <f>'COGS-PRICE-MARGIN_CWS'!$F6*J43</f>
        <v>0</v>
      </c>
      <c r="K53" s="63">
        <f>'COGS-PRICE-MARGIN_CWS'!$F6*K43</f>
        <v>0</v>
      </c>
      <c r="L53" s="63">
        <f>'COGS-PRICE-MARGIN_CWS'!$F6*L43</f>
        <v>0</v>
      </c>
      <c r="M53" s="63">
        <f>'COGS-PRICE-MARGIN_CWS'!$F6*M43</f>
        <v>0</v>
      </c>
      <c r="N53" s="63">
        <f>'COGS-PRICE-MARGIN_CWS'!$F6*N43</f>
        <v>0</v>
      </c>
      <c r="O53" s="63">
        <f>'COGS-PRICE-MARGIN_CWS'!$F6*O43</f>
        <v>0</v>
      </c>
      <c r="P53" s="63">
        <f>'COGS-PRICE-MARGIN_CWS'!$F6*P43</f>
        <v>0</v>
      </c>
      <c r="Q53" s="63">
        <f>'COGS-PRICE-MARGIN_CWS'!$F28*Q43</f>
        <v>0</v>
      </c>
      <c r="R53" s="63">
        <f>'COGS-PRICE-MARGIN_CWS'!$F28*R43</f>
        <v>0</v>
      </c>
      <c r="S53" s="63">
        <f>'COGS-PRICE-MARGIN_CWS'!$F28*S43</f>
        <v>0</v>
      </c>
      <c r="T53" s="63">
        <f>'COGS-PRICE-MARGIN_CWS'!$F28*T43</f>
        <v>0</v>
      </c>
      <c r="U53" s="63">
        <f>'COGS-PRICE-MARGIN_CWS'!$F28*U43</f>
        <v>0</v>
      </c>
      <c r="V53" s="63">
        <f>'COGS-PRICE-MARGIN_CWS'!$F28*V43</f>
        <v>0</v>
      </c>
      <c r="W53" s="63">
        <f>'COGS-PRICE-MARGIN_CWS'!$F28*W43</f>
        <v>0</v>
      </c>
      <c r="X53" s="63">
        <f>'COGS-PRICE-MARGIN_CWS'!$F28*X43</f>
        <v>0</v>
      </c>
      <c r="Y53" s="63">
        <f>'COGS-PRICE-MARGIN_CWS'!$F28*Y43</f>
        <v>0</v>
      </c>
      <c r="Z53" s="63">
        <f>'COGS-PRICE-MARGIN_CWS'!$F28*Z43</f>
        <v>0</v>
      </c>
      <c r="AA53" s="63">
        <f>'COGS-PRICE-MARGIN_CWS'!$F28*AA43</f>
        <v>0</v>
      </c>
      <c r="AB53" s="63">
        <f>'COGS-PRICE-MARGIN_CWS'!$F28*AB43</f>
        <v>0</v>
      </c>
      <c r="AC53" s="63">
        <f>'COGS-PRICE-MARGIN_CWS'!$F49*AC43</f>
        <v>0</v>
      </c>
      <c r="AD53" s="63">
        <f>'COGS-PRICE-MARGIN_CWS'!$F49*AD43</f>
        <v>0</v>
      </c>
      <c r="AE53" s="63">
        <f>'COGS-PRICE-MARGIN_CWS'!$F49*AE43</f>
        <v>0</v>
      </c>
      <c r="AF53" s="63">
        <f>'COGS-PRICE-MARGIN_CWS'!$F49*AF43</f>
        <v>0</v>
      </c>
      <c r="AG53" s="63">
        <f>'COGS-PRICE-MARGIN_CWS'!$F49*AG43</f>
        <v>0</v>
      </c>
      <c r="AH53" s="63">
        <f>'COGS-PRICE-MARGIN_CWS'!$F49*AH43</f>
        <v>0</v>
      </c>
      <c r="AI53" s="63">
        <f>'COGS-PRICE-MARGIN_CWS'!$F49*AI43</f>
        <v>0</v>
      </c>
      <c r="AJ53" s="63">
        <f>'COGS-PRICE-MARGIN_CWS'!$F49*AJ43</f>
        <v>0</v>
      </c>
      <c r="AK53" s="63">
        <f>'COGS-PRICE-MARGIN_CWS'!$F49*AK43</f>
        <v>0</v>
      </c>
      <c r="AL53" s="63">
        <f>'COGS-PRICE-MARGIN_CWS'!$F49*AL43</f>
        <v>0</v>
      </c>
      <c r="AM53" s="63">
        <f>'COGS-PRICE-MARGIN_CWS'!$F49*AM43</f>
        <v>0</v>
      </c>
      <c r="AN53" s="63">
        <f>'COGS-PRICE-MARGIN_CWS'!$F49*AN43</f>
        <v>0</v>
      </c>
      <c r="AO53" s="63">
        <f>'COGS-PRICE-MARGIN_CWS'!$F70*AO43</f>
        <v>0</v>
      </c>
      <c r="AP53" s="63">
        <f>'COGS-PRICE-MARGIN_CWS'!$F70*AP43</f>
        <v>0</v>
      </c>
      <c r="AQ53" s="63">
        <f>'COGS-PRICE-MARGIN_CWS'!$F70*AQ43</f>
        <v>0</v>
      </c>
      <c r="AR53" s="63">
        <f>'COGS-PRICE-MARGIN_CWS'!$F70*AR43</f>
        <v>0</v>
      </c>
      <c r="AS53" s="63">
        <f>'COGS-PRICE-MARGIN_CWS'!$F70*AS43</f>
        <v>0</v>
      </c>
      <c r="AT53" s="63">
        <f>'COGS-PRICE-MARGIN_CWS'!$F70*AT43</f>
        <v>0</v>
      </c>
      <c r="AU53" s="63">
        <f>'COGS-PRICE-MARGIN_CWS'!$F70*AU43</f>
        <v>0</v>
      </c>
      <c r="AV53" s="63">
        <f>'COGS-PRICE-MARGIN_CWS'!$F70*AV43</f>
        <v>0</v>
      </c>
      <c r="AW53" s="63">
        <f>'COGS-PRICE-MARGIN_CWS'!$F70*AW43</f>
        <v>0</v>
      </c>
      <c r="AX53" s="63">
        <f>'COGS-PRICE-MARGIN_CWS'!$F70*AX43</f>
        <v>0</v>
      </c>
      <c r="AY53" s="63">
        <f>'COGS-PRICE-MARGIN_CWS'!$F70*AY43</f>
        <v>0</v>
      </c>
      <c r="AZ53" s="63">
        <f>'COGS-PRICE-MARGIN_CWS'!$F70*AZ43</f>
        <v>0</v>
      </c>
      <c r="BA53" s="63">
        <f>'COGS-PRICE-MARGIN_CWS'!$F91*BA43</f>
        <v>36.300000000000004</v>
      </c>
      <c r="BB53" s="63">
        <f>'COGS-PRICE-MARGIN_CWS'!$F91*BB43</f>
        <v>58.300000000000004</v>
      </c>
      <c r="BC53" s="63">
        <f>'COGS-PRICE-MARGIN_CWS'!$F91*BC43</f>
        <v>64.900000000000006</v>
      </c>
      <c r="BD53" s="63">
        <f>'COGS-PRICE-MARGIN_CWS'!$F91*BD43</f>
        <v>64.900000000000006</v>
      </c>
      <c r="BE53" s="63">
        <f>'COGS-PRICE-MARGIN_CWS'!$F91*BE43</f>
        <v>72.600000000000009</v>
      </c>
      <c r="BF53" s="63">
        <f>'COGS-PRICE-MARGIN_CWS'!$F91*BF43</f>
        <v>79.2</v>
      </c>
      <c r="BG53" s="63">
        <f>'COGS-PRICE-MARGIN_CWS'!$F91*BG43</f>
        <v>64.900000000000006</v>
      </c>
      <c r="BH53" s="63">
        <f>'COGS-PRICE-MARGIN_CWS'!$F91*BH43</f>
        <v>72.600000000000009</v>
      </c>
      <c r="BI53" s="63">
        <f>'COGS-PRICE-MARGIN_CWS'!$F91*BI43</f>
        <v>58.300000000000004</v>
      </c>
      <c r="BJ53" s="63">
        <f>'COGS-PRICE-MARGIN_CWS'!$F91*BJ43</f>
        <v>58.300000000000004</v>
      </c>
      <c r="BK53" s="63">
        <f>'COGS-PRICE-MARGIN_CWS'!$F91*BK43</f>
        <v>58.300000000000004</v>
      </c>
      <c r="BL53" s="63">
        <f>'COGS-PRICE-MARGIN_CWS'!$F91*BL43</f>
        <v>36.300000000000004</v>
      </c>
      <c r="BM53" s="118">
        <f>SUM(E53:BL53)</f>
        <v>724.89999999999986</v>
      </c>
    </row>
    <row r="54" spans="2:65" x14ac:dyDescent="0.15">
      <c r="B54" s="47" t="s">
        <v>328</v>
      </c>
      <c r="C54" s="47"/>
      <c r="E54" s="63">
        <f>'COGS-PRICE-MARGIN_CWS'!$F7*E43</f>
        <v>0</v>
      </c>
      <c r="F54" s="63">
        <f>'COGS-PRICE-MARGIN_CWS'!$F7*F43</f>
        <v>0</v>
      </c>
      <c r="G54" s="63">
        <f>'COGS-PRICE-MARGIN_CWS'!$F7*G43</f>
        <v>0</v>
      </c>
      <c r="H54" s="63">
        <f>'COGS-PRICE-MARGIN_CWS'!$F7*H43</f>
        <v>0</v>
      </c>
      <c r="I54" s="63">
        <f>'COGS-PRICE-MARGIN_CWS'!$F7*I43</f>
        <v>0</v>
      </c>
      <c r="J54" s="63">
        <f>'COGS-PRICE-MARGIN_CWS'!$F7*J43</f>
        <v>0</v>
      </c>
      <c r="K54" s="63">
        <f>'COGS-PRICE-MARGIN_CWS'!$F7*K43</f>
        <v>0</v>
      </c>
      <c r="L54" s="63">
        <f>'COGS-PRICE-MARGIN_CWS'!$F7*L43</f>
        <v>0</v>
      </c>
      <c r="M54" s="63">
        <f>'COGS-PRICE-MARGIN_CWS'!$F7*M43</f>
        <v>0</v>
      </c>
      <c r="N54" s="63">
        <f>'COGS-PRICE-MARGIN_CWS'!$F7*N43</f>
        <v>0</v>
      </c>
      <c r="O54" s="63">
        <f>'COGS-PRICE-MARGIN_CWS'!$F7*O43</f>
        <v>0</v>
      </c>
      <c r="P54" s="63">
        <f>'COGS-PRICE-MARGIN_CWS'!$F7*P43</f>
        <v>0</v>
      </c>
      <c r="Q54" s="63">
        <f>'COGS-PRICE-MARGIN_CWS'!$F29*Q43</f>
        <v>0</v>
      </c>
      <c r="R54" s="63">
        <f>'COGS-PRICE-MARGIN_CWS'!$F29*R43</f>
        <v>0</v>
      </c>
      <c r="S54" s="63">
        <f>'COGS-PRICE-MARGIN_CWS'!$F29*S43</f>
        <v>0</v>
      </c>
      <c r="T54" s="63">
        <f>'COGS-PRICE-MARGIN_CWS'!$F29*T43</f>
        <v>0</v>
      </c>
      <c r="U54" s="63">
        <f>'COGS-PRICE-MARGIN_CWS'!$F29*U43</f>
        <v>0</v>
      </c>
      <c r="V54" s="63">
        <f>'COGS-PRICE-MARGIN_CWS'!$F29*V43</f>
        <v>0</v>
      </c>
      <c r="W54" s="63">
        <f>'COGS-PRICE-MARGIN_CWS'!$F29*W43</f>
        <v>0</v>
      </c>
      <c r="X54" s="63">
        <f>'COGS-PRICE-MARGIN_CWS'!$F29*X43</f>
        <v>0</v>
      </c>
      <c r="Y54" s="63">
        <f>'COGS-PRICE-MARGIN_CWS'!$F29*Y43</f>
        <v>0</v>
      </c>
      <c r="Z54" s="63">
        <f>'COGS-PRICE-MARGIN_CWS'!$F29*Z43</f>
        <v>0</v>
      </c>
      <c r="AA54" s="63">
        <f>'COGS-PRICE-MARGIN_CWS'!$F29*AA43</f>
        <v>0</v>
      </c>
      <c r="AB54" s="63">
        <f>'COGS-PRICE-MARGIN_CWS'!$F29*AB43</f>
        <v>0</v>
      </c>
      <c r="AC54" s="63">
        <f>'COGS-PRICE-MARGIN_CWS'!$F50*AC43</f>
        <v>0</v>
      </c>
      <c r="AD54" s="63">
        <f>'COGS-PRICE-MARGIN_CWS'!$F50*AD43</f>
        <v>0</v>
      </c>
      <c r="AE54" s="63">
        <f>'COGS-PRICE-MARGIN_CWS'!$F50*AE43</f>
        <v>0</v>
      </c>
      <c r="AF54" s="63">
        <f>'COGS-PRICE-MARGIN_CWS'!$F50*AF43</f>
        <v>0</v>
      </c>
      <c r="AG54" s="63">
        <f>'COGS-PRICE-MARGIN_CWS'!$F50*AG43</f>
        <v>0</v>
      </c>
      <c r="AH54" s="63">
        <f>'COGS-PRICE-MARGIN_CWS'!$F50*AH43</f>
        <v>0</v>
      </c>
      <c r="AI54" s="63">
        <f>'COGS-PRICE-MARGIN_CWS'!$F50*AI43</f>
        <v>0</v>
      </c>
      <c r="AJ54" s="63">
        <f>'COGS-PRICE-MARGIN_CWS'!$F50*AJ43</f>
        <v>0</v>
      </c>
      <c r="AK54" s="63">
        <f>'COGS-PRICE-MARGIN_CWS'!$F50*AK43</f>
        <v>0</v>
      </c>
      <c r="AL54" s="63">
        <f>'COGS-PRICE-MARGIN_CWS'!$F50*AL43</f>
        <v>0</v>
      </c>
      <c r="AM54" s="63">
        <f>'COGS-PRICE-MARGIN_CWS'!$F50*AM43</f>
        <v>0</v>
      </c>
      <c r="AN54" s="63">
        <f>'COGS-PRICE-MARGIN_CWS'!$F50*AN43</f>
        <v>0</v>
      </c>
      <c r="AO54" s="63">
        <f>'COGS-PRICE-MARGIN_CWS'!$F71*AO43</f>
        <v>0</v>
      </c>
      <c r="AP54" s="63">
        <f>'COGS-PRICE-MARGIN_CWS'!$F71*AP43</f>
        <v>0</v>
      </c>
      <c r="AQ54" s="63">
        <f>'COGS-PRICE-MARGIN_CWS'!$F71*AQ43</f>
        <v>0</v>
      </c>
      <c r="AR54" s="63">
        <f>'COGS-PRICE-MARGIN_CWS'!$F71*AR43</f>
        <v>0</v>
      </c>
      <c r="AS54" s="63">
        <f>'COGS-PRICE-MARGIN_CWS'!$F71*AS43</f>
        <v>0</v>
      </c>
      <c r="AT54" s="63">
        <f>'COGS-PRICE-MARGIN_CWS'!$F71*AT43</f>
        <v>0</v>
      </c>
      <c r="AU54" s="63">
        <f>'COGS-PRICE-MARGIN_CWS'!$F71*AU43</f>
        <v>0</v>
      </c>
      <c r="AV54" s="63">
        <f>'COGS-PRICE-MARGIN_CWS'!$F71*AV43</f>
        <v>0</v>
      </c>
      <c r="AW54" s="63">
        <f>'COGS-PRICE-MARGIN_CWS'!$F71*AW43</f>
        <v>0</v>
      </c>
      <c r="AX54" s="63">
        <f>'COGS-PRICE-MARGIN_CWS'!$F71*AX43</f>
        <v>0</v>
      </c>
      <c r="AY54" s="63">
        <f>'COGS-PRICE-MARGIN_CWS'!$F71*AY43</f>
        <v>0</v>
      </c>
      <c r="AZ54" s="63">
        <f>'COGS-PRICE-MARGIN_CWS'!$F71*AZ43</f>
        <v>0</v>
      </c>
      <c r="BA54" s="63">
        <f>'COGS-PRICE-MARGIN_CWS'!$F92*BA43</f>
        <v>0</v>
      </c>
      <c r="BB54" s="63">
        <f>'COGS-PRICE-MARGIN_CWS'!$F92*BB43</f>
        <v>0</v>
      </c>
      <c r="BC54" s="63">
        <f>'COGS-PRICE-MARGIN_CWS'!$F92*BC43</f>
        <v>0</v>
      </c>
      <c r="BD54" s="63">
        <f>'COGS-PRICE-MARGIN_CWS'!$F92*BD43</f>
        <v>0</v>
      </c>
      <c r="BE54" s="63">
        <f>'COGS-PRICE-MARGIN_CWS'!$F92*BE43</f>
        <v>0</v>
      </c>
      <c r="BF54" s="63">
        <f>'COGS-PRICE-MARGIN_CWS'!$F92*BF43</f>
        <v>0</v>
      </c>
      <c r="BG54" s="63">
        <f>'COGS-PRICE-MARGIN_CWS'!$F92*BG43</f>
        <v>0</v>
      </c>
      <c r="BH54" s="63">
        <f>'COGS-PRICE-MARGIN_CWS'!$F92*BH43</f>
        <v>0</v>
      </c>
      <c r="BI54" s="63">
        <f>'COGS-PRICE-MARGIN_CWS'!$F92*BI43</f>
        <v>0</v>
      </c>
      <c r="BJ54" s="63">
        <f>'COGS-PRICE-MARGIN_CWS'!$F92*BJ43</f>
        <v>0</v>
      </c>
      <c r="BK54" s="63">
        <f>'COGS-PRICE-MARGIN_CWS'!$F92*BK43</f>
        <v>0</v>
      </c>
      <c r="BL54" s="63">
        <f>'COGS-PRICE-MARGIN_CWS'!$F92*BL43</f>
        <v>0</v>
      </c>
      <c r="BM54" s="118">
        <f>SUM(E54:BL54)</f>
        <v>0</v>
      </c>
    </row>
    <row r="55" spans="2:65" x14ac:dyDescent="0.15">
      <c r="B55" s="47" t="s">
        <v>326</v>
      </c>
      <c r="C55" s="47"/>
      <c r="E55" s="63">
        <f>'COGS-PRICE-MARGIN_CWS'!$F8*E43</f>
        <v>0</v>
      </c>
      <c r="F55" s="63">
        <f>'COGS-PRICE-MARGIN_CWS'!$F8*F43</f>
        <v>0</v>
      </c>
      <c r="G55" s="63">
        <f>'COGS-PRICE-MARGIN_CWS'!$F8*G43</f>
        <v>0</v>
      </c>
      <c r="H55" s="63">
        <f>'COGS-PRICE-MARGIN_CWS'!$F8*H43</f>
        <v>0</v>
      </c>
      <c r="I55" s="63">
        <f>'COGS-PRICE-MARGIN_CWS'!$F8*I43</f>
        <v>0</v>
      </c>
      <c r="J55" s="63">
        <f>'COGS-PRICE-MARGIN_CWS'!$F8*J43</f>
        <v>0</v>
      </c>
      <c r="K55" s="63">
        <f>'COGS-PRICE-MARGIN_CWS'!$F8*K43</f>
        <v>0</v>
      </c>
      <c r="L55" s="63">
        <f>'COGS-PRICE-MARGIN_CWS'!$F8*L43</f>
        <v>0</v>
      </c>
      <c r="M55" s="63">
        <f>'COGS-PRICE-MARGIN_CWS'!$F8*M43</f>
        <v>0</v>
      </c>
      <c r="N55" s="63">
        <f>'COGS-PRICE-MARGIN_CWS'!$F8*N43</f>
        <v>0</v>
      </c>
      <c r="O55" s="63">
        <f>'COGS-PRICE-MARGIN_CWS'!$F8*O43</f>
        <v>0</v>
      </c>
      <c r="P55" s="63">
        <f>'COGS-PRICE-MARGIN_CWS'!$F8*P43</f>
        <v>0</v>
      </c>
      <c r="Q55" s="63">
        <f>'COGS-PRICE-MARGIN_CWS'!$F30*Q43</f>
        <v>0</v>
      </c>
      <c r="R55" s="63">
        <f>'COGS-PRICE-MARGIN_CWS'!$F30*R43</f>
        <v>0</v>
      </c>
      <c r="S55" s="63">
        <f>'COGS-PRICE-MARGIN_CWS'!$F30*S43</f>
        <v>0</v>
      </c>
      <c r="T55" s="63">
        <f>'COGS-PRICE-MARGIN_CWS'!$F30*T43</f>
        <v>0</v>
      </c>
      <c r="U55" s="63">
        <f>'COGS-PRICE-MARGIN_CWS'!$F30*U43</f>
        <v>0</v>
      </c>
      <c r="V55" s="63">
        <f>'COGS-PRICE-MARGIN_CWS'!$F30*V43</f>
        <v>0</v>
      </c>
      <c r="W55" s="63">
        <f>'COGS-PRICE-MARGIN_CWS'!$F30*W43</f>
        <v>0</v>
      </c>
      <c r="X55" s="63">
        <f>'COGS-PRICE-MARGIN_CWS'!$F30*X43</f>
        <v>0</v>
      </c>
      <c r="Y55" s="63">
        <f>'COGS-PRICE-MARGIN_CWS'!$F30*Y43</f>
        <v>0</v>
      </c>
      <c r="Z55" s="63">
        <f>'COGS-PRICE-MARGIN_CWS'!$F30*Z43</f>
        <v>0</v>
      </c>
      <c r="AA55" s="63">
        <f>'COGS-PRICE-MARGIN_CWS'!$F30*AA43</f>
        <v>0</v>
      </c>
      <c r="AB55" s="63">
        <f>'COGS-PRICE-MARGIN_CWS'!$F30*AB43</f>
        <v>0</v>
      </c>
      <c r="AC55" s="63">
        <f>'COGS-PRICE-MARGIN_CWS'!$F51*AC43</f>
        <v>0</v>
      </c>
      <c r="AD55" s="63">
        <f>'COGS-PRICE-MARGIN_CWS'!$F51*AD43</f>
        <v>0</v>
      </c>
      <c r="AE55" s="63">
        <f>'COGS-PRICE-MARGIN_CWS'!$F51*AE43</f>
        <v>0</v>
      </c>
      <c r="AF55" s="63">
        <f>'COGS-PRICE-MARGIN_CWS'!$F51*AF43</f>
        <v>0</v>
      </c>
      <c r="AG55" s="63">
        <f>'COGS-PRICE-MARGIN_CWS'!$F51*AG43</f>
        <v>0</v>
      </c>
      <c r="AH55" s="63">
        <f>'COGS-PRICE-MARGIN_CWS'!$F51*AH43</f>
        <v>0</v>
      </c>
      <c r="AI55" s="63">
        <f>'COGS-PRICE-MARGIN_CWS'!$F51*AI43</f>
        <v>0</v>
      </c>
      <c r="AJ55" s="63">
        <f>'COGS-PRICE-MARGIN_CWS'!$F51*AJ43</f>
        <v>0</v>
      </c>
      <c r="AK55" s="63">
        <f>'COGS-PRICE-MARGIN_CWS'!$F51*AK43</f>
        <v>0</v>
      </c>
      <c r="AL55" s="63">
        <f>'COGS-PRICE-MARGIN_CWS'!$F51*AL43</f>
        <v>0</v>
      </c>
      <c r="AM55" s="63">
        <f>'COGS-PRICE-MARGIN_CWS'!$F51*AM43</f>
        <v>0</v>
      </c>
      <c r="AN55" s="63">
        <f>'COGS-PRICE-MARGIN_CWS'!$F51*AN43</f>
        <v>0</v>
      </c>
      <c r="AO55" s="63">
        <f>'COGS-PRICE-MARGIN_CWS'!$F72*AO43</f>
        <v>0</v>
      </c>
      <c r="AP55" s="63">
        <f>'COGS-PRICE-MARGIN_CWS'!$F72*AP43</f>
        <v>0</v>
      </c>
      <c r="AQ55" s="63">
        <f>'COGS-PRICE-MARGIN_CWS'!$F72*AQ43</f>
        <v>0</v>
      </c>
      <c r="AR55" s="63">
        <f>'COGS-PRICE-MARGIN_CWS'!$F72*AR43</f>
        <v>0</v>
      </c>
      <c r="AS55" s="63">
        <f>'COGS-PRICE-MARGIN_CWS'!$F72*AS43</f>
        <v>0</v>
      </c>
      <c r="AT55" s="63">
        <f>'COGS-PRICE-MARGIN_CWS'!$F72*AT43</f>
        <v>0</v>
      </c>
      <c r="AU55" s="63">
        <f>'COGS-PRICE-MARGIN_CWS'!$F72*AU43</f>
        <v>0</v>
      </c>
      <c r="AV55" s="63">
        <f>'COGS-PRICE-MARGIN_CWS'!$F72*AV43</f>
        <v>0</v>
      </c>
      <c r="AW55" s="63">
        <f>'COGS-PRICE-MARGIN_CWS'!$F72*AW43</f>
        <v>0</v>
      </c>
      <c r="AX55" s="63">
        <f>'COGS-PRICE-MARGIN_CWS'!$F72*AX43</f>
        <v>0</v>
      </c>
      <c r="AY55" s="63">
        <f>'COGS-PRICE-MARGIN_CWS'!$F72*AY43</f>
        <v>0</v>
      </c>
      <c r="AZ55" s="63">
        <f>'COGS-PRICE-MARGIN_CWS'!$F72*AZ43</f>
        <v>0</v>
      </c>
      <c r="BA55" s="63">
        <f>'COGS-PRICE-MARGIN_CWS'!$F93*BA43</f>
        <v>0</v>
      </c>
      <c r="BB55" s="63">
        <f>'COGS-PRICE-MARGIN_CWS'!$F93*BB43</f>
        <v>0</v>
      </c>
      <c r="BC55" s="63">
        <f>'COGS-PRICE-MARGIN_CWS'!$F93*BC43</f>
        <v>0</v>
      </c>
      <c r="BD55" s="63">
        <f>'COGS-PRICE-MARGIN_CWS'!$F93*BD43</f>
        <v>0</v>
      </c>
      <c r="BE55" s="63">
        <f>'COGS-PRICE-MARGIN_CWS'!$F93*BE43</f>
        <v>0</v>
      </c>
      <c r="BF55" s="63">
        <f>'COGS-PRICE-MARGIN_CWS'!$F93*BF43</f>
        <v>0</v>
      </c>
      <c r="BG55" s="63">
        <f>'COGS-PRICE-MARGIN_CWS'!$F93*BG43</f>
        <v>0</v>
      </c>
      <c r="BH55" s="63">
        <f>'COGS-PRICE-MARGIN_CWS'!$F93*BH43</f>
        <v>0</v>
      </c>
      <c r="BI55" s="63">
        <f>'COGS-PRICE-MARGIN_CWS'!$F93*BI43</f>
        <v>0</v>
      </c>
      <c r="BJ55" s="63">
        <f>'COGS-PRICE-MARGIN_CWS'!$F93*BJ43</f>
        <v>0</v>
      </c>
      <c r="BK55" s="63">
        <f>'COGS-PRICE-MARGIN_CWS'!$F93*BK43</f>
        <v>0</v>
      </c>
      <c r="BL55" s="63">
        <f>'COGS-PRICE-MARGIN_CWS'!$F93*BL43</f>
        <v>0</v>
      </c>
      <c r="BM55" s="118">
        <f>SUM(E55:BL55)</f>
        <v>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468000</v>
      </c>
      <c r="I57" s="63">
        <f t="shared" si="43"/>
        <v>516000</v>
      </c>
      <c r="J57" s="63">
        <f t="shared" si="43"/>
        <v>576000</v>
      </c>
      <c r="K57" s="63">
        <f t="shared" si="43"/>
        <v>468000</v>
      </c>
      <c r="L57" s="63">
        <f t="shared" si="43"/>
        <v>516000</v>
      </c>
      <c r="M57" s="63">
        <f t="shared" si="43"/>
        <v>420000</v>
      </c>
      <c r="N57" s="63">
        <f t="shared" si="43"/>
        <v>420000</v>
      </c>
      <c r="O57" s="63">
        <f t="shared" si="43"/>
        <v>420000</v>
      </c>
      <c r="P57" s="63">
        <f t="shared" si="43"/>
        <v>264000</v>
      </c>
      <c r="Q57" s="63">
        <f>SUM(Q52:Q55)</f>
        <v>172800</v>
      </c>
      <c r="R57" s="63">
        <f t="shared" ref="R57:BL57" si="44">SUM(R52:R55)</f>
        <v>280800</v>
      </c>
      <c r="S57" s="63">
        <f t="shared" si="44"/>
        <v>313200</v>
      </c>
      <c r="T57" s="63">
        <f t="shared" si="44"/>
        <v>313200</v>
      </c>
      <c r="U57" s="63">
        <f t="shared" si="44"/>
        <v>345600</v>
      </c>
      <c r="V57" s="63">
        <f t="shared" si="44"/>
        <v>378000</v>
      </c>
      <c r="W57" s="63">
        <f t="shared" si="44"/>
        <v>313200</v>
      </c>
      <c r="X57" s="63">
        <f t="shared" si="44"/>
        <v>345600</v>
      </c>
      <c r="Y57" s="63">
        <f t="shared" si="44"/>
        <v>280800</v>
      </c>
      <c r="Z57" s="63">
        <f t="shared" si="44"/>
        <v>280800</v>
      </c>
      <c r="AA57" s="63">
        <f t="shared" si="44"/>
        <v>280800</v>
      </c>
      <c r="AB57" s="63">
        <f t="shared" si="44"/>
        <v>172800</v>
      </c>
      <c r="AC57" s="63">
        <f t="shared" si="44"/>
        <v>281880</v>
      </c>
      <c r="AD57" s="63">
        <f t="shared" si="44"/>
        <v>456840</v>
      </c>
      <c r="AE57" s="63">
        <f t="shared" si="44"/>
        <v>515160</v>
      </c>
      <c r="AF57" s="63">
        <f t="shared" si="44"/>
        <v>515160</v>
      </c>
      <c r="AG57" s="63">
        <f t="shared" si="44"/>
        <v>563760</v>
      </c>
      <c r="AH57" s="63">
        <f t="shared" si="44"/>
        <v>622080</v>
      </c>
      <c r="AI57" s="63">
        <f t="shared" si="44"/>
        <v>515160</v>
      </c>
      <c r="AJ57" s="63">
        <f t="shared" si="44"/>
        <v>563760</v>
      </c>
      <c r="AK57" s="63">
        <f t="shared" si="44"/>
        <v>456840</v>
      </c>
      <c r="AL57" s="63">
        <f t="shared" si="44"/>
        <v>456840</v>
      </c>
      <c r="AM57" s="63">
        <f t="shared" si="44"/>
        <v>456840</v>
      </c>
      <c r="AN57" s="63">
        <f t="shared" si="44"/>
        <v>281880</v>
      </c>
      <c r="AO57" s="63">
        <f t="shared" si="44"/>
        <v>271188</v>
      </c>
      <c r="AP57" s="63">
        <f t="shared" si="44"/>
        <v>437400</v>
      </c>
      <c r="AQ57" s="63">
        <f t="shared" si="44"/>
        <v>489888</v>
      </c>
      <c r="AR57" s="63">
        <f t="shared" si="44"/>
        <v>489888</v>
      </c>
      <c r="AS57" s="63">
        <f t="shared" si="44"/>
        <v>542376</v>
      </c>
      <c r="AT57" s="63">
        <f t="shared" si="44"/>
        <v>594864</v>
      </c>
      <c r="AU57" s="63">
        <f t="shared" si="44"/>
        <v>489888</v>
      </c>
      <c r="AV57" s="63">
        <f t="shared" si="44"/>
        <v>542376</v>
      </c>
      <c r="AW57" s="63">
        <f t="shared" si="44"/>
        <v>437400</v>
      </c>
      <c r="AX57" s="63">
        <f t="shared" si="44"/>
        <v>437400</v>
      </c>
      <c r="AY57" s="63">
        <f t="shared" si="44"/>
        <v>437400</v>
      </c>
      <c r="AZ57" s="63">
        <f t="shared" si="44"/>
        <v>271188</v>
      </c>
      <c r="BA57" s="63">
        <f t="shared" si="44"/>
        <v>259851.9</v>
      </c>
      <c r="BB57" s="63">
        <f t="shared" si="44"/>
        <v>417337.89999999997</v>
      </c>
      <c r="BC57" s="63">
        <f t="shared" si="44"/>
        <v>464583.7</v>
      </c>
      <c r="BD57" s="63">
        <f t="shared" si="44"/>
        <v>464583.7</v>
      </c>
      <c r="BE57" s="63">
        <f t="shared" si="44"/>
        <v>519703.8</v>
      </c>
      <c r="BF57" s="63">
        <f t="shared" si="44"/>
        <v>566949.6</v>
      </c>
      <c r="BG57" s="63">
        <f t="shared" si="44"/>
        <v>464583.7</v>
      </c>
      <c r="BH57" s="63">
        <f t="shared" si="44"/>
        <v>519703.8</v>
      </c>
      <c r="BI57" s="63">
        <f t="shared" si="44"/>
        <v>417337.89999999997</v>
      </c>
      <c r="BJ57" s="63">
        <f t="shared" si="44"/>
        <v>417337.89999999997</v>
      </c>
      <c r="BK57" s="63">
        <f t="shared" si="44"/>
        <v>417337.89999999997</v>
      </c>
      <c r="BL57" s="63">
        <f t="shared" si="44"/>
        <v>259851.9</v>
      </c>
      <c r="BM57" s="118">
        <f>SUM(E57:BL57)</f>
        <v>23862219.699999992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669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4380</v>
      </c>
      <c r="I59" s="63">
        <f t="shared" si="45"/>
        <v>4380</v>
      </c>
      <c r="J59" s="63">
        <f t="shared" si="45"/>
        <v>4380</v>
      </c>
      <c r="K59" s="63">
        <f t="shared" si="45"/>
        <v>4380</v>
      </c>
      <c r="L59" s="63">
        <f t="shared" si="45"/>
        <v>4380</v>
      </c>
      <c r="M59" s="63">
        <f t="shared" si="45"/>
        <v>4380</v>
      </c>
      <c r="N59" s="63">
        <f t="shared" si="45"/>
        <v>4380</v>
      </c>
      <c r="O59" s="63">
        <f t="shared" si="45"/>
        <v>4380</v>
      </c>
      <c r="P59" s="63">
        <f t="shared" si="45"/>
        <v>4380</v>
      </c>
      <c r="Q59" s="63">
        <f t="shared" si="45"/>
        <v>4050</v>
      </c>
      <c r="R59" s="63">
        <f t="shared" si="45"/>
        <v>4050</v>
      </c>
      <c r="S59" s="63">
        <f t="shared" si="45"/>
        <v>4050</v>
      </c>
      <c r="T59" s="63">
        <f t="shared" si="45"/>
        <v>4050</v>
      </c>
      <c r="U59" s="63">
        <f t="shared" si="45"/>
        <v>4050</v>
      </c>
      <c r="V59" s="63">
        <f t="shared" si="45"/>
        <v>4050</v>
      </c>
      <c r="W59" s="63">
        <f t="shared" si="45"/>
        <v>4050</v>
      </c>
      <c r="X59" s="63">
        <f t="shared" si="45"/>
        <v>4050</v>
      </c>
      <c r="Y59" s="63">
        <f t="shared" si="45"/>
        <v>4050</v>
      </c>
      <c r="Z59" s="63">
        <f t="shared" si="45"/>
        <v>4050</v>
      </c>
      <c r="AA59" s="63">
        <f t="shared" si="45"/>
        <v>4050</v>
      </c>
      <c r="AB59" s="63">
        <f t="shared" si="45"/>
        <v>4050</v>
      </c>
      <c r="AC59" s="63">
        <f t="shared" si="45"/>
        <v>-4620</v>
      </c>
      <c r="AD59" s="63">
        <f t="shared" si="45"/>
        <v>-4620</v>
      </c>
      <c r="AE59" s="63">
        <f t="shared" si="45"/>
        <v>-4620</v>
      </c>
      <c r="AF59" s="63">
        <f t="shared" si="45"/>
        <v>-4620</v>
      </c>
      <c r="AG59" s="63">
        <f t="shared" si="45"/>
        <v>-4620</v>
      </c>
      <c r="AH59" s="63">
        <f t="shared" si="45"/>
        <v>-4620</v>
      </c>
      <c r="AI59" s="63">
        <f t="shared" si="45"/>
        <v>-4620</v>
      </c>
      <c r="AJ59" s="63">
        <f t="shared" si="45"/>
        <v>-4620</v>
      </c>
      <c r="AK59" s="63">
        <f t="shared" ref="AK59:BL59" si="46">IF(AK43&gt;0,(AK48-AK57)/AK43,0)</f>
        <v>-4620</v>
      </c>
      <c r="AL59" s="63">
        <f t="shared" si="46"/>
        <v>-4620</v>
      </c>
      <c r="AM59" s="63">
        <f t="shared" si="46"/>
        <v>-4620</v>
      </c>
      <c r="AN59" s="63">
        <f t="shared" si="46"/>
        <v>-4620</v>
      </c>
      <c r="AO59" s="63">
        <f t="shared" si="46"/>
        <v>-2898</v>
      </c>
      <c r="AP59" s="63">
        <f t="shared" si="46"/>
        <v>-2898</v>
      </c>
      <c r="AQ59" s="63">
        <f t="shared" si="46"/>
        <v>-2898</v>
      </c>
      <c r="AR59" s="63">
        <f t="shared" si="46"/>
        <v>-2898</v>
      </c>
      <c r="AS59" s="63">
        <f t="shared" si="46"/>
        <v>-2898</v>
      </c>
      <c r="AT59" s="63">
        <f t="shared" si="46"/>
        <v>-2898</v>
      </c>
      <c r="AU59" s="63">
        <f t="shared" si="46"/>
        <v>-2898</v>
      </c>
      <c r="AV59" s="63">
        <f t="shared" si="46"/>
        <v>-2898</v>
      </c>
      <c r="AW59" s="63">
        <f t="shared" si="46"/>
        <v>-2898</v>
      </c>
      <c r="AX59" s="63">
        <f t="shared" si="46"/>
        <v>-2898</v>
      </c>
      <c r="AY59" s="63">
        <f t="shared" si="46"/>
        <v>-2898</v>
      </c>
      <c r="AZ59" s="63">
        <f t="shared" si="46"/>
        <v>-2898</v>
      </c>
      <c r="BA59" s="63">
        <f t="shared" si="46"/>
        <v>-1349.2999999999997</v>
      </c>
      <c r="BB59" s="63">
        <f t="shared" si="46"/>
        <v>-1349.2999999999993</v>
      </c>
      <c r="BC59" s="63">
        <f t="shared" si="46"/>
        <v>-1349.3000000000002</v>
      </c>
      <c r="BD59" s="63">
        <f t="shared" si="46"/>
        <v>-1349.3000000000002</v>
      </c>
      <c r="BE59" s="63">
        <f t="shared" si="46"/>
        <v>-1349.2999999999997</v>
      </c>
      <c r="BF59" s="63">
        <f t="shared" si="46"/>
        <v>-1349.2999999999997</v>
      </c>
      <c r="BG59" s="63">
        <f t="shared" si="46"/>
        <v>-1349.3000000000002</v>
      </c>
      <c r="BH59" s="63">
        <f t="shared" si="46"/>
        <v>-1349.2999999999997</v>
      </c>
      <c r="BI59" s="63">
        <f t="shared" si="46"/>
        <v>-1349.2999999999993</v>
      </c>
      <c r="BJ59" s="63">
        <f t="shared" si="46"/>
        <v>-1349.2999999999993</v>
      </c>
      <c r="BK59" s="63">
        <f t="shared" si="46"/>
        <v>-1349.2999999999993</v>
      </c>
      <c r="BL59" s="63">
        <f t="shared" si="46"/>
        <v>-1349.2999999999997</v>
      </c>
    </row>
    <row r="60" spans="2:65" x14ac:dyDescent="0.15">
      <c r="B60" s="47" t="s">
        <v>670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170820</v>
      </c>
      <c r="I60" s="63">
        <f t="shared" si="47"/>
        <v>188340</v>
      </c>
      <c r="J60" s="63">
        <f t="shared" si="47"/>
        <v>210240</v>
      </c>
      <c r="K60" s="63">
        <f t="shared" si="47"/>
        <v>170820</v>
      </c>
      <c r="L60" s="63">
        <f t="shared" si="47"/>
        <v>188340</v>
      </c>
      <c r="M60" s="63">
        <f t="shared" si="47"/>
        <v>153300</v>
      </c>
      <c r="N60" s="63">
        <f t="shared" si="47"/>
        <v>153300</v>
      </c>
      <c r="O60" s="63">
        <f t="shared" si="47"/>
        <v>153300</v>
      </c>
      <c r="P60" s="63">
        <f t="shared" si="47"/>
        <v>96360</v>
      </c>
      <c r="Q60" s="63">
        <f t="shared" si="47"/>
        <v>64800</v>
      </c>
      <c r="R60" s="63">
        <f t="shared" si="47"/>
        <v>105300</v>
      </c>
      <c r="S60" s="63">
        <f t="shared" si="47"/>
        <v>117450</v>
      </c>
      <c r="T60" s="63">
        <f t="shared" si="47"/>
        <v>117450</v>
      </c>
      <c r="U60" s="63">
        <f t="shared" si="47"/>
        <v>129600</v>
      </c>
      <c r="V60" s="63">
        <f t="shared" si="47"/>
        <v>141750</v>
      </c>
      <c r="W60" s="63">
        <f t="shared" si="47"/>
        <v>117450</v>
      </c>
      <c r="X60" s="63">
        <f t="shared" si="47"/>
        <v>129600</v>
      </c>
      <c r="Y60" s="63">
        <f t="shared" si="47"/>
        <v>105300</v>
      </c>
      <c r="Z60" s="63">
        <f t="shared" si="47"/>
        <v>105300</v>
      </c>
      <c r="AA60" s="63">
        <f t="shared" si="47"/>
        <v>105300</v>
      </c>
      <c r="AB60" s="63">
        <f t="shared" si="47"/>
        <v>64800</v>
      </c>
      <c r="AC60" s="63">
        <f t="shared" si="47"/>
        <v>-133980</v>
      </c>
      <c r="AD60" s="63">
        <f t="shared" si="47"/>
        <v>-217140</v>
      </c>
      <c r="AE60" s="63">
        <f t="shared" si="47"/>
        <v>-244860</v>
      </c>
      <c r="AF60" s="63">
        <f t="shared" si="47"/>
        <v>-244860</v>
      </c>
      <c r="AG60" s="63">
        <f t="shared" si="47"/>
        <v>-267960</v>
      </c>
      <c r="AH60" s="63">
        <f t="shared" si="47"/>
        <v>-295680</v>
      </c>
      <c r="AI60" s="63">
        <f t="shared" si="47"/>
        <v>-244860</v>
      </c>
      <c r="AJ60" s="63">
        <f t="shared" si="47"/>
        <v>-267960</v>
      </c>
      <c r="AK60" s="63">
        <f t="shared" ref="AK60:BL60" si="48">AK48-AK57</f>
        <v>-217140</v>
      </c>
      <c r="AL60" s="63">
        <f t="shared" si="48"/>
        <v>-217140</v>
      </c>
      <c r="AM60" s="63">
        <f t="shared" si="48"/>
        <v>-217140</v>
      </c>
      <c r="AN60" s="63">
        <f t="shared" si="48"/>
        <v>-133980</v>
      </c>
      <c r="AO60" s="63">
        <f t="shared" si="48"/>
        <v>-89838</v>
      </c>
      <c r="AP60" s="63">
        <f t="shared" si="48"/>
        <v>-144900</v>
      </c>
      <c r="AQ60" s="63">
        <f t="shared" si="48"/>
        <v>-162288</v>
      </c>
      <c r="AR60" s="63">
        <f t="shared" si="48"/>
        <v>-162288</v>
      </c>
      <c r="AS60" s="63">
        <f t="shared" si="48"/>
        <v>-179676</v>
      </c>
      <c r="AT60" s="63">
        <f t="shared" si="48"/>
        <v>-197064</v>
      </c>
      <c r="AU60" s="63">
        <f t="shared" si="48"/>
        <v>-162288</v>
      </c>
      <c r="AV60" s="63">
        <f t="shared" si="48"/>
        <v>-179676</v>
      </c>
      <c r="AW60" s="63">
        <f t="shared" si="48"/>
        <v>-144900</v>
      </c>
      <c r="AX60" s="63">
        <f t="shared" si="48"/>
        <v>-144900</v>
      </c>
      <c r="AY60" s="63">
        <f t="shared" si="48"/>
        <v>-144900</v>
      </c>
      <c r="AZ60" s="63">
        <f t="shared" si="48"/>
        <v>-89838</v>
      </c>
      <c r="BA60" s="63">
        <f t="shared" si="48"/>
        <v>-44526.899999999994</v>
      </c>
      <c r="BB60" s="63">
        <f t="shared" si="48"/>
        <v>-71512.899999999965</v>
      </c>
      <c r="BC60" s="63">
        <f t="shared" si="48"/>
        <v>-79608.700000000012</v>
      </c>
      <c r="BD60" s="63">
        <f t="shared" si="48"/>
        <v>-79608.700000000012</v>
      </c>
      <c r="BE60" s="63">
        <f t="shared" si="48"/>
        <v>-89053.799999999988</v>
      </c>
      <c r="BF60" s="63">
        <f t="shared" si="48"/>
        <v>-97149.599999999977</v>
      </c>
      <c r="BG60" s="63">
        <f t="shared" si="48"/>
        <v>-79608.700000000012</v>
      </c>
      <c r="BH60" s="63">
        <f t="shared" si="48"/>
        <v>-89053.799999999988</v>
      </c>
      <c r="BI60" s="63">
        <f t="shared" si="48"/>
        <v>-71512.899999999965</v>
      </c>
      <c r="BJ60" s="63">
        <f t="shared" si="48"/>
        <v>-71512.899999999965</v>
      </c>
      <c r="BK60" s="63">
        <f t="shared" si="48"/>
        <v>-71512.899999999965</v>
      </c>
      <c r="BL60" s="63">
        <f t="shared" si="48"/>
        <v>-44526.899999999994</v>
      </c>
      <c r="BM60" s="118">
        <f>SUM(E60:BL60)</f>
        <v>-2605524.6999999993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0.26739926739926739</v>
      </c>
      <c r="I61" s="46">
        <f t="shared" si="49"/>
        <v>0.26739926739926739</v>
      </c>
      <c r="J61" s="46">
        <f t="shared" si="49"/>
        <v>0.26739926739926739</v>
      </c>
      <c r="K61" s="46">
        <f t="shared" si="49"/>
        <v>0.26739926739926739</v>
      </c>
      <c r="L61" s="46">
        <f t="shared" si="49"/>
        <v>0.26739926739926739</v>
      </c>
      <c r="M61" s="46">
        <f t="shared" si="49"/>
        <v>0.26739926739926739</v>
      </c>
      <c r="N61" s="46">
        <f t="shared" si="49"/>
        <v>0.26739926739926739</v>
      </c>
      <c r="O61" s="46">
        <f t="shared" si="49"/>
        <v>0.26739926739926739</v>
      </c>
      <c r="P61" s="46">
        <f t="shared" si="49"/>
        <v>0.26739926739926739</v>
      </c>
      <c r="Q61" s="46">
        <f t="shared" si="49"/>
        <v>0.27272727272727271</v>
      </c>
      <c r="R61" s="46">
        <f t="shared" si="49"/>
        <v>0.27272727272727271</v>
      </c>
      <c r="S61" s="46">
        <f t="shared" si="49"/>
        <v>0.27272727272727271</v>
      </c>
      <c r="T61" s="46">
        <f t="shared" si="49"/>
        <v>0.27272727272727271</v>
      </c>
      <c r="U61" s="46">
        <f t="shared" si="49"/>
        <v>0.27272727272727271</v>
      </c>
      <c r="V61" s="46">
        <f t="shared" si="49"/>
        <v>0.27272727272727271</v>
      </c>
      <c r="W61" s="46">
        <f t="shared" si="49"/>
        <v>0.27272727272727271</v>
      </c>
      <c r="X61" s="46">
        <f t="shared" si="49"/>
        <v>0.27272727272727271</v>
      </c>
      <c r="Y61" s="46">
        <f t="shared" si="49"/>
        <v>0.27272727272727271</v>
      </c>
      <c r="Z61" s="46">
        <f t="shared" si="49"/>
        <v>0.27272727272727271</v>
      </c>
      <c r="AA61" s="46">
        <f t="shared" si="49"/>
        <v>0.27272727272727271</v>
      </c>
      <c r="AB61" s="46">
        <f t="shared" si="49"/>
        <v>0.27272727272727271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>
        <f t="shared" si="49"/>
        <v>0</v>
      </c>
      <c r="AP61" s="46">
        <f t="shared" si="49"/>
        <v>0</v>
      </c>
      <c r="AQ61" s="46">
        <f t="shared" si="49"/>
        <v>0</v>
      </c>
      <c r="AR61" s="46">
        <f t="shared" si="49"/>
        <v>0</v>
      </c>
      <c r="AS61" s="46">
        <f t="shared" si="49"/>
        <v>0</v>
      </c>
      <c r="AT61" s="46">
        <f t="shared" si="49"/>
        <v>0</v>
      </c>
      <c r="AU61" s="46">
        <f t="shared" si="49"/>
        <v>0</v>
      </c>
      <c r="AV61" s="46">
        <f t="shared" si="49"/>
        <v>0</v>
      </c>
      <c r="AW61" s="46">
        <f t="shared" si="49"/>
        <v>0</v>
      </c>
      <c r="AX61" s="46">
        <f t="shared" si="49"/>
        <v>0</v>
      </c>
      <c r="AY61" s="46">
        <f t="shared" si="49"/>
        <v>0</v>
      </c>
      <c r="AZ61" s="46">
        <f t="shared" si="49"/>
        <v>0</v>
      </c>
      <c r="BA61" s="46">
        <f t="shared" si="49"/>
        <v>0</v>
      </c>
      <c r="BB61" s="46">
        <f t="shared" si="49"/>
        <v>0</v>
      </c>
      <c r="BC61" s="46">
        <f t="shared" si="49"/>
        <v>0</v>
      </c>
      <c r="BD61" s="46">
        <f t="shared" si="49"/>
        <v>0</v>
      </c>
      <c r="BE61" s="46">
        <f t="shared" si="49"/>
        <v>0</v>
      </c>
      <c r="BF61" s="46">
        <f t="shared" si="49"/>
        <v>0</v>
      </c>
      <c r="BG61" s="46">
        <f t="shared" si="49"/>
        <v>0</v>
      </c>
      <c r="BH61" s="46">
        <f t="shared" si="49"/>
        <v>0</v>
      </c>
      <c r="BI61" s="46">
        <f t="shared" si="49"/>
        <v>0</v>
      </c>
      <c r="BJ61" s="46">
        <f t="shared" si="49"/>
        <v>0</v>
      </c>
      <c r="BK61" s="46">
        <f t="shared" si="49"/>
        <v>0</v>
      </c>
      <c r="BL61" s="46">
        <f t="shared" si="49"/>
        <v>0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>
        <f>'COGS-PRICE-MARGIN_CWS'!$C21</f>
        <v>0.25</v>
      </c>
      <c r="F65" s="172">
        <f>'COGS-PRICE-MARGIN_CWS'!$C21</f>
        <v>0.25</v>
      </c>
      <c r="G65" s="172">
        <f>'COGS-PRICE-MARGIN_CWS'!$C21</f>
        <v>0.25</v>
      </c>
      <c r="H65" s="172">
        <f>'COGS-PRICE-MARGIN_CWS'!$C21</f>
        <v>0.25</v>
      </c>
      <c r="I65" s="172">
        <f>'COGS-PRICE-MARGIN_CWS'!$C21</f>
        <v>0.25</v>
      </c>
      <c r="J65" s="172">
        <f>'COGS-PRICE-MARGIN_CWS'!$C21</f>
        <v>0.25</v>
      </c>
      <c r="K65" s="172">
        <f>'COGS-PRICE-MARGIN_CWS'!$C21</f>
        <v>0.25</v>
      </c>
      <c r="L65" s="172">
        <f>'COGS-PRICE-MARGIN_CWS'!$C21</f>
        <v>0.25</v>
      </c>
      <c r="M65" s="172">
        <f>'COGS-PRICE-MARGIN_CWS'!$C21</f>
        <v>0.25</v>
      </c>
      <c r="N65" s="172">
        <f>'COGS-PRICE-MARGIN_CWS'!$C21</f>
        <v>0.25</v>
      </c>
      <c r="O65" s="172">
        <f>'COGS-PRICE-MARGIN_CWS'!$C21</f>
        <v>0.25</v>
      </c>
      <c r="P65" s="172">
        <f>'COGS-PRICE-MARGIN_CWS'!$C21</f>
        <v>0.25</v>
      </c>
      <c r="Q65" s="172">
        <f>'COGS-PRICE-MARGIN_CWS'!$C42</f>
        <v>0.4</v>
      </c>
      <c r="R65" s="172">
        <f>'COGS-PRICE-MARGIN_CWS'!$C42</f>
        <v>0.4</v>
      </c>
      <c r="S65" s="172">
        <f>'COGS-PRICE-MARGIN_CWS'!$C42</f>
        <v>0.4</v>
      </c>
      <c r="T65" s="172">
        <f>'COGS-PRICE-MARGIN_CWS'!$C42</f>
        <v>0.4</v>
      </c>
      <c r="U65" s="172">
        <f>'COGS-PRICE-MARGIN_CWS'!$C42</f>
        <v>0.4</v>
      </c>
      <c r="V65" s="172">
        <f>'COGS-PRICE-MARGIN_CWS'!$C42</f>
        <v>0.4</v>
      </c>
      <c r="W65" s="172">
        <f>'COGS-PRICE-MARGIN_CWS'!$C42</f>
        <v>0.4</v>
      </c>
      <c r="X65" s="172">
        <f>'COGS-PRICE-MARGIN_CWS'!$C42</f>
        <v>0.4</v>
      </c>
      <c r="Y65" s="172">
        <f>'COGS-PRICE-MARGIN_CWS'!$C42</f>
        <v>0.4</v>
      </c>
      <c r="Z65" s="172">
        <f>'COGS-PRICE-MARGIN_CWS'!$C42</f>
        <v>0.4</v>
      </c>
      <c r="AA65" s="172">
        <f>'COGS-PRICE-MARGIN_CWS'!$C42</f>
        <v>0.4</v>
      </c>
      <c r="AB65" s="172">
        <f>'COGS-PRICE-MARGIN_CWS'!$C42</f>
        <v>0.4</v>
      </c>
      <c r="AC65" s="172">
        <f>'COGS-PRICE-MARGIN_CWS'!$C63</f>
        <v>0.6</v>
      </c>
      <c r="AD65" s="172">
        <f>'COGS-PRICE-MARGIN_CWS'!$C63</f>
        <v>0.6</v>
      </c>
      <c r="AE65" s="172">
        <f>'COGS-PRICE-MARGIN_CWS'!$C63</f>
        <v>0.6</v>
      </c>
      <c r="AF65" s="172">
        <f>'COGS-PRICE-MARGIN_CWS'!$C63</f>
        <v>0.6</v>
      </c>
      <c r="AG65" s="172">
        <f>'COGS-PRICE-MARGIN_CWS'!$C63</f>
        <v>0.6</v>
      </c>
      <c r="AH65" s="172">
        <f>'COGS-PRICE-MARGIN_CWS'!$C63</f>
        <v>0.6</v>
      </c>
      <c r="AI65" s="172">
        <f>'COGS-PRICE-MARGIN_CWS'!$C63</f>
        <v>0.6</v>
      </c>
      <c r="AJ65" s="172">
        <f>'COGS-PRICE-MARGIN_CWS'!$C63</f>
        <v>0.6</v>
      </c>
      <c r="AK65" s="172">
        <f>'COGS-PRICE-MARGIN_CWS'!$C63</f>
        <v>0.6</v>
      </c>
      <c r="AL65" s="172">
        <f>'COGS-PRICE-MARGIN_CWS'!$C63</f>
        <v>0.6</v>
      </c>
      <c r="AM65" s="172">
        <f>'COGS-PRICE-MARGIN_CWS'!$C63</f>
        <v>0.6</v>
      </c>
      <c r="AN65" s="172">
        <f>'COGS-PRICE-MARGIN_CWS'!$C63</f>
        <v>0.6</v>
      </c>
      <c r="AO65" s="172">
        <f>'COGS-PRICE-MARGIN_CWS'!$C84</f>
        <v>0.8</v>
      </c>
      <c r="AP65" s="172">
        <f>'COGS-PRICE-MARGIN_CWS'!$C84</f>
        <v>0.8</v>
      </c>
      <c r="AQ65" s="172">
        <f>'COGS-PRICE-MARGIN_CWS'!$C84</f>
        <v>0.8</v>
      </c>
      <c r="AR65" s="172">
        <f>'COGS-PRICE-MARGIN_CWS'!$C84</f>
        <v>0.8</v>
      </c>
      <c r="AS65" s="172">
        <f>'COGS-PRICE-MARGIN_CWS'!$C84</f>
        <v>0.8</v>
      </c>
      <c r="AT65" s="172">
        <f>'COGS-PRICE-MARGIN_CWS'!$C84</f>
        <v>0.8</v>
      </c>
      <c r="AU65" s="172">
        <f>'COGS-PRICE-MARGIN_CWS'!$C84</f>
        <v>0.8</v>
      </c>
      <c r="AV65" s="172">
        <f>'COGS-PRICE-MARGIN_CWS'!$C84</f>
        <v>0.8</v>
      </c>
      <c r="AW65" s="172">
        <f>'COGS-PRICE-MARGIN_CWS'!$C84</f>
        <v>0.8</v>
      </c>
      <c r="AX65" s="172">
        <f>'COGS-PRICE-MARGIN_CWS'!$C84</f>
        <v>0.8</v>
      </c>
      <c r="AY65" s="172">
        <f>'COGS-PRICE-MARGIN_CWS'!$C84</f>
        <v>0.8</v>
      </c>
      <c r="AZ65" s="172">
        <f>'COGS-PRICE-MARGIN_CWS'!$C84</f>
        <v>0.8</v>
      </c>
      <c r="BA65" s="172">
        <f>'COGS-PRICE-MARGIN_CWS'!$C105</f>
        <v>0.9</v>
      </c>
      <c r="BB65" s="172">
        <f>'COGS-PRICE-MARGIN_CWS'!$C105</f>
        <v>0.9</v>
      </c>
      <c r="BC65" s="172">
        <f>'COGS-PRICE-MARGIN_CWS'!$C105</f>
        <v>0.9</v>
      </c>
      <c r="BD65" s="172">
        <f>'COGS-PRICE-MARGIN_CWS'!$C105</f>
        <v>0.9</v>
      </c>
      <c r="BE65" s="172">
        <f>'COGS-PRICE-MARGIN_CWS'!$C105</f>
        <v>0.9</v>
      </c>
      <c r="BF65" s="172">
        <f>'COGS-PRICE-MARGIN_CWS'!$C105</f>
        <v>0.9</v>
      </c>
      <c r="BG65" s="172">
        <f>'COGS-PRICE-MARGIN_CWS'!$C105</f>
        <v>0.9</v>
      </c>
      <c r="BH65" s="172">
        <f>'COGS-PRICE-MARGIN_CWS'!$C105</f>
        <v>0.9</v>
      </c>
      <c r="BI65" s="172">
        <f>'COGS-PRICE-MARGIN_CWS'!$C105</f>
        <v>0.9</v>
      </c>
      <c r="BJ65" s="172">
        <f>'COGS-PRICE-MARGIN_CWS'!$C105</f>
        <v>0.9</v>
      </c>
      <c r="BK65" s="172">
        <f>'COGS-PRICE-MARGIN_CWS'!$C105</f>
        <v>0.9</v>
      </c>
      <c r="BL65" s="172">
        <f>'COGS-PRICE-MARGIN_CWS'!$C105</f>
        <v>0.9</v>
      </c>
    </row>
    <row r="66" spans="2:66" x14ac:dyDescent="0.15">
      <c r="B66" s="47" t="s">
        <v>350</v>
      </c>
      <c r="C66" s="47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29</v>
      </c>
      <c r="I66" s="33">
        <f t="shared" si="50"/>
        <v>32</v>
      </c>
      <c r="J66" s="33">
        <f t="shared" si="50"/>
        <v>36</v>
      </c>
      <c r="K66" s="33">
        <f t="shared" si="50"/>
        <v>29</v>
      </c>
      <c r="L66" s="33">
        <f t="shared" si="50"/>
        <v>32</v>
      </c>
      <c r="M66" s="33">
        <f t="shared" si="50"/>
        <v>26</v>
      </c>
      <c r="N66" s="33">
        <f t="shared" si="50"/>
        <v>26</v>
      </c>
      <c r="O66" s="33">
        <f t="shared" si="50"/>
        <v>26</v>
      </c>
      <c r="P66" s="33">
        <f t="shared" si="50"/>
        <v>16</v>
      </c>
      <c r="Q66" s="33">
        <f t="shared" si="50"/>
        <v>9</v>
      </c>
      <c r="R66" s="33">
        <f t="shared" si="50"/>
        <v>15</v>
      </c>
      <c r="S66" s="33">
        <f t="shared" si="50"/>
        <v>17</v>
      </c>
      <c r="T66" s="33">
        <f t="shared" si="50"/>
        <v>17</v>
      </c>
      <c r="U66" s="33">
        <f t="shared" si="50"/>
        <v>19</v>
      </c>
      <c r="V66" s="33">
        <f t="shared" si="50"/>
        <v>21</v>
      </c>
      <c r="W66" s="33">
        <f t="shared" si="50"/>
        <v>17</v>
      </c>
      <c r="X66" s="33">
        <f t="shared" si="50"/>
        <v>19</v>
      </c>
      <c r="Y66" s="33">
        <f t="shared" si="50"/>
        <v>15</v>
      </c>
      <c r="Z66" s="33">
        <f t="shared" si="50"/>
        <v>15</v>
      </c>
      <c r="AA66" s="33">
        <f t="shared" si="50"/>
        <v>15</v>
      </c>
      <c r="AB66" s="33">
        <f t="shared" si="50"/>
        <v>9</v>
      </c>
      <c r="AC66" s="33">
        <f t="shared" si="50"/>
        <v>11</v>
      </c>
      <c r="AD66" s="33">
        <f t="shared" si="50"/>
        <v>18</v>
      </c>
      <c r="AE66" s="33">
        <f t="shared" si="50"/>
        <v>21</v>
      </c>
      <c r="AF66" s="33">
        <f t="shared" si="50"/>
        <v>21</v>
      </c>
      <c r="AG66" s="33">
        <f t="shared" si="50"/>
        <v>23</v>
      </c>
      <c r="AH66" s="33">
        <f t="shared" si="50"/>
        <v>25</v>
      </c>
      <c r="AI66" s="33">
        <f t="shared" si="50"/>
        <v>21</v>
      </c>
      <c r="AJ66" s="33">
        <f t="shared" si="50"/>
        <v>23</v>
      </c>
      <c r="AK66" s="33">
        <f t="shared" ref="AK66:BL66" si="51">AK43-AK67</f>
        <v>18</v>
      </c>
      <c r="AL66" s="33">
        <f t="shared" si="51"/>
        <v>18</v>
      </c>
      <c r="AM66" s="33">
        <f t="shared" si="51"/>
        <v>18</v>
      </c>
      <c r="AN66" s="33">
        <f t="shared" si="51"/>
        <v>11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>
        <f>SUM(E66:BL66)</f>
        <v>850</v>
      </c>
    </row>
    <row r="67" spans="2:66" x14ac:dyDescent="0.15">
      <c r="B67" s="47" t="s">
        <v>352</v>
      </c>
      <c r="C67" s="47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10</v>
      </c>
      <c r="I67" s="33">
        <f t="shared" si="52"/>
        <v>11</v>
      </c>
      <c r="J67" s="33">
        <f t="shared" si="52"/>
        <v>12</v>
      </c>
      <c r="K67" s="33">
        <f t="shared" si="52"/>
        <v>10</v>
      </c>
      <c r="L67" s="33">
        <f t="shared" si="52"/>
        <v>11</v>
      </c>
      <c r="M67" s="33">
        <f t="shared" si="52"/>
        <v>9</v>
      </c>
      <c r="N67" s="33">
        <f t="shared" si="52"/>
        <v>9</v>
      </c>
      <c r="O67" s="33">
        <f t="shared" si="52"/>
        <v>9</v>
      </c>
      <c r="P67" s="33">
        <f t="shared" si="52"/>
        <v>6</v>
      </c>
      <c r="Q67" s="33">
        <f t="shared" si="52"/>
        <v>7</v>
      </c>
      <c r="R67" s="33">
        <f t="shared" si="52"/>
        <v>11</v>
      </c>
      <c r="S67" s="33">
        <f t="shared" si="52"/>
        <v>12</v>
      </c>
      <c r="T67" s="33">
        <f t="shared" si="52"/>
        <v>12</v>
      </c>
      <c r="U67" s="33">
        <f t="shared" si="52"/>
        <v>13</v>
      </c>
      <c r="V67" s="33">
        <f t="shared" si="52"/>
        <v>14</v>
      </c>
      <c r="W67" s="33">
        <f t="shared" si="52"/>
        <v>12</v>
      </c>
      <c r="X67" s="33">
        <f t="shared" si="52"/>
        <v>13</v>
      </c>
      <c r="Y67" s="33">
        <f t="shared" si="52"/>
        <v>11</v>
      </c>
      <c r="Z67" s="33">
        <f t="shared" si="52"/>
        <v>11</v>
      </c>
      <c r="AA67" s="33">
        <f t="shared" si="52"/>
        <v>11</v>
      </c>
      <c r="AB67" s="33">
        <f t="shared" si="52"/>
        <v>7</v>
      </c>
      <c r="AC67" s="33">
        <f t="shared" si="52"/>
        <v>18</v>
      </c>
      <c r="AD67" s="33">
        <f t="shared" si="52"/>
        <v>29</v>
      </c>
      <c r="AE67" s="33">
        <f t="shared" si="52"/>
        <v>32</v>
      </c>
      <c r="AF67" s="33">
        <f t="shared" si="52"/>
        <v>32</v>
      </c>
      <c r="AG67" s="33">
        <f t="shared" si="52"/>
        <v>35</v>
      </c>
      <c r="AH67" s="33">
        <f t="shared" si="52"/>
        <v>39</v>
      </c>
      <c r="AI67" s="33">
        <f t="shared" si="52"/>
        <v>32</v>
      </c>
      <c r="AJ67" s="33">
        <f t="shared" si="52"/>
        <v>35</v>
      </c>
      <c r="AK67" s="33">
        <f t="shared" si="52"/>
        <v>29</v>
      </c>
      <c r="AL67" s="33">
        <f t="shared" si="52"/>
        <v>29</v>
      </c>
      <c r="AM67" s="33">
        <f t="shared" si="52"/>
        <v>29</v>
      </c>
      <c r="AN67" s="33">
        <f t="shared" si="52"/>
        <v>18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>
        <f>SUM(E67:BL67)</f>
        <v>1677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>
        <f>'COGS-PRICE-MARGIN_CWS'!$C12*E66</f>
        <v>0</v>
      </c>
      <c r="F71" s="108">
        <f>'COGS-PRICE-MARGIN_CWS'!$C12*F66</f>
        <v>0</v>
      </c>
      <c r="G71" s="108">
        <f>'COGS-PRICE-MARGIN_CWS'!$C12*G66</f>
        <v>0</v>
      </c>
      <c r="H71" s="108">
        <f>'COGS-PRICE-MARGIN_CWS'!$C12*H66</f>
        <v>667000</v>
      </c>
      <c r="I71" s="108">
        <f>'COGS-PRICE-MARGIN_CWS'!$C12*I66</f>
        <v>736000</v>
      </c>
      <c r="J71" s="108">
        <f>'COGS-PRICE-MARGIN_CWS'!$C12*J66</f>
        <v>828000</v>
      </c>
      <c r="K71" s="108">
        <f>'COGS-PRICE-MARGIN_CWS'!$C12*K66</f>
        <v>667000</v>
      </c>
      <c r="L71" s="108">
        <f>'COGS-PRICE-MARGIN_CWS'!$C12*L66</f>
        <v>736000</v>
      </c>
      <c r="M71" s="108">
        <f>'COGS-PRICE-MARGIN_CWS'!$C12*M66</f>
        <v>598000</v>
      </c>
      <c r="N71" s="108">
        <f>'COGS-PRICE-MARGIN_CWS'!$C12*N66</f>
        <v>598000</v>
      </c>
      <c r="O71" s="108">
        <f>'COGS-PRICE-MARGIN_CWS'!$C12*O66</f>
        <v>598000</v>
      </c>
      <c r="P71" s="108">
        <f>'COGS-PRICE-MARGIN_CWS'!$C12*P66</f>
        <v>368000</v>
      </c>
      <c r="Q71" s="108">
        <f>'COGS-PRICE-MARGIN_CWS'!$C34*Q66</f>
        <v>2250</v>
      </c>
      <c r="R71" s="108">
        <f>'COGS-PRICE-MARGIN_CWS'!$C34*R66</f>
        <v>3750</v>
      </c>
      <c r="S71" s="108">
        <f>'COGS-PRICE-MARGIN_CWS'!$C34*S66</f>
        <v>4250</v>
      </c>
      <c r="T71" s="108">
        <f>'COGS-PRICE-MARGIN_CWS'!$C34*T66</f>
        <v>4250</v>
      </c>
      <c r="U71" s="108">
        <f>'COGS-PRICE-MARGIN_CWS'!$C34*U66</f>
        <v>4750</v>
      </c>
      <c r="V71" s="108">
        <f>'COGS-PRICE-MARGIN_CWS'!$C34*V66</f>
        <v>5250</v>
      </c>
      <c r="W71" s="108">
        <f>'COGS-PRICE-MARGIN_CWS'!$C34*W66</f>
        <v>4250</v>
      </c>
      <c r="X71" s="108">
        <f>'COGS-PRICE-MARGIN_CWS'!$C34*X66</f>
        <v>4750</v>
      </c>
      <c r="Y71" s="108">
        <f>'COGS-PRICE-MARGIN_CWS'!$C34*Y66</f>
        <v>3750</v>
      </c>
      <c r="Z71" s="108">
        <f>'COGS-PRICE-MARGIN_CWS'!$C34*Z66</f>
        <v>3750</v>
      </c>
      <c r="AA71" s="108">
        <f>'COGS-PRICE-MARGIN_CWS'!$C34*AA66</f>
        <v>3750</v>
      </c>
      <c r="AB71" s="108">
        <f>'COGS-PRICE-MARGIN_CWS'!$C34*AB66</f>
        <v>2250</v>
      </c>
      <c r="AC71" s="108">
        <f>'COGS-PRICE-MARGIN_CWS'!$C55*AC66</f>
        <v>2750</v>
      </c>
      <c r="AD71" s="108">
        <f>'COGS-PRICE-MARGIN_CWS'!$C55*AD66</f>
        <v>4500</v>
      </c>
      <c r="AE71" s="108">
        <f>'COGS-PRICE-MARGIN_CWS'!$C55*AE66</f>
        <v>5250</v>
      </c>
      <c r="AF71" s="108">
        <f>'COGS-PRICE-MARGIN_CWS'!$C55*AF66</f>
        <v>5250</v>
      </c>
      <c r="AG71" s="108">
        <f>'COGS-PRICE-MARGIN_CWS'!$C55*AG66</f>
        <v>5750</v>
      </c>
      <c r="AH71" s="108">
        <f>'COGS-PRICE-MARGIN_CWS'!$C55*AH66</f>
        <v>6250</v>
      </c>
      <c r="AI71" s="108">
        <f>'COGS-PRICE-MARGIN_CWS'!$C55*AI66</f>
        <v>5250</v>
      </c>
      <c r="AJ71" s="108">
        <f>'COGS-PRICE-MARGIN_CWS'!$C55*AJ66</f>
        <v>5750</v>
      </c>
      <c r="AK71" s="108">
        <f>'COGS-PRICE-MARGIN_CWS'!$C55*AK66</f>
        <v>4500</v>
      </c>
      <c r="AL71" s="108">
        <f>'COGS-PRICE-MARGIN_CWS'!$C55*AL66</f>
        <v>4500</v>
      </c>
      <c r="AM71" s="108">
        <f>'COGS-PRICE-MARGIN_CWS'!$C55*AM66</f>
        <v>4500</v>
      </c>
      <c r="AN71" s="108">
        <f>'COGS-PRICE-MARGIN_CWS'!$C55*AN66</f>
        <v>2750</v>
      </c>
      <c r="AO71" s="108">
        <f>'COGS-PRICE-MARGIN_CWS'!$C76*AO66</f>
        <v>2100</v>
      </c>
      <c r="AP71" s="108">
        <f>'COGS-PRICE-MARGIN_CWS'!$C76*AP66</f>
        <v>3500</v>
      </c>
      <c r="AQ71" s="108">
        <f>'COGS-PRICE-MARGIN_CWS'!$C76*AQ66</f>
        <v>3850</v>
      </c>
      <c r="AR71" s="108">
        <f>'COGS-PRICE-MARGIN_CWS'!$C76*AR66</f>
        <v>3850</v>
      </c>
      <c r="AS71" s="108">
        <f>'COGS-PRICE-MARGIN_CWS'!$C76*AS66</f>
        <v>4200</v>
      </c>
      <c r="AT71" s="108">
        <f>'COGS-PRICE-MARGIN_CWS'!$C76*AT66</f>
        <v>4550</v>
      </c>
      <c r="AU71" s="108">
        <f>'COGS-PRICE-MARGIN_CWS'!$C76*AU66</f>
        <v>3850</v>
      </c>
      <c r="AV71" s="108">
        <f>'COGS-PRICE-MARGIN_CWS'!$C76*AV66</f>
        <v>4200</v>
      </c>
      <c r="AW71" s="108">
        <f>'COGS-PRICE-MARGIN_CWS'!$C76*AW66</f>
        <v>3500</v>
      </c>
      <c r="AX71" s="108">
        <f>'COGS-PRICE-MARGIN_CWS'!$C76*AX66</f>
        <v>3500</v>
      </c>
      <c r="AY71" s="108">
        <f>'COGS-PRICE-MARGIN_CWS'!$C76*AY66</f>
        <v>3500</v>
      </c>
      <c r="AZ71" s="108">
        <f>'COGS-PRICE-MARGIN_CWS'!$C76*AZ66</f>
        <v>2100</v>
      </c>
      <c r="BA71" s="108">
        <f>'COGS-PRICE-MARGIN_CWS'!$C97*BA66</f>
        <v>1050</v>
      </c>
      <c r="BB71" s="108">
        <f>'COGS-PRICE-MARGIN_CWS'!$C97*BB66</f>
        <v>1750</v>
      </c>
      <c r="BC71" s="108">
        <f>'COGS-PRICE-MARGIN_CWS'!$C97*BC66</f>
        <v>1750</v>
      </c>
      <c r="BD71" s="108">
        <f>'COGS-PRICE-MARGIN_CWS'!$C97*BD66</f>
        <v>1750</v>
      </c>
      <c r="BE71" s="108">
        <f>'COGS-PRICE-MARGIN_CWS'!$C97*BE66</f>
        <v>2100</v>
      </c>
      <c r="BF71" s="108">
        <f>'COGS-PRICE-MARGIN_CWS'!$C97*BF66</f>
        <v>2450</v>
      </c>
      <c r="BG71" s="108">
        <f>'COGS-PRICE-MARGIN_CWS'!$C97*BG66</f>
        <v>1750</v>
      </c>
      <c r="BH71" s="108">
        <f>'COGS-PRICE-MARGIN_CWS'!$C97*BH66</f>
        <v>2100</v>
      </c>
      <c r="BI71" s="108">
        <f>'COGS-PRICE-MARGIN_CWS'!$C97*BI66</f>
        <v>1750</v>
      </c>
      <c r="BJ71" s="108">
        <f>'COGS-PRICE-MARGIN_CWS'!$C97*BJ66</f>
        <v>1750</v>
      </c>
      <c r="BK71" s="108">
        <f>'COGS-PRICE-MARGIN_CWS'!$C97*BK66</f>
        <v>1750</v>
      </c>
      <c r="BL71" s="108">
        <f>'COGS-PRICE-MARGIN_CWS'!$C97*BL66</f>
        <v>1050</v>
      </c>
      <c r="BM71" s="118">
        <f>SUM(E71:BL71)</f>
        <v>5963700</v>
      </c>
    </row>
    <row r="72" spans="2:66" x14ac:dyDescent="0.15">
      <c r="B72" s="47" t="s">
        <v>347</v>
      </c>
      <c r="C72" s="47"/>
      <c r="E72" s="172">
        <f>'COGS-PRICE-MARGIN_CWS'!$D12</f>
        <v>0.09</v>
      </c>
      <c r="F72" s="172">
        <f>'COGS-PRICE-MARGIN_CWS'!$D12</f>
        <v>0.09</v>
      </c>
      <c r="G72" s="172">
        <f>'COGS-PRICE-MARGIN_CWS'!$D12</f>
        <v>0.09</v>
      </c>
      <c r="H72" s="172">
        <f>'COGS-PRICE-MARGIN_CWS'!$D12</f>
        <v>0.09</v>
      </c>
      <c r="I72" s="172">
        <f>'COGS-PRICE-MARGIN_CWS'!$D12</f>
        <v>0.09</v>
      </c>
      <c r="J72" s="172">
        <f>'COGS-PRICE-MARGIN_CWS'!$D12</f>
        <v>0.09</v>
      </c>
      <c r="K72" s="172">
        <f>'COGS-PRICE-MARGIN_CWS'!$D12</f>
        <v>0.09</v>
      </c>
      <c r="L72" s="172">
        <f>'COGS-PRICE-MARGIN_CWS'!$D12</f>
        <v>0.09</v>
      </c>
      <c r="M72" s="172">
        <f>'COGS-PRICE-MARGIN_CWS'!$D12</f>
        <v>0.09</v>
      </c>
      <c r="N72" s="172">
        <f>'COGS-PRICE-MARGIN_CWS'!$D12</f>
        <v>0.09</v>
      </c>
      <c r="O72" s="172">
        <f>'COGS-PRICE-MARGIN_CWS'!$D12</f>
        <v>0.09</v>
      </c>
      <c r="P72" s="172">
        <f>'COGS-PRICE-MARGIN_CWS'!$D12</f>
        <v>0.09</v>
      </c>
      <c r="Q72" s="172">
        <f>'COGS-PRICE-MARGIN_CWS'!$D34</f>
        <v>0.25</v>
      </c>
      <c r="R72" s="172">
        <f>'COGS-PRICE-MARGIN_CWS'!$D34</f>
        <v>0.25</v>
      </c>
      <c r="S72" s="172">
        <f>'COGS-PRICE-MARGIN_CWS'!$D34</f>
        <v>0.25</v>
      </c>
      <c r="T72" s="172">
        <f>'COGS-PRICE-MARGIN_CWS'!$D34</f>
        <v>0.25</v>
      </c>
      <c r="U72" s="172">
        <f>'COGS-PRICE-MARGIN_CWS'!$D34</f>
        <v>0.25</v>
      </c>
      <c r="V72" s="172">
        <f>'COGS-PRICE-MARGIN_CWS'!$D34</f>
        <v>0.25</v>
      </c>
      <c r="W72" s="172">
        <f>'COGS-PRICE-MARGIN_CWS'!$D34</f>
        <v>0.25</v>
      </c>
      <c r="X72" s="172">
        <f>'COGS-PRICE-MARGIN_CWS'!$D34</f>
        <v>0.25</v>
      </c>
      <c r="Y72" s="172">
        <f>'COGS-PRICE-MARGIN_CWS'!$D34</f>
        <v>0.25</v>
      </c>
      <c r="Z72" s="172">
        <f>'COGS-PRICE-MARGIN_CWS'!$D34</f>
        <v>0.25</v>
      </c>
      <c r="AA72" s="172">
        <f>'COGS-PRICE-MARGIN_CWS'!$D34</f>
        <v>0.25</v>
      </c>
      <c r="AB72" s="172">
        <f>'COGS-PRICE-MARGIN_CWS'!$D34</f>
        <v>0.25</v>
      </c>
      <c r="AC72" s="172">
        <f>'COGS-PRICE-MARGIN_CWS'!$D55</f>
        <v>0.15</v>
      </c>
      <c r="AD72" s="172">
        <f>'COGS-PRICE-MARGIN_CWS'!$D55</f>
        <v>0.15</v>
      </c>
      <c r="AE72" s="172">
        <f>'COGS-PRICE-MARGIN_CWS'!$D55</f>
        <v>0.15</v>
      </c>
      <c r="AF72" s="172">
        <f>'COGS-PRICE-MARGIN_CWS'!$D55</f>
        <v>0.15</v>
      </c>
      <c r="AG72" s="172">
        <f>'COGS-PRICE-MARGIN_CWS'!$D55</f>
        <v>0.15</v>
      </c>
      <c r="AH72" s="172">
        <f>'COGS-PRICE-MARGIN_CWS'!$D55</f>
        <v>0.15</v>
      </c>
      <c r="AI72" s="172">
        <f>'COGS-PRICE-MARGIN_CWS'!$D55</f>
        <v>0.15</v>
      </c>
      <c r="AJ72" s="172">
        <f>'COGS-PRICE-MARGIN_CWS'!$D55</f>
        <v>0.15</v>
      </c>
      <c r="AK72" s="172">
        <f>'COGS-PRICE-MARGIN_CWS'!$D55</f>
        <v>0.15</v>
      </c>
      <c r="AL72" s="172">
        <f>'COGS-PRICE-MARGIN_CWS'!$D55</f>
        <v>0.15</v>
      </c>
      <c r="AM72" s="172">
        <f>'COGS-PRICE-MARGIN_CWS'!$D55</f>
        <v>0.15</v>
      </c>
      <c r="AN72" s="172">
        <f>'COGS-PRICE-MARGIN_CWS'!$D55</f>
        <v>0.15</v>
      </c>
      <c r="AO72" s="172">
        <f>'COGS-PRICE-MARGIN_CWS'!$D76</f>
        <v>0.1</v>
      </c>
      <c r="AP72" s="172">
        <f>'COGS-PRICE-MARGIN_CWS'!$D76</f>
        <v>0.1</v>
      </c>
      <c r="AQ72" s="172">
        <f>'COGS-PRICE-MARGIN_CWS'!$D76</f>
        <v>0.1</v>
      </c>
      <c r="AR72" s="172">
        <f>'COGS-PRICE-MARGIN_CWS'!$D76</f>
        <v>0.1</v>
      </c>
      <c r="AS72" s="172">
        <f>'COGS-PRICE-MARGIN_CWS'!$D76</f>
        <v>0.1</v>
      </c>
      <c r="AT72" s="172">
        <f>'COGS-PRICE-MARGIN_CWS'!$D76</f>
        <v>0.1</v>
      </c>
      <c r="AU72" s="172">
        <f>'COGS-PRICE-MARGIN_CWS'!$D76</f>
        <v>0.1</v>
      </c>
      <c r="AV72" s="172">
        <f>'COGS-PRICE-MARGIN_CWS'!$D76</f>
        <v>0.1</v>
      </c>
      <c r="AW72" s="172">
        <f>'COGS-PRICE-MARGIN_CWS'!$D76</f>
        <v>0.1</v>
      </c>
      <c r="AX72" s="172">
        <f>'COGS-PRICE-MARGIN_CWS'!$D76</f>
        <v>0.1</v>
      </c>
      <c r="AY72" s="172">
        <f>'COGS-PRICE-MARGIN_CWS'!$D76</f>
        <v>0.1</v>
      </c>
      <c r="AZ72" s="172">
        <f>'COGS-PRICE-MARGIN_CWS'!$D76</f>
        <v>0.1</v>
      </c>
      <c r="BA72" s="172">
        <f>'COGS-PRICE-MARGIN_CWS'!$D97</f>
        <v>0.1</v>
      </c>
      <c r="BB72" s="172">
        <f>'COGS-PRICE-MARGIN_CWS'!$D97</f>
        <v>0.1</v>
      </c>
      <c r="BC72" s="172">
        <f>'COGS-PRICE-MARGIN_CWS'!$D97</f>
        <v>0.1</v>
      </c>
      <c r="BD72" s="172">
        <f>'COGS-PRICE-MARGIN_CWS'!$D97</f>
        <v>0.1</v>
      </c>
      <c r="BE72" s="172">
        <f>'COGS-PRICE-MARGIN_CWS'!$D97</f>
        <v>0.1</v>
      </c>
      <c r="BF72" s="172">
        <f>'COGS-PRICE-MARGIN_CWS'!$D97</f>
        <v>0.1</v>
      </c>
      <c r="BG72" s="172">
        <f>'COGS-PRICE-MARGIN_CWS'!$D97</f>
        <v>0.1</v>
      </c>
      <c r="BH72" s="172">
        <f>'COGS-PRICE-MARGIN_CWS'!$D97</f>
        <v>0.1</v>
      </c>
      <c r="BI72" s="172">
        <f>'COGS-PRICE-MARGIN_CWS'!$D97</f>
        <v>0.1</v>
      </c>
      <c r="BJ72" s="172">
        <f>'COGS-PRICE-MARGIN_CWS'!$D97</f>
        <v>0.1</v>
      </c>
      <c r="BK72" s="172">
        <f>'COGS-PRICE-MARGIN_CWS'!$D97</f>
        <v>0.1</v>
      </c>
      <c r="BL72" s="172">
        <f>'COGS-PRICE-MARGIN_CWS'!$D97</f>
        <v>0.1</v>
      </c>
    </row>
    <row r="73" spans="2:66" x14ac:dyDescent="0.15">
      <c r="B73" s="47" t="s">
        <v>355</v>
      </c>
      <c r="C73" s="47"/>
      <c r="E73" s="63">
        <f t="shared" ref="E73:AJ73" si="53">E71*(1-E72)</f>
        <v>0</v>
      </c>
      <c r="F73" s="63">
        <f t="shared" si="53"/>
        <v>0</v>
      </c>
      <c r="G73" s="63">
        <f t="shared" si="53"/>
        <v>0</v>
      </c>
      <c r="H73" s="63">
        <f t="shared" si="53"/>
        <v>606970</v>
      </c>
      <c r="I73" s="63">
        <f t="shared" si="53"/>
        <v>669760</v>
      </c>
      <c r="J73" s="63">
        <f t="shared" si="53"/>
        <v>753480</v>
      </c>
      <c r="K73" s="63">
        <f t="shared" si="53"/>
        <v>606970</v>
      </c>
      <c r="L73" s="63">
        <f t="shared" si="53"/>
        <v>669760</v>
      </c>
      <c r="M73" s="63">
        <f t="shared" si="53"/>
        <v>544180</v>
      </c>
      <c r="N73" s="63">
        <f t="shared" si="53"/>
        <v>544180</v>
      </c>
      <c r="O73" s="63">
        <f t="shared" si="53"/>
        <v>544180</v>
      </c>
      <c r="P73" s="63">
        <f t="shared" si="53"/>
        <v>334880</v>
      </c>
      <c r="Q73" s="63">
        <f t="shared" si="53"/>
        <v>1687.5</v>
      </c>
      <c r="R73" s="63">
        <f t="shared" si="53"/>
        <v>2812.5</v>
      </c>
      <c r="S73" s="63">
        <f t="shared" si="53"/>
        <v>3187.5</v>
      </c>
      <c r="T73" s="63">
        <f t="shared" si="53"/>
        <v>3187.5</v>
      </c>
      <c r="U73" s="63">
        <f t="shared" si="53"/>
        <v>3562.5</v>
      </c>
      <c r="V73" s="63">
        <f t="shared" si="53"/>
        <v>3937.5</v>
      </c>
      <c r="W73" s="63">
        <f t="shared" si="53"/>
        <v>3187.5</v>
      </c>
      <c r="X73" s="63">
        <f t="shared" si="53"/>
        <v>3562.5</v>
      </c>
      <c r="Y73" s="63">
        <f t="shared" si="53"/>
        <v>2812.5</v>
      </c>
      <c r="Z73" s="63">
        <f t="shared" si="53"/>
        <v>2812.5</v>
      </c>
      <c r="AA73" s="63">
        <f t="shared" si="53"/>
        <v>2812.5</v>
      </c>
      <c r="AB73" s="63">
        <f t="shared" si="53"/>
        <v>1687.5</v>
      </c>
      <c r="AC73" s="63">
        <f t="shared" si="53"/>
        <v>2337.5</v>
      </c>
      <c r="AD73" s="63">
        <f t="shared" si="53"/>
        <v>3825</v>
      </c>
      <c r="AE73" s="63">
        <f t="shared" si="53"/>
        <v>4462.5</v>
      </c>
      <c r="AF73" s="63">
        <f t="shared" si="53"/>
        <v>4462.5</v>
      </c>
      <c r="AG73" s="63">
        <f t="shared" si="53"/>
        <v>4887.5</v>
      </c>
      <c r="AH73" s="63">
        <f t="shared" si="53"/>
        <v>5312.5</v>
      </c>
      <c r="AI73" s="63">
        <f t="shared" si="53"/>
        <v>4462.5</v>
      </c>
      <c r="AJ73" s="63">
        <f t="shared" si="53"/>
        <v>4887.5</v>
      </c>
      <c r="AK73" s="63">
        <f t="shared" ref="AK73:BL73" si="54">AK71*(1-AK72)</f>
        <v>3825</v>
      </c>
      <c r="AL73" s="63">
        <f t="shared" si="54"/>
        <v>3825</v>
      </c>
      <c r="AM73" s="63">
        <f t="shared" si="54"/>
        <v>3825</v>
      </c>
      <c r="AN73" s="63">
        <f t="shared" si="54"/>
        <v>2337.5</v>
      </c>
      <c r="AO73" s="63">
        <f t="shared" si="54"/>
        <v>1890</v>
      </c>
      <c r="AP73" s="63">
        <f t="shared" si="54"/>
        <v>3150</v>
      </c>
      <c r="AQ73" s="63">
        <f t="shared" si="54"/>
        <v>3465</v>
      </c>
      <c r="AR73" s="63">
        <f t="shared" si="54"/>
        <v>3465</v>
      </c>
      <c r="AS73" s="63">
        <f t="shared" si="54"/>
        <v>3780</v>
      </c>
      <c r="AT73" s="63">
        <f t="shared" si="54"/>
        <v>4095</v>
      </c>
      <c r="AU73" s="63">
        <f t="shared" si="54"/>
        <v>3465</v>
      </c>
      <c r="AV73" s="63">
        <f t="shared" si="54"/>
        <v>3780</v>
      </c>
      <c r="AW73" s="63">
        <f t="shared" si="54"/>
        <v>3150</v>
      </c>
      <c r="AX73" s="63">
        <f t="shared" si="54"/>
        <v>3150</v>
      </c>
      <c r="AY73" s="63">
        <f t="shared" si="54"/>
        <v>3150</v>
      </c>
      <c r="AZ73" s="63">
        <f t="shared" si="54"/>
        <v>1890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>
        <f>SUM(E73:BL73)</f>
        <v>5415390</v>
      </c>
    </row>
    <row r="74" spans="2:66" x14ac:dyDescent="0.15">
      <c r="B74" s="47" t="s">
        <v>370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0</v>
      </c>
      <c r="O74" s="63">
        <f>'REV-REC-MAINT_CWS'!P69</f>
        <v>0</v>
      </c>
      <c r="P74" s="63">
        <f>'REV-REC-MAINT_CWS'!Q69</f>
        <v>0</v>
      </c>
      <c r="Q74" s="63">
        <f>'REV-REC-MAINT_CWS'!R69</f>
        <v>225</v>
      </c>
      <c r="R74" s="63">
        <f>'REV-REC-MAINT_CWS'!S69</f>
        <v>375</v>
      </c>
      <c r="S74" s="63">
        <f>'REV-REC-MAINT_CWS'!T69</f>
        <v>425</v>
      </c>
      <c r="T74" s="63">
        <f>'REV-REC-MAINT_CWS'!U69</f>
        <v>1150</v>
      </c>
      <c r="U74" s="63">
        <f>'REV-REC-MAINT_CWS'!V69</f>
        <v>1275</v>
      </c>
      <c r="V74" s="63">
        <f>'REV-REC-MAINT_CWS'!W69</f>
        <v>1425</v>
      </c>
      <c r="W74" s="63">
        <f>'REV-REC-MAINT_CWS'!X69</f>
        <v>1150</v>
      </c>
      <c r="X74" s="63">
        <f>'REV-REC-MAINT_CWS'!Y69</f>
        <v>1275</v>
      </c>
      <c r="Y74" s="63">
        <f>'REV-REC-MAINT_CWS'!Z69</f>
        <v>1025</v>
      </c>
      <c r="Z74" s="63">
        <f>'REV-REC-MAINT_CWS'!AA69</f>
        <v>1025</v>
      </c>
      <c r="AA74" s="63">
        <f>'REV-REC-MAINT_CWS'!AB69</f>
        <v>1025</v>
      </c>
      <c r="AB74" s="63">
        <f>'REV-REC-MAINT_CWS'!AC69</f>
        <v>625</v>
      </c>
      <c r="AC74" s="63">
        <f>'REV-REC-MAINT_CWS'!AD69</f>
        <v>500</v>
      </c>
      <c r="AD74" s="63">
        <f>'REV-REC-MAINT_CWS'!AE69</f>
        <v>825</v>
      </c>
      <c r="AE74" s="63">
        <f>'REV-REC-MAINT_CWS'!AF69</f>
        <v>950</v>
      </c>
      <c r="AF74" s="63">
        <f>'REV-REC-MAINT_CWS'!AG69</f>
        <v>1675</v>
      </c>
      <c r="AG74" s="63">
        <f>'REV-REC-MAINT_CWS'!AH69</f>
        <v>1850</v>
      </c>
      <c r="AH74" s="63">
        <f>'REV-REC-MAINT_CWS'!AI69</f>
        <v>2050</v>
      </c>
      <c r="AI74" s="63">
        <f>'REV-REC-MAINT_CWS'!AJ69</f>
        <v>1675</v>
      </c>
      <c r="AJ74" s="63">
        <f>'REV-REC-MAINT_CWS'!AK69</f>
        <v>1850</v>
      </c>
      <c r="AK74" s="63">
        <f>'REV-REC-MAINT_CWS'!AL69</f>
        <v>1475</v>
      </c>
      <c r="AL74" s="63">
        <f>'REV-REC-MAINT_CWS'!AM69</f>
        <v>1475</v>
      </c>
      <c r="AM74" s="63">
        <f>'REV-REC-MAINT_CWS'!AN69</f>
        <v>1475</v>
      </c>
      <c r="AN74" s="63">
        <f>'REV-REC-MAINT_CWS'!AO69</f>
        <v>900</v>
      </c>
      <c r="AO74" s="63">
        <f>'REV-REC-MAINT_CWS'!AP69</f>
        <v>910</v>
      </c>
      <c r="AP74" s="63">
        <f>'REV-REC-MAINT_CWS'!AQ69</f>
        <v>1505</v>
      </c>
      <c r="AQ74" s="63">
        <f>'REV-REC-MAINT_CWS'!AR69</f>
        <v>1715</v>
      </c>
      <c r="AR74" s="63">
        <f>'REV-REC-MAINT_CWS'!AS69</f>
        <v>2730</v>
      </c>
      <c r="AS74" s="63">
        <f>'REV-REC-MAINT_CWS'!AT69</f>
        <v>3010</v>
      </c>
      <c r="AT74" s="63">
        <f>'REV-REC-MAINT_CWS'!AU69</f>
        <v>3325</v>
      </c>
      <c r="AU74" s="63">
        <f>'REV-REC-MAINT_CWS'!AV69</f>
        <v>2730</v>
      </c>
      <c r="AV74" s="63">
        <f>'REV-REC-MAINT_CWS'!AW69</f>
        <v>3010</v>
      </c>
      <c r="AW74" s="63">
        <f>'REV-REC-MAINT_CWS'!AX69</f>
        <v>2415</v>
      </c>
      <c r="AX74" s="63">
        <f>'REV-REC-MAINT_CWS'!AY69</f>
        <v>2415</v>
      </c>
      <c r="AY74" s="63">
        <f>'REV-REC-MAINT_CWS'!AZ69</f>
        <v>2415</v>
      </c>
      <c r="AZ74" s="63">
        <f>'REV-REC-MAINT_CWS'!BA69</f>
        <v>1470</v>
      </c>
      <c r="BA74" s="63">
        <f>'REV-REC-MAINT_CWS'!BB69</f>
        <v>1015</v>
      </c>
      <c r="BB74" s="63">
        <f>'REV-REC-MAINT_CWS'!BC69</f>
        <v>1680</v>
      </c>
      <c r="BC74" s="63">
        <f>'REV-REC-MAINT_CWS'!BD69</f>
        <v>1890</v>
      </c>
      <c r="BD74" s="63">
        <f>'REV-REC-MAINT_CWS'!BE69</f>
        <v>2905</v>
      </c>
      <c r="BE74" s="63">
        <f>'REV-REC-MAINT_CWS'!BF69</f>
        <v>3220</v>
      </c>
      <c r="BF74" s="63">
        <f>'REV-REC-MAINT_CWS'!BG69</f>
        <v>3570</v>
      </c>
      <c r="BG74" s="63">
        <f>'REV-REC-MAINT_CWS'!BH69</f>
        <v>2905</v>
      </c>
      <c r="BH74" s="63">
        <f>'REV-REC-MAINT_CWS'!BI69</f>
        <v>3220</v>
      </c>
      <c r="BI74" s="63">
        <f>'REV-REC-MAINT_CWS'!BJ69</f>
        <v>2590</v>
      </c>
      <c r="BJ74" s="63">
        <f>'REV-REC-MAINT_CWS'!BK69</f>
        <v>2590</v>
      </c>
      <c r="BK74" s="63">
        <f>'REV-REC-MAINT_CWS'!BL69</f>
        <v>2590</v>
      </c>
      <c r="BL74" s="63">
        <f>'REV-REC-MAINT_CWS'!BM69</f>
        <v>1575</v>
      </c>
      <c r="BM74" s="118">
        <f>SUM(E74:BL74)</f>
        <v>85100</v>
      </c>
    </row>
    <row r="75" spans="2:66" x14ac:dyDescent="0.15">
      <c r="B75" s="47" t="s">
        <v>667</v>
      </c>
      <c r="C75" s="47"/>
      <c r="E75" s="63">
        <f>SUM(E73:E74)</f>
        <v>0</v>
      </c>
      <c r="F75" s="63">
        <f t="shared" ref="F75:BL75" si="55">SUM(F73:F74)</f>
        <v>0</v>
      </c>
      <c r="G75" s="63">
        <f t="shared" si="55"/>
        <v>0</v>
      </c>
      <c r="H75" s="63">
        <f t="shared" si="55"/>
        <v>606970</v>
      </c>
      <c r="I75" s="63">
        <f t="shared" si="55"/>
        <v>669760</v>
      </c>
      <c r="J75" s="63">
        <f t="shared" si="55"/>
        <v>753480</v>
      </c>
      <c r="K75" s="63">
        <f t="shared" si="55"/>
        <v>606970</v>
      </c>
      <c r="L75" s="63">
        <f t="shared" si="55"/>
        <v>669760</v>
      </c>
      <c r="M75" s="63">
        <f t="shared" si="55"/>
        <v>544180</v>
      </c>
      <c r="N75" s="63">
        <f t="shared" si="55"/>
        <v>544180</v>
      </c>
      <c r="O75" s="63">
        <f t="shared" si="55"/>
        <v>544180</v>
      </c>
      <c r="P75" s="63">
        <f t="shared" si="55"/>
        <v>334880</v>
      </c>
      <c r="Q75" s="63">
        <f t="shared" si="55"/>
        <v>1912.5</v>
      </c>
      <c r="R75" s="63">
        <f t="shared" si="55"/>
        <v>3187.5</v>
      </c>
      <c r="S75" s="63">
        <f t="shared" si="55"/>
        <v>3612.5</v>
      </c>
      <c r="T75" s="63">
        <f t="shared" si="55"/>
        <v>4337.5</v>
      </c>
      <c r="U75" s="63">
        <f t="shared" si="55"/>
        <v>4837.5</v>
      </c>
      <c r="V75" s="63">
        <f t="shared" si="55"/>
        <v>5362.5</v>
      </c>
      <c r="W75" s="63">
        <f t="shared" si="55"/>
        <v>4337.5</v>
      </c>
      <c r="X75" s="63">
        <f t="shared" si="55"/>
        <v>4837.5</v>
      </c>
      <c r="Y75" s="63">
        <f t="shared" si="55"/>
        <v>3837.5</v>
      </c>
      <c r="Z75" s="63">
        <f t="shared" si="55"/>
        <v>3837.5</v>
      </c>
      <c r="AA75" s="63">
        <f t="shared" si="55"/>
        <v>3837.5</v>
      </c>
      <c r="AB75" s="63">
        <f t="shared" si="55"/>
        <v>2312.5</v>
      </c>
      <c r="AC75" s="63">
        <f t="shared" si="55"/>
        <v>2837.5</v>
      </c>
      <c r="AD75" s="63">
        <f t="shared" si="55"/>
        <v>4650</v>
      </c>
      <c r="AE75" s="63">
        <f t="shared" si="55"/>
        <v>5412.5</v>
      </c>
      <c r="AF75" s="63">
        <f t="shared" si="55"/>
        <v>6137.5</v>
      </c>
      <c r="AG75" s="63">
        <f t="shared" si="55"/>
        <v>6737.5</v>
      </c>
      <c r="AH75" s="63">
        <f t="shared" si="55"/>
        <v>7362.5</v>
      </c>
      <c r="AI75" s="63">
        <f t="shared" si="55"/>
        <v>6137.5</v>
      </c>
      <c r="AJ75" s="63">
        <f t="shared" si="55"/>
        <v>6737.5</v>
      </c>
      <c r="AK75" s="63">
        <f t="shared" si="55"/>
        <v>5300</v>
      </c>
      <c r="AL75" s="63">
        <f t="shared" si="55"/>
        <v>5300</v>
      </c>
      <c r="AM75" s="63">
        <f t="shared" si="55"/>
        <v>5300</v>
      </c>
      <c r="AN75" s="63">
        <f t="shared" si="55"/>
        <v>3237.5</v>
      </c>
      <c r="AO75" s="63">
        <f t="shared" si="55"/>
        <v>2800</v>
      </c>
      <c r="AP75" s="63">
        <f t="shared" si="55"/>
        <v>4655</v>
      </c>
      <c r="AQ75" s="63">
        <f t="shared" si="55"/>
        <v>5180</v>
      </c>
      <c r="AR75" s="63">
        <f t="shared" si="55"/>
        <v>6195</v>
      </c>
      <c r="AS75" s="63">
        <f t="shared" si="55"/>
        <v>6790</v>
      </c>
      <c r="AT75" s="63">
        <f t="shared" si="55"/>
        <v>7420</v>
      </c>
      <c r="AU75" s="63">
        <f t="shared" si="55"/>
        <v>6195</v>
      </c>
      <c r="AV75" s="63">
        <f t="shared" si="55"/>
        <v>6790</v>
      </c>
      <c r="AW75" s="63">
        <f t="shared" si="55"/>
        <v>5565</v>
      </c>
      <c r="AX75" s="63">
        <f t="shared" si="55"/>
        <v>5565</v>
      </c>
      <c r="AY75" s="63">
        <f t="shared" si="55"/>
        <v>5565</v>
      </c>
      <c r="AZ75" s="63">
        <f t="shared" si="55"/>
        <v>3360</v>
      </c>
      <c r="BA75" s="63">
        <f t="shared" si="55"/>
        <v>1960</v>
      </c>
      <c r="BB75" s="63">
        <f t="shared" si="55"/>
        <v>3255</v>
      </c>
      <c r="BC75" s="63">
        <f t="shared" si="55"/>
        <v>3465</v>
      </c>
      <c r="BD75" s="63">
        <f t="shared" si="55"/>
        <v>4480</v>
      </c>
      <c r="BE75" s="63">
        <f t="shared" si="55"/>
        <v>5110</v>
      </c>
      <c r="BF75" s="63">
        <f t="shared" si="55"/>
        <v>5775</v>
      </c>
      <c r="BG75" s="63">
        <f t="shared" si="55"/>
        <v>4480</v>
      </c>
      <c r="BH75" s="63">
        <f t="shared" si="55"/>
        <v>5110</v>
      </c>
      <c r="BI75" s="63">
        <f t="shared" si="55"/>
        <v>4165</v>
      </c>
      <c r="BJ75" s="63">
        <f t="shared" si="55"/>
        <v>4165</v>
      </c>
      <c r="BK75" s="63">
        <f t="shared" si="55"/>
        <v>4165</v>
      </c>
      <c r="BL75" s="63">
        <f t="shared" si="55"/>
        <v>2520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362</v>
      </c>
      <c r="E78" s="63">
        <f>'COGS-PRICE-MARGIN_CWS'!$C19*E67</f>
        <v>0</v>
      </c>
      <c r="F78" s="63">
        <f>'COGS-PRICE-MARGIN_CWS'!$C19*F67</f>
        <v>0</v>
      </c>
      <c r="G78" s="63">
        <f>'COGS-PRICE-MARGIN_CWS'!$C19*G67</f>
        <v>0</v>
      </c>
      <c r="H78" s="63">
        <f>'COGS-PRICE-MARGIN_CWS'!$C19*H67</f>
        <v>0</v>
      </c>
      <c r="I78" s="63">
        <f>'COGS-PRICE-MARGIN_CWS'!$C19*I67</f>
        <v>0</v>
      </c>
      <c r="J78" s="63">
        <f>'COGS-PRICE-MARGIN_CWS'!$C19*J67</f>
        <v>0</v>
      </c>
      <c r="K78" s="63">
        <f>'COGS-PRICE-MARGIN_CWS'!$C19*K67</f>
        <v>0</v>
      </c>
      <c r="L78" s="63">
        <f>'COGS-PRICE-MARGIN_CWS'!$C19*L67</f>
        <v>0</v>
      </c>
      <c r="M78" s="63">
        <f>'COGS-PRICE-MARGIN_CWS'!$C19*M67</f>
        <v>0</v>
      </c>
      <c r="N78" s="63">
        <f>'COGS-PRICE-MARGIN_CWS'!$C19*N67</f>
        <v>0</v>
      </c>
      <c r="O78" s="63">
        <f>'COGS-PRICE-MARGIN_CWS'!$C19*O67</f>
        <v>0</v>
      </c>
      <c r="P78" s="63">
        <f>'COGS-PRICE-MARGIN_CWS'!$C19*P67</f>
        <v>0</v>
      </c>
      <c r="Q78" s="63">
        <f>'COGS-PRICE-MARGIN_CWS'!$C40*Q67</f>
        <v>175</v>
      </c>
      <c r="R78" s="63">
        <f>'COGS-PRICE-MARGIN_CWS'!$C40*R67</f>
        <v>275</v>
      </c>
      <c r="S78" s="63">
        <f>'COGS-PRICE-MARGIN_CWS'!$C40*S67</f>
        <v>300</v>
      </c>
      <c r="T78" s="63">
        <f>'COGS-PRICE-MARGIN_CWS'!$C40*T67</f>
        <v>300</v>
      </c>
      <c r="U78" s="63">
        <f>'COGS-PRICE-MARGIN_CWS'!$C40*U67</f>
        <v>325</v>
      </c>
      <c r="V78" s="63">
        <f>'COGS-PRICE-MARGIN_CWS'!$C40*V67</f>
        <v>350</v>
      </c>
      <c r="W78" s="63">
        <f>'COGS-PRICE-MARGIN_CWS'!$C40*W67</f>
        <v>300</v>
      </c>
      <c r="X78" s="63">
        <f>'COGS-PRICE-MARGIN_CWS'!$C40*X67</f>
        <v>325</v>
      </c>
      <c r="Y78" s="63">
        <f>'COGS-PRICE-MARGIN_CWS'!$C40*Y67</f>
        <v>275</v>
      </c>
      <c r="Z78" s="63">
        <f>'COGS-PRICE-MARGIN_CWS'!$C40*Z67</f>
        <v>275</v>
      </c>
      <c r="AA78" s="63">
        <f>'COGS-PRICE-MARGIN_CWS'!$C40*AA67</f>
        <v>275</v>
      </c>
      <c r="AB78" s="63">
        <f>'COGS-PRICE-MARGIN_CWS'!$C40*AB67</f>
        <v>175</v>
      </c>
      <c r="AC78" s="63">
        <f>'COGS-PRICE-MARGIN_CWS'!$C61*AC67</f>
        <v>450</v>
      </c>
      <c r="AD78" s="63">
        <f>'COGS-PRICE-MARGIN_CWS'!$C61*AD67</f>
        <v>725</v>
      </c>
      <c r="AE78" s="63">
        <f>'COGS-PRICE-MARGIN_CWS'!$C61*AE67</f>
        <v>800</v>
      </c>
      <c r="AF78" s="63">
        <f>'COGS-PRICE-MARGIN_CWS'!$C61*AF67</f>
        <v>800</v>
      </c>
      <c r="AG78" s="63">
        <f>'COGS-PRICE-MARGIN_CWS'!$C61*AG67</f>
        <v>875</v>
      </c>
      <c r="AH78" s="63">
        <f>'COGS-PRICE-MARGIN_CWS'!$C61*AH67</f>
        <v>975</v>
      </c>
      <c r="AI78" s="63">
        <f>'COGS-PRICE-MARGIN_CWS'!$C61*AI67</f>
        <v>800</v>
      </c>
      <c r="AJ78" s="63">
        <f>'COGS-PRICE-MARGIN_CWS'!$C61*AJ67</f>
        <v>875</v>
      </c>
      <c r="AK78" s="63">
        <f>'COGS-PRICE-MARGIN_CWS'!$C61*AK67</f>
        <v>725</v>
      </c>
      <c r="AL78" s="63">
        <f>'COGS-PRICE-MARGIN_CWS'!$C61*AL67</f>
        <v>725</v>
      </c>
      <c r="AM78" s="63">
        <f>'COGS-PRICE-MARGIN_CWS'!$C61*AM67</f>
        <v>725</v>
      </c>
      <c r="AN78" s="63">
        <f>'COGS-PRICE-MARGIN_CWS'!$C61*AN67</f>
        <v>450</v>
      </c>
      <c r="AO78" s="63">
        <f>'COGS-PRICE-MARGIN_CWS'!$C82*AO67</f>
        <v>625</v>
      </c>
      <c r="AP78" s="63">
        <f>'COGS-PRICE-MARGIN_CWS'!$C82*AP67</f>
        <v>1000</v>
      </c>
      <c r="AQ78" s="63">
        <f>'COGS-PRICE-MARGIN_CWS'!$C82*AQ67</f>
        <v>1125</v>
      </c>
      <c r="AR78" s="63">
        <f>'COGS-PRICE-MARGIN_CWS'!$C82*AR67</f>
        <v>1125</v>
      </c>
      <c r="AS78" s="63">
        <f>'COGS-PRICE-MARGIN_CWS'!$C82*AS67</f>
        <v>1250</v>
      </c>
      <c r="AT78" s="63">
        <f>'COGS-PRICE-MARGIN_CWS'!$C82*AT67</f>
        <v>1375</v>
      </c>
      <c r="AU78" s="63">
        <f>'COGS-PRICE-MARGIN_CWS'!$C82*AU67</f>
        <v>1125</v>
      </c>
      <c r="AV78" s="63">
        <f>'COGS-PRICE-MARGIN_CWS'!$C82*AV67</f>
        <v>1250</v>
      </c>
      <c r="AW78" s="63">
        <f>'COGS-PRICE-MARGIN_CWS'!$C82*AW67</f>
        <v>1000</v>
      </c>
      <c r="AX78" s="63">
        <f>'COGS-PRICE-MARGIN_CWS'!$C82*AX67</f>
        <v>1000</v>
      </c>
      <c r="AY78" s="63">
        <f>'COGS-PRICE-MARGIN_CWS'!$C82*AY67</f>
        <v>1000</v>
      </c>
      <c r="AZ78" s="63">
        <f>'COGS-PRICE-MARGIN_CWS'!$C82*AZ67</f>
        <v>625</v>
      </c>
      <c r="BA78" s="63">
        <f>'COGS-PRICE-MARGIN_CWS'!$C103*BA67</f>
        <v>750</v>
      </c>
      <c r="BB78" s="63">
        <f>'COGS-PRICE-MARGIN_CWS'!$C103*BB67</f>
        <v>1200</v>
      </c>
      <c r="BC78" s="63">
        <f>'COGS-PRICE-MARGIN_CWS'!$C103*BC67</f>
        <v>1350</v>
      </c>
      <c r="BD78" s="63">
        <f>'COGS-PRICE-MARGIN_CWS'!$C103*BD67</f>
        <v>1350</v>
      </c>
      <c r="BE78" s="63">
        <f>'COGS-PRICE-MARGIN_CWS'!$C103*BE67</f>
        <v>1500</v>
      </c>
      <c r="BF78" s="63">
        <f>'COGS-PRICE-MARGIN_CWS'!$C103*BF67</f>
        <v>1625</v>
      </c>
      <c r="BG78" s="63">
        <f>'COGS-PRICE-MARGIN_CWS'!$C103*BG67</f>
        <v>1350</v>
      </c>
      <c r="BH78" s="63">
        <f>'COGS-PRICE-MARGIN_CWS'!$C103*BH67</f>
        <v>1500</v>
      </c>
      <c r="BI78" s="63">
        <f>'COGS-PRICE-MARGIN_CWS'!$C103*BI67</f>
        <v>1200</v>
      </c>
      <c r="BJ78" s="63">
        <f>'COGS-PRICE-MARGIN_CWS'!$C103*BJ67</f>
        <v>1200</v>
      </c>
      <c r="BK78" s="63">
        <f>'COGS-PRICE-MARGIN_CWS'!$C103*BK67</f>
        <v>1200</v>
      </c>
      <c r="BL78" s="63">
        <f>'COGS-PRICE-MARGIN_CWS'!$C103*BL67</f>
        <v>750</v>
      </c>
      <c r="BM78" s="118">
        <f>SUM(E78:BL78)</f>
        <v>39750</v>
      </c>
    </row>
    <row r="79" spans="2:66" x14ac:dyDescent="0.15">
      <c r="B79" s="47" t="s">
        <v>369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0</v>
      </c>
      <c r="O79" s="63">
        <f>'REV-REC-MAINT_CWS'!P142</f>
        <v>0</v>
      </c>
      <c r="P79" s="63">
        <f>'REV-REC-MAINT_CWS'!Q142</f>
        <v>0</v>
      </c>
      <c r="Q79" s="63">
        <f>'REV-REC-MAINT_CWS'!R142</f>
        <v>1181.25</v>
      </c>
      <c r="R79" s="63">
        <f>'REV-REC-MAINT_CWS'!S142</f>
        <v>1856.25</v>
      </c>
      <c r="S79" s="63">
        <f>'REV-REC-MAINT_CWS'!T142</f>
        <v>2025</v>
      </c>
      <c r="T79" s="63">
        <f>'REV-REC-MAINT_CWS'!U142</f>
        <v>3712.5</v>
      </c>
      <c r="U79" s="63">
        <f>'REV-REC-MAINT_CWS'!V142</f>
        <v>4050</v>
      </c>
      <c r="V79" s="63">
        <f>'REV-REC-MAINT_CWS'!W142</f>
        <v>4387.5</v>
      </c>
      <c r="W79" s="63">
        <f>'REV-REC-MAINT_CWS'!X142</f>
        <v>3712.5</v>
      </c>
      <c r="X79" s="63">
        <f>'REV-REC-MAINT_CWS'!Y142</f>
        <v>4050</v>
      </c>
      <c r="Y79" s="63">
        <f>'REV-REC-MAINT_CWS'!Z142</f>
        <v>3375</v>
      </c>
      <c r="Z79" s="63">
        <f>'REV-REC-MAINT_CWS'!AA142</f>
        <v>3375</v>
      </c>
      <c r="AA79" s="63">
        <f>'REV-REC-MAINT_CWS'!AB142</f>
        <v>3375</v>
      </c>
      <c r="AB79" s="63">
        <f>'REV-REC-MAINT_CWS'!AC142</f>
        <v>2193.75</v>
      </c>
      <c r="AC79" s="63">
        <f>'REV-REC-MAINT_CWS'!AD142</f>
        <v>4781.25</v>
      </c>
      <c r="AD79" s="63">
        <f>'REV-REC-MAINT_CWS'!AE142</f>
        <v>7650</v>
      </c>
      <c r="AE79" s="63">
        <f>'REV-REC-MAINT_CWS'!AF142</f>
        <v>8415</v>
      </c>
      <c r="AF79" s="63">
        <f>'REV-REC-MAINT_CWS'!AG142</f>
        <v>10327.5</v>
      </c>
      <c r="AG79" s="63">
        <f>'REV-REC-MAINT_CWS'!AH142</f>
        <v>11283.75</v>
      </c>
      <c r="AH79" s="63">
        <f>'REV-REC-MAINT_CWS'!AI142</f>
        <v>12431.25</v>
      </c>
      <c r="AI79" s="63">
        <f>'REV-REC-MAINT_CWS'!AJ142</f>
        <v>10327.5</v>
      </c>
      <c r="AJ79" s="63">
        <f>'REV-REC-MAINT_CWS'!AK142</f>
        <v>11283.75</v>
      </c>
      <c r="AK79" s="63">
        <f>'REV-REC-MAINT_CWS'!AL142</f>
        <v>9371.25</v>
      </c>
      <c r="AL79" s="63">
        <f>'REV-REC-MAINT_CWS'!AM142</f>
        <v>9371.25</v>
      </c>
      <c r="AM79" s="63">
        <f>'REV-REC-MAINT_CWS'!AN142</f>
        <v>9371.25</v>
      </c>
      <c r="AN79" s="63">
        <f>'REV-REC-MAINT_CWS'!AO142</f>
        <v>5928.75</v>
      </c>
      <c r="AO79" s="63">
        <f>'REV-REC-MAINT_CWS'!AP142</f>
        <v>10125</v>
      </c>
      <c r="AP79" s="63">
        <f>'REV-REC-MAINT_CWS'!AQ142</f>
        <v>16200</v>
      </c>
      <c r="AQ79" s="63">
        <f>'REV-REC-MAINT_CWS'!AR142</f>
        <v>18022.5</v>
      </c>
      <c r="AR79" s="63">
        <f>'REV-REC-MAINT_CWS'!AS142</f>
        <v>20047.5</v>
      </c>
      <c r="AS79" s="63">
        <f>'REV-REC-MAINT_CWS'!AT142</f>
        <v>22072.5</v>
      </c>
      <c r="AT79" s="63">
        <f>'REV-REC-MAINT_CWS'!AU142</f>
        <v>24300</v>
      </c>
      <c r="AU79" s="63">
        <f>'REV-REC-MAINT_CWS'!AV142</f>
        <v>20047.5</v>
      </c>
      <c r="AV79" s="63">
        <f>'REV-REC-MAINT_CWS'!AW142</f>
        <v>22072.5</v>
      </c>
      <c r="AW79" s="63">
        <f>'REV-REC-MAINT_CWS'!AX142</f>
        <v>18022.5</v>
      </c>
      <c r="AX79" s="63">
        <f>'REV-REC-MAINT_CWS'!AY142</f>
        <v>18022.5</v>
      </c>
      <c r="AY79" s="63">
        <f>'REV-REC-MAINT_CWS'!AZ142</f>
        <v>18022.5</v>
      </c>
      <c r="AZ79" s="63">
        <f>'REV-REC-MAINT_CWS'!BA142</f>
        <v>11340</v>
      </c>
      <c r="BA79" s="63">
        <f>'REV-REC-MAINT_CWS'!BB142</f>
        <v>16200</v>
      </c>
      <c r="BB79" s="63">
        <f>'REV-REC-MAINT_CWS'!BC142</f>
        <v>25920</v>
      </c>
      <c r="BC79" s="63">
        <f>'REV-REC-MAINT_CWS'!BD142</f>
        <v>28957.5</v>
      </c>
      <c r="BD79" s="63">
        <f>'REV-REC-MAINT_CWS'!BE142</f>
        <v>30982.5</v>
      </c>
      <c r="BE79" s="63">
        <f>'REV-REC-MAINT_CWS'!BF142</f>
        <v>34222.5</v>
      </c>
      <c r="BF79" s="63">
        <f>'REV-REC-MAINT_CWS'!BG142</f>
        <v>37462.5</v>
      </c>
      <c r="BG79" s="63">
        <f>'REV-REC-MAINT_CWS'!BH142</f>
        <v>30982.5</v>
      </c>
      <c r="BH79" s="63">
        <f>'REV-REC-MAINT_CWS'!BI142</f>
        <v>34222.5</v>
      </c>
      <c r="BI79" s="63">
        <f>'REV-REC-MAINT_CWS'!BJ142</f>
        <v>27742.5</v>
      </c>
      <c r="BJ79" s="63">
        <f>'REV-REC-MAINT_CWS'!BK142</f>
        <v>27742.5</v>
      </c>
      <c r="BK79" s="63">
        <f>'REV-REC-MAINT_CWS'!BL142</f>
        <v>27742.5</v>
      </c>
      <c r="BL79" s="63">
        <f>'REV-REC-MAINT_CWS'!BM142</f>
        <v>17415</v>
      </c>
      <c r="BM79" s="118">
        <f>SUM(E79:BL79)</f>
        <v>705723.75</v>
      </c>
    </row>
    <row r="80" spans="2:66" x14ac:dyDescent="0.15">
      <c r="B80" s="47" t="s">
        <v>380</v>
      </c>
      <c r="E80" s="63">
        <f>SUM(E78:E79)</f>
        <v>0</v>
      </c>
      <c r="F80" s="63">
        <f t="shared" ref="F80:BL80" si="56">SUM(F78:F79)</f>
        <v>0</v>
      </c>
      <c r="G80" s="63">
        <f t="shared" si="56"/>
        <v>0</v>
      </c>
      <c r="H80" s="63">
        <f t="shared" si="56"/>
        <v>0</v>
      </c>
      <c r="I80" s="63">
        <f t="shared" si="56"/>
        <v>0</v>
      </c>
      <c r="J80" s="63">
        <f t="shared" si="56"/>
        <v>0</v>
      </c>
      <c r="K80" s="63">
        <f t="shared" si="56"/>
        <v>0</v>
      </c>
      <c r="L80" s="63">
        <f t="shared" si="56"/>
        <v>0</v>
      </c>
      <c r="M80" s="63">
        <f t="shared" si="56"/>
        <v>0</v>
      </c>
      <c r="N80" s="63">
        <f t="shared" si="56"/>
        <v>0</v>
      </c>
      <c r="O80" s="63">
        <f t="shared" si="56"/>
        <v>0</v>
      </c>
      <c r="P80" s="63">
        <f t="shared" si="56"/>
        <v>0</v>
      </c>
      <c r="Q80" s="63">
        <f t="shared" si="56"/>
        <v>1356.25</v>
      </c>
      <c r="R80" s="63">
        <f t="shared" si="56"/>
        <v>2131.25</v>
      </c>
      <c r="S80" s="63">
        <f t="shared" si="56"/>
        <v>2325</v>
      </c>
      <c r="T80" s="63">
        <f t="shared" si="56"/>
        <v>4012.5</v>
      </c>
      <c r="U80" s="63">
        <f t="shared" si="56"/>
        <v>4375</v>
      </c>
      <c r="V80" s="63">
        <f t="shared" si="56"/>
        <v>4737.5</v>
      </c>
      <c r="W80" s="63">
        <f t="shared" si="56"/>
        <v>4012.5</v>
      </c>
      <c r="X80" s="63">
        <f t="shared" si="56"/>
        <v>4375</v>
      </c>
      <c r="Y80" s="63">
        <f t="shared" si="56"/>
        <v>3650</v>
      </c>
      <c r="Z80" s="63">
        <f t="shared" si="56"/>
        <v>3650</v>
      </c>
      <c r="AA80" s="63">
        <f t="shared" si="56"/>
        <v>3650</v>
      </c>
      <c r="AB80" s="63">
        <f t="shared" si="56"/>
        <v>2368.75</v>
      </c>
      <c r="AC80" s="63">
        <f t="shared" si="56"/>
        <v>5231.25</v>
      </c>
      <c r="AD80" s="63">
        <f t="shared" si="56"/>
        <v>8375</v>
      </c>
      <c r="AE80" s="63">
        <f t="shared" si="56"/>
        <v>9215</v>
      </c>
      <c r="AF80" s="63">
        <f t="shared" si="56"/>
        <v>11127.5</v>
      </c>
      <c r="AG80" s="63">
        <f t="shared" si="56"/>
        <v>12158.75</v>
      </c>
      <c r="AH80" s="63">
        <f t="shared" si="56"/>
        <v>13406.25</v>
      </c>
      <c r="AI80" s="63">
        <f t="shared" si="56"/>
        <v>11127.5</v>
      </c>
      <c r="AJ80" s="63">
        <f t="shared" si="56"/>
        <v>12158.75</v>
      </c>
      <c r="AK80" s="63">
        <f t="shared" si="56"/>
        <v>10096.25</v>
      </c>
      <c r="AL80" s="63">
        <f t="shared" si="56"/>
        <v>10096.25</v>
      </c>
      <c r="AM80" s="63">
        <f t="shared" si="56"/>
        <v>10096.25</v>
      </c>
      <c r="AN80" s="63">
        <f t="shared" si="56"/>
        <v>6378.75</v>
      </c>
      <c r="AO80" s="63">
        <f t="shared" si="56"/>
        <v>10750</v>
      </c>
      <c r="AP80" s="63">
        <f t="shared" si="56"/>
        <v>17200</v>
      </c>
      <c r="AQ80" s="63">
        <f t="shared" si="56"/>
        <v>19147.5</v>
      </c>
      <c r="AR80" s="63">
        <f t="shared" si="56"/>
        <v>21172.5</v>
      </c>
      <c r="AS80" s="63">
        <f t="shared" si="56"/>
        <v>23322.5</v>
      </c>
      <c r="AT80" s="63">
        <f t="shared" si="56"/>
        <v>25675</v>
      </c>
      <c r="AU80" s="63">
        <f t="shared" si="56"/>
        <v>21172.5</v>
      </c>
      <c r="AV80" s="63">
        <f t="shared" si="56"/>
        <v>23322.5</v>
      </c>
      <c r="AW80" s="63">
        <f t="shared" si="56"/>
        <v>19022.5</v>
      </c>
      <c r="AX80" s="63">
        <f t="shared" si="56"/>
        <v>19022.5</v>
      </c>
      <c r="AY80" s="63">
        <f t="shared" si="56"/>
        <v>19022.5</v>
      </c>
      <c r="AZ80" s="63">
        <f t="shared" si="56"/>
        <v>11965</v>
      </c>
      <c r="BA80" s="63">
        <f t="shared" si="56"/>
        <v>16950</v>
      </c>
      <c r="BB80" s="63">
        <f t="shared" si="56"/>
        <v>27120</v>
      </c>
      <c r="BC80" s="63">
        <f t="shared" si="56"/>
        <v>30307.5</v>
      </c>
      <c r="BD80" s="63">
        <f t="shared" si="56"/>
        <v>32332.5</v>
      </c>
      <c r="BE80" s="63">
        <f t="shared" si="56"/>
        <v>35722.5</v>
      </c>
      <c r="BF80" s="63">
        <f t="shared" si="56"/>
        <v>39087.5</v>
      </c>
      <c r="BG80" s="63">
        <f t="shared" si="56"/>
        <v>32332.5</v>
      </c>
      <c r="BH80" s="63">
        <f t="shared" si="56"/>
        <v>35722.5</v>
      </c>
      <c r="BI80" s="63">
        <f t="shared" si="56"/>
        <v>28942.5</v>
      </c>
      <c r="BJ80" s="63">
        <f t="shared" si="56"/>
        <v>28942.5</v>
      </c>
      <c r="BK80" s="63">
        <f t="shared" si="56"/>
        <v>28942.5</v>
      </c>
      <c r="BL80" s="63">
        <f t="shared" si="56"/>
        <v>18165</v>
      </c>
      <c r="BN80" s="178">
        <f>BL80+BL75</f>
        <v>20685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376</v>
      </c>
      <c r="E82" s="63">
        <f t="shared" ref="E82:AJ82" si="57">E80+E75+E48</f>
        <v>0</v>
      </c>
      <c r="F82" s="63">
        <f t="shared" si="57"/>
        <v>0</v>
      </c>
      <c r="G82" s="63">
        <f t="shared" si="57"/>
        <v>0</v>
      </c>
      <c r="H82" s="63">
        <f t="shared" si="57"/>
        <v>1245790</v>
      </c>
      <c r="I82" s="63">
        <f t="shared" si="57"/>
        <v>1374100</v>
      </c>
      <c r="J82" s="63">
        <f t="shared" si="57"/>
        <v>1539720</v>
      </c>
      <c r="K82" s="63">
        <f t="shared" si="57"/>
        <v>1245790</v>
      </c>
      <c r="L82" s="63">
        <f t="shared" si="57"/>
        <v>1374100</v>
      </c>
      <c r="M82" s="63">
        <f t="shared" si="57"/>
        <v>1117480</v>
      </c>
      <c r="N82" s="63">
        <f t="shared" si="57"/>
        <v>1117480</v>
      </c>
      <c r="O82" s="63">
        <f t="shared" si="57"/>
        <v>1117480</v>
      </c>
      <c r="P82" s="63">
        <f t="shared" si="57"/>
        <v>695240</v>
      </c>
      <c r="Q82" s="63">
        <f t="shared" si="57"/>
        <v>240868.75</v>
      </c>
      <c r="R82" s="63">
        <f t="shared" si="57"/>
        <v>391418.75</v>
      </c>
      <c r="S82" s="63">
        <f t="shared" si="57"/>
        <v>436587.5</v>
      </c>
      <c r="T82" s="63">
        <f t="shared" si="57"/>
        <v>439000</v>
      </c>
      <c r="U82" s="63">
        <f t="shared" si="57"/>
        <v>484412.5</v>
      </c>
      <c r="V82" s="63">
        <f t="shared" si="57"/>
        <v>529850</v>
      </c>
      <c r="W82" s="63">
        <f t="shared" si="57"/>
        <v>439000</v>
      </c>
      <c r="X82" s="63">
        <f t="shared" si="57"/>
        <v>484412.5</v>
      </c>
      <c r="Y82" s="63">
        <f t="shared" si="57"/>
        <v>393587.5</v>
      </c>
      <c r="Z82" s="63">
        <f t="shared" si="57"/>
        <v>393587.5</v>
      </c>
      <c r="AA82" s="63">
        <f t="shared" si="57"/>
        <v>393587.5</v>
      </c>
      <c r="AB82" s="63">
        <f t="shared" si="57"/>
        <v>242281.25</v>
      </c>
      <c r="AC82" s="63">
        <f t="shared" si="57"/>
        <v>155968.75</v>
      </c>
      <c r="AD82" s="63">
        <f t="shared" si="57"/>
        <v>252725</v>
      </c>
      <c r="AE82" s="63">
        <f t="shared" si="57"/>
        <v>284927.5</v>
      </c>
      <c r="AF82" s="63">
        <f t="shared" si="57"/>
        <v>287565</v>
      </c>
      <c r="AG82" s="63">
        <f t="shared" si="57"/>
        <v>314696.25</v>
      </c>
      <c r="AH82" s="63">
        <f t="shared" si="57"/>
        <v>347168.75</v>
      </c>
      <c r="AI82" s="63">
        <f t="shared" si="57"/>
        <v>287565</v>
      </c>
      <c r="AJ82" s="63">
        <f t="shared" si="57"/>
        <v>314696.25</v>
      </c>
      <c r="AK82" s="63">
        <f t="shared" ref="AK82:BL82" si="58">AK80+AK75+AK48</f>
        <v>255096.25</v>
      </c>
      <c r="AL82" s="63">
        <f t="shared" si="58"/>
        <v>255096.25</v>
      </c>
      <c r="AM82" s="63">
        <f t="shared" si="58"/>
        <v>255096.25</v>
      </c>
      <c r="AN82" s="63">
        <f t="shared" si="58"/>
        <v>157516.25</v>
      </c>
      <c r="AO82" s="63">
        <f t="shared" si="58"/>
        <v>194900</v>
      </c>
      <c r="AP82" s="63">
        <f t="shared" si="58"/>
        <v>314355</v>
      </c>
      <c r="AQ82" s="63">
        <f t="shared" si="58"/>
        <v>351927.5</v>
      </c>
      <c r="AR82" s="63">
        <f t="shared" si="58"/>
        <v>354967.5</v>
      </c>
      <c r="AS82" s="63">
        <f t="shared" si="58"/>
        <v>392812.5</v>
      </c>
      <c r="AT82" s="63">
        <f t="shared" si="58"/>
        <v>430895</v>
      </c>
      <c r="AU82" s="63">
        <f t="shared" si="58"/>
        <v>354967.5</v>
      </c>
      <c r="AV82" s="63">
        <f t="shared" si="58"/>
        <v>392812.5</v>
      </c>
      <c r="AW82" s="63">
        <f t="shared" si="58"/>
        <v>317087.5</v>
      </c>
      <c r="AX82" s="63">
        <f t="shared" si="58"/>
        <v>317087.5</v>
      </c>
      <c r="AY82" s="63">
        <f t="shared" si="58"/>
        <v>317087.5</v>
      </c>
      <c r="AZ82" s="63">
        <f t="shared" si="58"/>
        <v>196675</v>
      </c>
      <c r="BA82" s="63">
        <f t="shared" si="58"/>
        <v>234235</v>
      </c>
      <c r="BB82" s="63">
        <f t="shared" si="58"/>
        <v>376200</v>
      </c>
      <c r="BC82" s="63">
        <f t="shared" si="58"/>
        <v>418747.5</v>
      </c>
      <c r="BD82" s="63">
        <f t="shared" si="58"/>
        <v>421787.5</v>
      </c>
      <c r="BE82" s="63">
        <f t="shared" si="58"/>
        <v>471482.5</v>
      </c>
      <c r="BF82" s="63">
        <f t="shared" si="58"/>
        <v>514662.5</v>
      </c>
      <c r="BG82" s="63">
        <f t="shared" si="58"/>
        <v>421787.5</v>
      </c>
      <c r="BH82" s="63">
        <f t="shared" si="58"/>
        <v>471482.5</v>
      </c>
      <c r="BI82" s="63">
        <f t="shared" si="58"/>
        <v>378932.5</v>
      </c>
      <c r="BJ82" s="63">
        <f t="shared" si="58"/>
        <v>378932.5</v>
      </c>
      <c r="BK82" s="63">
        <f t="shared" si="58"/>
        <v>378932.5</v>
      </c>
      <c r="BL82" s="63">
        <f t="shared" si="58"/>
        <v>236010</v>
      </c>
      <c r="BM82" s="118">
        <f>SUM(E82:BL82)</f>
        <v>27502658.75</v>
      </c>
      <c r="BN82" s="178">
        <f>BM79+BM78+BM74+BM73+BM48</f>
        <v>27502658.75</v>
      </c>
    </row>
    <row r="83" spans="2:66" x14ac:dyDescent="0.15">
      <c r="B83" s="33" t="s">
        <v>668</v>
      </c>
      <c r="E83" s="63">
        <f t="shared" ref="E83:AJ83" si="59">E60+E75+E80</f>
        <v>0</v>
      </c>
      <c r="F83" s="63">
        <f t="shared" si="59"/>
        <v>0</v>
      </c>
      <c r="G83" s="63">
        <f t="shared" si="59"/>
        <v>0</v>
      </c>
      <c r="H83" s="63">
        <f t="shared" si="59"/>
        <v>777790</v>
      </c>
      <c r="I83" s="63">
        <f t="shared" si="59"/>
        <v>858100</v>
      </c>
      <c r="J83" s="63">
        <f t="shared" si="59"/>
        <v>963720</v>
      </c>
      <c r="K83" s="63">
        <f t="shared" si="59"/>
        <v>777790</v>
      </c>
      <c r="L83" s="63">
        <f t="shared" si="59"/>
        <v>858100</v>
      </c>
      <c r="M83" s="63">
        <f t="shared" si="59"/>
        <v>697480</v>
      </c>
      <c r="N83" s="63">
        <f t="shared" si="59"/>
        <v>697480</v>
      </c>
      <c r="O83" s="63">
        <f t="shared" si="59"/>
        <v>697480</v>
      </c>
      <c r="P83" s="63">
        <f t="shared" si="59"/>
        <v>431240</v>
      </c>
      <c r="Q83" s="63">
        <f t="shared" si="59"/>
        <v>68068.75</v>
      </c>
      <c r="R83" s="63">
        <f t="shared" si="59"/>
        <v>110618.75</v>
      </c>
      <c r="S83" s="63">
        <f t="shared" si="59"/>
        <v>123387.5</v>
      </c>
      <c r="T83" s="63">
        <f t="shared" si="59"/>
        <v>125800</v>
      </c>
      <c r="U83" s="63">
        <f t="shared" si="59"/>
        <v>138812.5</v>
      </c>
      <c r="V83" s="63">
        <f t="shared" si="59"/>
        <v>151850</v>
      </c>
      <c r="W83" s="63">
        <f t="shared" si="59"/>
        <v>125800</v>
      </c>
      <c r="X83" s="63">
        <f t="shared" si="59"/>
        <v>138812.5</v>
      </c>
      <c r="Y83" s="63">
        <f t="shared" si="59"/>
        <v>112787.5</v>
      </c>
      <c r="Z83" s="63">
        <f t="shared" si="59"/>
        <v>112787.5</v>
      </c>
      <c r="AA83" s="63">
        <f t="shared" si="59"/>
        <v>112787.5</v>
      </c>
      <c r="AB83" s="63">
        <f t="shared" si="59"/>
        <v>69481.25</v>
      </c>
      <c r="AC83" s="63">
        <f t="shared" si="59"/>
        <v>-125911.25</v>
      </c>
      <c r="AD83" s="63">
        <f t="shared" si="59"/>
        <v>-204115</v>
      </c>
      <c r="AE83" s="63">
        <f t="shared" si="59"/>
        <v>-230232.5</v>
      </c>
      <c r="AF83" s="63">
        <f t="shared" si="59"/>
        <v>-227595</v>
      </c>
      <c r="AG83" s="63">
        <f t="shared" si="59"/>
        <v>-249063.75</v>
      </c>
      <c r="AH83" s="63">
        <f t="shared" si="59"/>
        <v>-274911.25</v>
      </c>
      <c r="AI83" s="63">
        <f t="shared" si="59"/>
        <v>-227595</v>
      </c>
      <c r="AJ83" s="63">
        <f t="shared" si="59"/>
        <v>-249063.75</v>
      </c>
      <c r="AK83" s="63">
        <f t="shared" ref="AK83:BL83" si="60">AK60+AK75+AK80</f>
        <v>-201743.75</v>
      </c>
      <c r="AL83" s="63">
        <f t="shared" si="60"/>
        <v>-201743.75</v>
      </c>
      <c r="AM83" s="63">
        <f t="shared" si="60"/>
        <v>-201743.75</v>
      </c>
      <c r="AN83" s="63">
        <f t="shared" si="60"/>
        <v>-124363.75</v>
      </c>
      <c r="AO83" s="63">
        <f t="shared" si="60"/>
        <v>-76288</v>
      </c>
      <c r="AP83" s="63">
        <f t="shared" si="60"/>
        <v>-123045</v>
      </c>
      <c r="AQ83" s="63">
        <f t="shared" si="60"/>
        <v>-137960.5</v>
      </c>
      <c r="AR83" s="63">
        <f t="shared" si="60"/>
        <v>-134920.5</v>
      </c>
      <c r="AS83" s="63">
        <f t="shared" si="60"/>
        <v>-149563.5</v>
      </c>
      <c r="AT83" s="63">
        <f t="shared" si="60"/>
        <v>-163969</v>
      </c>
      <c r="AU83" s="63">
        <f t="shared" si="60"/>
        <v>-134920.5</v>
      </c>
      <c r="AV83" s="63">
        <f t="shared" si="60"/>
        <v>-149563.5</v>
      </c>
      <c r="AW83" s="63">
        <f t="shared" si="60"/>
        <v>-120312.5</v>
      </c>
      <c r="AX83" s="63">
        <f t="shared" si="60"/>
        <v>-120312.5</v>
      </c>
      <c r="AY83" s="63">
        <f t="shared" si="60"/>
        <v>-120312.5</v>
      </c>
      <c r="AZ83" s="63">
        <f t="shared" si="60"/>
        <v>-74513</v>
      </c>
      <c r="BA83" s="63">
        <f t="shared" si="60"/>
        <v>-25616.899999999994</v>
      </c>
      <c r="BB83" s="63">
        <f t="shared" si="60"/>
        <v>-41137.899999999965</v>
      </c>
      <c r="BC83" s="63">
        <f t="shared" si="60"/>
        <v>-45836.200000000012</v>
      </c>
      <c r="BD83" s="63">
        <f t="shared" si="60"/>
        <v>-42796.200000000012</v>
      </c>
      <c r="BE83" s="63">
        <f t="shared" si="60"/>
        <v>-48221.299999999988</v>
      </c>
      <c r="BF83" s="63">
        <f t="shared" si="60"/>
        <v>-52287.099999999977</v>
      </c>
      <c r="BG83" s="63">
        <f t="shared" si="60"/>
        <v>-42796.200000000012</v>
      </c>
      <c r="BH83" s="63">
        <f t="shared" si="60"/>
        <v>-48221.299999999988</v>
      </c>
      <c r="BI83" s="63">
        <f t="shared" si="60"/>
        <v>-38405.399999999965</v>
      </c>
      <c r="BJ83" s="63">
        <f t="shared" si="60"/>
        <v>-38405.399999999965</v>
      </c>
      <c r="BK83" s="63">
        <f t="shared" si="60"/>
        <v>-38405.399999999965</v>
      </c>
      <c r="BL83" s="63">
        <f t="shared" si="60"/>
        <v>-23841.899999999994</v>
      </c>
      <c r="BM83" s="118">
        <f>SUM(E83:BL83)</f>
        <v>3640439.0500000003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4" t="s">
        <v>318</v>
      </c>
      <c r="B2" s="364"/>
    </row>
    <row r="3" spans="1:63" x14ac:dyDescent="0.15">
      <c r="A3" s="10"/>
      <c r="B3" s="10"/>
    </row>
    <row r="4" spans="1:63" x14ac:dyDescent="0.15">
      <c r="A4" s="364" t="s">
        <v>372</v>
      </c>
      <c r="B4" s="364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373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638820</v>
      </c>
      <c r="G7" s="9">
        <f>'REV-REVCALC_CWS'!I10</f>
        <v>704340</v>
      </c>
      <c r="H7" s="9">
        <f>'REV-REVCALC_CWS'!J10</f>
        <v>786240</v>
      </c>
      <c r="I7" s="9">
        <f>'REV-REVCALC_CWS'!K10</f>
        <v>638820</v>
      </c>
      <c r="J7" s="9">
        <f>'REV-REVCALC_CWS'!L10</f>
        <v>704340</v>
      </c>
      <c r="K7" s="9">
        <f>'REV-REVCALC_CWS'!M10</f>
        <v>573300</v>
      </c>
      <c r="L7" s="9">
        <f>'REV-REVCALC_CWS'!N10</f>
        <v>573300</v>
      </c>
      <c r="M7" s="9">
        <f>'REV-REVCALC_CWS'!O10</f>
        <v>573300</v>
      </c>
      <c r="N7" s="9">
        <f>'REV-REVCALC_CWS'!P10</f>
        <v>360360</v>
      </c>
      <c r="O7" s="9">
        <f>'REV-REVCALC_CWS'!Q10</f>
        <v>237600</v>
      </c>
      <c r="P7" s="9">
        <f>'REV-REVCALC_CWS'!R10</f>
        <v>386100</v>
      </c>
      <c r="Q7" s="9">
        <f>'REV-REVCALC_CWS'!S10</f>
        <v>430650</v>
      </c>
      <c r="R7" s="9">
        <f>'REV-REVCALC_CWS'!T10</f>
        <v>430650</v>
      </c>
      <c r="S7" s="9">
        <f>'REV-REVCALC_CWS'!U10</f>
        <v>475200</v>
      </c>
      <c r="T7" s="9">
        <f>'REV-REVCALC_CWS'!V10</f>
        <v>519750</v>
      </c>
      <c r="U7" s="9">
        <f>'REV-REVCALC_CWS'!W10</f>
        <v>430650</v>
      </c>
      <c r="V7" s="9">
        <f>'REV-REVCALC_CWS'!X10</f>
        <v>475200</v>
      </c>
      <c r="W7" s="9">
        <f>'REV-REVCALC_CWS'!Y10</f>
        <v>386100</v>
      </c>
      <c r="X7" s="9">
        <f>'REV-REVCALC_CWS'!Z10</f>
        <v>386100</v>
      </c>
      <c r="Y7" s="9">
        <f>'REV-REVCALC_CWS'!AA10</f>
        <v>386100</v>
      </c>
      <c r="Z7" s="9">
        <f>'REV-REVCALC_CWS'!AB10</f>
        <v>237600</v>
      </c>
      <c r="AA7" s="9">
        <f>'REV-REVCALC_CWS'!AC10</f>
        <v>147900</v>
      </c>
      <c r="AB7" s="9">
        <f>'REV-REVCALC_CWS'!AD10</f>
        <v>239700</v>
      </c>
      <c r="AC7" s="9">
        <f>'REV-REVCALC_CWS'!AE10</f>
        <v>270300</v>
      </c>
      <c r="AD7" s="9">
        <f>'REV-REVCALC_CWS'!AF10</f>
        <v>270300</v>
      </c>
      <c r="AE7" s="9">
        <f>'REV-REVCALC_CWS'!AG10</f>
        <v>295800</v>
      </c>
      <c r="AF7" s="9">
        <f>'REV-REVCALC_CWS'!AH10</f>
        <v>326400</v>
      </c>
      <c r="AG7" s="9">
        <f>'REV-REVCALC_CWS'!AI10</f>
        <v>270300</v>
      </c>
      <c r="AH7" s="9">
        <f>'REV-REVCALC_CWS'!AJ10</f>
        <v>295800</v>
      </c>
      <c r="AI7" s="9">
        <f>'REV-REVCALC_CWS'!AK10</f>
        <v>239700</v>
      </c>
      <c r="AJ7" s="9">
        <f>'REV-REVCALC_CWS'!AL10</f>
        <v>239700</v>
      </c>
      <c r="AK7" s="9">
        <f>'REV-REVCALC_CWS'!AM10</f>
        <v>239700</v>
      </c>
      <c r="AL7" s="9">
        <f>'REV-REVCALC_CWS'!AN10</f>
        <v>147900</v>
      </c>
      <c r="AM7" s="9">
        <f>'REV-REVCALC_CWS'!AO10</f>
        <v>181350</v>
      </c>
      <c r="AN7" s="9">
        <f>'REV-REVCALC_CWS'!AP10</f>
        <v>292500</v>
      </c>
      <c r="AO7" s="9">
        <f>'REV-REVCALC_CWS'!AQ10</f>
        <v>327600</v>
      </c>
      <c r="AP7" s="9">
        <f>'REV-REVCALC_CWS'!AR10</f>
        <v>327600</v>
      </c>
      <c r="AQ7" s="9">
        <f>'REV-REVCALC_CWS'!AS10</f>
        <v>362700</v>
      </c>
      <c r="AR7" s="9">
        <f>'REV-REVCALC_CWS'!AT10</f>
        <v>397800</v>
      </c>
      <c r="AS7" s="9">
        <f>'REV-REVCALC_CWS'!AU10</f>
        <v>327600</v>
      </c>
      <c r="AT7" s="9">
        <f>'REV-REVCALC_CWS'!AV10</f>
        <v>362700</v>
      </c>
      <c r="AU7" s="9">
        <f>'REV-REVCALC_CWS'!AW10</f>
        <v>292500</v>
      </c>
      <c r="AV7" s="9">
        <f>'REV-REVCALC_CWS'!AX10</f>
        <v>292500</v>
      </c>
      <c r="AW7" s="9">
        <f>'REV-REVCALC_CWS'!AY10</f>
        <v>292500</v>
      </c>
      <c r="AX7" s="9">
        <f>'REV-REVCALC_CWS'!AZ10</f>
        <v>181350</v>
      </c>
      <c r="AY7" s="9">
        <f>'REV-REVCALC_CWS'!BA10</f>
        <v>215325</v>
      </c>
      <c r="AZ7" s="9">
        <f>'REV-REVCALC_CWS'!BB10</f>
        <v>345825</v>
      </c>
      <c r="BA7" s="9">
        <f>'REV-REVCALC_CWS'!BC10</f>
        <v>384975</v>
      </c>
      <c r="BB7" s="9">
        <f>'REV-REVCALC_CWS'!BD10</f>
        <v>384975</v>
      </c>
      <c r="BC7" s="9">
        <f>'REV-REVCALC_CWS'!BE10</f>
        <v>430650</v>
      </c>
      <c r="BD7" s="9">
        <f>'REV-REVCALC_CWS'!BF10</f>
        <v>469800</v>
      </c>
      <c r="BE7" s="9">
        <f>'REV-REVCALC_CWS'!BG10</f>
        <v>384975</v>
      </c>
      <c r="BF7" s="9">
        <f>'REV-REVCALC_CWS'!BH10</f>
        <v>430650</v>
      </c>
      <c r="BG7" s="9">
        <f>'REV-REVCALC_CWS'!BI10</f>
        <v>345825</v>
      </c>
      <c r="BH7" s="9">
        <f>'REV-REVCALC_CWS'!BJ10</f>
        <v>345825</v>
      </c>
      <c r="BI7" s="9">
        <f>'REV-REVCALC_CWS'!BK10</f>
        <v>345825</v>
      </c>
      <c r="BJ7" s="9">
        <f>'REV-REVCALC_CWS'!BL10</f>
        <v>215325</v>
      </c>
    </row>
    <row r="8" spans="1:63" x14ac:dyDescent="0.15">
      <c r="B8" s="33" t="s">
        <v>374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606970</v>
      </c>
      <c r="G8" s="9">
        <f>'REV-REVCALC_CWS'!I34</f>
        <v>669760</v>
      </c>
      <c r="H8" s="9">
        <f>'REV-REVCALC_CWS'!J34</f>
        <v>753480</v>
      </c>
      <c r="I8" s="9">
        <f>'REV-REVCALC_CWS'!K34</f>
        <v>606970</v>
      </c>
      <c r="J8" s="9">
        <f>'REV-REVCALC_CWS'!L34</f>
        <v>669760</v>
      </c>
      <c r="K8" s="9">
        <f>'REV-REVCALC_CWS'!M34</f>
        <v>544180</v>
      </c>
      <c r="L8" s="9">
        <f>'REV-REVCALC_CWS'!N34</f>
        <v>544180</v>
      </c>
      <c r="M8" s="9">
        <f>'REV-REVCALC_CWS'!O34</f>
        <v>544180</v>
      </c>
      <c r="N8" s="9">
        <f>'REV-REVCALC_CWS'!P34</f>
        <v>334880</v>
      </c>
      <c r="O8" s="9">
        <f>'REV-REVCALC_CWS'!Q34</f>
        <v>1687.5</v>
      </c>
      <c r="P8" s="9">
        <f>'REV-REVCALC_CWS'!R34</f>
        <v>2812.5</v>
      </c>
      <c r="Q8" s="9">
        <f>'REV-REVCALC_CWS'!S34</f>
        <v>3187.5</v>
      </c>
      <c r="R8" s="9">
        <f>'REV-REVCALC_CWS'!T34</f>
        <v>3187.5</v>
      </c>
      <c r="S8" s="9">
        <f>'REV-REVCALC_CWS'!U34</f>
        <v>3562.5</v>
      </c>
      <c r="T8" s="9">
        <f>'REV-REVCALC_CWS'!V34</f>
        <v>3937.5</v>
      </c>
      <c r="U8" s="9">
        <f>'REV-REVCALC_CWS'!W34</f>
        <v>3187.5</v>
      </c>
      <c r="V8" s="9">
        <f>'REV-REVCALC_CWS'!X34</f>
        <v>3562.5</v>
      </c>
      <c r="W8" s="9">
        <f>'REV-REVCALC_CWS'!Y34</f>
        <v>2812.5</v>
      </c>
      <c r="X8" s="9">
        <f>'REV-REVCALC_CWS'!Z34</f>
        <v>2812.5</v>
      </c>
      <c r="Y8" s="9">
        <f>'REV-REVCALC_CWS'!AA34</f>
        <v>2812.5</v>
      </c>
      <c r="Z8" s="9">
        <f>'REV-REVCALC_CWS'!AB34</f>
        <v>1687.5</v>
      </c>
      <c r="AA8" s="9">
        <f>'REV-REVCALC_CWS'!AC34</f>
        <v>2337.5</v>
      </c>
      <c r="AB8" s="9">
        <f>'REV-REVCALC_CWS'!AD34</f>
        <v>3825</v>
      </c>
      <c r="AC8" s="9">
        <f>'REV-REVCALC_CWS'!AE34</f>
        <v>4462.5</v>
      </c>
      <c r="AD8" s="9">
        <f>'REV-REVCALC_CWS'!AF34</f>
        <v>4462.5</v>
      </c>
      <c r="AE8" s="9">
        <f>'REV-REVCALC_CWS'!AG34</f>
        <v>4887.5</v>
      </c>
      <c r="AF8" s="9">
        <f>'REV-REVCALC_CWS'!AH34</f>
        <v>5312.5</v>
      </c>
      <c r="AG8" s="9">
        <f>'REV-REVCALC_CWS'!AI34</f>
        <v>4462.5</v>
      </c>
      <c r="AH8" s="9">
        <f>'REV-REVCALC_CWS'!AJ34</f>
        <v>4887.5</v>
      </c>
      <c r="AI8" s="9">
        <f>'REV-REVCALC_CWS'!AK34</f>
        <v>3825</v>
      </c>
      <c r="AJ8" s="9">
        <f>'REV-REVCALC_CWS'!AL34</f>
        <v>3825</v>
      </c>
      <c r="AK8" s="9">
        <f>'REV-REVCALC_CWS'!AM34</f>
        <v>3825</v>
      </c>
      <c r="AL8" s="9">
        <f>'REV-REVCALC_CWS'!AN34</f>
        <v>2337.5</v>
      </c>
      <c r="AM8" s="9">
        <f>'REV-REVCALC_CWS'!AO34</f>
        <v>1890</v>
      </c>
      <c r="AN8" s="9">
        <f>'REV-REVCALC_CWS'!AP34</f>
        <v>3150</v>
      </c>
      <c r="AO8" s="9">
        <f>'REV-REVCALC_CWS'!AQ34</f>
        <v>3465</v>
      </c>
      <c r="AP8" s="9">
        <f>'REV-REVCALC_CWS'!AR34</f>
        <v>3465</v>
      </c>
      <c r="AQ8" s="9">
        <f>'REV-REVCALC_CWS'!AS34</f>
        <v>3780</v>
      </c>
      <c r="AR8" s="9">
        <f>'REV-REVCALC_CWS'!AT34</f>
        <v>4095</v>
      </c>
      <c r="AS8" s="9">
        <f>'REV-REVCALC_CWS'!AU34</f>
        <v>3465</v>
      </c>
      <c r="AT8" s="9">
        <f>'REV-REVCALC_CWS'!AV34</f>
        <v>3780</v>
      </c>
      <c r="AU8" s="9">
        <f>'REV-REVCALC_CWS'!AW34</f>
        <v>3150</v>
      </c>
      <c r="AV8" s="9">
        <f>'REV-REVCALC_CWS'!AX34</f>
        <v>3150</v>
      </c>
      <c r="AW8" s="9">
        <f>'REV-REVCALC_CWS'!AY34</f>
        <v>3150</v>
      </c>
      <c r="AX8" s="9">
        <f>'REV-REVCALC_CWS'!AZ34</f>
        <v>1890</v>
      </c>
      <c r="AY8" s="9">
        <f>'REV-REVCALC_CWS'!BA34</f>
        <v>945</v>
      </c>
      <c r="AZ8" s="9">
        <f>'REV-REVCALC_CWS'!BB34</f>
        <v>1575</v>
      </c>
      <c r="BA8" s="9">
        <f>'REV-REVCALC_CWS'!BC34</f>
        <v>1575</v>
      </c>
      <c r="BB8" s="9">
        <f>'REV-REVCALC_CWS'!BD34</f>
        <v>1575</v>
      </c>
      <c r="BC8" s="9">
        <f>'REV-REVCALC_CWS'!BE34</f>
        <v>1890</v>
      </c>
      <c r="BD8" s="9">
        <f>'REV-REVCALC_CWS'!BF34</f>
        <v>2205</v>
      </c>
      <c r="BE8" s="9">
        <f>'REV-REVCALC_CWS'!BG34</f>
        <v>1575</v>
      </c>
      <c r="BF8" s="9">
        <f>'REV-REVCALC_CWS'!BH34</f>
        <v>1890</v>
      </c>
      <c r="BG8" s="9">
        <f>'REV-REVCALC_CWS'!BI34</f>
        <v>1575</v>
      </c>
      <c r="BH8" s="9">
        <f>'REV-REVCALC_CWS'!BJ34</f>
        <v>1575</v>
      </c>
      <c r="BI8" s="9">
        <f>'REV-REVCALC_CWS'!BK34</f>
        <v>1575</v>
      </c>
      <c r="BJ8" s="9">
        <f>'REV-REVCALC_CWS'!BL34</f>
        <v>945</v>
      </c>
    </row>
    <row r="9" spans="1:63" x14ac:dyDescent="0.15">
      <c r="B9" s="33" t="s">
        <v>375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0</v>
      </c>
      <c r="M9" s="9">
        <f>'REV-REVCALC_CWS'!O35</f>
        <v>0</v>
      </c>
      <c r="N9" s="9">
        <f>'REV-REVCALC_CWS'!P35</f>
        <v>0</v>
      </c>
      <c r="O9" s="9">
        <f>'REV-REVCALC_CWS'!Q35</f>
        <v>225</v>
      </c>
      <c r="P9" s="9">
        <f>'REV-REVCALC_CWS'!R35</f>
        <v>375</v>
      </c>
      <c r="Q9" s="9">
        <f>'REV-REVCALC_CWS'!S35</f>
        <v>425</v>
      </c>
      <c r="R9" s="9">
        <f>'REV-REVCALC_CWS'!T35</f>
        <v>1150</v>
      </c>
      <c r="S9" s="9">
        <f>'REV-REVCALC_CWS'!U35</f>
        <v>1275</v>
      </c>
      <c r="T9" s="9">
        <f>'REV-REVCALC_CWS'!V35</f>
        <v>1425</v>
      </c>
      <c r="U9" s="9">
        <f>'REV-REVCALC_CWS'!W35</f>
        <v>1150</v>
      </c>
      <c r="V9" s="9">
        <f>'REV-REVCALC_CWS'!X35</f>
        <v>1275</v>
      </c>
      <c r="W9" s="9">
        <f>'REV-REVCALC_CWS'!Y35</f>
        <v>1025</v>
      </c>
      <c r="X9" s="9">
        <f>'REV-REVCALC_CWS'!Z35</f>
        <v>1025</v>
      </c>
      <c r="Y9" s="9">
        <f>'REV-REVCALC_CWS'!AA35</f>
        <v>1025</v>
      </c>
      <c r="Z9" s="9">
        <f>'REV-REVCALC_CWS'!AB35</f>
        <v>625</v>
      </c>
      <c r="AA9" s="9">
        <f>'REV-REVCALC_CWS'!AC35</f>
        <v>500</v>
      </c>
      <c r="AB9" s="9">
        <f>'REV-REVCALC_CWS'!AD35</f>
        <v>825</v>
      </c>
      <c r="AC9" s="9">
        <f>'REV-REVCALC_CWS'!AE35</f>
        <v>950</v>
      </c>
      <c r="AD9" s="9">
        <f>'REV-REVCALC_CWS'!AF35</f>
        <v>1675</v>
      </c>
      <c r="AE9" s="9">
        <f>'REV-REVCALC_CWS'!AG35</f>
        <v>1850</v>
      </c>
      <c r="AF9" s="9">
        <f>'REV-REVCALC_CWS'!AH35</f>
        <v>2050</v>
      </c>
      <c r="AG9" s="9">
        <f>'REV-REVCALC_CWS'!AI35</f>
        <v>1675</v>
      </c>
      <c r="AH9" s="9">
        <f>'REV-REVCALC_CWS'!AJ35</f>
        <v>1850</v>
      </c>
      <c r="AI9" s="9">
        <f>'REV-REVCALC_CWS'!AK35</f>
        <v>1475</v>
      </c>
      <c r="AJ9" s="9">
        <f>'REV-REVCALC_CWS'!AL35</f>
        <v>1475</v>
      </c>
      <c r="AK9" s="9">
        <f>'REV-REVCALC_CWS'!AM35</f>
        <v>1475</v>
      </c>
      <c r="AL9" s="9">
        <f>'REV-REVCALC_CWS'!AN35</f>
        <v>900</v>
      </c>
      <c r="AM9" s="9">
        <f>'REV-REVCALC_CWS'!AO35</f>
        <v>910</v>
      </c>
      <c r="AN9" s="9">
        <f>'REV-REVCALC_CWS'!AP35</f>
        <v>1505</v>
      </c>
      <c r="AO9" s="9">
        <f>'REV-REVCALC_CWS'!AQ35</f>
        <v>1715</v>
      </c>
      <c r="AP9" s="9">
        <f>'REV-REVCALC_CWS'!AR35</f>
        <v>2730</v>
      </c>
      <c r="AQ9" s="9">
        <f>'REV-REVCALC_CWS'!AS35</f>
        <v>3010</v>
      </c>
      <c r="AR9" s="9">
        <f>'REV-REVCALC_CWS'!AT35</f>
        <v>3325</v>
      </c>
      <c r="AS9" s="9">
        <f>'REV-REVCALC_CWS'!AU35</f>
        <v>2730</v>
      </c>
      <c r="AT9" s="9">
        <f>'REV-REVCALC_CWS'!AV35</f>
        <v>3010</v>
      </c>
      <c r="AU9" s="9">
        <f>'REV-REVCALC_CWS'!AW35</f>
        <v>2415</v>
      </c>
      <c r="AV9" s="9">
        <f>'REV-REVCALC_CWS'!AX35</f>
        <v>2415</v>
      </c>
      <c r="AW9" s="9">
        <f>'REV-REVCALC_CWS'!AY35</f>
        <v>2415</v>
      </c>
      <c r="AX9" s="9">
        <f>'REV-REVCALC_CWS'!AZ35</f>
        <v>1470</v>
      </c>
      <c r="AY9" s="9">
        <f>'REV-REVCALC_CWS'!BA35</f>
        <v>1015</v>
      </c>
      <c r="AZ9" s="9">
        <f>'REV-REVCALC_CWS'!BB35</f>
        <v>1680</v>
      </c>
      <c r="BA9" s="9">
        <f>'REV-REVCALC_CWS'!BC35</f>
        <v>1890</v>
      </c>
      <c r="BB9" s="9">
        <f>'REV-REVCALC_CWS'!BD35</f>
        <v>2905</v>
      </c>
      <c r="BC9" s="9">
        <f>'REV-REVCALC_CWS'!BE35</f>
        <v>3220</v>
      </c>
      <c r="BD9" s="9">
        <f>'REV-REVCALC_CWS'!BF35</f>
        <v>3570</v>
      </c>
      <c r="BE9" s="9">
        <f>'REV-REVCALC_CWS'!BG35</f>
        <v>2905</v>
      </c>
      <c r="BF9" s="9">
        <f>'REV-REVCALC_CWS'!BH35</f>
        <v>3220</v>
      </c>
      <c r="BG9" s="9">
        <f>'REV-REVCALC_CWS'!BI35</f>
        <v>2590</v>
      </c>
      <c r="BH9" s="9">
        <f>'REV-REVCALC_CWS'!BJ35</f>
        <v>2590</v>
      </c>
      <c r="BI9" s="9">
        <f>'REV-REVCALC_CWS'!BK35</f>
        <v>2590</v>
      </c>
      <c r="BJ9" s="9">
        <f>'REV-REVCALC_CWS'!BL35</f>
        <v>1575</v>
      </c>
    </row>
    <row r="10" spans="1:63" x14ac:dyDescent="0.15">
      <c r="B10" s="33" t="s">
        <v>1097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0</v>
      </c>
      <c r="M10" s="9">
        <f>'REV-REVCALC_CWS'!O38</f>
        <v>0</v>
      </c>
      <c r="N10" s="9">
        <f>'REV-REVCALC_CWS'!P38</f>
        <v>0</v>
      </c>
      <c r="O10" s="9">
        <f>'REV-REVCALC_CWS'!Q38</f>
        <v>175</v>
      </c>
      <c r="P10" s="9">
        <f>'REV-REVCALC_CWS'!R38</f>
        <v>275</v>
      </c>
      <c r="Q10" s="9">
        <f>'REV-REVCALC_CWS'!S38</f>
        <v>300</v>
      </c>
      <c r="R10" s="9">
        <f>'REV-REVCALC_CWS'!T38</f>
        <v>300</v>
      </c>
      <c r="S10" s="9">
        <f>'REV-REVCALC_CWS'!U38</f>
        <v>325</v>
      </c>
      <c r="T10" s="9">
        <f>'REV-REVCALC_CWS'!V38</f>
        <v>350</v>
      </c>
      <c r="U10" s="9">
        <f>'REV-REVCALC_CWS'!W38</f>
        <v>300</v>
      </c>
      <c r="V10" s="9">
        <f>'REV-REVCALC_CWS'!X38</f>
        <v>325</v>
      </c>
      <c r="W10" s="9">
        <f>'REV-REVCALC_CWS'!Y38</f>
        <v>275</v>
      </c>
      <c r="X10" s="9">
        <f>'REV-REVCALC_CWS'!Z38</f>
        <v>275</v>
      </c>
      <c r="Y10" s="9">
        <f>'REV-REVCALC_CWS'!AA38</f>
        <v>275</v>
      </c>
      <c r="Z10" s="9">
        <f>'REV-REVCALC_CWS'!AB38</f>
        <v>175</v>
      </c>
      <c r="AA10" s="9">
        <f>'REV-REVCALC_CWS'!AC38</f>
        <v>450</v>
      </c>
      <c r="AB10" s="9">
        <f>'REV-REVCALC_CWS'!AD38</f>
        <v>725</v>
      </c>
      <c r="AC10" s="9">
        <f>'REV-REVCALC_CWS'!AE38</f>
        <v>800</v>
      </c>
      <c r="AD10" s="9">
        <f>'REV-REVCALC_CWS'!AF38</f>
        <v>800</v>
      </c>
      <c r="AE10" s="9">
        <f>'REV-REVCALC_CWS'!AG38</f>
        <v>875</v>
      </c>
      <c r="AF10" s="9">
        <f>'REV-REVCALC_CWS'!AH38</f>
        <v>975</v>
      </c>
      <c r="AG10" s="9">
        <f>'REV-REVCALC_CWS'!AI38</f>
        <v>800</v>
      </c>
      <c r="AH10" s="9">
        <f>'REV-REVCALC_CWS'!AJ38</f>
        <v>875</v>
      </c>
      <c r="AI10" s="9">
        <f>'REV-REVCALC_CWS'!AK38</f>
        <v>725</v>
      </c>
      <c r="AJ10" s="9">
        <f>'REV-REVCALC_CWS'!AL38</f>
        <v>725</v>
      </c>
      <c r="AK10" s="9">
        <f>'REV-REVCALC_CWS'!AM38</f>
        <v>725</v>
      </c>
      <c r="AL10" s="9">
        <f>'REV-REVCALC_CWS'!AN38</f>
        <v>450</v>
      </c>
      <c r="AM10" s="9">
        <f>'REV-REVCALC_CWS'!AO38</f>
        <v>625</v>
      </c>
      <c r="AN10" s="9">
        <f>'REV-REVCALC_CWS'!AP38</f>
        <v>1000</v>
      </c>
      <c r="AO10" s="9">
        <f>'REV-REVCALC_CWS'!AQ38</f>
        <v>1125</v>
      </c>
      <c r="AP10" s="9">
        <f>'REV-REVCALC_CWS'!AR38</f>
        <v>1125</v>
      </c>
      <c r="AQ10" s="9">
        <f>'REV-REVCALC_CWS'!AS38</f>
        <v>1250</v>
      </c>
      <c r="AR10" s="9">
        <f>'REV-REVCALC_CWS'!AT38</f>
        <v>1375</v>
      </c>
      <c r="AS10" s="9">
        <f>'REV-REVCALC_CWS'!AU38</f>
        <v>1125</v>
      </c>
      <c r="AT10" s="9">
        <f>'REV-REVCALC_CWS'!AV38</f>
        <v>1250</v>
      </c>
      <c r="AU10" s="9">
        <f>'REV-REVCALC_CWS'!AW38</f>
        <v>1000</v>
      </c>
      <c r="AV10" s="9">
        <f>'REV-REVCALC_CWS'!AX38</f>
        <v>1000</v>
      </c>
      <c r="AW10" s="9">
        <f>'REV-REVCALC_CWS'!AY38</f>
        <v>1000</v>
      </c>
      <c r="AX10" s="9">
        <f>'REV-REVCALC_CWS'!AZ38</f>
        <v>625</v>
      </c>
      <c r="AY10" s="9">
        <f>'REV-REVCALC_CWS'!BA38</f>
        <v>750</v>
      </c>
      <c r="AZ10" s="9">
        <f>'REV-REVCALC_CWS'!BB38</f>
        <v>1200</v>
      </c>
      <c r="BA10" s="9">
        <f>'REV-REVCALC_CWS'!BC38</f>
        <v>1350</v>
      </c>
      <c r="BB10" s="9">
        <f>'REV-REVCALC_CWS'!BD38</f>
        <v>1350</v>
      </c>
      <c r="BC10" s="9">
        <f>'REV-REVCALC_CWS'!BE38</f>
        <v>1500</v>
      </c>
      <c r="BD10" s="9">
        <f>'REV-REVCALC_CWS'!BF38</f>
        <v>1625</v>
      </c>
      <c r="BE10" s="9">
        <f>'REV-REVCALC_CWS'!BG38</f>
        <v>1350</v>
      </c>
      <c r="BF10" s="9">
        <f>'REV-REVCALC_CWS'!BH38</f>
        <v>1500</v>
      </c>
      <c r="BG10" s="9">
        <f>'REV-REVCALC_CWS'!BI38</f>
        <v>1200</v>
      </c>
      <c r="BH10" s="9">
        <f>'REV-REVCALC_CWS'!BJ38</f>
        <v>1200</v>
      </c>
      <c r="BI10" s="9">
        <f>'REV-REVCALC_CWS'!BK38</f>
        <v>1200</v>
      </c>
      <c r="BJ10" s="9">
        <f>'REV-REVCALC_CWS'!BL38</f>
        <v>750</v>
      </c>
    </row>
    <row r="11" spans="1:63" x14ac:dyDescent="0.15">
      <c r="B11" s="33" t="s">
        <v>377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0</v>
      </c>
      <c r="M11" s="9">
        <f>'REV-REVCALC_CWS'!O39</f>
        <v>0</v>
      </c>
      <c r="N11" s="9">
        <f>'REV-REVCALC_CWS'!P39</f>
        <v>0</v>
      </c>
      <c r="O11" s="9">
        <f>'REV-REVCALC_CWS'!Q39</f>
        <v>1181.25</v>
      </c>
      <c r="P11" s="9">
        <f>'REV-REVCALC_CWS'!R39</f>
        <v>1856.25</v>
      </c>
      <c r="Q11" s="9">
        <f>'REV-REVCALC_CWS'!S39</f>
        <v>2025</v>
      </c>
      <c r="R11" s="9">
        <f>'REV-REVCALC_CWS'!T39</f>
        <v>3712.5</v>
      </c>
      <c r="S11" s="9">
        <f>'REV-REVCALC_CWS'!U39</f>
        <v>4050</v>
      </c>
      <c r="T11" s="9">
        <f>'REV-REVCALC_CWS'!V39</f>
        <v>4387.5</v>
      </c>
      <c r="U11" s="9">
        <f>'REV-REVCALC_CWS'!W39</f>
        <v>3712.5</v>
      </c>
      <c r="V11" s="9">
        <f>'REV-REVCALC_CWS'!X39</f>
        <v>4050</v>
      </c>
      <c r="W11" s="9">
        <f>'REV-REVCALC_CWS'!Y39</f>
        <v>3375</v>
      </c>
      <c r="X11" s="9">
        <f>'REV-REVCALC_CWS'!Z39</f>
        <v>3375</v>
      </c>
      <c r="Y11" s="9">
        <f>'REV-REVCALC_CWS'!AA39</f>
        <v>3375</v>
      </c>
      <c r="Z11" s="9">
        <f>'REV-REVCALC_CWS'!AB39</f>
        <v>2193.75</v>
      </c>
      <c r="AA11" s="9">
        <f>'REV-REVCALC_CWS'!AC39</f>
        <v>4781.25</v>
      </c>
      <c r="AB11" s="9">
        <f>'REV-REVCALC_CWS'!AD39</f>
        <v>7650</v>
      </c>
      <c r="AC11" s="9">
        <f>'REV-REVCALC_CWS'!AE39</f>
        <v>8415</v>
      </c>
      <c r="AD11" s="9">
        <f>'REV-REVCALC_CWS'!AF39</f>
        <v>10327.5</v>
      </c>
      <c r="AE11" s="9">
        <f>'REV-REVCALC_CWS'!AG39</f>
        <v>11283.75</v>
      </c>
      <c r="AF11" s="9">
        <f>'REV-REVCALC_CWS'!AH39</f>
        <v>12431.25</v>
      </c>
      <c r="AG11" s="9">
        <f>'REV-REVCALC_CWS'!AI39</f>
        <v>10327.5</v>
      </c>
      <c r="AH11" s="9">
        <f>'REV-REVCALC_CWS'!AJ39</f>
        <v>11283.75</v>
      </c>
      <c r="AI11" s="9">
        <f>'REV-REVCALC_CWS'!AK39</f>
        <v>9371.25</v>
      </c>
      <c r="AJ11" s="9">
        <f>'REV-REVCALC_CWS'!AL39</f>
        <v>9371.25</v>
      </c>
      <c r="AK11" s="9">
        <f>'REV-REVCALC_CWS'!AM39</f>
        <v>9371.25</v>
      </c>
      <c r="AL11" s="9">
        <f>'REV-REVCALC_CWS'!AN39</f>
        <v>5928.75</v>
      </c>
      <c r="AM11" s="9">
        <f>'REV-REVCALC_CWS'!AO39</f>
        <v>10125</v>
      </c>
      <c r="AN11" s="9">
        <f>'REV-REVCALC_CWS'!AP39</f>
        <v>16200</v>
      </c>
      <c r="AO11" s="9">
        <f>'REV-REVCALC_CWS'!AQ39</f>
        <v>18022.5</v>
      </c>
      <c r="AP11" s="9">
        <f>'REV-REVCALC_CWS'!AR39</f>
        <v>20047.5</v>
      </c>
      <c r="AQ11" s="9">
        <f>'REV-REVCALC_CWS'!AS39</f>
        <v>22072.5</v>
      </c>
      <c r="AR11" s="9">
        <f>'REV-REVCALC_CWS'!AT39</f>
        <v>24300</v>
      </c>
      <c r="AS11" s="9">
        <f>'REV-REVCALC_CWS'!AU39</f>
        <v>20047.5</v>
      </c>
      <c r="AT11" s="9">
        <f>'REV-REVCALC_CWS'!AV39</f>
        <v>22072.5</v>
      </c>
      <c r="AU11" s="9">
        <f>'REV-REVCALC_CWS'!AW39</f>
        <v>18022.5</v>
      </c>
      <c r="AV11" s="9">
        <f>'REV-REVCALC_CWS'!AX39</f>
        <v>18022.5</v>
      </c>
      <c r="AW11" s="9">
        <f>'REV-REVCALC_CWS'!AY39</f>
        <v>18022.5</v>
      </c>
      <c r="AX11" s="9">
        <f>'REV-REVCALC_CWS'!AZ39</f>
        <v>11340</v>
      </c>
      <c r="AY11" s="9">
        <f>'REV-REVCALC_CWS'!BA39</f>
        <v>16200</v>
      </c>
      <c r="AZ11" s="9">
        <f>'REV-REVCALC_CWS'!BB39</f>
        <v>25920</v>
      </c>
      <c r="BA11" s="9">
        <f>'REV-REVCALC_CWS'!BC39</f>
        <v>28957.5</v>
      </c>
      <c r="BB11" s="9">
        <f>'REV-REVCALC_CWS'!BD39</f>
        <v>30982.5</v>
      </c>
      <c r="BC11" s="9">
        <f>'REV-REVCALC_CWS'!BE39</f>
        <v>34222.5</v>
      </c>
      <c r="BD11" s="9">
        <f>'REV-REVCALC_CWS'!BF39</f>
        <v>37462.5</v>
      </c>
      <c r="BE11" s="9">
        <f>'REV-REVCALC_CWS'!BG39</f>
        <v>30982.5</v>
      </c>
      <c r="BF11" s="9">
        <f>'REV-REVCALC_CWS'!BH39</f>
        <v>34222.5</v>
      </c>
      <c r="BG11" s="9">
        <f>'REV-REVCALC_CWS'!BI39</f>
        <v>27742.5</v>
      </c>
      <c r="BH11" s="9">
        <f>'REV-REVCALC_CWS'!BJ39</f>
        <v>27742.5</v>
      </c>
      <c r="BI11" s="9">
        <f>'REV-REVCALC_CWS'!BK39</f>
        <v>27742.5</v>
      </c>
      <c r="BJ11" s="9">
        <f>'REV-REVCALC_CWS'!BL39</f>
        <v>17415</v>
      </c>
    </row>
    <row r="12" spans="1:63" x14ac:dyDescent="0.15">
      <c r="B12" s="33" t="s">
        <v>376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1245790</v>
      </c>
      <c r="G12" s="9">
        <f t="shared" si="0"/>
        <v>1374100</v>
      </c>
      <c r="H12" s="9">
        <f t="shared" si="0"/>
        <v>1539720</v>
      </c>
      <c r="I12" s="9">
        <f t="shared" si="0"/>
        <v>1245790</v>
      </c>
      <c r="J12" s="9">
        <f t="shared" si="0"/>
        <v>1374100</v>
      </c>
      <c r="K12" s="9">
        <f t="shared" si="0"/>
        <v>1117480</v>
      </c>
      <c r="L12" s="9">
        <f t="shared" si="0"/>
        <v>1117480</v>
      </c>
      <c r="M12" s="9">
        <f t="shared" si="0"/>
        <v>1117480</v>
      </c>
      <c r="N12" s="9">
        <f t="shared" si="0"/>
        <v>695240</v>
      </c>
      <c r="O12" s="9">
        <f t="shared" si="0"/>
        <v>240868.75</v>
      </c>
      <c r="P12" s="9">
        <f t="shared" si="0"/>
        <v>391418.75</v>
      </c>
      <c r="Q12" s="9">
        <f t="shared" si="0"/>
        <v>436587.5</v>
      </c>
      <c r="R12" s="9">
        <f t="shared" si="0"/>
        <v>439000</v>
      </c>
      <c r="S12" s="9">
        <f t="shared" si="0"/>
        <v>484412.5</v>
      </c>
      <c r="T12" s="9">
        <f t="shared" si="0"/>
        <v>529850</v>
      </c>
      <c r="U12" s="9">
        <f t="shared" si="0"/>
        <v>439000</v>
      </c>
      <c r="V12" s="9">
        <f t="shared" si="0"/>
        <v>484412.5</v>
      </c>
      <c r="W12" s="9">
        <f t="shared" si="0"/>
        <v>393587.5</v>
      </c>
      <c r="X12" s="9">
        <f t="shared" si="0"/>
        <v>393587.5</v>
      </c>
      <c r="Y12" s="9">
        <f t="shared" si="0"/>
        <v>393587.5</v>
      </c>
      <c r="Z12" s="9">
        <f t="shared" si="0"/>
        <v>242281.25</v>
      </c>
      <c r="AA12" s="9">
        <f t="shared" si="0"/>
        <v>155968.75</v>
      </c>
      <c r="AB12" s="9">
        <f t="shared" si="0"/>
        <v>252725</v>
      </c>
      <c r="AC12" s="9">
        <f t="shared" si="0"/>
        <v>284927.5</v>
      </c>
      <c r="AD12" s="9">
        <f t="shared" si="0"/>
        <v>287565</v>
      </c>
      <c r="AE12" s="9">
        <f t="shared" si="0"/>
        <v>314696.25</v>
      </c>
      <c r="AF12" s="9">
        <f t="shared" si="0"/>
        <v>347168.75</v>
      </c>
      <c r="AG12" s="9">
        <f t="shared" si="0"/>
        <v>287565</v>
      </c>
      <c r="AH12" s="9">
        <f t="shared" si="0"/>
        <v>314696.25</v>
      </c>
      <c r="AI12" s="9">
        <f t="shared" si="0"/>
        <v>255096.25</v>
      </c>
      <c r="AJ12" s="9">
        <f t="shared" si="0"/>
        <v>255096.25</v>
      </c>
      <c r="AK12" s="9">
        <f t="shared" si="0"/>
        <v>255096.25</v>
      </c>
      <c r="AL12" s="9">
        <f t="shared" si="0"/>
        <v>157516.25</v>
      </c>
      <c r="AM12" s="9">
        <f t="shared" si="0"/>
        <v>194900</v>
      </c>
      <c r="AN12" s="9">
        <f t="shared" si="0"/>
        <v>314355</v>
      </c>
      <c r="AO12" s="9">
        <f t="shared" si="0"/>
        <v>351927.5</v>
      </c>
      <c r="AP12" s="9">
        <f t="shared" si="0"/>
        <v>354967.5</v>
      </c>
      <c r="AQ12" s="9">
        <f t="shared" si="0"/>
        <v>392812.5</v>
      </c>
      <c r="AR12" s="9">
        <f t="shared" si="0"/>
        <v>430895</v>
      </c>
      <c r="AS12" s="9">
        <f t="shared" si="0"/>
        <v>354967.5</v>
      </c>
      <c r="AT12" s="9">
        <f t="shared" si="0"/>
        <v>392812.5</v>
      </c>
      <c r="AU12" s="9">
        <f t="shared" si="0"/>
        <v>317087.5</v>
      </c>
      <c r="AV12" s="9">
        <f t="shared" si="0"/>
        <v>317087.5</v>
      </c>
      <c r="AW12" s="9">
        <f t="shared" si="0"/>
        <v>317087.5</v>
      </c>
      <c r="AX12" s="9">
        <f t="shared" si="0"/>
        <v>196675</v>
      </c>
      <c r="AY12" s="9">
        <f t="shared" si="0"/>
        <v>234235</v>
      </c>
      <c r="AZ12" s="9">
        <f t="shared" si="0"/>
        <v>376200</v>
      </c>
      <c r="BA12" s="9">
        <f t="shared" si="0"/>
        <v>418747.5</v>
      </c>
      <c r="BB12" s="9">
        <f t="shared" si="0"/>
        <v>421787.5</v>
      </c>
      <c r="BC12" s="9">
        <f t="shared" si="0"/>
        <v>471482.5</v>
      </c>
      <c r="BD12" s="9">
        <f t="shared" si="0"/>
        <v>514662.5</v>
      </c>
      <c r="BE12" s="9">
        <f t="shared" si="0"/>
        <v>421787.5</v>
      </c>
      <c r="BF12" s="9">
        <f t="shared" si="0"/>
        <v>471482.5</v>
      </c>
      <c r="BG12" s="9">
        <f t="shared" si="0"/>
        <v>378932.5</v>
      </c>
      <c r="BH12" s="9">
        <f t="shared" si="0"/>
        <v>378932.5</v>
      </c>
      <c r="BI12" s="9">
        <f t="shared" si="0"/>
        <v>378932.5</v>
      </c>
      <c r="BJ12" s="9">
        <f t="shared" si="0"/>
        <v>236010</v>
      </c>
      <c r="BK12" s="66">
        <f>SUM(C12:BJ12)</f>
        <v>27502658.75</v>
      </c>
    </row>
    <row r="13" spans="1:63" s="37" customFormat="1" x14ac:dyDescent="0.15">
      <c r="B13" s="37" t="s">
        <v>309</v>
      </c>
      <c r="N13" s="38">
        <f>SUM(C7:N11)</f>
        <v>10827180</v>
      </c>
      <c r="Z13" s="38">
        <f>SUM(O7:Z11)</f>
        <v>4868593.75</v>
      </c>
      <c r="AL13" s="38">
        <f>SUM(AA7:AL11)</f>
        <v>3168117.5</v>
      </c>
      <c r="AX13" s="38">
        <f>SUM(AM7:AX11)</f>
        <v>3935575</v>
      </c>
      <c r="BJ13" s="38">
        <f>SUM(AY7:BJ11)</f>
        <v>4703192.5</v>
      </c>
      <c r="BK13" s="65">
        <f>SUM(C13:BJ13)</f>
        <v>27502658.75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646</v>
      </c>
    </row>
    <row r="17" spans="2:62" x14ac:dyDescent="0.15">
      <c r="C17" s="364" t="s">
        <v>35</v>
      </c>
      <c r="D17" s="364"/>
      <c r="E17" s="364"/>
      <c r="F17" s="364"/>
      <c r="G17" s="364"/>
      <c r="H17" s="364"/>
      <c r="I17" s="364"/>
      <c r="J17" s="364"/>
      <c r="K17" s="364"/>
      <c r="L17" s="364"/>
      <c r="M17" s="364"/>
      <c r="N17" s="364"/>
      <c r="O17" s="364" t="s">
        <v>36</v>
      </c>
      <c r="P17" s="364"/>
      <c r="Q17" s="364"/>
      <c r="R17" s="364"/>
      <c r="S17" s="364"/>
      <c r="T17" s="364"/>
      <c r="U17" s="364"/>
      <c r="V17" s="364"/>
      <c r="W17" s="364"/>
      <c r="X17" s="364"/>
      <c r="Y17" s="364"/>
      <c r="Z17" s="364"/>
      <c r="AA17" s="364" t="s">
        <v>37</v>
      </c>
      <c r="AB17" s="364"/>
      <c r="AC17" s="364"/>
      <c r="AD17" s="364"/>
      <c r="AE17" s="364"/>
      <c r="AF17" s="364"/>
      <c r="AG17" s="364"/>
      <c r="AH17" s="364"/>
      <c r="AI17" s="364"/>
      <c r="AJ17" s="364"/>
      <c r="AK17" s="364"/>
      <c r="AL17" s="364"/>
      <c r="AM17" s="364" t="s">
        <v>38</v>
      </c>
      <c r="AN17" s="364"/>
      <c r="AO17" s="364"/>
      <c r="AP17" s="364"/>
      <c r="AQ17" s="364"/>
      <c r="AR17" s="364"/>
      <c r="AS17" s="364"/>
      <c r="AT17" s="364"/>
      <c r="AU17" s="364"/>
      <c r="AV17" s="364"/>
      <c r="AW17" s="364"/>
      <c r="AX17" s="364"/>
      <c r="AY17" s="364" t="s">
        <v>39</v>
      </c>
      <c r="AZ17" s="364"/>
      <c r="BA17" s="364"/>
      <c r="BB17" s="364"/>
      <c r="BC17" s="364"/>
      <c r="BD17" s="364"/>
      <c r="BE17" s="364"/>
      <c r="BF17" s="364"/>
      <c r="BG17" s="364"/>
      <c r="BH17" s="364"/>
      <c r="BI17" s="364"/>
      <c r="BJ17" s="364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376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777790</v>
      </c>
      <c r="G20" s="9">
        <f>'FIN-P&amp;L_CWS'!I129</f>
        <v>858100</v>
      </c>
      <c r="H20" s="9">
        <f>'FIN-P&amp;L_CWS'!J129</f>
        <v>963720</v>
      </c>
      <c r="I20" s="9">
        <f>'FIN-P&amp;L_CWS'!K129</f>
        <v>777790</v>
      </c>
      <c r="J20" s="9">
        <f>'FIN-P&amp;L_CWS'!L129</f>
        <v>858100</v>
      </c>
      <c r="K20" s="9">
        <f>'FIN-P&amp;L_CWS'!M129</f>
        <v>697480</v>
      </c>
      <c r="L20" s="9">
        <f>'FIN-P&amp;L_CWS'!N129</f>
        <v>697480</v>
      </c>
      <c r="M20" s="9">
        <f>'FIN-P&amp;L_CWS'!O129</f>
        <v>697480</v>
      </c>
      <c r="N20" s="9">
        <f>'FIN-P&amp;L_CWS'!P129</f>
        <v>431240</v>
      </c>
      <c r="O20" s="9">
        <f>'FIN-P&amp;L_CWS'!Q129</f>
        <v>68068.75</v>
      </c>
      <c r="P20" s="9">
        <f>'FIN-P&amp;L_CWS'!R129</f>
        <v>110618.75</v>
      </c>
      <c r="Q20" s="9">
        <f>'FIN-P&amp;L_CWS'!S129</f>
        <v>123387.5</v>
      </c>
      <c r="R20" s="9">
        <f>'FIN-P&amp;L_CWS'!T129</f>
        <v>125800</v>
      </c>
      <c r="S20" s="9">
        <f>'FIN-P&amp;L_CWS'!U129</f>
        <v>138812.5</v>
      </c>
      <c r="T20" s="9">
        <f>'FIN-P&amp;L_CWS'!V129</f>
        <v>151850</v>
      </c>
      <c r="U20" s="9">
        <f>'FIN-P&amp;L_CWS'!W129</f>
        <v>125800</v>
      </c>
      <c r="V20" s="9">
        <f>'FIN-P&amp;L_CWS'!X129</f>
        <v>138812.5</v>
      </c>
      <c r="W20" s="9">
        <f>'FIN-P&amp;L_CWS'!Y129</f>
        <v>112787.5</v>
      </c>
      <c r="X20" s="9">
        <f>'FIN-P&amp;L_CWS'!Z129</f>
        <v>112787.5</v>
      </c>
      <c r="Y20" s="9">
        <f>'FIN-P&amp;L_CWS'!AA129</f>
        <v>112787.5</v>
      </c>
      <c r="Z20" s="9">
        <f>'FIN-P&amp;L_CWS'!AB129</f>
        <v>69481.25</v>
      </c>
      <c r="AA20" s="9">
        <f>'FIN-P&amp;L_CWS'!AC129</f>
        <v>-125911.25</v>
      </c>
      <c r="AB20" s="9">
        <f>'FIN-P&amp;L_CWS'!AD129</f>
        <v>-204115</v>
      </c>
      <c r="AC20" s="9">
        <f>'FIN-P&amp;L_CWS'!AE129</f>
        <v>-230232.5</v>
      </c>
      <c r="AD20" s="9">
        <f>'FIN-P&amp;L_CWS'!AF129</f>
        <v>-227595</v>
      </c>
      <c r="AE20" s="9">
        <f>'FIN-P&amp;L_CWS'!AG129</f>
        <v>-249063.75</v>
      </c>
      <c r="AF20" s="9">
        <f>'FIN-P&amp;L_CWS'!AH129</f>
        <v>-274911.25</v>
      </c>
      <c r="AG20" s="9">
        <f>'FIN-P&amp;L_CWS'!AI129</f>
        <v>-227595</v>
      </c>
      <c r="AH20" s="9">
        <f>'FIN-P&amp;L_CWS'!AJ129</f>
        <v>-249063.75</v>
      </c>
      <c r="AI20" s="9">
        <f>'FIN-P&amp;L_CWS'!AK129</f>
        <v>-201743.75</v>
      </c>
      <c r="AJ20" s="9">
        <f>'FIN-P&amp;L_CWS'!AL129</f>
        <v>-201743.75</v>
      </c>
      <c r="AK20" s="9">
        <f>'FIN-P&amp;L_CWS'!AM129</f>
        <v>-201743.75</v>
      </c>
      <c r="AL20" s="9">
        <f>'FIN-P&amp;L_CWS'!AN129</f>
        <v>-124363.75</v>
      </c>
      <c r="AM20" s="9">
        <f>'FIN-P&amp;L_CWS'!AO129</f>
        <v>-76288</v>
      </c>
      <c r="AN20" s="9">
        <f>'FIN-P&amp;L_CWS'!AP129</f>
        <v>-123045</v>
      </c>
      <c r="AO20" s="9">
        <f>'FIN-P&amp;L_CWS'!AQ129</f>
        <v>-137960.5</v>
      </c>
      <c r="AP20" s="9">
        <f>'FIN-P&amp;L_CWS'!AR129</f>
        <v>-134920.5</v>
      </c>
      <c r="AQ20" s="9">
        <f>'FIN-P&amp;L_CWS'!AS129</f>
        <v>-149563.5</v>
      </c>
      <c r="AR20" s="9">
        <f>'FIN-P&amp;L_CWS'!AT129</f>
        <v>-163969</v>
      </c>
      <c r="AS20" s="9">
        <f>'FIN-P&amp;L_CWS'!AU129</f>
        <v>-134920.5</v>
      </c>
      <c r="AT20" s="9">
        <f>'FIN-P&amp;L_CWS'!AV129</f>
        <v>-149563.5</v>
      </c>
      <c r="AU20" s="9">
        <f>'FIN-P&amp;L_CWS'!AW129</f>
        <v>-120312.5</v>
      </c>
      <c r="AV20" s="9">
        <f>'FIN-P&amp;L_CWS'!AX129</f>
        <v>-120312.5</v>
      </c>
      <c r="AW20" s="9">
        <f>'FIN-P&amp;L_CWS'!AY129</f>
        <v>-120312.5</v>
      </c>
      <c r="AX20" s="9">
        <f>'FIN-P&amp;L_CWS'!AZ129</f>
        <v>-74513</v>
      </c>
      <c r="AY20" s="9">
        <f>'FIN-P&amp;L_CWS'!BA129</f>
        <v>-25616.899999999994</v>
      </c>
      <c r="AZ20" s="9">
        <f>'FIN-P&amp;L_CWS'!BB129</f>
        <v>-41137.899999999965</v>
      </c>
      <c r="BA20" s="9">
        <f>'FIN-P&amp;L_CWS'!BC129</f>
        <v>-45836.200000000012</v>
      </c>
      <c r="BB20" s="9">
        <f>'FIN-P&amp;L_CWS'!BD129</f>
        <v>-42796.200000000012</v>
      </c>
      <c r="BC20" s="9">
        <f>'FIN-P&amp;L_CWS'!BE129</f>
        <v>-48221.299999999988</v>
      </c>
      <c r="BD20" s="9">
        <f>'FIN-P&amp;L_CWS'!BF129</f>
        <v>-52287.099999999977</v>
      </c>
      <c r="BE20" s="9">
        <f>'FIN-P&amp;L_CWS'!BG129</f>
        <v>-42796.200000000012</v>
      </c>
      <c r="BF20" s="9">
        <f>'FIN-P&amp;L_CWS'!BH129</f>
        <v>-48221.299999999988</v>
      </c>
      <c r="BG20" s="9">
        <f>'FIN-P&amp;L_CWS'!BI129</f>
        <v>-38405.399999999965</v>
      </c>
      <c r="BH20" s="9">
        <f>'FIN-P&amp;L_CWS'!BJ129</f>
        <v>-38405.399999999965</v>
      </c>
      <c r="BI20" s="9">
        <f>'FIN-P&amp;L_CWS'!BK129</f>
        <v>-38405.399999999965</v>
      </c>
      <c r="BJ20" s="9">
        <f>'FIN-P&amp;L_CWS'!BL129</f>
        <v>-23841.899999999994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9384049.3666666653</v>
      </c>
      <c r="G21" s="9">
        <f>'FIN-P&amp;L_CWS'!I205</f>
        <v>9422098.666666666</v>
      </c>
      <c r="H21" s="9">
        <f>'FIN-P&amp;L_CWS'!J205</f>
        <v>9426377.2666666657</v>
      </c>
      <c r="I21" s="9">
        <f>'FIN-P&amp;L_CWS'!K205</f>
        <v>9453589.3666666653</v>
      </c>
      <c r="J21" s="9">
        <f>'FIN-P&amp;L_CWS'!L205</f>
        <v>9423658.666666666</v>
      </c>
      <c r="K21" s="9">
        <f>'FIN-P&amp;L_CWS'!M205</f>
        <v>9413230.0666666664</v>
      </c>
      <c r="L21" s="9">
        <f>'FIN-P&amp;L_CWS'!N205</f>
        <v>9401095.0666666664</v>
      </c>
      <c r="M21" s="9">
        <f>'FIN-P&amp;L_CWS'!O205</f>
        <v>9387120.0666666664</v>
      </c>
      <c r="N21" s="9">
        <f>'FIN-P&amp;L_CWS'!P205</f>
        <v>9379217.8666666653</v>
      </c>
      <c r="O21" s="9">
        <f>'FIN-P&amp;L_CWS'!Q205</f>
        <v>10825869.354166666</v>
      </c>
      <c r="P21" s="9">
        <f>'FIN-P&amp;L_CWS'!R205</f>
        <v>10812840.854166666</v>
      </c>
      <c r="Q21" s="9">
        <f>'FIN-P&amp;L_CWS'!S205</f>
        <v>10812673.916666666</v>
      </c>
      <c r="R21" s="9">
        <f>'FIN-P&amp;L_CWS'!T205</f>
        <v>10832311.291666666</v>
      </c>
      <c r="S21" s="9">
        <f>'FIN-P&amp;L_CWS'!U205</f>
        <v>10816736.666666666</v>
      </c>
      <c r="T21" s="9">
        <f>'FIN-P&amp;L_CWS'!V205</f>
        <v>10821837.791666666</v>
      </c>
      <c r="U21" s="9">
        <f>'FIN-P&amp;L_CWS'!W205</f>
        <v>9822917.958333334</v>
      </c>
      <c r="V21" s="9">
        <f>'FIN-P&amp;L_CWS'!X205</f>
        <v>9823663.333333334</v>
      </c>
      <c r="W21" s="9">
        <f>'FIN-P&amp;L_CWS'!Y205</f>
        <v>9820012.583333334</v>
      </c>
      <c r="X21" s="9">
        <f>'FIN-P&amp;L_CWS'!Z205</f>
        <v>9838527.583333334</v>
      </c>
      <c r="Y21" s="9">
        <f>'FIN-P&amp;L_CWS'!AA205</f>
        <v>9820012.583333334</v>
      </c>
      <c r="Z21" s="9">
        <f>'FIN-P&amp;L_CWS'!AB205</f>
        <v>9821923.395833334</v>
      </c>
      <c r="AA21" s="9">
        <f>'FIN-P&amp;L_CWS'!AC205</f>
        <v>8278205.5447916659</v>
      </c>
      <c r="AB21" s="9">
        <f>'FIN-P&amp;L_CWS'!AD205</f>
        <v>8275716.098958333</v>
      </c>
      <c r="AC21" s="9">
        <f>'FIN-P&amp;L_CWS'!AE205</f>
        <v>8268812.5739583336</v>
      </c>
      <c r="AD21" s="9">
        <f>'FIN-P&amp;L_CWS'!AF205</f>
        <v>8290996.6989583336</v>
      </c>
      <c r="AE21" s="9">
        <f>'FIN-P&amp;L_CWS'!AG205</f>
        <v>8268247.6364583336</v>
      </c>
      <c r="AF21" s="9">
        <f>'FIN-P&amp;L_CWS'!AH205</f>
        <v>8273772.2114583328</v>
      </c>
      <c r="AG21" s="9">
        <f>'FIN-P&amp;L_CWS'!AI205</f>
        <v>8270246.6989583336</v>
      </c>
      <c r="AH21" s="9">
        <f>'FIN-P&amp;L_CWS'!AJ205</f>
        <v>8272047.6364583336</v>
      </c>
      <c r="AI21" s="9">
        <f>'FIN-P&amp;L_CWS'!AK205</f>
        <v>8269667.2364583332</v>
      </c>
      <c r="AJ21" s="9">
        <f>'FIN-P&amp;L_CWS'!AL205</f>
        <v>8290272.2364583332</v>
      </c>
      <c r="AK21" s="9">
        <f>'FIN-P&amp;L_CWS'!AM205</f>
        <v>8269667.2364583332</v>
      </c>
      <c r="AL21" s="9">
        <f>'FIN-P&amp;L_CWS'!AN205</f>
        <v>8275238.6364583336</v>
      </c>
      <c r="AM21" s="9">
        <f>'FIN-P&amp;L_CWS'!AO205</f>
        <v>9967596.6793489587</v>
      </c>
      <c r="AN21" s="9">
        <f>'FIN-P&amp;L_CWS'!AP205</f>
        <v>9963638.9693489596</v>
      </c>
      <c r="AO21" s="9">
        <f>'FIN-P&amp;L_CWS'!AQ205</f>
        <v>9959391.5043489579</v>
      </c>
      <c r="AP21" s="9">
        <f>'FIN-P&amp;L_CWS'!AR205</f>
        <v>9981587.704348959</v>
      </c>
      <c r="AQ21" s="9">
        <f>'FIN-P&amp;L_CWS'!AS205</f>
        <v>9959043.4143489581</v>
      </c>
      <c r="AR21" s="9">
        <f>'FIN-P&amp;L_CWS'!AT205</f>
        <v>9964911.249348959</v>
      </c>
      <c r="AS21" s="9">
        <f>'FIN-P&amp;L_CWS'!AU205</f>
        <v>9960837.704348959</v>
      </c>
      <c r="AT21" s="9">
        <f>'FIN-P&amp;L_CWS'!AV205</f>
        <v>9962843.4143489581</v>
      </c>
      <c r="AU21" s="9">
        <f>'FIN-P&amp;L_CWS'!AW205</f>
        <v>9959920.9443489593</v>
      </c>
      <c r="AV21" s="9">
        <f>'FIN-P&amp;L_CWS'!AX205</f>
        <v>9980525.9443489593</v>
      </c>
      <c r="AW21" s="9">
        <f>'FIN-P&amp;L_CWS'!AY205</f>
        <v>9959920.9443489593</v>
      </c>
      <c r="AX21" s="9">
        <f>'FIN-P&amp;L_CWS'!AZ205</f>
        <v>9964544.9293489587</v>
      </c>
      <c r="AY21" s="9">
        <f>'FIN-P&amp;L_CWS'!BA205</f>
        <v>13572839.15493685</v>
      </c>
      <c r="AZ21" s="9">
        <f>'FIN-P&amp;L_CWS'!BB205</f>
        <v>13569818.524936849</v>
      </c>
      <c r="BA21" s="9">
        <f>'FIN-P&amp;L_CWS'!BC205</f>
        <v>13565877.575936848</v>
      </c>
      <c r="BB21" s="9">
        <f>'FIN-P&amp;L_CWS'!BD205</f>
        <v>13588073.775936849</v>
      </c>
      <c r="BC21" s="9">
        <f>'FIN-P&amp;L_CWS'!BE205</f>
        <v>13565806.022936851</v>
      </c>
      <c r="BD21" s="9">
        <f>'FIN-P&amp;L_CWS'!BF205</f>
        <v>13571984.048936849</v>
      </c>
      <c r="BE21" s="9">
        <f>'FIN-P&amp;L_CWS'!BG205</f>
        <v>13567323.775936849</v>
      </c>
      <c r="BF21" s="9">
        <f>'FIN-P&amp;L_CWS'!BH205</f>
        <v>13569606.022936851</v>
      </c>
      <c r="BG21" s="9">
        <f>'FIN-P&amp;L_CWS'!BI205</f>
        <v>13566100.499936849</v>
      </c>
      <c r="BH21" s="9">
        <f>'FIN-P&amp;L_CWS'!BJ205</f>
        <v>13586705.499936849</v>
      </c>
      <c r="BI21" s="9">
        <f>'FIN-P&amp;L_CWS'!BK205</f>
        <v>13566100.499936849</v>
      </c>
      <c r="BJ21" s="9">
        <f>'FIN-P&amp;L_CWS'!BL205</f>
        <v>13564217.40493685</v>
      </c>
    </row>
    <row r="22" spans="2:62" x14ac:dyDescent="0.15">
      <c r="B22" s="33" t="s">
        <v>551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-8606259.3666666653</v>
      </c>
      <c r="G22" s="9">
        <f>'FIN-P&amp;L_CWS'!I207</f>
        <v>-8563998.666666666</v>
      </c>
      <c r="H22" s="9">
        <f>'FIN-P&amp;L_CWS'!J207</f>
        <v>-8462657.2666666657</v>
      </c>
      <c r="I22" s="9">
        <f>'FIN-P&amp;L_CWS'!K207</f>
        <v>-8675799.3666666653</v>
      </c>
      <c r="J22" s="9">
        <f>'FIN-P&amp;L_CWS'!L207</f>
        <v>-8565558.666666666</v>
      </c>
      <c r="K22" s="9">
        <f>'FIN-P&amp;L_CWS'!M207</f>
        <v>-8715750.0666666664</v>
      </c>
      <c r="L22" s="9">
        <f>'FIN-P&amp;L_CWS'!N207</f>
        <v>-8703615.0666666664</v>
      </c>
      <c r="M22" s="9">
        <f>'FIN-P&amp;L_CWS'!O207</f>
        <v>-8689640.0666666664</v>
      </c>
      <c r="N22" s="9">
        <f>'FIN-P&amp;L_CWS'!P207</f>
        <v>-8947977.8666666653</v>
      </c>
      <c r="O22" s="9">
        <f>'FIN-P&amp;L_CWS'!Q207</f>
        <v>-10757800.604166666</v>
      </c>
      <c r="P22" s="9">
        <f>'FIN-P&amp;L_CWS'!R207</f>
        <v>-10702222.104166666</v>
      </c>
      <c r="Q22" s="9">
        <f>'FIN-P&amp;L_CWS'!S207</f>
        <v>-10689286.416666666</v>
      </c>
      <c r="R22" s="9">
        <f>'FIN-P&amp;L_CWS'!T207</f>
        <v>-10706511.291666666</v>
      </c>
      <c r="S22" s="9">
        <f>'FIN-P&amp;L_CWS'!U207</f>
        <v>-10677924.166666666</v>
      </c>
      <c r="T22" s="9">
        <f>'FIN-P&amp;L_CWS'!V207</f>
        <v>-10669987.791666666</v>
      </c>
      <c r="U22" s="9">
        <f>'FIN-P&amp;L_CWS'!W207</f>
        <v>-9697117.958333334</v>
      </c>
      <c r="V22" s="9">
        <f>'FIN-P&amp;L_CWS'!X207</f>
        <v>-9684850.833333334</v>
      </c>
      <c r="W22" s="9">
        <f>'FIN-P&amp;L_CWS'!Y207</f>
        <v>-9707225.083333334</v>
      </c>
      <c r="X22" s="9">
        <f>'FIN-P&amp;L_CWS'!Z207</f>
        <v>-9725740.083333334</v>
      </c>
      <c r="Y22" s="9">
        <f>'FIN-P&amp;L_CWS'!AA207</f>
        <v>-9707225.083333334</v>
      </c>
      <c r="Z22" s="9">
        <f>'FIN-P&amp;L_CWS'!AB207</f>
        <v>-9752442.145833334</v>
      </c>
      <c r="AA22" s="9">
        <f>'FIN-P&amp;L_CWS'!AC207</f>
        <v>-8404116.7947916649</v>
      </c>
      <c r="AB22" s="9">
        <f>'FIN-P&amp;L_CWS'!AD207</f>
        <v>-8479831.0989583321</v>
      </c>
      <c r="AC22" s="9">
        <f>'FIN-P&amp;L_CWS'!AE207</f>
        <v>-8499045.0739583336</v>
      </c>
      <c r="AD22" s="9">
        <f>'FIN-P&amp;L_CWS'!AF207</f>
        <v>-8518591.6989583336</v>
      </c>
      <c r="AE22" s="9">
        <f>'FIN-P&amp;L_CWS'!AG207</f>
        <v>-8517311.3864583336</v>
      </c>
      <c r="AF22" s="9">
        <f>'FIN-P&amp;L_CWS'!AH207</f>
        <v>-8548683.4614583328</v>
      </c>
      <c r="AG22" s="9">
        <f>'FIN-P&amp;L_CWS'!AI207</f>
        <v>-8497841.6989583336</v>
      </c>
      <c r="AH22" s="9">
        <f>'FIN-P&amp;L_CWS'!AJ207</f>
        <v>-8521111.3864583336</v>
      </c>
      <c r="AI22" s="9">
        <f>'FIN-P&amp;L_CWS'!AK207</f>
        <v>-8471410.9864583332</v>
      </c>
      <c r="AJ22" s="9">
        <f>'FIN-P&amp;L_CWS'!AL207</f>
        <v>-8492015.9864583332</v>
      </c>
      <c r="AK22" s="9">
        <f>'FIN-P&amp;L_CWS'!AM207</f>
        <v>-8471410.9864583332</v>
      </c>
      <c r="AL22" s="9">
        <f>'FIN-P&amp;L_CWS'!AN207</f>
        <v>-8399602.3864583336</v>
      </c>
      <c r="AM22" s="9">
        <f>'FIN-P&amp;L_CWS'!AO207</f>
        <v>-10043884.679348959</v>
      </c>
      <c r="AN22" s="9">
        <f>'FIN-P&amp;L_CWS'!AP207</f>
        <v>-10086683.96934896</v>
      </c>
      <c r="AO22" s="9">
        <f>'FIN-P&amp;L_CWS'!AQ207</f>
        <v>-10097352.004348958</v>
      </c>
      <c r="AP22" s="9">
        <f>'FIN-P&amp;L_CWS'!AR207</f>
        <v>-10116508.204348959</v>
      </c>
      <c r="AQ22" s="9">
        <f>'FIN-P&amp;L_CWS'!AS207</f>
        <v>-10108606.914348958</v>
      </c>
      <c r="AR22" s="9">
        <f>'FIN-P&amp;L_CWS'!AT207</f>
        <v>-10128880.249348959</v>
      </c>
      <c r="AS22" s="9">
        <f>'FIN-P&amp;L_CWS'!AU207</f>
        <v>-10095758.204348959</v>
      </c>
      <c r="AT22" s="9">
        <f>'FIN-P&amp;L_CWS'!AV207</f>
        <v>-10112406.914348958</v>
      </c>
      <c r="AU22" s="9">
        <f>'FIN-P&amp;L_CWS'!AW207</f>
        <v>-10080233.444348959</v>
      </c>
      <c r="AV22" s="9">
        <f>'FIN-P&amp;L_CWS'!AX207</f>
        <v>-10100838.444348959</v>
      </c>
      <c r="AW22" s="9">
        <f>'FIN-P&amp;L_CWS'!AY207</f>
        <v>-10080233.444348959</v>
      </c>
      <c r="AX22" s="9">
        <f>'FIN-P&amp;L_CWS'!AZ207</f>
        <v>-10039057.929348959</v>
      </c>
      <c r="AY22" s="9">
        <f>'FIN-P&amp;L_CWS'!BA207</f>
        <v>-13598456.05493685</v>
      </c>
      <c r="AZ22" s="9">
        <f>'FIN-P&amp;L_CWS'!BB207</f>
        <v>-13610956.42493685</v>
      </c>
      <c r="BA22" s="9">
        <f>'FIN-P&amp;L_CWS'!BC207</f>
        <v>-13611713.775936848</v>
      </c>
      <c r="BB22" s="9">
        <f>'FIN-P&amp;L_CWS'!BD207</f>
        <v>-13630869.975936849</v>
      </c>
      <c r="BC22" s="9">
        <f>'FIN-P&amp;L_CWS'!BE207</f>
        <v>-13614027.322936852</v>
      </c>
      <c r="BD22" s="9">
        <f>'FIN-P&amp;L_CWS'!BF207</f>
        <v>-13624271.148936849</v>
      </c>
      <c r="BE22" s="9">
        <f>'FIN-P&amp;L_CWS'!BG207</f>
        <v>-13610119.975936849</v>
      </c>
      <c r="BF22" s="9">
        <f>'FIN-P&amp;L_CWS'!BH207</f>
        <v>-13617827.322936852</v>
      </c>
      <c r="BG22" s="9">
        <f>'FIN-P&amp;L_CWS'!BI207</f>
        <v>-13604505.899936849</v>
      </c>
      <c r="BH22" s="9">
        <f>'FIN-P&amp;L_CWS'!BJ207</f>
        <v>-13625110.899936849</v>
      </c>
      <c r="BI22" s="9">
        <f>'FIN-P&amp;L_CWS'!BK207</f>
        <v>-13604505.899936849</v>
      </c>
      <c r="BJ22" s="9">
        <f>'FIN-P&amp;L_CWS'!BL207</f>
        <v>-13588059.30493685</v>
      </c>
    </row>
    <row r="23" spans="2:62" x14ac:dyDescent="0.15">
      <c r="B23" s="33" t="s">
        <v>552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-36750113.366666667</v>
      </c>
      <c r="G23" s="9">
        <f>'FIN-P&amp;L_CWS'!I208</f>
        <v>-45314112.033333331</v>
      </c>
      <c r="H23" s="9">
        <f>'FIN-P&amp;L_CWS'!J208</f>
        <v>-53776769.299999997</v>
      </c>
      <c r="I23" s="9">
        <f>'FIN-P&amp;L_CWS'!K208</f>
        <v>-62452568.666666664</v>
      </c>
      <c r="J23" s="9">
        <f>'FIN-P&amp;L_CWS'!L208</f>
        <v>-71018127.333333328</v>
      </c>
      <c r="K23" s="9">
        <f>'FIN-P&amp;L_CWS'!M208</f>
        <v>-79733877.399999991</v>
      </c>
      <c r="L23" s="9">
        <f>'FIN-P&amp;L_CWS'!N208</f>
        <v>-88437492.466666654</v>
      </c>
      <c r="M23" s="9">
        <f>'FIN-P&amp;L_CWS'!O208</f>
        <v>-97127132.533333316</v>
      </c>
      <c r="N23" s="9">
        <f>'FIN-P&amp;L_CWS'!P208</f>
        <v>-106075110.39999998</v>
      </c>
      <c r="O23" s="9">
        <f>'FIN-P&amp;L_CWS'!Q208</f>
        <v>-116832911.00416665</v>
      </c>
      <c r="P23" s="9">
        <f>'FIN-P&amp;L_CWS'!R208</f>
        <v>-127535133.10833332</v>
      </c>
      <c r="Q23" s="9">
        <f>'FIN-P&amp;L_CWS'!S208</f>
        <v>-138224419.52499998</v>
      </c>
      <c r="R23" s="9">
        <f>'FIN-P&amp;L_CWS'!T208</f>
        <v>-148930930.81666663</v>
      </c>
      <c r="S23" s="9">
        <f>'FIN-P&amp;L_CWS'!U208</f>
        <v>-159608854.98333329</v>
      </c>
      <c r="T23" s="9">
        <f>'FIN-P&amp;L_CWS'!V208</f>
        <v>-170278842.77499995</v>
      </c>
      <c r="U23" s="9">
        <f>'FIN-P&amp;L_CWS'!W208</f>
        <v>-179975960.73333329</v>
      </c>
      <c r="V23" s="9">
        <f>'FIN-P&amp;L_CWS'!X208</f>
        <v>-189660811.56666663</v>
      </c>
      <c r="W23" s="9">
        <f>'FIN-P&amp;L_CWS'!Y208</f>
        <v>-199368036.64999998</v>
      </c>
      <c r="X23" s="9">
        <f>'FIN-P&amp;L_CWS'!Z208</f>
        <v>-209093776.73333332</v>
      </c>
      <c r="Y23" s="9">
        <f>'FIN-P&amp;L_CWS'!AA208</f>
        <v>-218801001.81666666</v>
      </c>
      <c r="Z23" s="9">
        <f>'FIN-P&amp;L_CWS'!AB208</f>
        <v>-228553443.96250001</v>
      </c>
      <c r="AA23" s="9">
        <f>'FIN-P&amp;L_CWS'!AC208</f>
        <v>-236957560.75729167</v>
      </c>
      <c r="AB23" s="9">
        <f>'FIN-P&amp;L_CWS'!AD208</f>
        <v>-245437391.85625002</v>
      </c>
      <c r="AC23" s="9">
        <f>'FIN-P&amp;L_CWS'!AE208</f>
        <v>-253936436.93020836</v>
      </c>
      <c r="AD23" s="9">
        <f>'FIN-P&amp;L_CWS'!AF208</f>
        <v>-262455028.62916669</v>
      </c>
      <c r="AE23" s="9">
        <f>'FIN-P&amp;L_CWS'!AG208</f>
        <v>-270972340.015625</v>
      </c>
      <c r="AF23" s="9">
        <f>'FIN-P&amp;L_CWS'!AH208</f>
        <v>-279521023.47708333</v>
      </c>
      <c r="AG23" s="9">
        <f>'FIN-P&amp;L_CWS'!AI208</f>
        <v>-288018865.17604166</v>
      </c>
      <c r="AH23" s="9">
        <f>'FIN-P&amp;L_CWS'!AJ208</f>
        <v>-296539976.5625</v>
      </c>
      <c r="AI23" s="9">
        <f>'FIN-P&amp;L_CWS'!AK208</f>
        <v>-305011387.54895836</v>
      </c>
      <c r="AJ23" s="9">
        <f>'FIN-P&amp;L_CWS'!AL208</f>
        <v>-313503403.53541672</v>
      </c>
      <c r="AK23" s="9">
        <f>'FIN-P&amp;L_CWS'!AM208</f>
        <v>-321974814.52187508</v>
      </c>
      <c r="AL23" s="9">
        <f>'FIN-P&amp;L_CWS'!AN208</f>
        <v>-330374416.90833342</v>
      </c>
      <c r="AM23" s="9">
        <f>'FIN-P&amp;L_CWS'!AO208</f>
        <v>-340418301.58768237</v>
      </c>
      <c r="AN23" s="9">
        <f>'FIN-P&amp;L_CWS'!AP208</f>
        <v>-350504985.55703133</v>
      </c>
      <c r="AO23" s="9">
        <f>'FIN-P&amp;L_CWS'!AQ208</f>
        <v>-360602337.56138027</v>
      </c>
      <c r="AP23" s="9">
        <f>'FIN-P&amp;L_CWS'!AR208</f>
        <v>-370718845.76572925</v>
      </c>
      <c r="AQ23" s="9">
        <f>'FIN-P&amp;L_CWS'!AS208</f>
        <v>-380827452.68007821</v>
      </c>
      <c r="AR23" s="9">
        <f>'FIN-P&amp;L_CWS'!AT208</f>
        <v>-390956332.92942715</v>
      </c>
      <c r="AS23" s="9">
        <f>'FIN-P&amp;L_CWS'!AU208</f>
        <v>-401052091.13377613</v>
      </c>
      <c r="AT23" s="9">
        <f>'FIN-P&amp;L_CWS'!AV208</f>
        <v>-411164498.04812509</v>
      </c>
      <c r="AU23" s="9">
        <f>'FIN-P&amp;L_CWS'!AW208</f>
        <v>-421244731.49247402</v>
      </c>
      <c r="AV23" s="9">
        <f>'FIN-P&amp;L_CWS'!AX208</f>
        <v>-431345569.93682295</v>
      </c>
      <c r="AW23" s="9">
        <f>'FIN-P&amp;L_CWS'!AY208</f>
        <v>-441425803.38117188</v>
      </c>
      <c r="AX23" s="9">
        <f>'FIN-P&amp;L_CWS'!AZ208</f>
        <v>-451464861.31052083</v>
      </c>
      <c r="AY23" s="9">
        <f>'FIN-P&amp;L_CWS'!BA208</f>
        <v>-465063317.36545765</v>
      </c>
      <c r="AZ23" s="9">
        <f>'FIN-P&amp;L_CWS'!BB208</f>
        <v>-478674273.79039448</v>
      </c>
      <c r="BA23" s="9">
        <f>'FIN-P&amp;L_CWS'!BC208</f>
        <v>-492285987.56633133</v>
      </c>
      <c r="BB23" s="9">
        <f>'FIN-P&amp;L_CWS'!BD208</f>
        <v>-505916857.54226816</v>
      </c>
      <c r="BC23" s="9">
        <f>'FIN-P&amp;L_CWS'!BE208</f>
        <v>-519530884.86520499</v>
      </c>
      <c r="BD23" s="9">
        <f>'FIN-P&amp;L_CWS'!BF208</f>
        <v>-533155156.01414186</v>
      </c>
      <c r="BE23" s="9">
        <f>'FIN-P&amp;L_CWS'!BG208</f>
        <v>-546765275.99007869</v>
      </c>
      <c r="BF23" s="9">
        <f>'FIN-P&amp;L_CWS'!BH208</f>
        <v>-560383103.31301558</v>
      </c>
      <c r="BG23" s="9">
        <f>'FIN-P&amp;L_CWS'!BI208</f>
        <v>-573987609.21295238</v>
      </c>
      <c r="BH23" s="9">
        <f>'FIN-P&amp;L_CWS'!BJ208</f>
        <v>-587612720.11288917</v>
      </c>
      <c r="BI23" s="9">
        <f>'FIN-P&amp;L_CWS'!BK208</f>
        <v>-601217226.01282597</v>
      </c>
      <c r="BJ23" s="9">
        <f>'FIN-P&amp;L_CWS'!BL208</f>
        <v>-614805285.31776285</v>
      </c>
    </row>
    <row r="25" spans="2:62" x14ac:dyDescent="0.15">
      <c r="B25" s="14" t="s">
        <v>681</v>
      </c>
    </row>
    <row r="26" spans="2:62" x14ac:dyDescent="0.15">
      <c r="C26" s="364" t="s">
        <v>35</v>
      </c>
      <c r="D26" s="364"/>
      <c r="E26" s="364"/>
      <c r="F26" s="364"/>
      <c r="G26" s="364"/>
      <c r="H26" s="364"/>
      <c r="I26" s="364"/>
      <c r="J26" s="364"/>
      <c r="K26" s="364"/>
      <c r="L26" s="364"/>
      <c r="M26" s="364"/>
      <c r="N26" s="364"/>
      <c r="O26" s="364" t="s">
        <v>36</v>
      </c>
      <c r="P26" s="364"/>
      <c r="Q26" s="364"/>
      <c r="R26" s="364"/>
      <c r="S26" s="364"/>
      <c r="T26" s="364"/>
      <c r="U26" s="364"/>
      <c r="V26" s="364"/>
      <c r="W26" s="364"/>
      <c r="X26" s="364"/>
      <c r="Y26" s="364"/>
      <c r="Z26" s="364"/>
      <c r="AA26" s="364" t="s">
        <v>37</v>
      </c>
      <c r="AB26" s="364"/>
      <c r="AC26" s="364"/>
      <c r="AD26" s="364"/>
      <c r="AE26" s="364"/>
      <c r="AF26" s="364"/>
      <c r="AG26" s="364"/>
      <c r="AH26" s="364"/>
      <c r="AI26" s="364"/>
      <c r="AJ26" s="364"/>
      <c r="AK26" s="364"/>
      <c r="AL26" s="364"/>
      <c r="AM26" s="364" t="s">
        <v>38</v>
      </c>
      <c r="AN26" s="364"/>
      <c r="AO26" s="364"/>
      <c r="AP26" s="364"/>
      <c r="AQ26" s="364"/>
      <c r="AR26" s="364"/>
      <c r="AS26" s="364"/>
      <c r="AT26" s="364"/>
      <c r="AU26" s="364"/>
      <c r="AV26" s="364"/>
      <c r="AW26" s="364"/>
      <c r="AX26" s="364"/>
      <c r="AY26" s="364" t="s">
        <v>39</v>
      </c>
      <c r="AZ26" s="364"/>
      <c r="BA26" s="364"/>
      <c r="BB26" s="364"/>
      <c r="BC26" s="364"/>
      <c r="BD26" s="364"/>
      <c r="BE26" s="364"/>
      <c r="BF26" s="364"/>
      <c r="BG26" s="364"/>
      <c r="BH26" s="364"/>
      <c r="BI26" s="364"/>
      <c r="BJ26" s="364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668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777790</v>
      </c>
      <c r="G28" s="9">
        <f>COGS_DB!I13</f>
        <v>858100</v>
      </c>
      <c r="H28" s="9">
        <f>COGS_DB!J13</f>
        <v>963720</v>
      </c>
      <c r="I28" s="9">
        <f>COGS_DB!K13</f>
        <v>777790</v>
      </c>
      <c r="J28" s="9">
        <f>COGS_DB!L13</f>
        <v>858100</v>
      </c>
      <c r="K28" s="9">
        <f>COGS_DB!M13</f>
        <v>697480</v>
      </c>
      <c r="L28" s="9">
        <f>COGS_DB!N13</f>
        <v>697480</v>
      </c>
      <c r="M28" s="9">
        <f>COGS_DB!O13</f>
        <v>697480</v>
      </c>
      <c r="N28" s="9">
        <f>COGS_DB!P13</f>
        <v>431240</v>
      </c>
      <c r="O28" s="9">
        <f>COGS_DB!Q13</f>
        <v>68068.75</v>
      </c>
      <c r="P28" s="9">
        <f>COGS_DB!R13</f>
        <v>110618.75</v>
      </c>
      <c r="Q28" s="9">
        <f>COGS_DB!S13</f>
        <v>123387.5</v>
      </c>
      <c r="R28" s="9">
        <f>COGS_DB!T13</f>
        <v>125800</v>
      </c>
      <c r="S28" s="9">
        <f>COGS_DB!U13</f>
        <v>138812.5</v>
      </c>
      <c r="T28" s="9">
        <f>COGS_DB!V13</f>
        <v>151850</v>
      </c>
      <c r="U28" s="9">
        <f>COGS_DB!W13</f>
        <v>125800</v>
      </c>
      <c r="V28" s="9">
        <f>COGS_DB!X13</f>
        <v>138812.5</v>
      </c>
      <c r="W28" s="9">
        <f>COGS_DB!Y13</f>
        <v>112787.5</v>
      </c>
      <c r="X28" s="9">
        <f>COGS_DB!Z13</f>
        <v>112787.5</v>
      </c>
      <c r="Y28" s="9">
        <f>COGS_DB!AA13</f>
        <v>112787.5</v>
      </c>
      <c r="Z28" s="9">
        <f>COGS_DB!AB13</f>
        <v>69481.25</v>
      </c>
      <c r="AA28" s="9">
        <f>COGS_DB!AC13</f>
        <v>-125911.25</v>
      </c>
      <c r="AB28" s="9">
        <f>COGS_DB!AD13</f>
        <v>-204115</v>
      </c>
      <c r="AC28" s="9">
        <f>COGS_DB!AE13</f>
        <v>-230232.5</v>
      </c>
      <c r="AD28" s="9">
        <f>COGS_DB!AF13</f>
        <v>-227595</v>
      </c>
      <c r="AE28" s="9">
        <f>COGS_DB!AG13</f>
        <v>-249063.75</v>
      </c>
      <c r="AF28" s="9">
        <f>COGS_DB!AH13</f>
        <v>-274911.25</v>
      </c>
      <c r="AG28" s="9">
        <f>COGS_DB!AI13</f>
        <v>-227595</v>
      </c>
      <c r="AH28" s="9">
        <f>COGS_DB!AJ13</f>
        <v>-249063.75</v>
      </c>
      <c r="AI28" s="9">
        <f>COGS_DB!AK13</f>
        <v>-201743.75</v>
      </c>
      <c r="AJ28" s="9">
        <f>COGS_DB!AL13</f>
        <v>-201743.75</v>
      </c>
      <c r="AK28" s="9">
        <f>COGS_DB!AM13</f>
        <v>-201743.75</v>
      </c>
      <c r="AL28" s="9">
        <f>COGS_DB!AN13</f>
        <v>-124363.75</v>
      </c>
      <c r="AM28" s="9">
        <f>COGS_DB!AO13</f>
        <v>-76288</v>
      </c>
      <c r="AN28" s="9">
        <f>COGS_DB!AP13</f>
        <v>-123045</v>
      </c>
      <c r="AO28" s="9">
        <f>COGS_DB!AQ13</f>
        <v>-137960.5</v>
      </c>
      <c r="AP28" s="9">
        <f>COGS_DB!AR13</f>
        <v>-134920.5</v>
      </c>
      <c r="AQ28" s="9">
        <f>COGS_DB!AS13</f>
        <v>-149563.5</v>
      </c>
      <c r="AR28" s="9">
        <f>COGS_DB!AT13</f>
        <v>-163969</v>
      </c>
      <c r="AS28" s="9">
        <f>COGS_DB!AU13</f>
        <v>-134920.5</v>
      </c>
      <c r="AT28" s="9">
        <f>COGS_DB!AV13</f>
        <v>-149563.5</v>
      </c>
      <c r="AU28" s="9">
        <f>COGS_DB!AW13</f>
        <v>-120312.5</v>
      </c>
      <c r="AV28" s="9">
        <f>COGS_DB!AX13</f>
        <v>-120312.5</v>
      </c>
      <c r="AW28" s="9">
        <f>COGS_DB!AY13</f>
        <v>-120312.5</v>
      </c>
      <c r="AX28" s="9">
        <f>COGS_DB!AZ13</f>
        <v>-74513</v>
      </c>
      <c r="AY28" s="9">
        <f>COGS_DB!BA13</f>
        <v>-25616.899999999994</v>
      </c>
      <c r="AZ28" s="9">
        <f>COGS_DB!BB13</f>
        <v>-41137.899999999965</v>
      </c>
      <c r="BA28" s="9">
        <f>COGS_DB!BC13</f>
        <v>-45836.200000000012</v>
      </c>
      <c r="BB28" s="9">
        <f>COGS_DB!BD13</f>
        <v>-42796.200000000012</v>
      </c>
      <c r="BC28" s="9">
        <f>COGS_DB!BE13</f>
        <v>-48221.299999999988</v>
      </c>
      <c r="BD28" s="9">
        <f>COGS_DB!BF13</f>
        <v>-52287.099999999977</v>
      </c>
      <c r="BE28" s="9">
        <f>COGS_DB!BG13</f>
        <v>-42796.200000000012</v>
      </c>
      <c r="BF28" s="9">
        <f>COGS_DB!BH13</f>
        <v>-48221.299999999988</v>
      </c>
      <c r="BG28" s="9">
        <f>COGS_DB!BI13</f>
        <v>-38405.399999999965</v>
      </c>
      <c r="BH28" s="9">
        <f>COGS_DB!BJ13</f>
        <v>-38405.399999999965</v>
      </c>
      <c r="BI28" s="9">
        <f>COGS_DB!BK13</f>
        <v>-38405.399999999965</v>
      </c>
      <c r="BJ28" s="9">
        <f>COGS_DB!BL13</f>
        <v>-23841.899999999994</v>
      </c>
    </row>
    <row r="29" spans="2:62" x14ac:dyDescent="0.15">
      <c r="B29" s="14" t="s">
        <v>674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733990</v>
      </c>
      <c r="G29" s="9">
        <f>COGS_DB!I15</f>
        <v>809920</v>
      </c>
      <c r="H29" s="9">
        <f>COGS_DB!J15</f>
        <v>911160</v>
      </c>
      <c r="I29" s="9">
        <f>COGS_DB!K15</f>
        <v>733990</v>
      </c>
      <c r="J29" s="9">
        <f>COGS_DB!L15</f>
        <v>809920</v>
      </c>
      <c r="K29" s="9">
        <f>COGS_DB!M15</f>
        <v>658060</v>
      </c>
      <c r="L29" s="9">
        <f>COGS_DB!N15</f>
        <v>658060</v>
      </c>
      <c r="M29" s="9">
        <f>COGS_DB!O15</f>
        <v>658060</v>
      </c>
      <c r="N29" s="9">
        <f>COGS_DB!P15</f>
        <v>404960</v>
      </c>
      <c r="O29" s="9">
        <f>COGS_DB!Q15</f>
        <v>38362.5</v>
      </c>
      <c r="P29" s="9">
        <f>COGS_DB!R15</f>
        <v>63937.5</v>
      </c>
      <c r="Q29" s="9">
        <f>COGS_DB!S15</f>
        <v>72462.5</v>
      </c>
      <c r="R29" s="9">
        <f>COGS_DB!T15</f>
        <v>73187.5</v>
      </c>
      <c r="S29" s="9">
        <f>COGS_DB!U15</f>
        <v>81787.5</v>
      </c>
      <c r="T29" s="9">
        <f>COGS_DB!V15</f>
        <v>90412.5</v>
      </c>
      <c r="U29" s="9">
        <f>COGS_DB!W15</f>
        <v>73187.5</v>
      </c>
      <c r="V29" s="9">
        <f>COGS_DB!X15</f>
        <v>81787.5</v>
      </c>
      <c r="W29" s="9">
        <f>COGS_DB!Y15</f>
        <v>64587.5</v>
      </c>
      <c r="X29" s="9">
        <f>COGS_DB!Z15</f>
        <v>64587.5</v>
      </c>
      <c r="Y29" s="9">
        <f>COGS_DB!AA15</f>
        <v>64587.5</v>
      </c>
      <c r="Z29" s="9">
        <f>COGS_DB!AB15</f>
        <v>38762.5</v>
      </c>
      <c r="AA29" s="9">
        <f>COGS_DB!AC15</f>
        <v>-47982.5</v>
      </c>
      <c r="AB29" s="9">
        <f>COGS_DB!AD15</f>
        <v>-78510</v>
      </c>
      <c r="AC29" s="9">
        <f>COGS_DB!AE15</f>
        <v>-91607.5</v>
      </c>
      <c r="AD29" s="9">
        <f>COGS_DB!AF15</f>
        <v>-90882.5</v>
      </c>
      <c r="AE29" s="9">
        <f>COGS_DB!AG15</f>
        <v>-99522.5</v>
      </c>
      <c r="AF29" s="9">
        <f>COGS_DB!AH15</f>
        <v>-108137.5</v>
      </c>
      <c r="AG29" s="9">
        <f>COGS_DB!AI15</f>
        <v>-90882.5</v>
      </c>
      <c r="AH29" s="9">
        <f>COGS_DB!AJ15</f>
        <v>-99522.5</v>
      </c>
      <c r="AI29" s="9">
        <f>COGS_DB!AK15</f>
        <v>-77860</v>
      </c>
      <c r="AJ29" s="9">
        <f>COGS_DB!AL15</f>
        <v>-77860</v>
      </c>
      <c r="AK29" s="9">
        <f>COGS_DB!AM15</f>
        <v>-77860</v>
      </c>
      <c r="AL29" s="9">
        <f>COGS_DB!AN15</f>
        <v>-47582.5</v>
      </c>
      <c r="AM29" s="9">
        <f>COGS_DB!AO15</f>
        <v>-14588</v>
      </c>
      <c r="AN29" s="9">
        <f>COGS_DB!AP15</f>
        <v>-24325</v>
      </c>
      <c r="AO29" s="9">
        <f>COGS_DB!AQ15</f>
        <v>-26698</v>
      </c>
      <c r="AP29" s="9">
        <f>COGS_DB!AR15</f>
        <v>-25683</v>
      </c>
      <c r="AQ29" s="9">
        <f>COGS_DB!AS15</f>
        <v>-27986</v>
      </c>
      <c r="AR29" s="9">
        <f>COGS_DB!AT15</f>
        <v>-30254</v>
      </c>
      <c r="AS29" s="9">
        <f>COGS_DB!AU15</f>
        <v>-25683</v>
      </c>
      <c r="AT29" s="9">
        <f>COGS_DB!AV15</f>
        <v>-27986</v>
      </c>
      <c r="AU29" s="9">
        <f>COGS_DB!AW15</f>
        <v>-23415</v>
      </c>
      <c r="AV29" s="9">
        <f>COGS_DB!AX15</f>
        <v>-23415</v>
      </c>
      <c r="AW29" s="9">
        <f>COGS_DB!AY15</f>
        <v>-23415</v>
      </c>
      <c r="AX29" s="9">
        <f>COGS_DB!AZ15</f>
        <v>-14028</v>
      </c>
      <c r="AY29" s="9">
        <f>COGS_DB!BA15</f>
        <v>-2087.8999999999992</v>
      </c>
      <c r="AZ29" s="9">
        <f>COGS_DB!BB15</f>
        <v>-3491.4999999999964</v>
      </c>
      <c r="BA29" s="9">
        <f>COGS_DB!BC15</f>
        <v>-3281.5000000000009</v>
      </c>
      <c r="BB29" s="9">
        <f>COGS_DB!BD15</f>
        <v>-2266.5000000000009</v>
      </c>
      <c r="BC29" s="9">
        <f>COGS_DB!BE15</f>
        <v>-2985.7999999999984</v>
      </c>
      <c r="BD29" s="9">
        <f>COGS_DB!BF15</f>
        <v>-3670.0999999999985</v>
      </c>
      <c r="BE29" s="9">
        <f>COGS_DB!BG15</f>
        <v>-2266.5000000000009</v>
      </c>
      <c r="BF29" s="9">
        <f>COGS_DB!BH15</f>
        <v>-2985.7999999999984</v>
      </c>
      <c r="BG29" s="9">
        <f>COGS_DB!BI15</f>
        <v>-2581.4999999999964</v>
      </c>
      <c r="BH29" s="9">
        <f>COGS_DB!BJ15</f>
        <v>-2581.4999999999964</v>
      </c>
      <c r="BI29" s="9">
        <f>COGS_DB!BK15</f>
        <v>-2581.4999999999964</v>
      </c>
      <c r="BJ29" s="9">
        <f>COGS_DB!BL15</f>
        <v>-1527.8999999999992</v>
      </c>
    </row>
    <row r="30" spans="2:62" x14ac:dyDescent="0.15">
      <c r="B30" s="14" t="s">
        <v>675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43800</v>
      </c>
      <c r="G30" s="9">
        <f>COGS_DB!I16</f>
        <v>48180</v>
      </c>
      <c r="H30" s="9">
        <f>COGS_DB!J16</f>
        <v>52560</v>
      </c>
      <c r="I30" s="9">
        <f>COGS_DB!K16</f>
        <v>43800</v>
      </c>
      <c r="J30" s="9">
        <f>COGS_DB!L16</f>
        <v>48180</v>
      </c>
      <c r="K30" s="9">
        <f>COGS_DB!M16</f>
        <v>39420</v>
      </c>
      <c r="L30" s="9">
        <f>COGS_DB!N16</f>
        <v>39420</v>
      </c>
      <c r="M30" s="9">
        <f>COGS_DB!O16</f>
        <v>39420</v>
      </c>
      <c r="N30" s="9">
        <f>COGS_DB!P16</f>
        <v>26280</v>
      </c>
      <c r="O30" s="9">
        <f>COGS_DB!Q16</f>
        <v>29706.25</v>
      </c>
      <c r="P30" s="9">
        <f>COGS_DB!R16</f>
        <v>46681.25</v>
      </c>
      <c r="Q30" s="9">
        <f>COGS_DB!S16</f>
        <v>50925</v>
      </c>
      <c r="R30" s="9">
        <f>COGS_DB!T16</f>
        <v>52612.5</v>
      </c>
      <c r="S30" s="9">
        <f>COGS_DB!U16</f>
        <v>57025</v>
      </c>
      <c r="T30" s="9">
        <f>COGS_DB!V16</f>
        <v>61437.5</v>
      </c>
      <c r="U30" s="9">
        <f>COGS_DB!W16</f>
        <v>52612.5</v>
      </c>
      <c r="V30" s="9">
        <f>COGS_DB!X16</f>
        <v>57025</v>
      </c>
      <c r="W30" s="9">
        <f>COGS_DB!Y16</f>
        <v>48200</v>
      </c>
      <c r="X30" s="9">
        <f>COGS_DB!Z16</f>
        <v>48200</v>
      </c>
      <c r="Y30" s="9">
        <f>COGS_DB!AA16</f>
        <v>48200</v>
      </c>
      <c r="Z30" s="9">
        <f>COGS_DB!AB16</f>
        <v>30718.75</v>
      </c>
      <c r="AA30" s="9">
        <f>COGS_DB!AC16</f>
        <v>-77928.75</v>
      </c>
      <c r="AB30" s="9">
        <f>COGS_DB!AD16</f>
        <v>-125605</v>
      </c>
      <c r="AC30" s="9">
        <f>COGS_DB!AE16</f>
        <v>-138625</v>
      </c>
      <c r="AD30" s="9">
        <f>COGS_DB!AF16</f>
        <v>-136712.5</v>
      </c>
      <c r="AE30" s="9">
        <f>COGS_DB!AG16</f>
        <v>-149541.25</v>
      </c>
      <c r="AF30" s="9">
        <f>COGS_DB!AH16</f>
        <v>-166773.75</v>
      </c>
      <c r="AG30" s="9">
        <f>COGS_DB!AI16</f>
        <v>-136712.5</v>
      </c>
      <c r="AH30" s="9">
        <f>COGS_DB!AJ16</f>
        <v>-149541.25</v>
      </c>
      <c r="AI30" s="9">
        <f>COGS_DB!AK16</f>
        <v>-123883.75</v>
      </c>
      <c r="AJ30" s="9">
        <f>COGS_DB!AL16</f>
        <v>-123883.75</v>
      </c>
      <c r="AK30" s="9">
        <f>COGS_DB!AM16</f>
        <v>-123883.75</v>
      </c>
      <c r="AL30" s="9">
        <f>COGS_DB!AN16</f>
        <v>-76781.25</v>
      </c>
      <c r="AM30" s="9">
        <f>COGS_DB!AO16</f>
        <v>-61700</v>
      </c>
      <c r="AN30" s="9">
        <f>COGS_DB!AP16</f>
        <v>-98720</v>
      </c>
      <c r="AO30" s="9">
        <f>COGS_DB!AQ16</f>
        <v>-111262.5</v>
      </c>
      <c r="AP30" s="9">
        <f>COGS_DB!AR16</f>
        <v>-109237.5</v>
      </c>
      <c r="AQ30" s="9">
        <f>COGS_DB!AS16</f>
        <v>-121577.5</v>
      </c>
      <c r="AR30" s="9">
        <f>COGS_DB!AT16</f>
        <v>-133715</v>
      </c>
      <c r="AS30" s="9">
        <f>COGS_DB!AU16</f>
        <v>-109237.5</v>
      </c>
      <c r="AT30" s="9">
        <f>COGS_DB!AV16</f>
        <v>-121577.5</v>
      </c>
      <c r="AU30" s="9">
        <f>COGS_DB!AW16</f>
        <v>-96897.5</v>
      </c>
      <c r="AV30" s="9">
        <f>COGS_DB!AX16</f>
        <v>-96897.5</v>
      </c>
      <c r="AW30" s="9">
        <f>COGS_DB!AY16</f>
        <v>-96897.5</v>
      </c>
      <c r="AX30" s="9">
        <f>COGS_DB!AZ16</f>
        <v>-60485</v>
      </c>
      <c r="AY30" s="9">
        <f>COGS_DB!BA16</f>
        <v>-23528.999999999993</v>
      </c>
      <c r="AZ30" s="9">
        <f>COGS_DB!BB16</f>
        <v>-37646.399999999965</v>
      </c>
      <c r="BA30" s="9">
        <f>COGS_DB!BC16</f>
        <v>-42554.700000000012</v>
      </c>
      <c r="BB30" s="9">
        <f>COGS_DB!BD16</f>
        <v>-40529.700000000012</v>
      </c>
      <c r="BC30" s="9">
        <f>COGS_DB!BE16</f>
        <v>-45235.499999999985</v>
      </c>
      <c r="BD30" s="9">
        <f>COGS_DB!BF16</f>
        <v>-48616.999999999985</v>
      </c>
      <c r="BE30" s="9">
        <f>COGS_DB!BG16</f>
        <v>-40529.700000000012</v>
      </c>
      <c r="BF30" s="9">
        <f>COGS_DB!BH16</f>
        <v>-45235.499999999985</v>
      </c>
      <c r="BG30" s="9">
        <f>COGS_DB!BI16</f>
        <v>-35823.899999999965</v>
      </c>
      <c r="BH30" s="9">
        <f>COGS_DB!BJ16</f>
        <v>-35823.899999999965</v>
      </c>
      <c r="BI30" s="9">
        <f>COGS_DB!BK16</f>
        <v>-35823.899999999965</v>
      </c>
      <c r="BJ30" s="9">
        <f>COGS_DB!BL16</f>
        <v>-22313.999999999993</v>
      </c>
    </row>
    <row r="31" spans="2:62" x14ac:dyDescent="0.15">
      <c r="B31" s="14" t="s">
        <v>673</v>
      </c>
      <c r="C31" s="98">
        <f>COGS_DB!E14</f>
        <v>0</v>
      </c>
      <c r="D31" s="98">
        <f>COGS_DB!F14</f>
        <v>0</v>
      </c>
      <c r="E31" s="98">
        <f>COGS_DB!G14</f>
        <v>0</v>
      </c>
      <c r="F31" s="98">
        <f>COGS_DB!H14</f>
        <v>0.62433475946989458</v>
      </c>
      <c r="G31" s="98">
        <f>COGS_DB!I14</f>
        <v>0.6244814787861146</v>
      </c>
      <c r="H31" s="98">
        <f>COGS_DB!J14</f>
        <v>0.62590600888473225</v>
      </c>
      <c r="I31" s="98">
        <f>COGS_DB!K14</f>
        <v>0.62433475946989458</v>
      </c>
      <c r="J31" s="98">
        <f>COGS_DB!L14</f>
        <v>0.6244814787861146</v>
      </c>
      <c r="K31" s="98">
        <f>COGS_DB!M14</f>
        <v>0.62415434728138308</v>
      </c>
      <c r="L31" s="98">
        <f>COGS_DB!N14</f>
        <v>0.62415434728138308</v>
      </c>
      <c r="M31" s="98">
        <f>COGS_DB!O14</f>
        <v>0.62415434728138308</v>
      </c>
      <c r="N31" s="98">
        <f>COGS_DB!P14</f>
        <v>0.62027501294517007</v>
      </c>
      <c r="O31" s="98">
        <f>COGS_DB!Q14</f>
        <v>0.28259684994421236</v>
      </c>
      <c r="P31" s="98">
        <f>COGS_DB!R14</f>
        <v>0.28260973701438674</v>
      </c>
      <c r="Q31" s="98">
        <f>COGS_DB!S14</f>
        <v>0.28261803189509549</v>
      </c>
      <c r="R31" s="98">
        <f>COGS_DB!T14</f>
        <v>0.28656036446469246</v>
      </c>
      <c r="S31" s="98">
        <f>COGS_DB!U14</f>
        <v>0.2865584599901943</v>
      </c>
      <c r="T31" s="98">
        <f>COGS_DB!V14</f>
        <v>0.28659054449372462</v>
      </c>
      <c r="U31" s="98">
        <f>COGS_DB!W14</f>
        <v>0.28656036446469246</v>
      </c>
      <c r="V31" s="98">
        <f>COGS_DB!X14</f>
        <v>0.2865584599901943</v>
      </c>
      <c r="W31" s="98">
        <f>COGS_DB!Y14</f>
        <v>0.28656270841934767</v>
      </c>
      <c r="X31" s="98">
        <f>COGS_DB!Z14</f>
        <v>0.28656270841934767</v>
      </c>
      <c r="Y31" s="98">
        <f>COGS_DB!AA14</f>
        <v>0.28656270841934767</v>
      </c>
      <c r="Z31" s="98">
        <f>COGS_DB!AB14</f>
        <v>0.2867793112343609</v>
      </c>
      <c r="AA31" s="98">
        <f>COGS_DB!AC14</f>
        <v>-0.80728511320376684</v>
      </c>
      <c r="AB31" s="98">
        <f>COGS_DB!AD14</f>
        <v>-0.8076565436739539</v>
      </c>
      <c r="AC31" s="98">
        <f>COGS_DB!AE14</f>
        <v>-0.80803888708531113</v>
      </c>
      <c r="AD31" s="98">
        <f>COGS_DB!AF14</f>
        <v>-0.79145584476553132</v>
      </c>
      <c r="AE31" s="98">
        <f>COGS_DB!AG14</f>
        <v>-0.79144174739927786</v>
      </c>
      <c r="AF31" s="98">
        <f>COGS_DB!AH14</f>
        <v>-0.79186634741750228</v>
      </c>
      <c r="AG31" s="98">
        <f>COGS_DB!AI14</f>
        <v>-0.79145584476553132</v>
      </c>
      <c r="AH31" s="98">
        <f>COGS_DB!AJ14</f>
        <v>-0.79144174739927786</v>
      </c>
      <c r="AI31" s="98">
        <f>COGS_DB!AK14</f>
        <v>-0.7908534523733689</v>
      </c>
      <c r="AJ31" s="98">
        <f>COGS_DB!AL14</f>
        <v>-0.7908534523733689</v>
      </c>
      <c r="AK31" s="98">
        <f>COGS_DB!AM14</f>
        <v>-0.7908534523733689</v>
      </c>
      <c r="AL31" s="98">
        <f>COGS_DB!AN14</f>
        <v>-0.78952965170260214</v>
      </c>
      <c r="AM31" s="98">
        <f>COGS_DB!AO14</f>
        <v>-0.39142124166239095</v>
      </c>
      <c r="AN31" s="98">
        <f>COGS_DB!AP14</f>
        <v>-0.39142052774729208</v>
      </c>
      <c r="AO31" s="98">
        <f>COGS_DB!AQ14</f>
        <v>-0.39201398015216204</v>
      </c>
      <c r="AP31" s="98">
        <f>COGS_DB!AR14</f>
        <v>-0.38009254368357664</v>
      </c>
      <c r="AQ31" s="98">
        <f>COGS_DB!AS14</f>
        <v>-0.38075035799522672</v>
      </c>
      <c r="AR31" s="98">
        <f>COGS_DB!AT14</f>
        <v>-0.38053121990276051</v>
      </c>
      <c r="AS31" s="98">
        <f>COGS_DB!AU14</f>
        <v>-0.38009254368357664</v>
      </c>
      <c r="AT31" s="98">
        <f>COGS_DB!AV14</f>
        <v>-0.38075035799522672</v>
      </c>
      <c r="AU31" s="98">
        <f>COGS_DB!AW14</f>
        <v>-0.37942996806875073</v>
      </c>
      <c r="AV31" s="98">
        <f>COGS_DB!AX14</f>
        <v>-0.37942996806875073</v>
      </c>
      <c r="AW31" s="98">
        <f>COGS_DB!AY14</f>
        <v>-0.37942996806875073</v>
      </c>
      <c r="AX31" s="98">
        <f>COGS_DB!AZ14</f>
        <v>-0.37886360747425957</v>
      </c>
      <c r="AY31" s="98">
        <f>COGS_DB!BA14</f>
        <v>-0.10936410015582639</v>
      </c>
      <c r="AZ31" s="98">
        <f>COGS_DB!BB14</f>
        <v>-0.10935114300903766</v>
      </c>
      <c r="BA31" s="98">
        <f>COGS_DB!BC14</f>
        <v>-0.10946023558349605</v>
      </c>
      <c r="BB31" s="98">
        <f>COGS_DB!BD14</f>
        <v>-0.10146388880656732</v>
      </c>
      <c r="BC31" s="98">
        <f>COGS_DB!BE14</f>
        <v>-0.10227590631677737</v>
      </c>
      <c r="BD31" s="98">
        <f>COGS_DB!BF14</f>
        <v>-0.10159492871542025</v>
      </c>
      <c r="BE31" s="98">
        <f>COGS_DB!BG14</f>
        <v>-0.10146388880656732</v>
      </c>
      <c r="BF31" s="98">
        <f>COGS_DB!BH14</f>
        <v>-0.10227590631677737</v>
      </c>
      <c r="BG31" s="98">
        <f>COGS_DB!BI14</f>
        <v>-0.10135155997440168</v>
      </c>
      <c r="BH31" s="98">
        <f>COGS_DB!BJ14</f>
        <v>-0.10135155997440168</v>
      </c>
      <c r="BI31" s="98">
        <f>COGS_DB!BK14</f>
        <v>-0.10135155997440168</v>
      </c>
      <c r="BJ31" s="98">
        <f>COGS_DB!BL14</f>
        <v>-0.10102071946103976</v>
      </c>
    </row>
    <row r="32" spans="2:62" x14ac:dyDescent="0.15">
      <c r="B32" s="14" t="s">
        <v>376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1245790</v>
      </c>
      <c r="G32" s="9">
        <f>COGS_DB!I12</f>
        <v>1374100</v>
      </c>
      <c r="H32" s="9">
        <f>COGS_DB!J12</f>
        <v>1539720</v>
      </c>
      <c r="I32" s="9">
        <f>COGS_DB!K12</f>
        <v>1245790</v>
      </c>
      <c r="J32" s="9">
        <f>COGS_DB!L12</f>
        <v>1374100</v>
      </c>
      <c r="K32" s="9">
        <f>COGS_DB!M12</f>
        <v>1117480</v>
      </c>
      <c r="L32" s="9">
        <f>COGS_DB!N12</f>
        <v>1117480</v>
      </c>
      <c r="M32" s="9">
        <f>COGS_DB!O12</f>
        <v>1117480</v>
      </c>
      <c r="N32" s="9">
        <f>COGS_DB!P12</f>
        <v>695240</v>
      </c>
      <c r="O32" s="9">
        <f>COGS_DB!Q12</f>
        <v>240868.75</v>
      </c>
      <c r="P32" s="9">
        <f>COGS_DB!R12</f>
        <v>391418.75</v>
      </c>
      <c r="Q32" s="9">
        <f>COGS_DB!S12</f>
        <v>436587.5</v>
      </c>
      <c r="R32" s="9">
        <f>COGS_DB!T12</f>
        <v>439000</v>
      </c>
      <c r="S32" s="9">
        <f>COGS_DB!U12</f>
        <v>484412.5</v>
      </c>
      <c r="T32" s="9">
        <f>COGS_DB!V12</f>
        <v>529850</v>
      </c>
      <c r="U32" s="9">
        <f>COGS_DB!W12</f>
        <v>439000</v>
      </c>
      <c r="V32" s="9">
        <f>COGS_DB!X12</f>
        <v>484412.5</v>
      </c>
      <c r="W32" s="9">
        <f>COGS_DB!Y12</f>
        <v>393587.5</v>
      </c>
      <c r="X32" s="9">
        <f>COGS_DB!Z12</f>
        <v>393587.5</v>
      </c>
      <c r="Y32" s="9">
        <f>COGS_DB!AA12</f>
        <v>393587.5</v>
      </c>
      <c r="Z32" s="9">
        <f>COGS_DB!AB12</f>
        <v>242281.25</v>
      </c>
      <c r="AA32" s="9">
        <f>COGS_DB!AC12</f>
        <v>155968.75</v>
      </c>
      <c r="AB32" s="9">
        <f>COGS_DB!AD12</f>
        <v>252725</v>
      </c>
      <c r="AC32" s="9">
        <f>COGS_DB!AE12</f>
        <v>284927.5</v>
      </c>
      <c r="AD32" s="9">
        <f>COGS_DB!AF12</f>
        <v>287565</v>
      </c>
      <c r="AE32" s="9">
        <f>COGS_DB!AG12</f>
        <v>314696.25</v>
      </c>
      <c r="AF32" s="9">
        <f>COGS_DB!AH12</f>
        <v>347168.75</v>
      </c>
      <c r="AG32" s="9">
        <f>COGS_DB!AI12</f>
        <v>287565</v>
      </c>
      <c r="AH32" s="9">
        <f>COGS_DB!AJ12</f>
        <v>314696.25</v>
      </c>
      <c r="AI32" s="9">
        <f>COGS_DB!AK12</f>
        <v>255096.25</v>
      </c>
      <c r="AJ32" s="9">
        <f>COGS_DB!AL12</f>
        <v>255096.25</v>
      </c>
      <c r="AK32" s="9">
        <f>COGS_DB!AM12</f>
        <v>255096.25</v>
      </c>
      <c r="AL32" s="9">
        <f>COGS_DB!AN12</f>
        <v>157516.25</v>
      </c>
      <c r="AM32" s="9">
        <f>COGS_DB!AO12</f>
        <v>194900</v>
      </c>
      <c r="AN32" s="9">
        <f>COGS_DB!AP12</f>
        <v>314355</v>
      </c>
      <c r="AO32" s="9">
        <f>COGS_DB!AQ12</f>
        <v>351927.5</v>
      </c>
      <c r="AP32" s="9">
        <f>COGS_DB!AR12</f>
        <v>354967.5</v>
      </c>
      <c r="AQ32" s="9">
        <f>COGS_DB!AS12</f>
        <v>392812.5</v>
      </c>
      <c r="AR32" s="9">
        <f>COGS_DB!AT12</f>
        <v>430895</v>
      </c>
      <c r="AS32" s="9">
        <f>COGS_DB!AU12</f>
        <v>354967.5</v>
      </c>
      <c r="AT32" s="9">
        <f>COGS_DB!AV12</f>
        <v>392812.5</v>
      </c>
      <c r="AU32" s="9">
        <f>COGS_DB!AW12</f>
        <v>317087.5</v>
      </c>
      <c r="AV32" s="9">
        <f>COGS_DB!AX12</f>
        <v>317087.5</v>
      </c>
      <c r="AW32" s="9">
        <f>COGS_DB!AY12</f>
        <v>317087.5</v>
      </c>
      <c r="AX32" s="9">
        <f>COGS_DB!AZ12</f>
        <v>196675</v>
      </c>
      <c r="AY32" s="9">
        <f>COGS_DB!BA12</f>
        <v>234235</v>
      </c>
      <c r="AZ32" s="9">
        <f>COGS_DB!BB12</f>
        <v>376200</v>
      </c>
      <c r="BA32" s="9">
        <f>COGS_DB!BC12</f>
        <v>418747.5</v>
      </c>
      <c r="BB32" s="9">
        <f>COGS_DB!BD12</f>
        <v>421787.5</v>
      </c>
      <c r="BC32" s="9">
        <f>COGS_DB!BE12</f>
        <v>471482.5</v>
      </c>
      <c r="BD32" s="9">
        <f>COGS_DB!BF12</f>
        <v>514662.5</v>
      </c>
      <c r="BE32" s="9">
        <f>COGS_DB!BG12</f>
        <v>421787.5</v>
      </c>
      <c r="BF32" s="9">
        <f>COGS_DB!BH12</f>
        <v>471482.5</v>
      </c>
      <c r="BG32" s="9">
        <f>COGS_DB!BI12</f>
        <v>378932.5</v>
      </c>
      <c r="BH32" s="9">
        <f>COGS_DB!BJ12</f>
        <v>378932.5</v>
      </c>
      <c r="BI32" s="9">
        <f>COGS_DB!BK12</f>
        <v>378932.5</v>
      </c>
      <c r="BJ32" s="9">
        <f>COGS_DB!BL12</f>
        <v>236010</v>
      </c>
    </row>
    <row r="34" spans="2:66" x14ac:dyDescent="0.15">
      <c r="B34" s="14" t="s">
        <v>682</v>
      </c>
      <c r="C34" s="364"/>
      <c r="D34" s="364"/>
      <c r="E34" s="364"/>
      <c r="F34" s="364"/>
      <c r="G34" s="364"/>
      <c r="H34" s="364"/>
      <c r="I34" s="364"/>
      <c r="J34" s="364"/>
      <c r="K34" s="364"/>
      <c r="L34" s="364"/>
      <c r="M34" s="364"/>
      <c r="N34" s="364"/>
      <c r="O34" s="364" t="s">
        <v>36</v>
      </c>
      <c r="P34" s="364"/>
      <c r="Q34" s="364"/>
      <c r="R34" s="364"/>
      <c r="S34" s="364"/>
      <c r="T34" s="364"/>
      <c r="U34" s="364"/>
      <c r="V34" s="364"/>
      <c r="W34" s="364"/>
      <c r="X34" s="364"/>
      <c r="Y34" s="364"/>
      <c r="Z34" s="364"/>
      <c r="AA34" s="364" t="s">
        <v>37</v>
      </c>
      <c r="AB34" s="364"/>
      <c r="AC34" s="364"/>
      <c r="AD34" s="364"/>
      <c r="AE34" s="364"/>
      <c r="AF34" s="364"/>
      <c r="AG34" s="364"/>
      <c r="AH34" s="364"/>
      <c r="AI34" s="364"/>
      <c r="AJ34" s="364"/>
      <c r="AK34" s="364"/>
      <c r="AL34" s="364"/>
      <c r="AM34" s="364" t="s">
        <v>38</v>
      </c>
      <c r="AN34" s="364"/>
      <c r="AO34" s="364"/>
      <c r="AP34" s="364"/>
      <c r="AQ34" s="364"/>
      <c r="AR34" s="364"/>
      <c r="AS34" s="364"/>
      <c r="AT34" s="364"/>
      <c r="AU34" s="364"/>
      <c r="AV34" s="364"/>
      <c r="AW34" s="364"/>
      <c r="AX34" s="364"/>
      <c r="AY34" s="364" t="s">
        <v>39</v>
      </c>
      <c r="AZ34" s="364"/>
      <c r="BA34" s="364"/>
      <c r="BB34" s="364"/>
      <c r="BC34" s="364"/>
      <c r="BD34" s="364"/>
      <c r="BE34" s="364"/>
      <c r="BF34" s="364"/>
      <c r="BG34" s="364"/>
      <c r="BH34" s="364"/>
      <c r="BI34" s="364"/>
      <c r="BJ34" s="364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376</v>
      </c>
      <c r="C36" s="9">
        <f>COGS_DB!E3</f>
        <v>10827180</v>
      </c>
      <c r="D36" s="9">
        <f>COGS_DB!G3</f>
        <v>4868593.75</v>
      </c>
      <c r="E36" s="9">
        <f>COGS_DB!I3</f>
        <v>3168117.5</v>
      </c>
      <c r="F36" s="9">
        <f>COGS_DB!K3</f>
        <v>3935575</v>
      </c>
      <c r="G36" s="9">
        <f>COGS_DB!M3</f>
        <v>4703192.5</v>
      </c>
      <c r="H36" s="9"/>
      <c r="I36" s="9"/>
      <c r="J36" s="9"/>
      <c r="K36" s="9"/>
      <c r="L36" s="9"/>
      <c r="M36" s="9"/>
      <c r="N36" s="9"/>
      <c r="O36" s="9">
        <f>COGS_DB!Q20</f>
        <v>133650</v>
      </c>
      <c r="P36" s="9">
        <f>COGS_DB!R20</f>
        <v>222750</v>
      </c>
      <c r="Q36" s="9">
        <f>COGS_DB!S20</f>
        <v>252450</v>
      </c>
      <c r="R36" s="9">
        <f>COGS_DB!T20</f>
        <v>252450</v>
      </c>
      <c r="S36" s="9">
        <f>COGS_DB!U20</f>
        <v>282150</v>
      </c>
      <c r="T36" s="9">
        <f>COGS_DB!V20</f>
        <v>311850</v>
      </c>
      <c r="U36" s="9">
        <f>COGS_DB!W20</f>
        <v>252450</v>
      </c>
      <c r="V36" s="9">
        <f>COGS_DB!X20</f>
        <v>282150</v>
      </c>
      <c r="W36" s="9">
        <f>COGS_DB!Y20</f>
        <v>222750</v>
      </c>
      <c r="X36" s="9">
        <f>COGS_DB!Z20</f>
        <v>222750</v>
      </c>
      <c r="Y36" s="9">
        <f>COGS_DB!AA20</f>
        <v>222750</v>
      </c>
      <c r="Z36" s="9">
        <f>COGS_DB!AB20</f>
        <v>133650</v>
      </c>
      <c r="AA36" s="9">
        <f>COGS_DB!AC20</f>
        <v>56100</v>
      </c>
      <c r="AB36" s="9">
        <f>COGS_DB!AD20</f>
        <v>91800</v>
      </c>
      <c r="AC36" s="9">
        <f>COGS_DB!AE20</f>
        <v>107100</v>
      </c>
      <c r="AD36" s="9">
        <f>COGS_DB!AF20</f>
        <v>107100</v>
      </c>
      <c r="AE36" s="9">
        <f>COGS_DB!AG20</f>
        <v>117300</v>
      </c>
      <c r="AF36" s="9">
        <f>COGS_DB!AH20</f>
        <v>127500</v>
      </c>
      <c r="AG36" s="9">
        <f>COGS_DB!AI20</f>
        <v>107100</v>
      </c>
      <c r="AH36" s="9">
        <f>COGS_DB!AJ20</f>
        <v>117300</v>
      </c>
      <c r="AI36" s="9">
        <f>COGS_DB!AK20</f>
        <v>91800</v>
      </c>
      <c r="AJ36" s="9">
        <f>COGS_DB!AL20</f>
        <v>91800</v>
      </c>
      <c r="AK36" s="9">
        <f>COGS_DB!AM20</f>
        <v>91800</v>
      </c>
      <c r="AL36" s="9">
        <f>COGS_DB!AN20</f>
        <v>56100</v>
      </c>
      <c r="AM36" s="9">
        <f>COGS_DB!AO20</f>
        <v>35100</v>
      </c>
      <c r="AN36" s="9">
        <f>COGS_DB!AP20</f>
        <v>58500</v>
      </c>
      <c r="AO36" s="9">
        <f>COGS_DB!AQ20</f>
        <v>64350</v>
      </c>
      <c r="AP36" s="9">
        <f>COGS_DB!AR20</f>
        <v>64350</v>
      </c>
      <c r="AQ36" s="9">
        <f>COGS_DB!AS20</f>
        <v>70200</v>
      </c>
      <c r="AR36" s="9">
        <f>COGS_DB!AT20</f>
        <v>76050</v>
      </c>
      <c r="AS36" s="9">
        <f>COGS_DB!AU20</f>
        <v>64350</v>
      </c>
      <c r="AT36" s="9">
        <f>COGS_DB!AV20</f>
        <v>70200</v>
      </c>
      <c r="AU36" s="9">
        <f>COGS_DB!AW20</f>
        <v>58500</v>
      </c>
      <c r="AV36" s="9">
        <f>COGS_DB!AX20</f>
        <v>58500</v>
      </c>
      <c r="AW36" s="9">
        <f>COGS_DB!AY20</f>
        <v>58500</v>
      </c>
      <c r="AX36" s="9">
        <f>COGS_DB!AZ20</f>
        <v>35100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668</v>
      </c>
      <c r="C37" s="9">
        <f>COGS_DB!E4</f>
        <v>6759180</v>
      </c>
      <c r="D37" s="9">
        <f>COGS_DB!G4</f>
        <v>1390993.75</v>
      </c>
      <c r="E37" s="9">
        <f>COGS_DB!I4</f>
        <v>-2518082.5</v>
      </c>
      <c r="F37" s="9">
        <f>COGS_DB!K4</f>
        <v>-1505681</v>
      </c>
      <c r="G37" s="9">
        <f>COGS_DB!M4</f>
        <v>-485971.19999999984</v>
      </c>
      <c r="H37" s="9"/>
      <c r="I37" s="9"/>
      <c r="J37" s="9"/>
      <c r="K37" s="9"/>
      <c r="L37" s="9"/>
      <c r="M37" s="9"/>
      <c r="N37" s="9"/>
      <c r="O37" s="9">
        <f>COGS_DB!Q21</f>
        <v>36450</v>
      </c>
      <c r="P37" s="9">
        <f>COGS_DB!R21</f>
        <v>60750</v>
      </c>
      <c r="Q37" s="9">
        <f>COGS_DB!S21</f>
        <v>68850</v>
      </c>
      <c r="R37" s="9">
        <f>COGS_DB!T21</f>
        <v>68850</v>
      </c>
      <c r="S37" s="9">
        <f>COGS_DB!U21</f>
        <v>76950</v>
      </c>
      <c r="T37" s="9">
        <f>COGS_DB!V21</f>
        <v>85050</v>
      </c>
      <c r="U37" s="9">
        <f>COGS_DB!W21</f>
        <v>68850</v>
      </c>
      <c r="V37" s="9">
        <f>COGS_DB!X21</f>
        <v>76950</v>
      </c>
      <c r="W37" s="9">
        <f>COGS_DB!Y21</f>
        <v>60750</v>
      </c>
      <c r="X37" s="9">
        <f>COGS_DB!Z21</f>
        <v>60750</v>
      </c>
      <c r="Y37" s="9">
        <f>COGS_DB!AA21</f>
        <v>60750</v>
      </c>
      <c r="Z37" s="9">
        <f>COGS_DB!AB21</f>
        <v>36450</v>
      </c>
      <c r="AA37" s="9">
        <f>COGS_DB!AC21</f>
        <v>-50820</v>
      </c>
      <c r="AB37" s="9">
        <f>COGS_DB!AD21</f>
        <v>-83160</v>
      </c>
      <c r="AC37" s="9">
        <f>COGS_DB!AE21</f>
        <v>-97020</v>
      </c>
      <c r="AD37" s="9">
        <f>COGS_DB!AF21</f>
        <v>-97020</v>
      </c>
      <c r="AE37" s="9">
        <f>COGS_DB!AG21</f>
        <v>-106260</v>
      </c>
      <c r="AF37" s="9">
        <f>COGS_DB!AH21</f>
        <v>-115500</v>
      </c>
      <c r="AG37" s="9">
        <f>COGS_DB!AI21</f>
        <v>-97020</v>
      </c>
      <c r="AH37" s="9">
        <f>COGS_DB!AJ21</f>
        <v>-106260</v>
      </c>
      <c r="AI37" s="9">
        <f>COGS_DB!AK21</f>
        <v>-83160</v>
      </c>
      <c r="AJ37" s="9">
        <f>COGS_DB!AL21</f>
        <v>-83160</v>
      </c>
      <c r="AK37" s="9">
        <f>COGS_DB!AM21</f>
        <v>-83160</v>
      </c>
      <c r="AL37" s="9">
        <f>COGS_DB!AN21</f>
        <v>-50820</v>
      </c>
      <c r="AM37" s="9">
        <f>COGS_DB!AO21</f>
        <v>-17388</v>
      </c>
      <c r="AN37" s="9">
        <f>COGS_DB!AP21</f>
        <v>-28980</v>
      </c>
      <c r="AO37" s="9">
        <f>COGS_DB!AQ21</f>
        <v>-31878</v>
      </c>
      <c r="AP37" s="9">
        <f>COGS_DB!AR21</f>
        <v>-31878</v>
      </c>
      <c r="AQ37" s="9">
        <f>COGS_DB!AS21</f>
        <v>-34776</v>
      </c>
      <c r="AR37" s="9">
        <f>COGS_DB!AT21</f>
        <v>-37674</v>
      </c>
      <c r="AS37" s="9">
        <f>COGS_DB!AU21</f>
        <v>-31878</v>
      </c>
      <c r="AT37" s="9">
        <f>COGS_DB!AV21</f>
        <v>-34776</v>
      </c>
      <c r="AU37" s="9">
        <f>COGS_DB!AW21</f>
        <v>-28980</v>
      </c>
      <c r="AV37" s="9">
        <f>COGS_DB!AX21</f>
        <v>-28980</v>
      </c>
      <c r="AW37" s="9">
        <f>COGS_DB!AY21</f>
        <v>-28980</v>
      </c>
      <c r="AX37" s="9">
        <f>COGS_DB!AZ21</f>
        <v>-17388</v>
      </c>
      <c r="AY37" s="9">
        <f>COGS_DB!BA21</f>
        <v>-4047.8999999999992</v>
      </c>
      <c r="AZ37" s="9">
        <f>COGS_DB!BB21</f>
        <v>-6746.4999999999964</v>
      </c>
      <c r="BA37" s="9">
        <f>COGS_DB!BC21</f>
        <v>-6746.5000000000009</v>
      </c>
      <c r="BB37" s="9">
        <f>COGS_DB!BD21</f>
        <v>-6746.5000000000009</v>
      </c>
      <c r="BC37" s="9">
        <f>COGS_DB!BE21</f>
        <v>-8095.7999999999984</v>
      </c>
      <c r="BD37" s="9">
        <f>COGS_DB!BF21</f>
        <v>-9445.0999999999985</v>
      </c>
      <c r="BE37" s="9">
        <f>COGS_DB!BG21</f>
        <v>-6746.5000000000009</v>
      </c>
      <c r="BF37" s="9">
        <f>COGS_DB!BH21</f>
        <v>-8095.7999999999984</v>
      </c>
      <c r="BG37" s="9">
        <f>COGS_DB!BI21</f>
        <v>-6746.4999999999964</v>
      </c>
      <c r="BH37" s="9">
        <f>COGS_DB!BJ21</f>
        <v>-6746.4999999999964</v>
      </c>
      <c r="BI37" s="9">
        <f>COGS_DB!BK21</f>
        <v>-6746.4999999999964</v>
      </c>
      <c r="BJ37" s="9">
        <f>COGS_DB!BL21</f>
        <v>-4047.8999999999992</v>
      </c>
    </row>
    <row r="38" spans="2:66" x14ac:dyDescent="0.15">
      <c r="B38" s="14" t="s">
        <v>674</v>
      </c>
      <c r="C38" s="9">
        <f>COGS_DB!E6</f>
        <v>6378120</v>
      </c>
      <c r="D38" s="9">
        <f>COGS_DB!G6</f>
        <v>807650</v>
      </c>
      <c r="E38" s="9">
        <f>COGS_DB!I6</f>
        <v>-988210</v>
      </c>
      <c r="F38" s="9">
        <f>COGS_DB!K6</f>
        <v>-287476</v>
      </c>
      <c r="G38" s="9">
        <f>COGS_DB!M6</f>
        <v>-32307.999999999982</v>
      </c>
      <c r="H38" s="9"/>
      <c r="I38" s="9"/>
      <c r="J38" s="9"/>
      <c r="K38" s="9"/>
      <c r="L38" s="9"/>
      <c r="M38" s="9"/>
      <c r="N38" s="9"/>
      <c r="O38" s="9">
        <f>COGS_DB!Q24</f>
        <v>0.28298755186721991</v>
      </c>
      <c r="P38" s="9">
        <f>COGS_DB!R24</f>
        <v>0.28298755186721991</v>
      </c>
      <c r="Q38" s="9">
        <f>COGS_DB!S24</f>
        <v>0.28298755186721991</v>
      </c>
      <c r="R38" s="9">
        <f>COGS_DB!T24</f>
        <v>0.28501192620357302</v>
      </c>
      <c r="S38" s="9">
        <f>COGS_DB!U24</f>
        <v>0.28498627989023911</v>
      </c>
      <c r="T38" s="9">
        <f>COGS_DB!V24</f>
        <v>0.28502187019742287</v>
      </c>
      <c r="U38" s="9">
        <f>COGS_DB!W24</f>
        <v>0.28501192620357302</v>
      </c>
      <c r="V38" s="9">
        <f>COGS_DB!X24</f>
        <v>0.28498627989023911</v>
      </c>
      <c r="W38" s="9">
        <f>COGS_DB!Y24</f>
        <v>0.28504440889281185</v>
      </c>
      <c r="X38" s="9">
        <f>COGS_DB!Z24</f>
        <v>0.28504440889281185</v>
      </c>
      <c r="Y38" s="9">
        <f>COGS_DB!AA24</f>
        <v>0.28504440889281185</v>
      </c>
      <c r="Z38" s="9">
        <f>COGS_DB!AB24</f>
        <v>0.28509699365633906</v>
      </c>
      <c r="AA38" s="9">
        <f>COGS_DB!AC24</f>
        <v>-0.81412513255567343</v>
      </c>
      <c r="AB38" s="9">
        <f>COGS_DB!AD24</f>
        <v>-0.81399688958009331</v>
      </c>
      <c r="AC38" s="9">
        <f>COGS_DB!AE24</f>
        <v>-0.81419842239751139</v>
      </c>
      <c r="AD38" s="9">
        <f>COGS_DB!AF24</f>
        <v>-0.80258306656363843</v>
      </c>
      <c r="AE38" s="9">
        <f>COGS_DB!AG24</f>
        <v>-0.80235815781517683</v>
      </c>
      <c r="AF38" s="9">
        <f>COGS_DB!AH24</f>
        <v>-0.80183520252108631</v>
      </c>
      <c r="AG38" s="9">
        <f>COGS_DB!AI24</f>
        <v>-0.80258306656363843</v>
      </c>
      <c r="AH38" s="9">
        <f>COGS_DB!AJ24</f>
        <v>-0.80235815781517683</v>
      </c>
      <c r="AI38" s="9">
        <f>COGS_DB!AK24</f>
        <v>-0.80185375901132849</v>
      </c>
      <c r="AJ38" s="9">
        <f>COGS_DB!AL24</f>
        <v>-0.80185375901132849</v>
      </c>
      <c r="AK38" s="9">
        <f>COGS_DB!AM24</f>
        <v>-0.80185375901132849</v>
      </c>
      <c r="AL38" s="9">
        <f>COGS_DB!AN24</f>
        <v>-0.80189593427427852</v>
      </c>
      <c r="AM38" s="9">
        <f>COGS_DB!AO24</f>
        <v>-0.3849076517150396</v>
      </c>
      <c r="AN38" s="9">
        <f>COGS_DB!AP24</f>
        <v>-0.38516348665980527</v>
      </c>
      <c r="AO38" s="9">
        <f>COGS_DB!AQ24</f>
        <v>-0.38397813893283472</v>
      </c>
      <c r="AP38" s="9">
        <f>COGS_DB!AR24</f>
        <v>-0.36406549011269401</v>
      </c>
      <c r="AQ38" s="9">
        <f>COGS_DB!AS24</f>
        <v>-0.36350175347447722</v>
      </c>
      <c r="AR38" s="9">
        <f>COGS_DB!AT24</f>
        <v>-0.3624535761351384</v>
      </c>
      <c r="AS38" s="9">
        <f>COGS_DB!AU24</f>
        <v>-0.36406549011269401</v>
      </c>
      <c r="AT38" s="9">
        <f>COGS_DB!AV24</f>
        <v>-0.36350175347447722</v>
      </c>
      <c r="AU38" s="9">
        <f>COGS_DB!AW24</f>
        <v>-0.36548817607117773</v>
      </c>
      <c r="AV38" s="9">
        <f>COGS_DB!AX24</f>
        <v>-0.36548817607117773</v>
      </c>
      <c r="AW38" s="9">
        <f>COGS_DB!AY24</f>
        <v>-0.36548817607117773</v>
      </c>
      <c r="AX38" s="9">
        <f>COGS_DB!AZ24</f>
        <v>-0.36474258970358814</v>
      </c>
      <c r="AY38" s="9">
        <f>COGS_DB!BA24</f>
        <v>-9.695379614580911E-2</v>
      </c>
      <c r="AZ38" s="9">
        <f>COGS_DB!BB24</f>
        <v>-9.731047937569666E-2</v>
      </c>
      <c r="BA38" s="9">
        <f>COGS_DB!BC24</f>
        <v>-9.0925464117484089E-2</v>
      </c>
      <c r="BB38" s="9">
        <f>COGS_DB!BD24</f>
        <v>-6.1083411939091795E-2</v>
      </c>
      <c r="BC38" s="9">
        <f>COGS_DB!BE24</f>
        <v>-6.7460460912788039E-2</v>
      </c>
      <c r="BD38" s="9">
        <f>COGS_DB!BF24</f>
        <v>-7.1333333333333304E-2</v>
      </c>
      <c r="BE38" s="9">
        <f>COGS_DB!BG24</f>
        <v>-6.1083411939091795E-2</v>
      </c>
      <c r="BF38" s="9">
        <f>COGS_DB!BH24</f>
        <v>-6.7460460912788039E-2</v>
      </c>
      <c r="BG38" s="9">
        <f>COGS_DB!BI24</f>
        <v>-7.0168524055449752E-2</v>
      </c>
      <c r="BH38" s="9">
        <f>COGS_DB!BJ24</f>
        <v>-7.0168524055449752E-2</v>
      </c>
      <c r="BI38" s="9">
        <f>COGS_DB!BK24</f>
        <v>-7.0168524055449752E-2</v>
      </c>
      <c r="BJ38" s="9">
        <f>COGS_DB!BL24</f>
        <v>-6.9151391717583124E-2</v>
      </c>
    </row>
    <row r="39" spans="2:66" x14ac:dyDescent="0.15">
      <c r="B39" s="14" t="s">
        <v>675</v>
      </c>
      <c r="C39" s="9">
        <f>COGS_DB!E7</f>
        <v>381060</v>
      </c>
      <c r="D39" s="9">
        <f>COGS_DB!G7</f>
        <v>583343.75</v>
      </c>
      <c r="E39" s="9">
        <f>COGS_DB!I7</f>
        <v>-1529872.5</v>
      </c>
      <c r="F39" s="9">
        <f>COGS_DB!K7</f>
        <v>-1218205</v>
      </c>
      <c r="G39" s="9">
        <f>COGS_DB!M7</f>
        <v>-453663.1999999999</v>
      </c>
      <c r="H39" s="98"/>
      <c r="I39" s="98"/>
      <c r="J39" s="98"/>
      <c r="K39" s="98"/>
      <c r="L39" s="98"/>
      <c r="M39" s="98"/>
      <c r="N39" s="98"/>
      <c r="O39" s="98">
        <f>COGS_DB!Q22</f>
        <v>1912.5</v>
      </c>
      <c r="P39" s="98">
        <f>COGS_DB!R22</f>
        <v>3187.5</v>
      </c>
      <c r="Q39" s="98">
        <f>COGS_DB!S22</f>
        <v>3612.5</v>
      </c>
      <c r="R39" s="98">
        <f>COGS_DB!T22</f>
        <v>4337.5</v>
      </c>
      <c r="S39" s="98">
        <f>COGS_DB!U22</f>
        <v>4837.5</v>
      </c>
      <c r="T39" s="98">
        <f>COGS_DB!V22</f>
        <v>5362.5</v>
      </c>
      <c r="U39" s="98">
        <f>COGS_DB!W22</f>
        <v>4337.5</v>
      </c>
      <c r="V39" s="98">
        <f>COGS_DB!X22</f>
        <v>4837.5</v>
      </c>
      <c r="W39" s="98">
        <f>COGS_DB!Y22</f>
        <v>3837.5</v>
      </c>
      <c r="X39" s="98">
        <f>COGS_DB!Z22</f>
        <v>3837.5</v>
      </c>
      <c r="Y39" s="98">
        <f>COGS_DB!AA22</f>
        <v>3837.5</v>
      </c>
      <c r="Z39" s="98">
        <f>COGS_DB!AB22</f>
        <v>2312.5</v>
      </c>
      <c r="AA39" s="98">
        <f>COGS_DB!AC22</f>
        <v>2837.5</v>
      </c>
      <c r="AB39" s="98">
        <f>COGS_DB!AD22</f>
        <v>4650</v>
      </c>
      <c r="AC39" s="98">
        <f>COGS_DB!AE22</f>
        <v>5412.5</v>
      </c>
      <c r="AD39" s="98">
        <f>COGS_DB!AF22</f>
        <v>6137.5</v>
      </c>
      <c r="AE39" s="98">
        <f>COGS_DB!AG22</f>
        <v>6737.5</v>
      </c>
      <c r="AF39" s="98">
        <f>COGS_DB!AH22</f>
        <v>7362.5</v>
      </c>
      <c r="AG39" s="98">
        <f>COGS_DB!AI22</f>
        <v>6137.5</v>
      </c>
      <c r="AH39" s="98">
        <f>COGS_DB!AJ22</f>
        <v>6737.5</v>
      </c>
      <c r="AI39" s="98">
        <f>COGS_DB!AK22</f>
        <v>5300</v>
      </c>
      <c r="AJ39" s="98">
        <f>COGS_DB!AL22</f>
        <v>5300</v>
      </c>
      <c r="AK39" s="98">
        <f>COGS_DB!AM22</f>
        <v>5300</v>
      </c>
      <c r="AL39" s="98">
        <f>COGS_DB!AN22</f>
        <v>3237.5</v>
      </c>
      <c r="AM39" s="98">
        <f>COGS_DB!AO22</f>
        <v>2800</v>
      </c>
      <c r="AN39" s="98">
        <f>COGS_DB!AP22</f>
        <v>4655</v>
      </c>
      <c r="AO39" s="98">
        <f>COGS_DB!AQ22</f>
        <v>5180</v>
      </c>
      <c r="AP39" s="98">
        <f>COGS_DB!AR22</f>
        <v>6195</v>
      </c>
      <c r="AQ39" s="98">
        <f>COGS_DB!AS22</f>
        <v>6790</v>
      </c>
      <c r="AR39" s="98">
        <f>COGS_DB!AT22</f>
        <v>7420</v>
      </c>
      <c r="AS39" s="98">
        <f>COGS_DB!AU22</f>
        <v>6195</v>
      </c>
      <c r="AT39" s="98">
        <f>COGS_DB!AV22</f>
        <v>6790</v>
      </c>
      <c r="AU39" s="98">
        <f>COGS_DB!AW22</f>
        <v>5565</v>
      </c>
      <c r="AV39" s="98">
        <f>COGS_DB!AX22</f>
        <v>5565</v>
      </c>
      <c r="AW39" s="98">
        <f>COGS_DB!AY22</f>
        <v>5565</v>
      </c>
      <c r="AX39" s="98">
        <f>COGS_DB!AZ22</f>
        <v>3360</v>
      </c>
      <c r="AY39" s="98">
        <f>COGS_DB!BA22</f>
        <v>1960</v>
      </c>
      <c r="AZ39" s="98">
        <f>COGS_DB!BB22</f>
        <v>3255</v>
      </c>
      <c r="BA39" s="98">
        <f>COGS_DB!BC22</f>
        <v>3465</v>
      </c>
      <c r="BB39" s="98">
        <f>COGS_DB!BD22</f>
        <v>4480</v>
      </c>
      <c r="BC39" s="98">
        <f>COGS_DB!BE22</f>
        <v>5110</v>
      </c>
      <c r="BD39" s="98">
        <f>COGS_DB!BF22</f>
        <v>5775</v>
      </c>
      <c r="BE39" s="98">
        <f>COGS_DB!BG22</f>
        <v>4480</v>
      </c>
      <c r="BF39" s="98">
        <f>COGS_DB!BH22</f>
        <v>5110</v>
      </c>
      <c r="BG39" s="98">
        <f>COGS_DB!BI22</f>
        <v>4165</v>
      </c>
      <c r="BH39" s="98">
        <f>COGS_DB!BJ22</f>
        <v>4165</v>
      </c>
      <c r="BI39" s="98">
        <f>COGS_DB!BK22</f>
        <v>4165</v>
      </c>
      <c r="BJ39" s="98">
        <f>COGS_DB!BL22</f>
        <v>2520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679</v>
      </c>
      <c r="C42" s="116">
        <f>COGS_DB!E5</f>
        <v>0.62427889810643211</v>
      </c>
      <c r="D42" s="116">
        <f>COGS_DB!G5</f>
        <v>0.28570750024070091</v>
      </c>
      <c r="E42" s="116">
        <f>COGS_DB!I5</f>
        <v>-0.79481979440472139</v>
      </c>
      <c r="F42" s="116">
        <f>COGS_DB!K5</f>
        <v>-0.38258221479707538</v>
      </c>
      <c r="G42" s="116">
        <f>COGS_DB!M5</f>
        <v>-0.1033279416056221</v>
      </c>
      <c r="H42" s="9"/>
      <c r="I42" s="9"/>
      <c r="J42" s="9"/>
      <c r="K42" s="9"/>
      <c r="L42" s="9"/>
      <c r="M42" s="9"/>
      <c r="N42" s="9"/>
      <c r="O42" s="9">
        <f>COGS_DB!Q23</f>
        <v>38362.5</v>
      </c>
      <c r="P42" s="9">
        <f>COGS_DB!R23</f>
        <v>63937.5</v>
      </c>
      <c r="Q42" s="9">
        <f>COGS_DB!S23</f>
        <v>72462.5</v>
      </c>
      <c r="R42" s="9">
        <f>COGS_DB!T23</f>
        <v>73187.5</v>
      </c>
      <c r="S42" s="9">
        <f>COGS_DB!U23</f>
        <v>81787.5</v>
      </c>
      <c r="T42" s="9">
        <f>COGS_DB!V23</f>
        <v>90412.5</v>
      </c>
      <c r="U42" s="9">
        <f>COGS_DB!W23</f>
        <v>73187.5</v>
      </c>
      <c r="V42" s="9">
        <f>COGS_DB!X23</f>
        <v>81787.5</v>
      </c>
      <c r="W42" s="9">
        <f>COGS_DB!Y23</f>
        <v>64587.5</v>
      </c>
      <c r="X42" s="9">
        <f>COGS_DB!Z23</f>
        <v>64587.5</v>
      </c>
      <c r="Y42" s="9">
        <f>COGS_DB!AA23</f>
        <v>64587.5</v>
      </c>
      <c r="Z42" s="9">
        <f>COGS_DB!AB23</f>
        <v>38762.5</v>
      </c>
      <c r="AA42" s="9">
        <f>COGS_DB!AC23</f>
        <v>-47982.5</v>
      </c>
      <c r="AB42" s="9">
        <f>COGS_DB!AD23</f>
        <v>-78510</v>
      </c>
      <c r="AC42" s="9">
        <f>COGS_DB!AE23</f>
        <v>-91607.5</v>
      </c>
      <c r="AD42" s="9">
        <f>COGS_DB!AF23</f>
        <v>-90882.5</v>
      </c>
      <c r="AE42" s="9">
        <f>COGS_DB!AG23</f>
        <v>-99522.5</v>
      </c>
      <c r="AF42" s="9">
        <f>COGS_DB!AH23</f>
        <v>-108137.5</v>
      </c>
      <c r="AG42" s="9">
        <f>COGS_DB!AI23</f>
        <v>-90882.5</v>
      </c>
      <c r="AH42" s="9">
        <f>COGS_DB!AJ23</f>
        <v>-99522.5</v>
      </c>
      <c r="AI42" s="9">
        <f>COGS_DB!AK23</f>
        <v>-77860</v>
      </c>
      <c r="AJ42" s="9">
        <f>COGS_DB!AL23</f>
        <v>-77860</v>
      </c>
      <c r="AK42" s="9">
        <f>COGS_DB!AM23</f>
        <v>-77860</v>
      </c>
      <c r="AL42" s="9">
        <f>COGS_DB!AN23</f>
        <v>-47582.5</v>
      </c>
      <c r="AM42" s="9">
        <f>COGS_DB!AO23</f>
        <v>-14588</v>
      </c>
      <c r="AN42" s="9">
        <f>COGS_DB!AP23</f>
        <v>-24325</v>
      </c>
      <c r="AO42" s="9">
        <f>COGS_DB!AQ23</f>
        <v>-26698</v>
      </c>
      <c r="AP42" s="9">
        <f>COGS_DB!AR23</f>
        <v>-25683</v>
      </c>
      <c r="AQ42" s="9">
        <f>COGS_DB!AS23</f>
        <v>-27986</v>
      </c>
      <c r="AR42" s="9">
        <f>COGS_DB!AT23</f>
        <v>-30254</v>
      </c>
      <c r="AS42" s="9">
        <f>COGS_DB!AU23</f>
        <v>-25683</v>
      </c>
      <c r="AT42" s="9">
        <f>COGS_DB!AV23</f>
        <v>-27986</v>
      </c>
      <c r="AU42" s="9">
        <f>COGS_DB!AW23</f>
        <v>-23415</v>
      </c>
      <c r="AV42" s="9">
        <f>COGS_DB!AX23</f>
        <v>-23415</v>
      </c>
      <c r="AW42" s="9">
        <f>COGS_DB!AY23</f>
        <v>-23415</v>
      </c>
      <c r="AX42" s="9">
        <f>COGS_DB!AZ23</f>
        <v>-14028</v>
      </c>
      <c r="AY42" s="9">
        <f>COGS_DB!BA23</f>
        <v>-2087.8999999999992</v>
      </c>
      <c r="AZ42" s="9">
        <f>COGS_DB!BB23</f>
        <v>-3491.4999999999964</v>
      </c>
      <c r="BA42" s="9">
        <f>COGS_DB!BC23</f>
        <v>-3281.5000000000009</v>
      </c>
      <c r="BB42" s="9">
        <f>COGS_DB!BD23</f>
        <v>-2266.5000000000009</v>
      </c>
      <c r="BC42" s="9">
        <f>COGS_DB!BE23</f>
        <v>-2985.7999999999984</v>
      </c>
      <c r="BD42" s="9">
        <f>COGS_DB!BF23</f>
        <v>-3670.0999999999985</v>
      </c>
      <c r="BE42" s="9">
        <f>COGS_DB!BG23</f>
        <v>-2266.5000000000009</v>
      </c>
      <c r="BF42" s="9">
        <f>COGS_DB!BH23</f>
        <v>-2985.7999999999984</v>
      </c>
      <c r="BG42" s="9">
        <f>COGS_DB!BI23</f>
        <v>-2581.4999999999964</v>
      </c>
      <c r="BH42" s="9">
        <f>COGS_DB!BJ23</f>
        <v>-2581.4999999999964</v>
      </c>
      <c r="BI42" s="9">
        <f>COGS_DB!BK23</f>
        <v>-2581.4999999999964</v>
      </c>
      <c r="BJ42" s="9">
        <f>COGS_DB!BL23</f>
        <v>-1527.8999999999992</v>
      </c>
    </row>
    <row r="43" spans="2:66" x14ac:dyDescent="0.15">
      <c r="B43" s="14" t="s">
        <v>680</v>
      </c>
      <c r="C43" s="116">
        <f>COGS_DB!F6</f>
        <v>0.58908413825206563</v>
      </c>
      <c r="D43" s="116">
        <f>COGS_DB!H6</f>
        <v>0.16588979107160051</v>
      </c>
      <c r="E43" s="116">
        <f>COGS_DB!J6</f>
        <v>-0.3119234056186363</v>
      </c>
      <c r="F43" s="116">
        <f>COGS_DB!L6</f>
        <v>-7.3045488905687225E-2</v>
      </c>
      <c r="G43" s="116">
        <f>COGS_DB!N6</f>
        <v>-6.869376492669603E-3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683</v>
      </c>
      <c r="C44" s="98">
        <f>COGS_DB!F7</f>
        <v>3.5194759854366514E-2</v>
      </c>
      <c r="D44" s="116">
        <f>COGS_DB!H7</f>
        <v>0.11981770916910042</v>
      </c>
      <c r="E44" s="98">
        <f>COGS_DB!J7</f>
        <v>-0.4828963887860851</v>
      </c>
      <c r="F44" s="98">
        <f>COGS_DB!L7</f>
        <v>-0.3095367258913882</v>
      </c>
      <c r="G44" s="98">
        <f>COGS_DB!N7</f>
        <v>-9.6458565112952505E-2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692</v>
      </c>
    </row>
    <row r="47" spans="2:66" x14ac:dyDescent="0.15">
      <c r="C47" s="75"/>
      <c r="D47" s="364" t="s">
        <v>35</v>
      </c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 t="s">
        <v>36</v>
      </c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4" t="s">
        <v>37</v>
      </c>
      <c r="AC47" s="364"/>
      <c r="AD47" s="364"/>
      <c r="AE47" s="364"/>
      <c r="AF47" s="364"/>
      <c r="AG47" s="364"/>
      <c r="AH47" s="364"/>
      <c r="AI47" s="364"/>
      <c r="AJ47" s="364"/>
      <c r="AK47" s="364"/>
      <c r="AL47" s="364"/>
      <c r="AM47" s="364"/>
      <c r="AN47" s="364" t="s">
        <v>38</v>
      </c>
      <c r="AO47" s="364"/>
      <c r="AP47" s="364"/>
      <c r="AQ47" s="364"/>
      <c r="AR47" s="364"/>
      <c r="AS47" s="364"/>
      <c r="AT47" s="364"/>
      <c r="AU47" s="364"/>
      <c r="AV47" s="364"/>
      <c r="AW47" s="364"/>
      <c r="AX47" s="364"/>
      <c r="AY47" s="364"/>
      <c r="AZ47" s="364" t="s">
        <v>39</v>
      </c>
      <c r="BA47" s="364"/>
      <c r="BB47" s="364"/>
      <c r="BC47" s="364"/>
      <c r="BD47" s="364"/>
      <c r="BE47" s="364"/>
      <c r="BF47" s="364"/>
      <c r="BG47" s="364"/>
      <c r="BH47" s="364"/>
      <c r="BI47" s="364"/>
      <c r="BJ47" s="364"/>
      <c r="BK47" s="364"/>
      <c r="BM47" s="10" t="s">
        <v>661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364</v>
      </c>
      <c r="C49" s="9">
        <f>'COGS-INVENTORY_CWS'!C31</f>
        <v>0</v>
      </c>
      <c r="D49" s="9">
        <f>'COGS-INVENTORY_CWS'!D31</f>
        <v>0</v>
      </c>
      <c r="E49" s="9">
        <f>'COGS-INVENTORY_CWS'!E31</f>
        <v>468000</v>
      </c>
      <c r="F49" s="9">
        <f>'COGS-INVENTORY_CWS'!F31</f>
        <v>984000</v>
      </c>
      <c r="G49" s="9">
        <f>'COGS-INVENTORY_CWS'!G31</f>
        <v>1560000</v>
      </c>
      <c r="H49" s="9">
        <f>'COGS-INVENTORY_CWS'!H31</f>
        <v>1560000</v>
      </c>
      <c r="I49" s="9">
        <f>'COGS-INVENTORY_CWS'!I31</f>
        <v>1560000</v>
      </c>
      <c r="J49" s="9">
        <f>'COGS-INVENTORY_CWS'!J31</f>
        <v>1404000</v>
      </c>
      <c r="K49" s="9">
        <f>'COGS-INVENTORY_CWS'!K31</f>
        <v>1356000</v>
      </c>
      <c r="L49" s="9">
        <f>'COGS-INVENTORY_CWS'!L31</f>
        <v>1260000</v>
      </c>
      <c r="M49" s="9">
        <f>'COGS-INVENTORY_CWS'!M31</f>
        <v>1104000</v>
      </c>
      <c r="N49" s="9">
        <f>'COGS-INVENTORY_CWS'!N31</f>
        <v>876000</v>
      </c>
      <c r="O49" s="9">
        <f>'COGS-INVENTORY_CWS'!O31</f>
        <v>768000</v>
      </c>
      <c r="P49" s="9">
        <f>'COGS-INVENTORY_CWS'!P31</f>
        <v>852000</v>
      </c>
      <c r="Q49" s="9">
        <f>'COGS-INVENTORY_CWS'!Q31</f>
        <v>992400</v>
      </c>
      <c r="R49" s="9">
        <f>'COGS-INVENTORY_CWS'!R31</f>
        <v>1057200</v>
      </c>
      <c r="S49" s="9">
        <f>'COGS-INVENTORY_CWS'!S31</f>
        <v>1122000</v>
      </c>
      <c r="T49" s="9">
        <f>'COGS-INVENTORY_CWS'!T31</f>
        <v>1122000</v>
      </c>
      <c r="U49" s="9">
        <f>'COGS-INVENTORY_CWS'!U31</f>
        <v>1122000</v>
      </c>
      <c r="V49" s="9">
        <f>'COGS-INVENTORY_CWS'!V31</f>
        <v>1024800</v>
      </c>
      <c r="W49" s="9">
        <f>'COGS-INVENTORY_CWS'!W31</f>
        <v>992400</v>
      </c>
      <c r="X49" s="9">
        <f>'COGS-INVENTORY_CWS'!X31</f>
        <v>927600</v>
      </c>
      <c r="Y49" s="9">
        <f>'COGS-INVENTORY_CWS'!Y31</f>
        <v>819600</v>
      </c>
      <c r="Z49" s="9">
        <f>'COGS-INVENTORY_CWS'!Z31</f>
        <v>852000</v>
      </c>
      <c r="AA49" s="9">
        <f>'COGS-INVENTORY_CWS'!AA31</f>
        <v>1078800</v>
      </c>
      <c r="AB49" s="9">
        <f>'COGS-INVENTORY_CWS'!AB31</f>
        <v>1478400</v>
      </c>
      <c r="AC49" s="9">
        <f>'COGS-INVENTORY_CWS'!AC31</f>
        <v>1711680</v>
      </c>
      <c r="AD49" s="9">
        <f>'COGS-INVENTORY_CWS'!AD31</f>
        <v>1818600</v>
      </c>
      <c r="AE49" s="9">
        <f>'COGS-INVENTORY_CWS'!AE31</f>
        <v>1925520</v>
      </c>
      <c r="AF49" s="9">
        <f>'COGS-INVENTORY_CWS'!AF31</f>
        <v>1925520</v>
      </c>
      <c r="AG49" s="9">
        <f>'COGS-INVENTORY_CWS'!AG31</f>
        <v>1925520</v>
      </c>
      <c r="AH49" s="9">
        <f>'COGS-INVENTORY_CWS'!AH31</f>
        <v>1760280</v>
      </c>
      <c r="AI49" s="9">
        <f>'COGS-INVENTORY_CWS'!AI31</f>
        <v>1701960</v>
      </c>
      <c r="AJ49" s="9">
        <f>'COGS-INVENTORY_CWS'!AJ31</f>
        <v>1595040</v>
      </c>
      <c r="AK49" s="9">
        <f>'COGS-INVENTORY_CWS'!AK31</f>
        <v>1420080</v>
      </c>
      <c r="AL49" s="9">
        <f>'COGS-INVENTORY_CWS'!AL31</f>
        <v>1264560</v>
      </c>
      <c r="AM49" s="9">
        <f>'COGS-INVENTORY_CWS'!AM31</f>
        <v>1293720</v>
      </c>
      <c r="AN49" s="9">
        <f>'COGS-INVENTORY_CWS'!AN31</f>
        <v>1556160</v>
      </c>
      <c r="AO49" s="9">
        <f>'COGS-INVENTORY_CWS'!AO31</f>
        <v>1774860</v>
      </c>
      <c r="AP49" s="9">
        <f>'COGS-INVENTORY_CWS'!AP31</f>
        <v>1879836</v>
      </c>
      <c r="AQ49" s="9">
        <f>'COGS-INVENTORY_CWS'!AQ31</f>
        <v>1984812</v>
      </c>
      <c r="AR49" s="9">
        <f>'COGS-INVENTORY_CWS'!AR31</f>
        <v>1984812</v>
      </c>
      <c r="AS49" s="9">
        <f>'COGS-INVENTORY_CWS'!AS31</f>
        <v>1984812</v>
      </c>
      <c r="AT49" s="9">
        <f>'COGS-INVENTORY_CWS'!AT31</f>
        <v>1827348</v>
      </c>
      <c r="AU49" s="9">
        <f>'COGS-INVENTORY_CWS'!AU31</f>
        <v>1774860</v>
      </c>
      <c r="AV49" s="9">
        <f>'COGS-INVENTORY_CWS'!AV31</f>
        <v>1669884</v>
      </c>
      <c r="AW49" s="9">
        <f>'COGS-INVENTORY_CWS'!AW31</f>
        <v>1503672</v>
      </c>
      <c r="AX49" s="9">
        <f>'COGS-INVENTORY_CWS'!AX31</f>
        <v>1354956</v>
      </c>
      <c r="AY49" s="9">
        <f>'COGS-INVENTORY_CWS'!AY31</f>
        <v>1381200</v>
      </c>
      <c r="AZ49" s="9">
        <f>'COGS-INVENTORY_CWS'!AZ31</f>
        <v>1626144</v>
      </c>
      <c r="BA49" s="9">
        <f>'COGS-INVENTORY_CWS'!BA31</f>
        <v>1830847.2</v>
      </c>
      <c r="BB49" s="9">
        <f>'COGS-INVENTORY_CWS'!BB31</f>
        <v>1933198.8</v>
      </c>
      <c r="BC49" s="9">
        <f>'COGS-INVENTORY_CWS'!BC31</f>
        <v>2035550.4000000001</v>
      </c>
      <c r="BD49" s="9">
        <f>'COGS-INVENTORY_CWS'!BD31</f>
        <v>2035550.4000000001</v>
      </c>
      <c r="BE49" s="9">
        <f>'COGS-INVENTORY_CWS'!BE31</f>
        <v>2035550.4000000001</v>
      </c>
      <c r="BF49" s="9">
        <f>'COGS-INVENTORY_CWS'!BF31</f>
        <v>1885959.6</v>
      </c>
      <c r="BG49" s="9">
        <f>'COGS-INVENTORY_CWS'!BG31</f>
        <v>1838720.4000000001</v>
      </c>
      <c r="BH49" s="9">
        <f>'COGS-INVENTORY_CWS'!BH31</f>
        <v>1736368.8</v>
      </c>
      <c r="BI49" s="9">
        <f>'COGS-INVENTORY_CWS'!BI31</f>
        <v>1578904.8</v>
      </c>
      <c r="BJ49" s="9">
        <f>'COGS-INVENTORY_CWS'!BJ31</f>
        <v>5098225.2</v>
      </c>
      <c r="BK49" s="9">
        <f>'COGS-INVENTORY_CWS'!BK31</f>
        <v>8617545.5999999996</v>
      </c>
    </row>
    <row r="50" spans="2:66" x14ac:dyDescent="0.15">
      <c r="B50" s="14" t="s">
        <v>1109</v>
      </c>
      <c r="C50" s="9">
        <f>'COGS-INVENTORY_CWS'!C35</f>
        <v>0</v>
      </c>
      <c r="D50" s="9">
        <f>'COGS-INVENTORY_CWS'!D35</f>
        <v>468000</v>
      </c>
      <c r="E50" s="9">
        <f>'COGS-INVENTORY_CWS'!E35</f>
        <v>516000</v>
      </c>
      <c r="F50" s="9">
        <f>'COGS-INVENTORY_CWS'!F35</f>
        <v>576000</v>
      </c>
      <c r="G50" s="9">
        <f>'COGS-INVENTORY_CWS'!G35</f>
        <v>468000</v>
      </c>
      <c r="H50" s="9">
        <f>'COGS-INVENTORY_CWS'!H35</f>
        <v>516000</v>
      </c>
      <c r="I50" s="9">
        <f>'COGS-INVENTORY_CWS'!I35</f>
        <v>420000</v>
      </c>
      <c r="J50" s="9">
        <f>'COGS-INVENTORY_CWS'!J35</f>
        <v>420000</v>
      </c>
      <c r="K50" s="9">
        <f>'COGS-INVENTORY_CWS'!K35</f>
        <v>420000</v>
      </c>
      <c r="L50" s="9">
        <f>'COGS-INVENTORY_CWS'!L35</f>
        <v>264000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313200</v>
      </c>
      <c r="Q50" s="9">
        <f>'COGS-INVENTORY_CWS'!Q35</f>
        <v>345600</v>
      </c>
      <c r="R50" s="9">
        <f>'COGS-INVENTORY_CWS'!R35</f>
        <v>378000</v>
      </c>
      <c r="S50" s="9">
        <f>'COGS-INVENTORY_CWS'!S35</f>
        <v>313200</v>
      </c>
      <c r="T50" s="9">
        <f>'COGS-INVENTORY_CWS'!T35</f>
        <v>345600</v>
      </c>
      <c r="U50" s="9">
        <f>'COGS-INVENTORY_CWS'!U35</f>
        <v>280800</v>
      </c>
      <c r="V50" s="9">
        <f>'COGS-INVENTORY_CWS'!V35</f>
        <v>280800</v>
      </c>
      <c r="W50" s="9">
        <f>'COGS-INVENTORY_CWS'!W35</f>
        <v>280800</v>
      </c>
      <c r="X50" s="9">
        <f>'COGS-INVENTORY_CWS'!X35</f>
        <v>172800</v>
      </c>
      <c r="Y50" s="9">
        <f>'COGS-INVENTORY_CWS'!Y35</f>
        <v>313200</v>
      </c>
      <c r="Z50" s="9">
        <f>'COGS-INVENTORY_CWS'!Z35</f>
        <v>507600</v>
      </c>
      <c r="AA50" s="9">
        <f>'COGS-INVENTORY_CWS'!AA35</f>
        <v>572400</v>
      </c>
      <c r="AB50" s="9">
        <f>'COGS-INVENTORY_CWS'!AB35</f>
        <v>515160</v>
      </c>
      <c r="AC50" s="9">
        <f>'COGS-INVENTORY_CWS'!AC35</f>
        <v>563760</v>
      </c>
      <c r="AD50" s="9">
        <f>'COGS-INVENTORY_CWS'!AD35</f>
        <v>622080</v>
      </c>
      <c r="AE50" s="9">
        <f>'COGS-INVENTORY_CWS'!AE35</f>
        <v>515160</v>
      </c>
      <c r="AF50" s="9">
        <f>'COGS-INVENTORY_CWS'!AF35</f>
        <v>563760</v>
      </c>
      <c r="AG50" s="9">
        <f>'COGS-INVENTORY_CWS'!AG35</f>
        <v>456840</v>
      </c>
      <c r="AH50" s="9">
        <f>'COGS-INVENTORY_CWS'!AH35</f>
        <v>456840</v>
      </c>
      <c r="AI50" s="9">
        <f>'COGS-INVENTORY_CWS'!AI35</f>
        <v>456840</v>
      </c>
      <c r="AJ50" s="9">
        <f>'COGS-INVENTORY_CWS'!AJ35</f>
        <v>281880</v>
      </c>
      <c r="AK50" s="9">
        <f>'COGS-INVENTORY_CWS'!AK35</f>
        <v>301320</v>
      </c>
      <c r="AL50" s="9">
        <f>'COGS-INVENTORY_CWS'!AL35</f>
        <v>486000</v>
      </c>
      <c r="AM50" s="9">
        <f>'COGS-INVENTORY_CWS'!AM35</f>
        <v>544320</v>
      </c>
      <c r="AN50" s="9">
        <f>'COGS-INVENTORY_CWS'!AN35</f>
        <v>489888</v>
      </c>
      <c r="AO50" s="9">
        <f>'COGS-INVENTORY_CWS'!AO35</f>
        <v>542376</v>
      </c>
      <c r="AP50" s="9">
        <f>'COGS-INVENTORY_CWS'!AP35</f>
        <v>594864</v>
      </c>
      <c r="AQ50" s="9">
        <f>'COGS-INVENTORY_CWS'!AQ35</f>
        <v>489888</v>
      </c>
      <c r="AR50" s="9">
        <f>'COGS-INVENTORY_CWS'!AR35</f>
        <v>542376</v>
      </c>
      <c r="AS50" s="9">
        <f>'COGS-INVENTORY_CWS'!AS35</f>
        <v>437400</v>
      </c>
      <c r="AT50" s="9">
        <f>'COGS-INVENTORY_CWS'!AT35</f>
        <v>437400</v>
      </c>
      <c r="AU50" s="9">
        <f>'COGS-INVENTORY_CWS'!AU35</f>
        <v>437400</v>
      </c>
      <c r="AV50" s="9">
        <f>'COGS-INVENTORY_CWS'!AV35</f>
        <v>271188</v>
      </c>
      <c r="AW50" s="9">
        <f>'COGS-INVENTORY_CWS'!AW35</f>
        <v>288684</v>
      </c>
      <c r="AX50" s="9">
        <f>'COGS-INVENTORY_CWS'!AX35</f>
        <v>463644</v>
      </c>
      <c r="AY50" s="9">
        <f>'COGS-INVENTORY_CWS'!AY35</f>
        <v>516132</v>
      </c>
      <c r="AZ50" s="9">
        <f>'COGS-INVENTORY_CWS'!AZ35</f>
        <v>464518.8</v>
      </c>
      <c r="BA50" s="9">
        <f>'COGS-INVENTORY_CWS'!BA35</f>
        <v>519631.2</v>
      </c>
      <c r="BB50" s="9">
        <f>'COGS-INVENTORY_CWS'!BB35</f>
        <v>566870.4</v>
      </c>
      <c r="BC50" s="9">
        <f>'COGS-INVENTORY_CWS'!BC35</f>
        <v>464518.8</v>
      </c>
      <c r="BD50" s="9">
        <f>'COGS-INVENTORY_CWS'!BD35</f>
        <v>519631.2</v>
      </c>
      <c r="BE50" s="9">
        <f>'COGS-INVENTORY_CWS'!BE35</f>
        <v>417279.6</v>
      </c>
      <c r="BF50" s="9">
        <f>'COGS-INVENTORY_CWS'!BF35</f>
        <v>417279.6</v>
      </c>
      <c r="BG50" s="9">
        <f>'COGS-INVENTORY_CWS'!BG35</f>
        <v>417279.6</v>
      </c>
      <c r="BH50" s="9">
        <f>'COGS-INVENTORY_CWS'!BH35</f>
        <v>259815.6</v>
      </c>
      <c r="BI50" s="9">
        <f>'COGS-INVENTORY_CWS'!BI35</f>
        <v>3936600</v>
      </c>
      <c r="BJ50" s="9">
        <f>'COGS-INVENTORY_CWS'!BJ35</f>
        <v>3936600</v>
      </c>
      <c r="BK50" s="9">
        <f>'COGS-INVENTORY_CWS'!BK35</f>
        <v>5117580</v>
      </c>
    </row>
    <row r="51" spans="2:66" x14ac:dyDescent="0.15">
      <c r="B51" s="14" t="s">
        <v>363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468000</v>
      </c>
      <c r="H51" s="9">
        <f>'COGS-INVENTORY_CWS'!H39</f>
        <v>516000</v>
      </c>
      <c r="I51" s="9">
        <f>'COGS-INVENTORY_CWS'!I39</f>
        <v>576000</v>
      </c>
      <c r="J51" s="9">
        <f>'COGS-INVENTORY_CWS'!J39</f>
        <v>468000</v>
      </c>
      <c r="K51" s="9">
        <f>'COGS-INVENTORY_CWS'!K39</f>
        <v>516000</v>
      </c>
      <c r="L51" s="9">
        <f>'COGS-INVENTORY_CWS'!L39</f>
        <v>420000</v>
      </c>
      <c r="M51" s="9">
        <f>'COGS-INVENTORY_CWS'!M39</f>
        <v>420000</v>
      </c>
      <c r="N51" s="9">
        <f>'COGS-INVENTORY_CWS'!N39</f>
        <v>420000</v>
      </c>
      <c r="O51" s="9">
        <f>'COGS-INVENTORY_CWS'!O39</f>
        <v>264000</v>
      </c>
      <c r="P51" s="9">
        <f>'COGS-INVENTORY_CWS'!P39</f>
        <v>172800</v>
      </c>
      <c r="Q51" s="9">
        <f>'COGS-INVENTORY_CWS'!Q39</f>
        <v>280800</v>
      </c>
      <c r="R51" s="9">
        <f>'COGS-INVENTORY_CWS'!R39</f>
        <v>313200</v>
      </c>
      <c r="S51" s="9">
        <f>'COGS-INVENTORY_CWS'!S39</f>
        <v>313200</v>
      </c>
      <c r="T51" s="9">
        <f>'COGS-INVENTORY_CWS'!T39</f>
        <v>345600</v>
      </c>
      <c r="U51" s="9">
        <f>'COGS-INVENTORY_CWS'!U39</f>
        <v>378000</v>
      </c>
      <c r="V51" s="9">
        <f>'COGS-INVENTORY_CWS'!V39</f>
        <v>313200</v>
      </c>
      <c r="W51" s="9">
        <f>'COGS-INVENTORY_CWS'!W39</f>
        <v>345600</v>
      </c>
      <c r="X51" s="9">
        <f>'COGS-INVENTORY_CWS'!X39</f>
        <v>280800</v>
      </c>
      <c r="Y51" s="9">
        <f>'COGS-INVENTORY_CWS'!Y39</f>
        <v>280800</v>
      </c>
      <c r="Z51" s="9">
        <f>'COGS-INVENTORY_CWS'!Z39</f>
        <v>280800</v>
      </c>
      <c r="AA51" s="9">
        <f>'COGS-INVENTORY_CWS'!AA39</f>
        <v>172800</v>
      </c>
      <c r="AB51" s="9">
        <f>'COGS-INVENTORY_CWS'!AB39</f>
        <v>281880</v>
      </c>
      <c r="AC51" s="9">
        <f>'COGS-INVENTORY_CWS'!AC39</f>
        <v>456840</v>
      </c>
      <c r="AD51" s="9">
        <f>'COGS-INVENTORY_CWS'!AD39</f>
        <v>515160</v>
      </c>
      <c r="AE51" s="9">
        <f>'COGS-INVENTORY_CWS'!AE39</f>
        <v>515160</v>
      </c>
      <c r="AF51" s="9">
        <f>'COGS-INVENTORY_CWS'!AF39</f>
        <v>563760</v>
      </c>
      <c r="AG51" s="9">
        <f>'COGS-INVENTORY_CWS'!AG39</f>
        <v>622080</v>
      </c>
      <c r="AH51" s="9">
        <f>'COGS-INVENTORY_CWS'!AH39</f>
        <v>515160</v>
      </c>
      <c r="AI51" s="9">
        <f>'COGS-INVENTORY_CWS'!AI39</f>
        <v>563760</v>
      </c>
      <c r="AJ51" s="9">
        <f>'COGS-INVENTORY_CWS'!AJ39</f>
        <v>456840</v>
      </c>
      <c r="AK51" s="9">
        <f>'COGS-INVENTORY_CWS'!AK39</f>
        <v>456840</v>
      </c>
      <c r="AL51" s="9">
        <f>'COGS-INVENTORY_CWS'!AL39</f>
        <v>456840</v>
      </c>
      <c r="AM51" s="9">
        <f>'COGS-INVENTORY_CWS'!AM39</f>
        <v>281880</v>
      </c>
      <c r="AN51" s="9">
        <f>'COGS-INVENTORY_CWS'!AN39</f>
        <v>271188</v>
      </c>
      <c r="AO51" s="9">
        <f>'COGS-INVENTORY_CWS'!AO39</f>
        <v>437400</v>
      </c>
      <c r="AP51" s="9">
        <f>'COGS-INVENTORY_CWS'!AP39</f>
        <v>489888</v>
      </c>
      <c r="AQ51" s="9">
        <f>'COGS-INVENTORY_CWS'!AQ39</f>
        <v>489888</v>
      </c>
      <c r="AR51" s="9">
        <f>'COGS-INVENTORY_CWS'!AR39</f>
        <v>542376</v>
      </c>
      <c r="AS51" s="9">
        <f>'COGS-INVENTORY_CWS'!AS39</f>
        <v>594864</v>
      </c>
      <c r="AT51" s="9">
        <f>'COGS-INVENTORY_CWS'!AT39</f>
        <v>489888</v>
      </c>
      <c r="AU51" s="9">
        <f>'COGS-INVENTORY_CWS'!AU39</f>
        <v>542376</v>
      </c>
      <c r="AV51" s="9">
        <f>'COGS-INVENTORY_CWS'!AV39</f>
        <v>437400</v>
      </c>
      <c r="AW51" s="9">
        <f>'COGS-INVENTORY_CWS'!AW39</f>
        <v>437400</v>
      </c>
      <c r="AX51" s="9">
        <f>'COGS-INVENTORY_CWS'!AX39</f>
        <v>437400</v>
      </c>
      <c r="AY51" s="9">
        <f>'COGS-INVENTORY_CWS'!AY39</f>
        <v>271188</v>
      </c>
      <c r="AZ51" s="9">
        <f>'COGS-INVENTORY_CWS'!AZ39</f>
        <v>259815.6</v>
      </c>
      <c r="BA51" s="9">
        <f>'COGS-INVENTORY_CWS'!BA39</f>
        <v>417279.6</v>
      </c>
      <c r="BB51" s="9">
        <f>'COGS-INVENTORY_CWS'!BB39</f>
        <v>464518.8</v>
      </c>
      <c r="BC51" s="9">
        <f>'COGS-INVENTORY_CWS'!BC39</f>
        <v>464518.8</v>
      </c>
      <c r="BD51" s="9">
        <f>'COGS-INVENTORY_CWS'!BD39</f>
        <v>519631.2</v>
      </c>
      <c r="BE51" s="9">
        <f>'COGS-INVENTORY_CWS'!BE39</f>
        <v>566870.4</v>
      </c>
      <c r="BF51" s="9">
        <f>'COGS-INVENTORY_CWS'!BF39</f>
        <v>464518.8</v>
      </c>
      <c r="BG51" s="9">
        <f>'COGS-INVENTORY_CWS'!BG39</f>
        <v>519631.2</v>
      </c>
      <c r="BH51" s="9">
        <f>'COGS-INVENTORY_CWS'!BH39</f>
        <v>417279.6</v>
      </c>
      <c r="BI51" s="9">
        <f>'COGS-INVENTORY_CWS'!BI39</f>
        <v>417279.6</v>
      </c>
      <c r="BJ51" s="9">
        <f>'COGS-INVENTORY_CWS'!BJ39</f>
        <v>417279.6</v>
      </c>
      <c r="BK51" s="9">
        <f>'COGS-INVENTORY_CWS'!BK39</f>
        <v>259815.6</v>
      </c>
    </row>
    <row r="52" spans="2:66" x14ac:dyDescent="0.15">
      <c r="B52" s="14" t="s">
        <v>366</v>
      </c>
      <c r="C52" s="9">
        <f>'COGS-INVENTORY_CWS'!C48</f>
        <v>0</v>
      </c>
      <c r="D52" s="9">
        <f>'COGS-INVENTORY_CWS'!D48</f>
        <v>468000</v>
      </c>
      <c r="E52" s="9">
        <f>'COGS-INVENTORY_CWS'!E48</f>
        <v>984000</v>
      </c>
      <c r="F52" s="9">
        <f>'COGS-INVENTORY_CWS'!F48</f>
        <v>1560000</v>
      </c>
      <c r="G52" s="9">
        <f>'COGS-INVENTORY_CWS'!G48</f>
        <v>1560000</v>
      </c>
      <c r="H52" s="9">
        <f>'COGS-INVENTORY_CWS'!H48</f>
        <v>1560000</v>
      </c>
      <c r="I52" s="9">
        <f>'COGS-INVENTORY_CWS'!I48</f>
        <v>1404000</v>
      </c>
      <c r="J52" s="9">
        <f>'COGS-INVENTORY_CWS'!J48</f>
        <v>1356000</v>
      </c>
      <c r="K52" s="9">
        <f>'COGS-INVENTORY_CWS'!K48</f>
        <v>1260000</v>
      </c>
      <c r="L52" s="9">
        <f>'COGS-INVENTORY_CWS'!L48</f>
        <v>1104000</v>
      </c>
      <c r="M52" s="9">
        <f>'COGS-INVENTORY_CWS'!M48</f>
        <v>876000</v>
      </c>
      <c r="N52" s="9">
        <f>'COGS-INVENTORY_CWS'!N48</f>
        <v>768000</v>
      </c>
      <c r="O52" s="9">
        <f>'COGS-INVENTORY_CWS'!O48</f>
        <v>852000</v>
      </c>
      <c r="P52" s="9">
        <f>'COGS-INVENTORY_CWS'!P48</f>
        <v>992400</v>
      </c>
      <c r="Q52" s="9">
        <f>'COGS-INVENTORY_CWS'!Q48</f>
        <v>1057200</v>
      </c>
      <c r="R52" s="9">
        <f>'COGS-INVENTORY_CWS'!R48</f>
        <v>1122000</v>
      </c>
      <c r="S52" s="9">
        <f>'COGS-INVENTORY_CWS'!S48</f>
        <v>1122000</v>
      </c>
      <c r="T52" s="9">
        <f>'COGS-INVENTORY_CWS'!T48</f>
        <v>1122000</v>
      </c>
      <c r="U52" s="9">
        <f>'COGS-INVENTORY_CWS'!U48</f>
        <v>1024800</v>
      </c>
      <c r="V52" s="9">
        <f>'COGS-INVENTORY_CWS'!V48</f>
        <v>992400</v>
      </c>
      <c r="W52" s="9">
        <f>'COGS-INVENTORY_CWS'!W48</f>
        <v>927600</v>
      </c>
      <c r="X52" s="9">
        <f>'COGS-INVENTORY_CWS'!X48</f>
        <v>819600</v>
      </c>
      <c r="Y52" s="9">
        <f>'COGS-INVENTORY_CWS'!Y48</f>
        <v>852000</v>
      </c>
      <c r="Z52" s="9">
        <f>'COGS-INVENTORY_CWS'!Z48</f>
        <v>1078800</v>
      </c>
      <c r="AA52" s="9">
        <f>'COGS-INVENTORY_CWS'!AA48</f>
        <v>1478400</v>
      </c>
      <c r="AB52" s="9">
        <f>'COGS-INVENTORY_CWS'!AB48</f>
        <v>1711680</v>
      </c>
      <c r="AC52" s="9">
        <f>'COGS-INVENTORY_CWS'!AC48</f>
        <v>1818600</v>
      </c>
      <c r="AD52" s="9">
        <f>'COGS-INVENTORY_CWS'!AD48</f>
        <v>1925520</v>
      </c>
      <c r="AE52" s="9">
        <f>'COGS-INVENTORY_CWS'!AE48</f>
        <v>1925520</v>
      </c>
      <c r="AF52" s="9">
        <f>'COGS-INVENTORY_CWS'!AF48</f>
        <v>1925520</v>
      </c>
      <c r="AG52" s="9">
        <f>'COGS-INVENTORY_CWS'!AG48</f>
        <v>1760280</v>
      </c>
      <c r="AH52" s="9">
        <f>'COGS-INVENTORY_CWS'!AH48</f>
        <v>1701960</v>
      </c>
      <c r="AI52" s="9">
        <f>'COGS-INVENTORY_CWS'!AI48</f>
        <v>1595040</v>
      </c>
      <c r="AJ52" s="9">
        <f>'COGS-INVENTORY_CWS'!AJ48</f>
        <v>1420080</v>
      </c>
      <c r="AK52" s="9">
        <f>'COGS-INVENTORY_CWS'!AK48</f>
        <v>1264560</v>
      </c>
      <c r="AL52" s="9">
        <f>'COGS-INVENTORY_CWS'!AL48</f>
        <v>1293720</v>
      </c>
      <c r="AM52" s="9">
        <f>'COGS-INVENTORY_CWS'!AM48</f>
        <v>1556160</v>
      </c>
      <c r="AN52" s="9">
        <f>'COGS-INVENTORY_CWS'!AN48</f>
        <v>1774860</v>
      </c>
      <c r="AO52" s="9">
        <f>'COGS-INVENTORY_CWS'!AO48</f>
        <v>1879836</v>
      </c>
      <c r="AP52" s="9">
        <f>'COGS-INVENTORY_CWS'!AP48</f>
        <v>1984812</v>
      </c>
      <c r="AQ52" s="9">
        <f>'COGS-INVENTORY_CWS'!AQ48</f>
        <v>1984812</v>
      </c>
      <c r="AR52" s="9">
        <f>'COGS-INVENTORY_CWS'!AR48</f>
        <v>1984812</v>
      </c>
      <c r="AS52" s="9">
        <f>'COGS-INVENTORY_CWS'!AS48</f>
        <v>1827348</v>
      </c>
      <c r="AT52" s="9">
        <f>'COGS-INVENTORY_CWS'!AT48</f>
        <v>1774860</v>
      </c>
      <c r="AU52" s="9">
        <f>'COGS-INVENTORY_CWS'!AU48</f>
        <v>1669884</v>
      </c>
      <c r="AV52" s="9">
        <f>'COGS-INVENTORY_CWS'!AV48</f>
        <v>1503672</v>
      </c>
      <c r="AW52" s="9">
        <f>'COGS-INVENTORY_CWS'!AW48</f>
        <v>1354956</v>
      </c>
      <c r="AX52" s="9">
        <f>'COGS-INVENTORY_CWS'!AX48</f>
        <v>1381200</v>
      </c>
      <c r="AY52" s="9">
        <f>'COGS-INVENTORY_CWS'!AY48</f>
        <v>1626144</v>
      </c>
      <c r="AZ52" s="9">
        <f>'COGS-INVENTORY_CWS'!AZ48</f>
        <v>1830847.2</v>
      </c>
      <c r="BA52" s="9">
        <f>'COGS-INVENTORY_CWS'!BA48</f>
        <v>1933198.8</v>
      </c>
      <c r="BB52" s="9">
        <f>'COGS-INVENTORY_CWS'!BB48</f>
        <v>2035550.4000000001</v>
      </c>
      <c r="BC52" s="9">
        <f>'COGS-INVENTORY_CWS'!BC48</f>
        <v>2035550.4000000001</v>
      </c>
      <c r="BD52" s="9">
        <f>'COGS-INVENTORY_CWS'!BD48</f>
        <v>2035550.4000000001</v>
      </c>
      <c r="BE52" s="9">
        <f>'COGS-INVENTORY_CWS'!BE48</f>
        <v>1885959.6</v>
      </c>
      <c r="BF52" s="9">
        <f>'COGS-INVENTORY_CWS'!BF48</f>
        <v>1838720.4000000001</v>
      </c>
      <c r="BG52" s="9">
        <f>'COGS-INVENTORY_CWS'!BG48</f>
        <v>1736368.8</v>
      </c>
      <c r="BH52" s="9">
        <f>'COGS-INVENTORY_CWS'!BH48</f>
        <v>1578904.8</v>
      </c>
      <c r="BI52" s="9">
        <f>'COGS-INVENTORY_CWS'!BI48</f>
        <v>5098225.2</v>
      </c>
      <c r="BJ52" s="9">
        <f>'COGS-INVENTORY_CWS'!BJ48</f>
        <v>8617545.5999999996</v>
      </c>
      <c r="BK52" s="9">
        <f>'COGS-INVENTORY_CWS'!BK48</f>
        <v>13475310</v>
      </c>
    </row>
    <row r="53" spans="2:66" x14ac:dyDescent="0.15">
      <c r="B53" s="14" t="s">
        <v>387</v>
      </c>
      <c r="C53" s="9">
        <f>'COGS-INVENTORY_CWS'!C69</f>
        <v>0</v>
      </c>
      <c r="D53" s="9">
        <f>'COGS-INVENTORY_CWS'!D69</f>
        <v>468000</v>
      </c>
      <c r="E53" s="9">
        <f>'COGS-INVENTORY_CWS'!E69</f>
        <v>984000</v>
      </c>
      <c r="F53" s="9">
        <f>'COGS-INVENTORY_CWS'!F69</f>
        <v>1092000</v>
      </c>
      <c r="G53" s="9">
        <f>'COGS-INVENTORY_CWS'!G69</f>
        <v>1044000</v>
      </c>
      <c r="H53" s="9">
        <f>'COGS-INVENTORY_CWS'!H69</f>
        <v>984000</v>
      </c>
      <c r="I53" s="9">
        <f>'COGS-INVENTORY_CWS'!I69</f>
        <v>936000</v>
      </c>
      <c r="J53" s="9">
        <f>'COGS-INVENTORY_CWS'!J69</f>
        <v>840000</v>
      </c>
      <c r="K53" s="9">
        <f>'COGS-INVENTORY_CWS'!K69</f>
        <v>840000</v>
      </c>
      <c r="L53" s="9">
        <f>'COGS-INVENTORY_CWS'!L69</f>
        <v>684000</v>
      </c>
      <c r="M53" s="9">
        <f>'COGS-INVENTORY_CWS'!M69</f>
        <v>456000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661200</v>
      </c>
      <c r="Q53" s="9">
        <f>'COGS-INVENTORY_CWS'!Q69</f>
        <v>658800</v>
      </c>
      <c r="R53" s="9">
        <f>'COGS-INVENTORY_CWS'!R69</f>
        <v>723600</v>
      </c>
      <c r="S53" s="9">
        <f>'COGS-INVENTORY_CWS'!S69</f>
        <v>691200</v>
      </c>
      <c r="T53" s="9">
        <f>'COGS-INVENTORY_CWS'!T69</f>
        <v>658800</v>
      </c>
      <c r="U53" s="9">
        <f>'COGS-INVENTORY_CWS'!U69</f>
        <v>626400</v>
      </c>
      <c r="V53" s="9">
        <f>'COGS-INVENTORY_CWS'!V69</f>
        <v>561600</v>
      </c>
      <c r="W53" s="9">
        <f>'COGS-INVENTORY_CWS'!W69</f>
        <v>561600</v>
      </c>
      <c r="X53" s="9">
        <f>'COGS-INVENTORY_CWS'!X69</f>
        <v>453600</v>
      </c>
      <c r="Y53" s="9">
        <f>'COGS-INVENTORY_CWS'!Y69</f>
        <v>486000</v>
      </c>
      <c r="Z53" s="9">
        <f>'COGS-INVENTORY_CWS'!Z69</f>
        <v>820800</v>
      </c>
      <c r="AA53" s="9">
        <f>'COGS-INVENTORY_CWS'!AA69</f>
        <v>1080000</v>
      </c>
      <c r="AB53" s="9">
        <f>'COGS-INVENTORY_CWS'!AB69</f>
        <v>1087560</v>
      </c>
      <c r="AC53" s="9">
        <f>'COGS-INVENTORY_CWS'!AC69</f>
        <v>1078920</v>
      </c>
      <c r="AD53" s="9">
        <f>'COGS-INVENTORY_CWS'!AD69</f>
        <v>1185840</v>
      </c>
      <c r="AE53" s="9">
        <f>'COGS-INVENTORY_CWS'!AE69</f>
        <v>1137240</v>
      </c>
      <c r="AF53" s="9">
        <f>'COGS-INVENTORY_CWS'!AF69</f>
        <v>1078920</v>
      </c>
      <c r="AG53" s="9">
        <f>'COGS-INVENTORY_CWS'!AG69</f>
        <v>1020600</v>
      </c>
      <c r="AH53" s="9">
        <f>'COGS-INVENTORY_CWS'!AH69</f>
        <v>913680</v>
      </c>
      <c r="AI53" s="9">
        <f>'COGS-INVENTORY_CWS'!AI69</f>
        <v>913680</v>
      </c>
      <c r="AJ53" s="9">
        <f>'COGS-INVENTORY_CWS'!AJ69</f>
        <v>738720</v>
      </c>
      <c r="AK53" s="9">
        <f>'COGS-INVENTORY_CWS'!AK69</f>
        <v>583200</v>
      </c>
      <c r="AL53" s="9">
        <f>'COGS-INVENTORY_CWS'!AL69</f>
        <v>787320</v>
      </c>
      <c r="AM53" s="9">
        <f>'COGS-INVENTORY_CWS'!AM69</f>
        <v>1030320</v>
      </c>
      <c r="AN53" s="9">
        <f>'COGS-INVENTORY_CWS'!AN69</f>
        <v>1034208</v>
      </c>
      <c r="AO53" s="9">
        <f>'COGS-INVENTORY_CWS'!AO69</f>
        <v>1032264</v>
      </c>
      <c r="AP53" s="9">
        <f>'COGS-INVENTORY_CWS'!AP69</f>
        <v>1137240</v>
      </c>
      <c r="AQ53" s="9">
        <f>'COGS-INVENTORY_CWS'!AQ69</f>
        <v>1084752</v>
      </c>
      <c r="AR53" s="9">
        <f>'COGS-INVENTORY_CWS'!AR69</f>
        <v>1032264</v>
      </c>
      <c r="AS53" s="9">
        <f>'COGS-INVENTORY_CWS'!AS69</f>
        <v>979776</v>
      </c>
      <c r="AT53" s="9">
        <f>'COGS-INVENTORY_CWS'!AT69</f>
        <v>874800</v>
      </c>
      <c r="AU53" s="9">
        <f>'COGS-INVENTORY_CWS'!AU69</f>
        <v>874800</v>
      </c>
      <c r="AV53" s="9">
        <f>'COGS-INVENTORY_CWS'!AV69</f>
        <v>708588</v>
      </c>
      <c r="AW53" s="9">
        <f>'COGS-INVENTORY_CWS'!AW69</f>
        <v>559872</v>
      </c>
      <c r="AX53" s="9">
        <f>'COGS-INVENTORY_CWS'!AX69</f>
        <v>752328</v>
      </c>
      <c r="AY53" s="9">
        <f>'COGS-INVENTORY_CWS'!AY69</f>
        <v>979776</v>
      </c>
      <c r="AZ53" s="9">
        <f>'COGS-INVENTORY_CWS'!AZ69</f>
        <v>980650.8</v>
      </c>
      <c r="BA53" s="9">
        <f>'COGS-INVENTORY_CWS'!BA69</f>
        <v>984150</v>
      </c>
      <c r="BB53" s="9">
        <f>'COGS-INVENTORY_CWS'!BB69</f>
        <v>1086501.5999999999</v>
      </c>
      <c r="BC53" s="9">
        <f>'COGS-INVENTORY_CWS'!BC69</f>
        <v>1031389.2</v>
      </c>
      <c r="BD53" s="9">
        <f>'COGS-INVENTORY_CWS'!BD69</f>
        <v>984149.99999999988</v>
      </c>
      <c r="BE53" s="9">
        <f>'COGS-INVENTORY_CWS'!BE69</f>
        <v>936910.79999999981</v>
      </c>
      <c r="BF53" s="9">
        <f>'COGS-INVENTORY_CWS'!BF69</f>
        <v>834559.2</v>
      </c>
      <c r="BG53" s="9">
        <f>'COGS-INVENTORY_CWS'!BG69</f>
        <v>834559.19999999984</v>
      </c>
      <c r="BH53" s="9">
        <f>'COGS-INVENTORY_CWS'!BH69</f>
        <v>677095.19999999984</v>
      </c>
      <c r="BI53" s="9">
        <f>'COGS-INVENTORY_CWS'!BI69</f>
        <v>4196415.6000000006</v>
      </c>
      <c r="BJ53" s="9">
        <f>'COGS-INVENTORY_CWS'!BJ69</f>
        <v>7873200.0000000009</v>
      </c>
      <c r="BK53" s="9">
        <f>'COGS-INVENTORY_CWS'!BK69</f>
        <v>9054180</v>
      </c>
    </row>
    <row r="55" spans="2:66" x14ac:dyDescent="0.15">
      <c r="C55" s="75"/>
      <c r="D55" s="364" t="s">
        <v>35</v>
      </c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 t="s">
        <v>36</v>
      </c>
      <c r="Q55" s="364"/>
      <c r="R55" s="364"/>
      <c r="S55" s="364"/>
      <c r="T55" s="364"/>
      <c r="U55" s="364"/>
      <c r="V55" s="364"/>
      <c r="W55" s="364"/>
      <c r="X55" s="364"/>
      <c r="Y55" s="364"/>
      <c r="Z55" s="364"/>
      <c r="AA55" s="364"/>
      <c r="AB55" s="364" t="s">
        <v>37</v>
      </c>
      <c r="AC55" s="364"/>
      <c r="AD55" s="364"/>
      <c r="AE55" s="364"/>
      <c r="AF55" s="364"/>
      <c r="AG55" s="364"/>
      <c r="AH55" s="364"/>
      <c r="AI55" s="364"/>
      <c r="AJ55" s="364"/>
      <c r="AK55" s="364"/>
      <c r="AL55" s="364"/>
      <c r="AM55" s="364"/>
      <c r="AN55" s="364" t="s">
        <v>38</v>
      </c>
      <c r="AO55" s="364"/>
      <c r="AP55" s="364"/>
      <c r="AQ55" s="364"/>
      <c r="AR55" s="364"/>
      <c r="AS55" s="364"/>
      <c r="AT55" s="364"/>
      <c r="AU55" s="364"/>
      <c r="AV55" s="364"/>
      <c r="AW55" s="364"/>
      <c r="AX55" s="364"/>
      <c r="AY55" s="364"/>
      <c r="AZ55" s="364" t="s">
        <v>39</v>
      </c>
      <c r="BA55" s="364"/>
      <c r="BB55" s="364"/>
      <c r="BC55" s="364"/>
      <c r="BD55" s="364"/>
      <c r="BE55" s="364"/>
      <c r="BF55" s="364"/>
      <c r="BG55" s="364"/>
      <c r="BH55" s="364"/>
      <c r="BI55" s="364"/>
      <c r="BJ55" s="364"/>
      <c r="BK55" s="364"/>
      <c r="BM55" s="10" t="s">
        <v>661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366</v>
      </c>
      <c r="C58" s="9">
        <f>'COGS-INVENTORY_CWS'!C48</f>
        <v>0</v>
      </c>
      <c r="D58" s="9">
        <f>'COGS-INVENTORY_CWS'!D48</f>
        <v>468000</v>
      </c>
      <c r="E58" s="9">
        <f>'COGS-INVENTORY_CWS'!E48</f>
        <v>984000</v>
      </c>
      <c r="F58" s="9">
        <f>'COGS-INVENTORY_CWS'!F48</f>
        <v>1560000</v>
      </c>
      <c r="G58" s="9">
        <f>'COGS-INVENTORY_CWS'!G48</f>
        <v>1560000</v>
      </c>
      <c r="H58" s="9">
        <f>'COGS-INVENTORY_CWS'!H48</f>
        <v>1560000</v>
      </c>
      <c r="I58" s="9">
        <f>'COGS-INVENTORY_CWS'!I48</f>
        <v>1404000</v>
      </c>
      <c r="J58" s="9">
        <f>'COGS-INVENTORY_CWS'!J48</f>
        <v>1356000</v>
      </c>
      <c r="K58" s="9">
        <f>'COGS-INVENTORY_CWS'!K48</f>
        <v>1260000</v>
      </c>
      <c r="L58" s="9">
        <f>'COGS-INVENTORY_CWS'!L48</f>
        <v>1104000</v>
      </c>
      <c r="M58" s="9">
        <f>'COGS-INVENTORY_CWS'!M48</f>
        <v>876000</v>
      </c>
      <c r="N58" s="9">
        <f>'COGS-INVENTORY_CWS'!N48</f>
        <v>768000</v>
      </c>
      <c r="O58" s="9">
        <f>'COGS-INVENTORY_CWS'!O48</f>
        <v>852000</v>
      </c>
      <c r="P58" s="9">
        <f>'COGS-INVENTORY_CWS'!P48</f>
        <v>992400</v>
      </c>
      <c r="Q58" s="9">
        <f>'COGS-INVENTORY_CWS'!Q48</f>
        <v>1057200</v>
      </c>
      <c r="R58" s="9">
        <f>'COGS-INVENTORY_CWS'!R48</f>
        <v>1122000</v>
      </c>
      <c r="S58" s="9">
        <f>'COGS-INVENTORY_CWS'!S48</f>
        <v>1122000</v>
      </c>
      <c r="T58" s="9">
        <f>'COGS-INVENTORY_CWS'!T48</f>
        <v>1122000</v>
      </c>
      <c r="U58" s="9">
        <f>'COGS-INVENTORY_CWS'!U48</f>
        <v>1024800</v>
      </c>
      <c r="V58" s="9">
        <f>'COGS-INVENTORY_CWS'!V48</f>
        <v>992400</v>
      </c>
      <c r="W58" s="9">
        <f>'COGS-INVENTORY_CWS'!W48</f>
        <v>927600</v>
      </c>
      <c r="X58" s="9">
        <f>'COGS-INVENTORY_CWS'!X48</f>
        <v>819600</v>
      </c>
      <c r="Y58" s="9">
        <f>'COGS-INVENTORY_CWS'!Y48</f>
        <v>852000</v>
      </c>
      <c r="Z58" s="9">
        <f>'COGS-INVENTORY_CWS'!Z48</f>
        <v>1078800</v>
      </c>
      <c r="AA58" s="9">
        <f>'COGS-INVENTORY_CWS'!AA48</f>
        <v>1478400</v>
      </c>
      <c r="AB58" s="9">
        <f>'COGS-INVENTORY_CWS'!AB48</f>
        <v>1711680</v>
      </c>
      <c r="AC58" s="9">
        <f>'COGS-INVENTORY_CWS'!AC48</f>
        <v>1818600</v>
      </c>
      <c r="AD58" s="9">
        <f>'COGS-INVENTORY_CWS'!AD48</f>
        <v>1925520</v>
      </c>
      <c r="AE58" s="9">
        <f>'COGS-INVENTORY_CWS'!AE48</f>
        <v>1925520</v>
      </c>
      <c r="AF58" s="9">
        <f>'COGS-INVENTORY_CWS'!AF48</f>
        <v>1925520</v>
      </c>
      <c r="AG58" s="9">
        <f>'COGS-INVENTORY_CWS'!AG48</f>
        <v>1760280</v>
      </c>
      <c r="AH58" s="9">
        <f>'COGS-INVENTORY_CWS'!AH48</f>
        <v>1701960</v>
      </c>
      <c r="AI58" s="9">
        <f>'COGS-INVENTORY_CWS'!AI48</f>
        <v>1595040</v>
      </c>
      <c r="AJ58" s="9">
        <f>'COGS-INVENTORY_CWS'!AJ48</f>
        <v>1420080</v>
      </c>
      <c r="AK58" s="9">
        <f>'COGS-INVENTORY_CWS'!AK48</f>
        <v>1264560</v>
      </c>
      <c r="AL58" s="9">
        <f>'COGS-INVENTORY_CWS'!AL48</f>
        <v>1293720</v>
      </c>
      <c r="AM58" s="9">
        <f>'COGS-INVENTORY_CWS'!AM48</f>
        <v>1556160</v>
      </c>
      <c r="AN58" s="9">
        <f>'COGS-INVENTORY_CWS'!AN48</f>
        <v>1774860</v>
      </c>
      <c r="AO58" s="9">
        <f>'COGS-INVENTORY_CWS'!AO48</f>
        <v>1879836</v>
      </c>
      <c r="AP58" s="9">
        <f>'COGS-INVENTORY_CWS'!AP48</f>
        <v>1984812</v>
      </c>
      <c r="AQ58" s="9">
        <f>'COGS-INVENTORY_CWS'!AQ48</f>
        <v>1984812</v>
      </c>
      <c r="AR58" s="9">
        <f>'COGS-INVENTORY_CWS'!AR48</f>
        <v>1984812</v>
      </c>
      <c r="AS58" s="9">
        <f>'COGS-INVENTORY_CWS'!AS48</f>
        <v>1827348</v>
      </c>
      <c r="AT58" s="9">
        <f>'COGS-INVENTORY_CWS'!AT48</f>
        <v>1774860</v>
      </c>
      <c r="AU58" s="9">
        <f>'COGS-INVENTORY_CWS'!AU48</f>
        <v>1669884</v>
      </c>
      <c r="AV58" s="9">
        <f>'COGS-INVENTORY_CWS'!AV48</f>
        <v>1503672</v>
      </c>
      <c r="AW58" s="9">
        <f>'COGS-INVENTORY_CWS'!AW48</f>
        <v>1354956</v>
      </c>
      <c r="AX58" s="9">
        <f>'COGS-INVENTORY_CWS'!AX48</f>
        <v>1381200</v>
      </c>
      <c r="AY58" s="9">
        <f>'COGS-INVENTORY_CWS'!AY48</f>
        <v>1626144</v>
      </c>
      <c r="AZ58" s="9">
        <f>'COGS-INVENTORY_CWS'!AZ48</f>
        <v>1830847.2</v>
      </c>
      <c r="BA58" s="9">
        <f>'COGS-INVENTORY_CWS'!BA48</f>
        <v>1933198.8</v>
      </c>
      <c r="BB58" s="9">
        <f>'COGS-INVENTORY_CWS'!BB48</f>
        <v>2035550.4000000001</v>
      </c>
      <c r="BC58" s="9">
        <f>'COGS-INVENTORY_CWS'!BC48</f>
        <v>2035550.4000000001</v>
      </c>
      <c r="BD58" s="9">
        <f>'COGS-INVENTORY_CWS'!BD48</f>
        <v>2035550.4000000001</v>
      </c>
      <c r="BE58" s="9">
        <f>'COGS-INVENTORY_CWS'!BE48</f>
        <v>1885959.6</v>
      </c>
      <c r="BF58" s="9">
        <f>'COGS-INVENTORY_CWS'!BF48</f>
        <v>1838720.4000000001</v>
      </c>
      <c r="BG58" s="9">
        <f>'COGS-INVENTORY_CWS'!BG48</f>
        <v>1736368.8</v>
      </c>
      <c r="BH58" s="9">
        <f>'COGS-INVENTORY_CWS'!BH48</f>
        <v>1578904.8</v>
      </c>
      <c r="BI58" s="9">
        <f>'COGS-INVENTORY_CWS'!BI48</f>
        <v>5098225.2</v>
      </c>
      <c r="BJ58" s="9">
        <f>'COGS-INVENTORY_CWS'!BJ48</f>
        <v>8617545.5999999996</v>
      </c>
      <c r="BK58" s="9">
        <f>'COGS-INVENTORY_CWS'!BK48</f>
        <v>13475310</v>
      </c>
    </row>
    <row r="59" spans="2:66" x14ac:dyDescent="0.15">
      <c r="B59" s="14" t="s">
        <v>387</v>
      </c>
      <c r="C59" s="9">
        <f>'COGS-INVENTORY_CWS'!C69</f>
        <v>0</v>
      </c>
      <c r="D59" s="9">
        <f>'COGS-INVENTORY_CWS'!D69</f>
        <v>468000</v>
      </c>
      <c r="E59" s="9">
        <f>'COGS-INVENTORY_CWS'!E69</f>
        <v>984000</v>
      </c>
      <c r="F59" s="9">
        <f>'COGS-INVENTORY_CWS'!F69</f>
        <v>1092000</v>
      </c>
      <c r="G59" s="9">
        <f>'COGS-INVENTORY_CWS'!G69</f>
        <v>1044000</v>
      </c>
      <c r="H59" s="9">
        <f>'COGS-INVENTORY_CWS'!H69</f>
        <v>984000</v>
      </c>
      <c r="I59" s="9">
        <f>'COGS-INVENTORY_CWS'!I69</f>
        <v>936000</v>
      </c>
      <c r="J59" s="9">
        <f>'COGS-INVENTORY_CWS'!J69</f>
        <v>840000</v>
      </c>
      <c r="K59" s="9">
        <f>'COGS-INVENTORY_CWS'!K69</f>
        <v>840000</v>
      </c>
      <c r="L59" s="9">
        <f>'COGS-INVENTORY_CWS'!L69</f>
        <v>684000</v>
      </c>
      <c r="M59" s="9">
        <f>'COGS-INVENTORY_CWS'!M69</f>
        <v>456000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661200</v>
      </c>
      <c r="Q59" s="9">
        <f>'COGS-INVENTORY_CWS'!Q69</f>
        <v>658800</v>
      </c>
      <c r="R59" s="9">
        <f>'COGS-INVENTORY_CWS'!R69</f>
        <v>723600</v>
      </c>
      <c r="S59" s="9">
        <f>'COGS-INVENTORY_CWS'!S69</f>
        <v>691200</v>
      </c>
      <c r="T59" s="9">
        <f>'COGS-INVENTORY_CWS'!T69</f>
        <v>658800</v>
      </c>
      <c r="U59" s="9">
        <f>'COGS-INVENTORY_CWS'!U69</f>
        <v>626400</v>
      </c>
      <c r="V59" s="9">
        <f>'COGS-INVENTORY_CWS'!V69</f>
        <v>561600</v>
      </c>
      <c r="W59" s="9">
        <f>'COGS-INVENTORY_CWS'!W69</f>
        <v>561600</v>
      </c>
      <c r="X59" s="9">
        <f>'COGS-INVENTORY_CWS'!X69</f>
        <v>453600</v>
      </c>
      <c r="Y59" s="9">
        <f>'COGS-INVENTORY_CWS'!Y69</f>
        <v>486000</v>
      </c>
      <c r="Z59" s="9">
        <f>'COGS-INVENTORY_CWS'!Z69</f>
        <v>820800</v>
      </c>
      <c r="AA59" s="9">
        <f>'COGS-INVENTORY_CWS'!AA69</f>
        <v>1080000</v>
      </c>
      <c r="AB59" s="9">
        <f>'COGS-INVENTORY_CWS'!AB69</f>
        <v>1087560</v>
      </c>
      <c r="AC59" s="9">
        <f>'COGS-INVENTORY_CWS'!AC69</f>
        <v>1078920</v>
      </c>
      <c r="AD59" s="9">
        <f>'COGS-INVENTORY_CWS'!AD69</f>
        <v>1185840</v>
      </c>
      <c r="AE59" s="9">
        <f>'COGS-INVENTORY_CWS'!AE69</f>
        <v>1137240</v>
      </c>
      <c r="AF59" s="9">
        <f>'COGS-INVENTORY_CWS'!AF69</f>
        <v>1078920</v>
      </c>
      <c r="AG59" s="9">
        <f>'COGS-INVENTORY_CWS'!AG69</f>
        <v>1020600</v>
      </c>
      <c r="AH59" s="9">
        <f>'COGS-INVENTORY_CWS'!AH69</f>
        <v>913680</v>
      </c>
      <c r="AI59" s="9">
        <f>'COGS-INVENTORY_CWS'!AI69</f>
        <v>913680</v>
      </c>
      <c r="AJ59" s="9">
        <f>'COGS-INVENTORY_CWS'!AJ69</f>
        <v>738720</v>
      </c>
      <c r="AK59" s="9">
        <f>'COGS-INVENTORY_CWS'!AK69</f>
        <v>583200</v>
      </c>
      <c r="AL59" s="9">
        <f>'COGS-INVENTORY_CWS'!AL69</f>
        <v>787320</v>
      </c>
      <c r="AM59" s="9">
        <f>'COGS-INVENTORY_CWS'!AM69</f>
        <v>1030320</v>
      </c>
      <c r="AN59" s="9">
        <f>'COGS-INVENTORY_CWS'!AN69</f>
        <v>1034208</v>
      </c>
      <c r="AO59" s="9">
        <f>'COGS-INVENTORY_CWS'!AO69</f>
        <v>1032264</v>
      </c>
      <c r="AP59" s="9">
        <f>'COGS-INVENTORY_CWS'!AP69</f>
        <v>1137240</v>
      </c>
      <c r="AQ59" s="9">
        <f>'COGS-INVENTORY_CWS'!AQ69</f>
        <v>1084752</v>
      </c>
      <c r="AR59" s="9">
        <f>'COGS-INVENTORY_CWS'!AR69</f>
        <v>1032264</v>
      </c>
      <c r="AS59" s="9">
        <f>'COGS-INVENTORY_CWS'!AS69</f>
        <v>979776</v>
      </c>
      <c r="AT59" s="9">
        <f>'COGS-INVENTORY_CWS'!AT69</f>
        <v>874800</v>
      </c>
      <c r="AU59" s="9">
        <f>'COGS-INVENTORY_CWS'!AU69</f>
        <v>874800</v>
      </c>
      <c r="AV59" s="9">
        <f>'COGS-INVENTORY_CWS'!AV69</f>
        <v>708588</v>
      </c>
      <c r="AW59" s="9">
        <f>'COGS-INVENTORY_CWS'!AW69</f>
        <v>559872</v>
      </c>
      <c r="AX59" s="9">
        <f>'COGS-INVENTORY_CWS'!AX69</f>
        <v>752328</v>
      </c>
      <c r="AY59" s="9">
        <f>'COGS-INVENTORY_CWS'!AY69</f>
        <v>979776</v>
      </c>
      <c r="AZ59" s="9">
        <f>'COGS-INVENTORY_CWS'!AZ69</f>
        <v>980650.8</v>
      </c>
      <c r="BA59" s="9">
        <f>'COGS-INVENTORY_CWS'!BA69</f>
        <v>984150</v>
      </c>
      <c r="BB59" s="9">
        <f>'COGS-INVENTORY_CWS'!BB69</f>
        <v>1086501.5999999999</v>
      </c>
      <c r="BC59" s="9">
        <f>'COGS-INVENTORY_CWS'!BC69</f>
        <v>1031389.2</v>
      </c>
      <c r="BD59" s="9">
        <f>'COGS-INVENTORY_CWS'!BD69</f>
        <v>984149.99999999988</v>
      </c>
      <c r="BE59" s="9">
        <f>'COGS-INVENTORY_CWS'!BE69</f>
        <v>936910.79999999981</v>
      </c>
      <c r="BF59" s="9">
        <f>'COGS-INVENTORY_CWS'!BF69</f>
        <v>834559.2</v>
      </c>
      <c r="BG59" s="9">
        <f>'COGS-INVENTORY_CWS'!BG69</f>
        <v>834559.19999999984</v>
      </c>
      <c r="BH59" s="9">
        <f>'COGS-INVENTORY_CWS'!BH69</f>
        <v>677095.19999999984</v>
      </c>
      <c r="BI59" s="9">
        <f>'COGS-INVENTORY_CWS'!BI69</f>
        <v>4196415.6000000006</v>
      </c>
      <c r="BJ59" s="9">
        <f>'COGS-INVENTORY_CWS'!BJ69</f>
        <v>7873200.0000000009</v>
      </c>
      <c r="BK59" s="9">
        <f>'COGS-INVENTORY_CWS'!BK69</f>
        <v>9054180</v>
      </c>
    </row>
    <row r="62" spans="2:66" x14ac:dyDescent="0.15">
      <c r="B62" s="10" t="s">
        <v>684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639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640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1099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4" t="s">
        <v>35</v>
      </c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 t="s">
        <v>36</v>
      </c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 t="s">
        <v>37</v>
      </c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/>
      <c r="AO1" s="364" t="s">
        <v>38</v>
      </c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/>
      <c r="BA1" s="364" t="s">
        <v>39</v>
      </c>
      <c r="BB1" s="364"/>
      <c r="BC1" s="364"/>
      <c r="BD1" s="364"/>
      <c r="BE1" s="364"/>
      <c r="BF1" s="364"/>
      <c r="BG1" s="364"/>
      <c r="BH1" s="364"/>
      <c r="BI1" s="364"/>
      <c r="BJ1" s="364"/>
      <c r="BK1" s="364"/>
      <c r="BL1" s="364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653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'REV-SALES-FCAST_CWS'!C36</f>
        <v>0</v>
      </c>
      <c r="F6" s="169">
        <f>'REV-SALES-FCAST_CWS'!D36</f>
        <v>0</v>
      </c>
      <c r="G6" s="169">
        <f>'REV-SALES-FCAST_CWS'!E36</f>
        <v>0</v>
      </c>
      <c r="H6" s="169">
        <f>'REV-SALES-FCAST_CWS'!F36</f>
        <v>39</v>
      </c>
      <c r="I6" s="169">
        <f>'REV-SALES-FCAST_CWS'!G36</f>
        <v>43</v>
      </c>
      <c r="J6" s="169">
        <f>'REV-SALES-FCAST_CWS'!H36</f>
        <v>48</v>
      </c>
      <c r="K6" s="169">
        <f>'REV-SALES-FCAST_CWS'!I36</f>
        <v>39</v>
      </c>
      <c r="L6" s="169">
        <f>'REV-SALES-FCAST_CWS'!J36</f>
        <v>43</v>
      </c>
      <c r="M6" s="169">
        <f>'REV-SALES-FCAST_CWS'!K36</f>
        <v>35</v>
      </c>
      <c r="N6" s="169">
        <f>'REV-SALES-FCAST_CWS'!L36</f>
        <v>35</v>
      </c>
      <c r="O6" s="169">
        <f>'REV-SALES-FCAST_CWS'!M36</f>
        <v>35</v>
      </c>
      <c r="P6" s="169">
        <f>'REV-SALES-FCAST_CWS'!N36</f>
        <v>22</v>
      </c>
      <c r="Q6" s="169">
        <f>'REV-SALES-FCAST_CWS'!C42</f>
        <v>16</v>
      </c>
      <c r="R6" s="169">
        <f>'REV-SALES-FCAST_CWS'!D42</f>
        <v>26</v>
      </c>
      <c r="S6" s="169">
        <f>'REV-SALES-FCAST_CWS'!E42</f>
        <v>29</v>
      </c>
      <c r="T6" s="169">
        <f>'REV-SALES-FCAST_CWS'!F42</f>
        <v>29</v>
      </c>
      <c r="U6" s="169">
        <f>'REV-SALES-FCAST_CWS'!G42</f>
        <v>32</v>
      </c>
      <c r="V6" s="169">
        <f>'REV-SALES-FCAST_CWS'!H42</f>
        <v>35</v>
      </c>
      <c r="W6" s="169">
        <f>'REV-SALES-FCAST_CWS'!I42</f>
        <v>29</v>
      </c>
      <c r="X6" s="169">
        <f>'REV-SALES-FCAST_CWS'!J42</f>
        <v>32</v>
      </c>
      <c r="Y6" s="169">
        <f>'REV-SALES-FCAST_CWS'!K42</f>
        <v>26</v>
      </c>
      <c r="Z6" s="169">
        <f>'REV-SALES-FCAST_CWS'!L42</f>
        <v>26</v>
      </c>
      <c r="AA6" s="169">
        <f>'REV-SALES-FCAST_CWS'!M42</f>
        <v>26</v>
      </c>
      <c r="AB6" s="169">
        <f>'REV-SALES-FCAST_CWS'!N42</f>
        <v>16</v>
      </c>
      <c r="AC6" s="169">
        <f>'REV-SALES-FCAST_CWS'!C46</f>
        <v>29</v>
      </c>
      <c r="AD6" s="169">
        <f>'REV-SALES-FCAST_CWS'!D46</f>
        <v>47</v>
      </c>
      <c r="AE6" s="169">
        <f>'REV-SALES-FCAST_CWS'!E46</f>
        <v>53</v>
      </c>
      <c r="AF6" s="169">
        <f>'REV-SALES-FCAST_CWS'!F46</f>
        <v>53</v>
      </c>
      <c r="AG6" s="169">
        <f>'REV-SALES-FCAST_CWS'!G46</f>
        <v>58</v>
      </c>
      <c r="AH6" s="169">
        <f>'REV-SALES-FCAST_CWS'!H46</f>
        <v>64</v>
      </c>
      <c r="AI6" s="169">
        <f>'REV-SALES-FCAST_CWS'!I46</f>
        <v>53</v>
      </c>
      <c r="AJ6" s="169">
        <f>'REV-SALES-FCAST_CWS'!J46</f>
        <v>58</v>
      </c>
      <c r="AK6" s="169">
        <f>'REV-SALES-FCAST_CWS'!K46</f>
        <v>47</v>
      </c>
      <c r="AL6" s="169">
        <f>'REV-SALES-FCAST_CWS'!L46</f>
        <v>47</v>
      </c>
      <c r="AM6" s="169">
        <f>'REV-SALES-FCAST_CWS'!M46</f>
        <v>47</v>
      </c>
      <c r="AN6" s="169">
        <f>'REV-SALES-FCAST_CWS'!N46</f>
        <v>29</v>
      </c>
      <c r="AO6" s="169">
        <f>'REV-SALES-FCAST_CWS'!C50</f>
        <v>31</v>
      </c>
      <c r="AP6" s="169">
        <f>'REV-SALES-FCAST_CWS'!D50</f>
        <v>50</v>
      </c>
      <c r="AQ6" s="169">
        <f>'REV-SALES-FCAST_CWS'!E50</f>
        <v>56</v>
      </c>
      <c r="AR6" s="169">
        <f>'REV-SALES-FCAST_CWS'!F50</f>
        <v>56</v>
      </c>
      <c r="AS6" s="169">
        <f>'REV-SALES-FCAST_CWS'!G50</f>
        <v>62</v>
      </c>
      <c r="AT6" s="169">
        <f>'REV-SALES-FCAST_CWS'!H50</f>
        <v>68</v>
      </c>
      <c r="AU6" s="169">
        <f>'REV-SALES-FCAST_CWS'!I50</f>
        <v>56</v>
      </c>
      <c r="AV6" s="169">
        <f>'REV-SALES-FCAST_CWS'!J50</f>
        <v>62</v>
      </c>
      <c r="AW6" s="169">
        <f>'REV-SALES-FCAST_CWS'!K50</f>
        <v>50</v>
      </c>
      <c r="AX6" s="169">
        <f>'REV-SALES-FCAST_CWS'!L50</f>
        <v>50</v>
      </c>
      <c r="AY6" s="169">
        <f>'REV-SALES-FCAST_CWS'!M50</f>
        <v>50</v>
      </c>
      <c r="AZ6" s="169">
        <f>'REV-SALES-FCAST_CWS'!N50</f>
        <v>31</v>
      </c>
      <c r="BA6" s="169">
        <f>'REV-SALES-FCAST_CWS'!C54</f>
        <v>33</v>
      </c>
      <c r="BB6" s="169">
        <f>'REV-SALES-FCAST_CWS'!D54</f>
        <v>53</v>
      </c>
      <c r="BC6" s="169">
        <f>'REV-SALES-FCAST_CWS'!E54</f>
        <v>59</v>
      </c>
      <c r="BD6" s="169">
        <f>'REV-SALES-FCAST_CWS'!F54</f>
        <v>59</v>
      </c>
      <c r="BE6" s="169">
        <f>'REV-SALES-FCAST_CWS'!G54</f>
        <v>66</v>
      </c>
      <c r="BF6" s="169">
        <f>'REV-SALES-FCAST_CWS'!H54</f>
        <v>72</v>
      </c>
      <c r="BG6" s="169">
        <f>'REV-SALES-FCAST_CWS'!I54</f>
        <v>59</v>
      </c>
      <c r="BH6" s="169">
        <f>'REV-SALES-FCAST_CWS'!J54</f>
        <v>66</v>
      </c>
      <c r="BI6" s="169">
        <f>'REV-SALES-FCAST_CWS'!K54</f>
        <v>53</v>
      </c>
      <c r="BJ6" s="169">
        <f>'REV-SALES-FCAST_CWS'!L54</f>
        <v>53</v>
      </c>
      <c r="BK6" s="169">
        <f>'REV-SALES-FCAST_CWS'!M54</f>
        <v>53</v>
      </c>
      <c r="BL6" s="169">
        <f>'REV-SALES-FCAST_CWS'!N54</f>
        <v>33</v>
      </c>
      <c r="BM6" s="317">
        <f>SUM(E6:BL6)</f>
        <v>2527</v>
      </c>
    </row>
    <row r="7" spans="2:65" x14ac:dyDescent="0.15">
      <c r="B7" s="47" t="s">
        <v>322</v>
      </c>
      <c r="C7" s="47"/>
      <c r="E7" s="97">
        <f>'COGS-PRICE-MARGIN_CWS'!$C5*E6</f>
        <v>0</v>
      </c>
      <c r="F7" s="97">
        <f>'COGS-PRICE-MARGIN_CWS'!$C5*F6</f>
        <v>0</v>
      </c>
      <c r="G7" s="97">
        <f>'COGS-PRICE-MARGIN_CWS'!$C5*G6</f>
        <v>0</v>
      </c>
      <c r="H7" s="97">
        <f>'COGS-PRICE-MARGIN_CWS'!$C5*H6</f>
        <v>702000</v>
      </c>
      <c r="I7" s="97">
        <f>'COGS-PRICE-MARGIN_CWS'!$C5*I6</f>
        <v>774000</v>
      </c>
      <c r="J7" s="97">
        <f>'COGS-PRICE-MARGIN_CWS'!$C5*J6</f>
        <v>864000</v>
      </c>
      <c r="K7" s="97">
        <f>'COGS-PRICE-MARGIN_CWS'!$C5*K6</f>
        <v>702000</v>
      </c>
      <c r="L7" s="97">
        <f>'COGS-PRICE-MARGIN_CWS'!$C5*L6</f>
        <v>774000</v>
      </c>
      <c r="M7" s="97">
        <f>'COGS-PRICE-MARGIN_CWS'!$C5*M6</f>
        <v>630000</v>
      </c>
      <c r="N7" s="97">
        <f>'COGS-PRICE-MARGIN_CWS'!$C5*N6</f>
        <v>630000</v>
      </c>
      <c r="O7" s="97">
        <f>'COGS-PRICE-MARGIN_CWS'!$C5*O6</f>
        <v>630000</v>
      </c>
      <c r="P7" s="97">
        <f>'COGS-PRICE-MARGIN_CWS'!$C5*P6</f>
        <v>396000</v>
      </c>
      <c r="Q7" s="97">
        <f>'COGS-PRICE-MARGIN_CWS'!$C27*Q6</f>
        <v>316800</v>
      </c>
      <c r="R7" s="97">
        <f>'COGS-PRICE-MARGIN_CWS'!$C27*R6</f>
        <v>514800</v>
      </c>
      <c r="S7" s="97">
        <f>'COGS-PRICE-MARGIN_CWS'!$C27*S6</f>
        <v>574200</v>
      </c>
      <c r="T7" s="97">
        <f>'COGS-PRICE-MARGIN_CWS'!$C27*T6</f>
        <v>574200</v>
      </c>
      <c r="U7" s="97">
        <f>'COGS-PRICE-MARGIN_CWS'!$C27*U6</f>
        <v>633600</v>
      </c>
      <c r="V7" s="97">
        <f>'COGS-PRICE-MARGIN_CWS'!$C27*V6</f>
        <v>693000</v>
      </c>
      <c r="W7" s="97">
        <f>'COGS-PRICE-MARGIN_CWS'!$C27*W6</f>
        <v>574200</v>
      </c>
      <c r="X7" s="97">
        <f>'COGS-PRICE-MARGIN_CWS'!$C27*X6</f>
        <v>633600</v>
      </c>
      <c r="Y7" s="97">
        <f>'COGS-PRICE-MARGIN_CWS'!$C27*Y6</f>
        <v>514800</v>
      </c>
      <c r="Z7" s="97">
        <f>'COGS-PRICE-MARGIN_CWS'!$C27*Z6</f>
        <v>514800</v>
      </c>
      <c r="AA7" s="97">
        <f>'COGS-PRICE-MARGIN_CWS'!$C27*AA6</f>
        <v>514800</v>
      </c>
      <c r="AB7" s="97">
        <f>'COGS-PRICE-MARGIN_CWS'!$C27*AB6</f>
        <v>316800</v>
      </c>
      <c r="AC7" s="97">
        <f>'COGS-PRICE-MARGIN_CWS'!$C48*AC6</f>
        <v>174000</v>
      </c>
      <c r="AD7" s="97">
        <f>'COGS-PRICE-MARGIN_CWS'!$C48*AD6</f>
        <v>282000</v>
      </c>
      <c r="AE7" s="97">
        <f>'COGS-PRICE-MARGIN_CWS'!$C48*AE6</f>
        <v>318000</v>
      </c>
      <c r="AF7" s="97">
        <f>'COGS-PRICE-MARGIN_CWS'!$C48*AF6</f>
        <v>318000</v>
      </c>
      <c r="AG7" s="97">
        <f>'COGS-PRICE-MARGIN_CWS'!$C48*AG6</f>
        <v>348000</v>
      </c>
      <c r="AH7" s="97">
        <f>'COGS-PRICE-MARGIN_CWS'!$C48*AH6</f>
        <v>384000</v>
      </c>
      <c r="AI7" s="97">
        <f>'COGS-PRICE-MARGIN_CWS'!$C48*AI6</f>
        <v>318000</v>
      </c>
      <c r="AJ7" s="97">
        <f>'COGS-PRICE-MARGIN_CWS'!$C48*AJ6</f>
        <v>348000</v>
      </c>
      <c r="AK7" s="97">
        <f>'COGS-PRICE-MARGIN_CWS'!$C48*AK6</f>
        <v>282000</v>
      </c>
      <c r="AL7" s="97">
        <f>'COGS-PRICE-MARGIN_CWS'!$C48*AL6</f>
        <v>282000</v>
      </c>
      <c r="AM7" s="97">
        <f>'COGS-PRICE-MARGIN_CWS'!$C48*AM6</f>
        <v>282000</v>
      </c>
      <c r="AN7" s="97">
        <f>'COGS-PRICE-MARGIN_CWS'!$C48*AN6</f>
        <v>174000</v>
      </c>
      <c r="AO7" s="97">
        <f>'COGS-PRICE-MARGIN_CWS'!$C69*AO6</f>
        <v>201500</v>
      </c>
      <c r="AP7" s="97">
        <f>'COGS-PRICE-MARGIN_CWS'!$C69*AP6</f>
        <v>325000</v>
      </c>
      <c r="AQ7" s="97">
        <f>'COGS-PRICE-MARGIN_CWS'!$C69*AQ6</f>
        <v>364000</v>
      </c>
      <c r="AR7" s="97">
        <f>'COGS-PRICE-MARGIN_CWS'!$C69*AR6</f>
        <v>364000</v>
      </c>
      <c r="AS7" s="97">
        <f>'COGS-PRICE-MARGIN_CWS'!$C69*AS6</f>
        <v>403000</v>
      </c>
      <c r="AT7" s="97">
        <f>'COGS-PRICE-MARGIN_CWS'!$C69*AT6</f>
        <v>442000</v>
      </c>
      <c r="AU7" s="97">
        <f>'COGS-PRICE-MARGIN_CWS'!$C69*AU6</f>
        <v>364000</v>
      </c>
      <c r="AV7" s="97">
        <f>'COGS-PRICE-MARGIN_CWS'!$C69*AV6</f>
        <v>403000</v>
      </c>
      <c r="AW7" s="97">
        <f>'COGS-PRICE-MARGIN_CWS'!$C69*AW6</f>
        <v>325000</v>
      </c>
      <c r="AX7" s="97">
        <f>'COGS-PRICE-MARGIN_CWS'!$C69*AX6</f>
        <v>325000</v>
      </c>
      <c r="AY7" s="97">
        <f>'COGS-PRICE-MARGIN_CWS'!$C69*AY6</f>
        <v>325000</v>
      </c>
      <c r="AZ7" s="97">
        <f>'COGS-PRICE-MARGIN_CWS'!$C69*AZ6</f>
        <v>201500</v>
      </c>
      <c r="BA7" s="97">
        <f>'COGS-PRICE-MARGIN_CWS'!$C90*BA6</f>
        <v>239250</v>
      </c>
      <c r="BB7" s="97">
        <f>'COGS-PRICE-MARGIN_CWS'!$C90*BB6</f>
        <v>384250</v>
      </c>
      <c r="BC7" s="97">
        <f>'COGS-PRICE-MARGIN_CWS'!$C90*BC6</f>
        <v>427750</v>
      </c>
      <c r="BD7" s="97">
        <f>'COGS-PRICE-MARGIN_CWS'!$C90*BD6</f>
        <v>427750</v>
      </c>
      <c r="BE7" s="97">
        <f>'COGS-PRICE-MARGIN_CWS'!$C90*BE6</f>
        <v>478500</v>
      </c>
      <c r="BF7" s="97">
        <f>'COGS-PRICE-MARGIN_CWS'!$C90*BF6</f>
        <v>522000</v>
      </c>
      <c r="BG7" s="97">
        <f>'COGS-PRICE-MARGIN_CWS'!$C90*BG6</f>
        <v>427750</v>
      </c>
      <c r="BH7" s="97">
        <f>'COGS-PRICE-MARGIN_CWS'!$C90*BH6</f>
        <v>478500</v>
      </c>
      <c r="BI7" s="97">
        <f>'COGS-PRICE-MARGIN_CWS'!$C90*BI6</f>
        <v>384250</v>
      </c>
      <c r="BJ7" s="97">
        <f>'COGS-PRICE-MARGIN_CWS'!$C90*BJ6</f>
        <v>384250</v>
      </c>
      <c r="BK7" s="97">
        <f>'COGS-PRICE-MARGIN_CWS'!$C90*BK6</f>
        <v>384250</v>
      </c>
      <c r="BL7" s="97">
        <f>'COGS-PRICE-MARGIN_CWS'!$C90*BL6</f>
        <v>239250</v>
      </c>
      <c r="BM7" s="118">
        <f>SUM(E7:BL7)</f>
        <v>24808350</v>
      </c>
    </row>
    <row r="8" spans="2:65" x14ac:dyDescent="0.15">
      <c r="B8" s="47" t="s">
        <v>351</v>
      </c>
      <c r="C8" s="47"/>
      <c r="E8" s="98">
        <f>'COGS-PRICE-MARGIN_CWS'!$D5</f>
        <v>0.09</v>
      </c>
      <c r="F8" s="98">
        <f>'COGS-PRICE-MARGIN_CWS'!$D5</f>
        <v>0.09</v>
      </c>
      <c r="G8" s="98">
        <f>'COGS-PRICE-MARGIN_CWS'!$D5</f>
        <v>0.09</v>
      </c>
      <c r="H8" s="98">
        <f>'COGS-PRICE-MARGIN_CWS'!$D5</f>
        <v>0.09</v>
      </c>
      <c r="I8" s="98">
        <f>'COGS-PRICE-MARGIN_CWS'!$D5</f>
        <v>0.09</v>
      </c>
      <c r="J8" s="98">
        <f>'COGS-PRICE-MARGIN_CWS'!$D5</f>
        <v>0.09</v>
      </c>
      <c r="K8" s="98">
        <f>'COGS-PRICE-MARGIN_CWS'!$D5</f>
        <v>0.09</v>
      </c>
      <c r="L8" s="98">
        <f>'COGS-PRICE-MARGIN_CWS'!$D5</f>
        <v>0.09</v>
      </c>
      <c r="M8" s="98">
        <f>'COGS-PRICE-MARGIN_CWS'!$D5</f>
        <v>0.09</v>
      </c>
      <c r="N8" s="98">
        <f>'COGS-PRICE-MARGIN_CWS'!$D5</f>
        <v>0.09</v>
      </c>
      <c r="O8" s="98">
        <f>'COGS-PRICE-MARGIN_CWS'!$D5</f>
        <v>0.09</v>
      </c>
      <c r="P8" s="98">
        <f>'COGS-PRICE-MARGIN_CWS'!$D5</f>
        <v>0.09</v>
      </c>
      <c r="Q8" s="98">
        <f>'COGS-PRICE-MARGIN_CWS'!$D27</f>
        <v>0.25</v>
      </c>
      <c r="R8" s="98">
        <f>'COGS-PRICE-MARGIN_CWS'!$D27</f>
        <v>0.25</v>
      </c>
      <c r="S8" s="98">
        <f>'COGS-PRICE-MARGIN_CWS'!$D27</f>
        <v>0.25</v>
      </c>
      <c r="T8" s="98">
        <f>'COGS-PRICE-MARGIN_CWS'!$D27</f>
        <v>0.25</v>
      </c>
      <c r="U8" s="98">
        <f>'COGS-PRICE-MARGIN_CWS'!$D27</f>
        <v>0.25</v>
      </c>
      <c r="V8" s="98">
        <f>'COGS-PRICE-MARGIN_CWS'!$D27</f>
        <v>0.25</v>
      </c>
      <c r="W8" s="98">
        <f>'COGS-PRICE-MARGIN_CWS'!$D27</f>
        <v>0.25</v>
      </c>
      <c r="X8" s="98">
        <f>'COGS-PRICE-MARGIN_CWS'!$D27</f>
        <v>0.25</v>
      </c>
      <c r="Y8" s="98">
        <f>'COGS-PRICE-MARGIN_CWS'!$D27</f>
        <v>0.25</v>
      </c>
      <c r="Z8" s="98">
        <f>'COGS-PRICE-MARGIN_CWS'!$D27</f>
        <v>0.25</v>
      </c>
      <c r="AA8" s="98">
        <f>'COGS-PRICE-MARGIN_CWS'!$D27</f>
        <v>0.25</v>
      </c>
      <c r="AB8" s="98">
        <f>'COGS-PRICE-MARGIN_CWS'!$D27</f>
        <v>0.25</v>
      </c>
      <c r="AC8" s="98">
        <f>'COGS-PRICE-MARGIN_CWS'!$D48</f>
        <v>0.15</v>
      </c>
      <c r="AD8" s="98">
        <f>'COGS-PRICE-MARGIN_CWS'!$D48</f>
        <v>0.15</v>
      </c>
      <c r="AE8" s="98">
        <f>'COGS-PRICE-MARGIN_CWS'!$D48</f>
        <v>0.15</v>
      </c>
      <c r="AF8" s="98">
        <f>'COGS-PRICE-MARGIN_CWS'!$D48</f>
        <v>0.15</v>
      </c>
      <c r="AG8" s="98">
        <f>'COGS-PRICE-MARGIN_CWS'!$D48</f>
        <v>0.15</v>
      </c>
      <c r="AH8" s="98">
        <f>'COGS-PRICE-MARGIN_CWS'!$D48</f>
        <v>0.15</v>
      </c>
      <c r="AI8" s="98">
        <f>'COGS-PRICE-MARGIN_CWS'!$D48</f>
        <v>0.15</v>
      </c>
      <c r="AJ8" s="98">
        <f>'COGS-PRICE-MARGIN_CWS'!$D48</f>
        <v>0.15</v>
      </c>
      <c r="AK8" s="98">
        <f>'COGS-PRICE-MARGIN_CWS'!$D48</f>
        <v>0.15</v>
      </c>
      <c r="AL8" s="98">
        <f>'COGS-PRICE-MARGIN_CWS'!$D48</f>
        <v>0.15</v>
      </c>
      <c r="AM8" s="98">
        <f>'COGS-PRICE-MARGIN_CWS'!$D48</f>
        <v>0.15</v>
      </c>
      <c r="AN8" s="98">
        <f>'COGS-PRICE-MARGIN_CWS'!$D48</f>
        <v>0.15</v>
      </c>
      <c r="AO8" s="98">
        <f>'COGS-PRICE-MARGIN_CWS'!$D69</f>
        <v>0.1</v>
      </c>
      <c r="AP8" s="98">
        <f>'COGS-PRICE-MARGIN_CWS'!$D69</f>
        <v>0.1</v>
      </c>
      <c r="AQ8" s="98">
        <f>'COGS-PRICE-MARGIN_CWS'!$D69</f>
        <v>0.1</v>
      </c>
      <c r="AR8" s="98">
        <f>'COGS-PRICE-MARGIN_CWS'!$D69</f>
        <v>0.1</v>
      </c>
      <c r="AS8" s="98">
        <f>'COGS-PRICE-MARGIN_CWS'!$D69</f>
        <v>0.1</v>
      </c>
      <c r="AT8" s="98">
        <f>'COGS-PRICE-MARGIN_CWS'!$D69</f>
        <v>0.1</v>
      </c>
      <c r="AU8" s="98">
        <f>'COGS-PRICE-MARGIN_CWS'!$D69</f>
        <v>0.1</v>
      </c>
      <c r="AV8" s="98">
        <f>'COGS-PRICE-MARGIN_CWS'!$D69</f>
        <v>0.1</v>
      </c>
      <c r="AW8" s="98">
        <f>'COGS-PRICE-MARGIN_CWS'!$D69</f>
        <v>0.1</v>
      </c>
      <c r="AX8" s="98">
        <f>'COGS-PRICE-MARGIN_CWS'!$D69</f>
        <v>0.1</v>
      </c>
      <c r="AY8" s="98">
        <f>'COGS-PRICE-MARGIN_CWS'!$D69</f>
        <v>0.1</v>
      </c>
      <c r="AZ8" s="98">
        <f>'COGS-PRICE-MARGIN_CWS'!$D69</f>
        <v>0.1</v>
      </c>
      <c r="BA8" s="98">
        <f>'COGS-PRICE-MARGIN_CWS'!$D90</f>
        <v>0.1</v>
      </c>
      <c r="BB8" s="98">
        <f>'COGS-PRICE-MARGIN_CWS'!$D90</f>
        <v>0.1</v>
      </c>
      <c r="BC8" s="98">
        <f>'COGS-PRICE-MARGIN_CWS'!$D90</f>
        <v>0.1</v>
      </c>
      <c r="BD8" s="98">
        <f>'COGS-PRICE-MARGIN_CWS'!$D90</f>
        <v>0.1</v>
      </c>
      <c r="BE8" s="98">
        <f>'COGS-PRICE-MARGIN_CWS'!$D90</f>
        <v>0.1</v>
      </c>
      <c r="BF8" s="98">
        <f>'COGS-PRICE-MARGIN_CWS'!$D90</f>
        <v>0.1</v>
      </c>
      <c r="BG8" s="98">
        <f>'COGS-PRICE-MARGIN_CWS'!$D90</f>
        <v>0.1</v>
      </c>
      <c r="BH8" s="98">
        <f>'COGS-PRICE-MARGIN_CWS'!$D90</f>
        <v>0.1</v>
      </c>
      <c r="BI8" s="98">
        <f>'COGS-PRICE-MARGIN_CWS'!$D90</f>
        <v>0.1</v>
      </c>
      <c r="BJ8" s="98">
        <f>'COGS-PRICE-MARGIN_CWS'!$D90</f>
        <v>0.1</v>
      </c>
      <c r="BK8" s="98">
        <f>'COGS-PRICE-MARGIN_CWS'!$D90</f>
        <v>0.1</v>
      </c>
      <c r="BL8" s="98">
        <f>'COGS-PRICE-MARGIN_CWS'!$D90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638820</v>
      </c>
      <c r="I10" s="99">
        <f t="shared" si="0"/>
        <v>704340</v>
      </c>
      <c r="J10" s="99">
        <f t="shared" si="0"/>
        <v>786240</v>
      </c>
      <c r="K10" s="99">
        <f t="shared" si="0"/>
        <v>638820</v>
      </c>
      <c r="L10" s="99">
        <f t="shared" si="0"/>
        <v>704340</v>
      </c>
      <c r="M10" s="99">
        <f t="shared" si="0"/>
        <v>573300</v>
      </c>
      <c r="N10" s="99">
        <f t="shared" si="0"/>
        <v>573300</v>
      </c>
      <c r="O10" s="99">
        <f t="shared" si="0"/>
        <v>573300</v>
      </c>
      <c r="P10" s="99">
        <f t="shared" si="0"/>
        <v>360360</v>
      </c>
      <c r="Q10" s="99">
        <f t="shared" si="0"/>
        <v>237600</v>
      </c>
      <c r="R10" s="99">
        <f t="shared" si="0"/>
        <v>386100</v>
      </c>
      <c r="S10" s="99">
        <f t="shared" si="0"/>
        <v>430650</v>
      </c>
      <c r="T10" s="99">
        <f t="shared" si="0"/>
        <v>430650</v>
      </c>
      <c r="U10" s="99">
        <f t="shared" si="0"/>
        <v>475200</v>
      </c>
      <c r="V10" s="99">
        <f t="shared" si="0"/>
        <v>519750</v>
      </c>
      <c r="W10" s="99">
        <f t="shared" si="0"/>
        <v>430650</v>
      </c>
      <c r="X10" s="99">
        <f t="shared" si="0"/>
        <v>475200</v>
      </c>
      <c r="Y10" s="99">
        <f t="shared" si="0"/>
        <v>386100</v>
      </c>
      <c r="Z10" s="99">
        <f t="shared" si="0"/>
        <v>386100</v>
      </c>
      <c r="AA10" s="99">
        <f t="shared" si="0"/>
        <v>386100</v>
      </c>
      <c r="AB10" s="99">
        <f t="shared" si="0"/>
        <v>237600</v>
      </c>
      <c r="AC10" s="99">
        <f t="shared" si="0"/>
        <v>147900</v>
      </c>
      <c r="AD10" s="99">
        <f t="shared" si="0"/>
        <v>239700</v>
      </c>
      <c r="AE10" s="99">
        <f t="shared" si="0"/>
        <v>270300</v>
      </c>
      <c r="AF10" s="99">
        <f t="shared" si="0"/>
        <v>270300</v>
      </c>
      <c r="AG10" s="99">
        <f t="shared" si="0"/>
        <v>295800</v>
      </c>
      <c r="AH10" s="99">
        <f t="shared" si="0"/>
        <v>326400</v>
      </c>
      <c r="AI10" s="99">
        <f t="shared" si="0"/>
        <v>270300</v>
      </c>
      <c r="AJ10" s="99">
        <f t="shared" si="0"/>
        <v>295800</v>
      </c>
      <c r="AK10" s="99">
        <f t="shared" ref="AK10:BL10" si="1">AK7*(1-AK8)</f>
        <v>239700</v>
      </c>
      <c r="AL10" s="99">
        <f t="shared" si="1"/>
        <v>239700</v>
      </c>
      <c r="AM10" s="99">
        <f t="shared" si="1"/>
        <v>239700</v>
      </c>
      <c r="AN10" s="99">
        <f t="shared" si="1"/>
        <v>147900</v>
      </c>
      <c r="AO10" s="99">
        <f t="shared" si="1"/>
        <v>181350</v>
      </c>
      <c r="AP10" s="99">
        <f t="shared" si="1"/>
        <v>292500</v>
      </c>
      <c r="AQ10" s="99">
        <f t="shared" si="1"/>
        <v>327600</v>
      </c>
      <c r="AR10" s="99">
        <f t="shared" si="1"/>
        <v>327600</v>
      </c>
      <c r="AS10" s="99">
        <f t="shared" si="1"/>
        <v>362700</v>
      </c>
      <c r="AT10" s="99">
        <f t="shared" si="1"/>
        <v>397800</v>
      </c>
      <c r="AU10" s="99">
        <f t="shared" si="1"/>
        <v>327600</v>
      </c>
      <c r="AV10" s="99">
        <f t="shared" si="1"/>
        <v>362700</v>
      </c>
      <c r="AW10" s="99">
        <f t="shared" si="1"/>
        <v>292500</v>
      </c>
      <c r="AX10" s="99">
        <f t="shared" si="1"/>
        <v>292500</v>
      </c>
      <c r="AY10" s="99">
        <f t="shared" si="1"/>
        <v>292500</v>
      </c>
      <c r="AZ10" s="99">
        <f t="shared" si="1"/>
        <v>181350</v>
      </c>
      <c r="BA10" s="99">
        <f t="shared" si="1"/>
        <v>215325</v>
      </c>
      <c r="BB10" s="99">
        <f t="shared" si="1"/>
        <v>345825</v>
      </c>
      <c r="BC10" s="99">
        <f t="shared" si="1"/>
        <v>384975</v>
      </c>
      <c r="BD10" s="99">
        <f t="shared" si="1"/>
        <v>384975</v>
      </c>
      <c r="BE10" s="99">
        <f t="shared" si="1"/>
        <v>430650</v>
      </c>
      <c r="BF10" s="99">
        <f t="shared" si="1"/>
        <v>469800</v>
      </c>
      <c r="BG10" s="99">
        <f t="shared" si="1"/>
        <v>384975</v>
      </c>
      <c r="BH10" s="99">
        <f t="shared" si="1"/>
        <v>430650</v>
      </c>
      <c r="BI10" s="99">
        <f t="shared" si="1"/>
        <v>345825</v>
      </c>
      <c r="BJ10" s="99">
        <f t="shared" si="1"/>
        <v>345825</v>
      </c>
      <c r="BK10" s="99">
        <f t="shared" si="1"/>
        <v>345825</v>
      </c>
      <c r="BL10" s="99">
        <f t="shared" si="1"/>
        <v>215325</v>
      </c>
      <c r="BM10" s="118">
        <f>SUM(E10:BL10)</f>
        <v>21256695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">
        <v>330</v>
      </c>
      <c r="C14" s="47"/>
      <c r="E14" s="97">
        <f>'COGS-PRICE-MARGIN_CWS'!$F5*E6</f>
        <v>0</v>
      </c>
      <c r="F14" s="97">
        <f>'COGS-PRICE-MARGIN_CWS'!$F5*F6</f>
        <v>0</v>
      </c>
      <c r="G14" s="97">
        <f>'COGS-PRICE-MARGIN_CWS'!$F5*G6</f>
        <v>0</v>
      </c>
      <c r="H14" s="97">
        <f>'COGS-PRICE-MARGIN_CWS'!$F5*H6</f>
        <v>468000</v>
      </c>
      <c r="I14" s="97">
        <f>'COGS-PRICE-MARGIN_CWS'!$F5*I6</f>
        <v>516000</v>
      </c>
      <c r="J14" s="97">
        <f>'COGS-PRICE-MARGIN_CWS'!$F5*J6</f>
        <v>576000</v>
      </c>
      <c r="K14" s="97">
        <f>'COGS-PRICE-MARGIN_CWS'!$F5*K6</f>
        <v>468000</v>
      </c>
      <c r="L14" s="97">
        <f>'COGS-PRICE-MARGIN_CWS'!$F5*L6</f>
        <v>516000</v>
      </c>
      <c r="M14" s="97">
        <f>'COGS-PRICE-MARGIN_CWS'!$F5*M6</f>
        <v>420000</v>
      </c>
      <c r="N14" s="97">
        <f>'COGS-PRICE-MARGIN_CWS'!$F5*N6</f>
        <v>420000</v>
      </c>
      <c r="O14" s="97">
        <f>'COGS-PRICE-MARGIN_CWS'!$F5*O6</f>
        <v>420000</v>
      </c>
      <c r="P14" s="97">
        <f>'COGS-PRICE-MARGIN_CWS'!$F5*P6</f>
        <v>264000</v>
      </c>
      <c r="Q14" s="97">
        <f>'COGS-PRICE-MARGIN_CWS'!$F27*Q6</f>
        <v>172800</v>
      </c>
      <c r="R14" s="97">
        <f>'COGS-PRICE-MARGIN_CWS'!$F27*R6</f>
        <v>280800</v>
      </c>
      <c r="S14" s="97">
        <f>'COGS-PRICE-MARGIN_CWS'!$F27*S6</f>
        <v>313200</v>
      </c>
      <c r="T14" s="97">
        <f>'COGS-PRICE-MARGIN_CWS'!$F27*T6</f>
        <v>313200</v>
      </c>
      <c r="U14" s="97">
        <f>'COGS-PRICE-MARGIN_CWS'!$F27*U6</f>
        <v>345600</v>
      </c>
      <c r="V14" s="97">
        <f>'COGS-PRICE-MARGIN_CWS'!$F27*V6</f>
        <v>378000</v>
      </c>
      <c r="W14" s="97">
        <f>'COGS-PRICE-MARGIN_CWS'!$F27*W6</f>
        <v>313200</v>
      </c>
      <c r="X14" s="97">
        <f>'COGS-PRICE-MARGIN_CWS'!$F27*X6</f>
        <v>345600</v>
      </c>
      <c r="Y14" s="97">
        <f>'COGS-PRICE-MARGIN_CWS'!$F27*Y6</f>
        <v>280800</v>
      </c>
      <c r="Z14" s="97">
        <f>'COGS-PRICE-MARGIN_CWS'!$F27*Z6</f>
        <v>280800</v>
      </c>
      <c r="AA14" s="97">
        <f>'COGS-PRICE-MARGIN_CWS'!$F27*AA6</f>
        <v>280800</v>
      </c>
      <c r="AB14" s="97">
        <f>'COGS-PRICE-MARGIN_CWS'!$F27*AB6</f>
        <v>172800</v>
      </c>
      <c r="AC14" s="97">
        <f>'COGS-PRICE-MARGIN_CWS'!$F48*AC6</f>
        <v>281880</v>
      </c>
      <c r="AD14" s="97">
        <f>'COGS-PRICE-MARGIN_CWS'!$F48*AD6</f>
        <v>456840</v>
      </c>
      <c r="AE14" s="97">
        <f>'COGS-PRICE-MARGIN_CWS'!$F48*AE6</f>
        <v>515160</v>
      </c>
      <c r="AF14" s="97">
        <f>'COGS-PRICE-MARGIN_CWS'!$F48*AF6</f>
        <v>515160</v>
      </c>
      <c r="AG14" s="97">
        <f>'COGS-PRICE-MARGIN_CWS'!$F48*AG6</f>
        <v>563760</v>
      </c>
      <c r="AH14" s="97">
        <f>'COGS-PRICE-MARGIN_CWS'!$F48*AH6</f>
        <v>622080</v>
      </c>
      <c r="AI14" s="97">
        <f>'COGS-PRICE-MARGIN_CWS'!$F48*AI6</f>
        <v>515160</v>
      </c>
      <c r="AJ14" s="97">
        <f>'COGS-PRICE-MARGIN_CWS'!$F48*AJ6</f>
        <v>563760</v>
      </c>
      <c r="AK14" s="97">
        <f>'COGS-PRICE-MARGIN_CWS'!$F48*AK6</f>
        <v>456840</v>
      </c>
      <c r="AL14" s="97">
        <f>'COGS-PRICE-MARGIN_CWS'!$F48*AL6</f>
        <v>456840</v>
      </c>
      <c r="AM14" s="97">
        <f>'COGS-PRICE-MARGIN_CWS'!$F48*AM6</f>
        <v>456840</v>
      </c>
      <c r="AN14" s="97">
        <f>'COGS-PRICE-MARGIN_CWS'!$F48*AN6</f>
        <v>281880</v>
      </c>
      <c r="AO14" s="97">
        <f>'COGS-PRICE-MARGIN_CWS'!$F69*AO6</f>
        <v>271188</v>
      </c>
      <c r="AP14" s="97">
        <f>'COGS-PRICE-MARGIN_CWS'!$F69*AP6</f>
        <v>437400</v>
      </c>
      <c r="AQ14" s="97">
        <f>'COGS-PRICE-MARGIN_CWS'!$F69*AQ6</f>
        <v>489888</v>
      </c>
      <c r="AR14" s="97">
        <f>'COGS-PRICE-MARGIN_CWS'!$F69*AR6</f>
        <v>489888</v>
      </c>
      <c r="AS14" s="97">
        <f>'COGS-PRICE-MARGIN_CWS'!$F69*AS6</f>
        <v>542376</v>
      </c>
      <c r="AT14" s="97">
        <f>'COGS-PRICE-MARGIN_CWS'!$F69*AT6</f>
        <v>594864</v>
      </c>
      <c r="AU14" s="97">
        <f>'COGS-PRICE-MARGIN_CWS'!$F69*AU6</f>
        <v>489888</v>
      </c>
      <c r="AV14" s="97">
        <f>'COGS-PRICE-MARGIN_CWS'!$F69*AV6</f>
        <v>542376</v>
      </c>
      <c r="AW14" s="97">
        <f>'COGS-PRICE-MARGIN_CWS'!$F69*AW6</f>
        <v>437400</v>
      </c>
      <c r="AX14" s="97">
        <f>'COGS-PRICE-MARGIN_CWS'!$F69*AX6</f>
        <v>437400</v>
      </c>
      <c r="AY14" s="97">
        <f>'COGS-PRICE-MARGIN_CWS'!$F69*AY6</f>
        <v>437400</v>
      </c>
      <c r="AZ14" s="97">
        <f>'COGS-PRICE-MARGIN_CWS'!$F69*AZ6</f>
        <v>271188</v>
      </c>
      <c r="BA14" s="97">
        <f>'COGS-PRICE-MARGIN_CWS'!$F90*BA6</f>
        <v>259815.6</v>
      </c>
      <c r="BB14" s="97">
        <f>'COGS-PRICE-MARGIN_CWS'!$F90*BB6</f>
        <v>417279.6</v>
      </c>
      <c r="BC14" s="97">
        <f>'COGS-PRICE-MARGIN_CWS'!$F90*BC6</f>
        <v>464518.8</v>
      </c>
      <c r="BD14" s="97">
        <f>'COGS-PRICE-MARGIN_CWS'!$F90*BD6</f>
        <v>464518.8</v>
      </c>
      <c r="BE14" s="97">
        <f>'COGS-PRICE-MARGIN_CWS'!$F90*BE6</f>
        <v>519631.2</v>
      </c>
      <c r="BF14" s="97">
        <f>'COGS-PRICE-MARGIN_CWS'!$F90*BF6</f>
        <v>566870.4</v>
      </c>
      <c r="BG14" s="97">
        <f>'COGS-PRICE-MARGIN_CWS'!$F90*BG6</f>
        <v>464518.8</v>
      </c>
      <c r="BH14" s="97">
        <f>'COGS-PRICE-MARGIN_CWS'!$F90*BH6</f>
        <v>519631.2</v>
      </c>
      <c r="BI14" s="97">
        <f>'COGS-PRICE-MARGIN_CWS'!$F90*BI6</f>
        <v>417279.6</v>
      </c>
      <c r="BJ14" s="97">
        <f>'COGS-PRICE-MARGIN_CWS'!$F90*BJ6</f>
        <v>417279.6</v>
      </c>
      <c r="BK14" s="97">
        <f>'COGS-PRICE-MARGIN_CWS'!$F90*BK6</f>
        <v>417279.6</v>
      </c>
      <c r="BL14" s="97">
        <f>'COGS-PRICE-MARGIN_CWS'!$F90*BL6</f>
        <v>259815.6</v>
      </c>
      <c r="BM14" s="118">
        <f>SUM(E14:BL14)</f>
        <v>23861494.800000008</v>
      </c>
    </row>
    <row r="15" spans="2:65" x14ac:dyDescent="0.15">
      <c r="B15" s="17" t="s">
        <v>325</v>
      </c>
      <c r="C15" s="17"/>
      <c r="E15" s="97">
        <f>'COGS-PRICE-MARGIN_CWS'!$F6*E6</f>
        <v>0</v>
      </c>
      <c r="F15" s="97">
        <f>'COGS-PRICE-MARGIN_CWS'!$F6*F6</f>
        <v>0</v>
      </c>
      <c r="G15" s="97">
        <f>'COGS-PRICE-MARGIN_CWS'!$F6*G6</f>
        <v>0</v>
      </c>
      <c r="H15" s="97">
        <f>'COGS-PRICE-MARGIN_CWS'!$F6*H6</f>
        <v>0</v>
      </c>
      <c r="I15" s="97">
        <f>'COGS-PRICE-MARGIN_CWS'!$F6*I6</f>
        <v>0</v>
      </c>
      <c r="J15" s="97">
        <f>'COGS-PRICE-MARGIN_CWS'!$F6*J6</f>
        <v>0</v>
      </c>
      <c r="K15" s="97">
        <f>'COGS-PRICE-MARGIN_CWS'!$F6*K6</f>
        <v>0</v>
      </c>
      <c r="L15" s="97">
        <f>'COGS-PRICE-MARGIN_CWS'!$F6*L6</f>
        <v>0</v>
      </c>
      <c r="M15" s="97">
        <f>'COGS-PRICE-MARGIN_CWS'!$F6*M6</f>
        <v>0</v>
      </c>
      <c r="N15" s="97">
        <f>'COGS-PRICE-MARGIN_CWS'!$F6*N6</f>
        <v>0</v>
      </c>
      <c r="O15" s="97">
        <f>'COGS-PRICE-MARGIN_CWS'!$F6*O6</f>
        <v>0</v>
      </c>
      <c r="P15" s="97">
        <f>'COGS-PRICE-MARGIN_CWS'!$F6*P6</f>
        <v>0</v>
      </c>
      <c r="Q15" s="97">
        <f>'COGS-PRICE-MARGIN_CWS'!$F28*Q6</f>
        <v>0</v>
      </c>
      <c r="R15" s="97">
        <f>'COGS-PRICE-MARGIN_CWS'!$F28*R6</f>
        <v>0</v>
      </c>
      <c r="S15" s="97">
        <f>'COGS-PRICE-MARGIN_CWS'!$F28*S6</f>
        <v>0</v>
      </c>
      <c r="T15" s="97">
        <f>'COGS-PRICE-MARGIN_CWS'!$F28*T6</f>
        <v>0</v>
      </c>
      <c r="U15" s="97">
        <f>'COGS-PRICE-MARGIN_CWS'!$F28*U6</f>
        <v>0</v>
      </c>
      <c r="V15" s="97">
        <f>'COGS-PRICE-MARGIN_CWS'!$F28*V6</f>
        <v>0</v>
      </c>
      <c r="W15" s="97">
        <f>'COGS-PRICE-MARGIN_CWS'!$F28*W6</f>
        <v>0</v>
      </c>
      <c r="X15" s="97">
        <f>'COGS-PRICE-MARGIN_CWS'!$F28*X6</f>
        <v>0</v>
      </c>
      <c r="Y15" s="97">
        <f>'COGS-PRICE-MARGIN_CWS'!$F28*Y6</f>
        <v>0</v>
      </c>
      <c r="Z15" s="97">
        <f>'COGS-PRICE-MARGIN_CWS'!$F28*Z6</f>
        <v>0</v>
      </c>
      <c r="AA15" s="97">
        <f>'COGS-PRICE-MARGIN_CWS'!$F28*AA6</f>
        <v>0</v>
      </c>
      <c r="AB15" s="97">
        <f>'COGS-PRICE-MARGIN_CWS'!$F28*AB6</f>
        <v>0</v>
      </c>
      <c r="AC15" s="97">
        <f>'COGS-PRICE-MARGIN_CWS'!$F49*AC6</f>
        <v>0</v>
      </c>
      <c r="AD15" s="97">
        <f>'COGS-PRICE-MARGIN_CWS'!$F49*AD6</f>
        <v>0</v>
      </c>
      <c r="AE15" s="97">
        <f>'COGS-PRICE-MARGIN_CWS'!$F49*AE6</f>
        <v>0</v>
      </c>
      <c r="AF15" s="97">
        <f>'COGS-PRICE-MARGIN_CWS'!$F49*AF6</f>
        <v>0</v>
      </c>
      <c r="AG15" s="97">
        <f>'COGS-PRICE-MARGIN_CWS'!$F49*AG6</f>
        <v>0</v>
      </c>
      <c r="AH15" s="97">
        <f>'COGS-PRICE-MARGIN_CWS'!$F49*AH6</f>
        <v>0</v>
      </c>
      <c r="AI15" s="97">
        <f>'COGS-PRICE-MARGIN_CWS'!$F49*AI6</f>
        <v>0</v>
      </c>
      <c r="AJ15" s="97">
        <f>'COGS-PRICE-MARGIN_CWS'!$F49*AJ6</f>
        <v>0</v>
      </c>
      <c r="AK15" s="97">
        <f>'COGS-PRICE-MARGIN_CWS'!$F49*AK6</f>
        <v>0</v>
      </c>
      <c r="AL15" s="97">
        <f>'COGS-PRICE-MARGIN_CWS'!$F49*AL6</f>
        <v>0</v>
      </c>
      <c r="AM15" s="97">
        <f>'COGS-PRICE-MARGIN_CWS'!$F49*AM6</f>
        <v>0</v>
      </c>
      <c r="AN15" s="97">
        <f>'COGS-PRICE-MARGIN_CWS'!$F49*AN6</f>
        <v>0</v>
      </c>
      <c r="AO15" s="97">
        <f>'COGS-PRICE-MARGIN_CWS'!$F70*AO6</f>
        <v>0</v>
      </c>
      <c r="AP15" s="97">
        <f>'COGS-PRICE-MARGIN_CWS'!$F70*AP6</f>
        <v>0</v>
      </c>
      <c r="AQ15" s="97">
        <f>'COGS-PRICE-MARGIN_CWS'!$F70*AQ6</f>
        <v>0</v>
      </c>
      <c r="AR15" s="97">
        <f>'COGS-PRICE-MARGIN_CWS'!$F70*AR6</f>
        <v>0</v>
      </c>
      <c r="AS15" s="97">
        <f>'COGS-PRICE-MARGIN_CWS'!$F70*AS6</f>
        <v>0</v>
      </c>
      <c r="AT15" s="97">
        <f>'COGS-PRICE-MARGIN_CWS'!$F70*AT6</f>
        <v>0</v>
      </c>
      <c r="AU15" s="97">
        <f>'COGS-PRICE-MARGIN_CWS'!$F70*AU6</f>
        <v>0</v>
      </c>
      <c r="AV15" s="97">
        <f>'COGS-PRICE-MARGIN_CWS'!$F70*AV6</f>
        <v>0</v>
      </c>
      <c r="AW15" s="97">
        <f>'COGS-PRICE-MARGIN_CWS'!$F70*AW6</f>
        <v>0</v>
      </c>
      <c r="AX15" s="97">
        <f>'COGS-PRICE-MARGIN_CWS'!$F70*AX6</f>
        <v>0</v>
      </c>
      <c r="AY15" s="97">
        <f>'COGS-PRICE-MARGIN_CWS'!$F70*AY6</f>
        <v>0</v>
      </c>
      <c r="AZ15" s="97">
        <f>'COGS-PRICE-MARGIN_CWS'!$F70*AZ6</f>
        <v>0</v>
      </c>
      <c r="BA15" s="97">
        <f>'COGS-PRICE-MARGIN_CWS'!$F91*BA6</f>
        <v>36.300000000000004</v>
      </c>
      <c r="BB15" s="97">
        <f>'COGS-PRICE-MARGIN_CWS'!$F91*BB6</f>
        <v>58.300000000000004</v>
      </c>
      <c r="BC15" s="97">
        <f>'COGS-PRICE-MARGIN_CWS'!$F91*BC6</f>
        <v>64.900000000000006</v>
      </c>
      <c r="BD15" s="97">
        <f>'COGS-PRICE-MARGIN_CWS'!$F91*BD6</f>
        <v>64.900000000000006</v>
      </c>
      <c r="BE15" s="97">
        <f>'COGS-PRICE-MARGIN_CWS'!$F91*BE6</f>
        <v>72.600000000000009</v>
      </c>
      <c r="BF15" s="97">
        <f>'COGS-PRICE-MARGIN_CWS'!$F91*BF6</f>
        <v>79.2</v>
      </c>
      <c r="BG15" s="97">
        <f>'COGS-PRICE-MARGIN_CWS'!$F91*BG6</f>
        <v>64.900000000000006</v>
      </c>
      <c r="BH15" s="97">
        <f>'COGS-PRICE-MARGIN_CWS'!$F91*BH6</f>
        <v>72.600000000000009</v>
      </c>
      <c r="BI15" s="97">
        <f>'COGS-PRICE-MARGIN_CWS'!$F91*BI6</f>
        <v>58.300000000000004</v>
      </c>
      <c r="BJ15" s="97">
        <f>'COGS-PRICE-MARGIN_CWS'!$F91*BJ6</f>
        <v>58.300000000000004</v>
      </c>
      <c r="BK15" s="97">
        <f>'COGS-PRICE-MARGIN_CWS'!$F91*BK6</f>
        <v>58.300000000000004</v>
      </c>
      <c r="BL15" s="97">
        <f>'COGS-PRICE-MARGIN_CWS'!$F91*BL6</f>
        <v>36.300000000000004</v>
      </c>
      <c r="BM15" s="118">
        <f>SUM(E15:BL15)</f>
        <v>724.89999999999986</v>
      </c>
    </row>
    <row r="16" spans="2:65" x14ac:dyDescent="0.15">
      <c r="B16" s="17" t="s">
        <v>328</v>
      </c>
      <c r="C16" s="17"/>
      <c r="E16" s="97">
        <f>'COGS-PRICE-MARGIN_CWS'!$F7*E6</f>
        <v>0</v>
      </c>
      <c r="F16" s="97">
        <f>'COGS-PRICE-MARGIN_CWS'!$F7*F6</f>
        <v>0</v>
      </c>
      <c r="G16" s="97">
        <f>'COGS-PRICE-MARGIN_CWS'!$F7*G6</f>
        <v>0</v>
      </c>
      <c r="H16" s="97">
        <f>'COGS-PRICE-MARGIN_CWS'!$F7*H6</f>
        <v>0</v>
      </c>
      <c r="I16" s="97">
        <f>'COGS-PRICE-MARGIN_CWS'!$F7*I6</f>
        <v>0</v>
      </c>
      <c r="J16" s="97">
        <f>'COGS-PRICE-MARGIN_CWS'!$F7*J6</f>
        <v>0</v>
      </c>
      <c r="K16" s="97">
        <f>'COGS-PRICE-MARGIN_CWS'!$F7*K6</f>
        <v>0</v>
      </c>
      <c r="L16" s="97">
        <f>'COGS-PRICE-MARGIN_CWS'!$F7*L6</f>
        <v>0</v>
      </c>
      <c r="M16" s="97">
        <f>'COGS-PRICE-MARGIN_CWS'!$F7*M6</f>
        <v>0</v>
      </c>
      <c r="N16" s="97">
        <f>'COGS-PRICE-MARGIN_CWS'!$F7*N6</f>
        <v>0</v>
      </c>
      <c r="O16" s="97">
        <f>'COGS-PRICE-MARGIN_CWS'!$F7*O6</f>
        <v>0</v>
      </c>
      <c r="P16" s="97">
        <f>'COGS-PRICE-MARGIN_CWS'!$F7*P6</f>
        <v>0</v>
      </c>
      <c r="Q16" s="97">
        <f>'COGS-PRICE-MARGIN_CWS'!$F29*Q6</f>
        <v>0</v>
      </c>
      <c r="R16" s="97">
        <f>'COGS-PRICE-MARGIN_CWS'!$F29*R6</f>
        <v>0</v>
      </c>
      <c r="S16" s="97">
        <f>'COGS-PRICE-MARGIN_CWS'!$F29*S6</f>
        <v>0</v>
      </c>
      <c r="T16" s="97">
        <f>'COGS-PRICE-MARGIN_CWS'!$F29*T6</f>
        <v>0</v>
      </c>
      <c r="U16" s="97">
        <f>'COGS-PRICE-MARGIN_CWS'!$F29*U6</f>
        <v>0</v>
      </c>
      <c r="V16" s="97">
        <f>'COGS-PRICE-MARGIN_CWS'!$F29*V6</f>
        <v>0</v>
      </c>
      <c r="W16" s="97">
        <f>'COGS-PRICE-MARGIN_CWS'!$F29*W6</f>
        <v>0</v>
      </c>
      <c r="X16" s="97">
        <f>'COGS-PRICE-MARGIN_CWS'!$F29*X6</f>
        <v>0</v>
      </c>
      <c r="Y16" s="97">
        <f>'COGS-PRICE-MARGIN_CWS'!$F29*Y6</f>
        <v>0</v>
      </c>
      <c r="Z16" s="97">
        <f>'COGS-PRICE-MARGIN_CWS'!$F29*Z6</f>
        <v>0</v>
      </c>
      <c r="AA16" s="97">
        <f>'COGS-PRICE-MARGIN_CWS'!$F29*AA6</f>
        <v>0</v>
      </c>
      <c r="AB16" s="97">
        <f>'COGS-PRICE-MARGIN_CWS'!$F29*AB6</f>
        <v>0</v>
      </c>
      <c r="AC16" s="97">
        <f>'COGS-PRICE-MARGIN_CWS'!$F50*AC6</f>
        <v>0</v>
      </c>
      <c r="AD16" s="97">
        <f>'COGS-PRICE-MARGIN_CWS'!$F50*AD6</f>
        <v>0</v>
      </c>
      <c r="AE16" s="97">
        <f>'COGS-PRICE-MARGIN_CWS'!$F50*AE6</f>
        <v>0</v>
      </c>
      <c r="AF16" s="97">
        <f>'COGS-PRICE-MARGIN_CWS'!$F50*AF6</f>
        <v>0</v>
      </c>
      <c r="AG16" s="97">
        <f>'COGS-PRICE-MARGIN_CWS'!$F50*AG6</f>
        <v>0</v>
      </c>
      <c r="AH16" s="97">
        <f>'COGS-PRICE-MARGIN_CWS'!$F50*AH6</f>
        <v>0</v>
      </c>
      <c r="AI16" s="97">
        <f>'COGS-PRICE-MARGIN_CWS'!$F50*AI6</f>
        <v>0</v>
      </c>
      <c r="AJ16" s="97">
        <f>'COGS-PRICE-MARGIN_CWS'!$F50*AJ6</f>
        <v>0</v>
      </c>
      <c r="AK16" s="97">
        <f>'COGS-PRICE-MARGIN_CWS'!$F50*AK6</f>
        <v>0</v>
      </c>
      <c r="AL16" s="97">
        <f>'COGS-PRICE-MARGIN_CWS'!$F50*AL6</f>
        <v>0</v>
      </c>
      <c r="AM16" s="97">
        <f>'COGS-PRICE-MARGIN_CWS'!$F50*AM6</f>
        <v>0</v>
      </c>
      <c r="AN16" s="97">
        <f>'COGS-PRICE-MARGIN_CWS'!$F50*AN6</f>
        <v>0</v>
      </c>
      <c r="AO16" s="97">
        <f>'COGS-PRICE-MARGIN_CWS'!$F71*AO6</f>
        <v>0</v>
      </c>
      <c r="AP16" s="97">
        <f>'COGS-PRICE-MARGIN_CWS'!$F71*AP6</f>
        <v>0</v>
      </c>
      <c r="AQ16" s="97">
        <f>'COGS-PRICE-MARGIN_CWS'!$F71*AQ6</f>
        <v>0</v>
      </c>
      <c r="AR16" s="97">
        <f>'COGS-PRICE-MARGIN_CWS'!$F71*AR6</f>
        <v>0</v>
      </c>
      <c r="AS16" s="97">
        <f>'COGS-PRICE-MARGIN_CWS'!$F71*AS6</f>
        <v>0</v>
      </c>
      <c r="AT16" s="97">
        <f>'COGS-PRICE-MARGIN_CWS'!$F71*AT6</f>
        <v>0</v>
      </c>
      <c r="AU16" s="97">
        <f>'COGS-PRICE-MARGIN_CWS'!$F71*AU6</f>
        <v>0</v>
      </c>
      <c r="AV16" s="97">
        <f>'COGS-PRICE-MARGIN_CWS'!$F71*AV6</f>
        <v>0</v>
      </c>
      <c r="AW16" s="97">
        <f>'COGS-PRICE-MARGIN_CWS'!$F71*AW6</f>
        <v>0</v>
      </c>
      <c r="AX16" s="97">
        <f>'COGS-PRICE-MARGIN_CWS'!$F71*AX6</f>
        <v>0</v>
      </c>
      <c r="AY16" s="97">
        <f>'COGS-PRICE-MARGIN_CWS'!$F71*AY6</f>
        <v>0</v>
      </c>
      <c r="AZ16" s="97">
        <f>'COGS-PRICE-MARGIN_CWS'!$F71*AZ6</f>
        <v>0</v>
      </c>
      <c r="BA16" s="97">
        <f>'COGS-PRICE-MARGIN_CWS'!$F92*BA6</f>
        <v>0</v>
      </c>
      <c r="BB16" s="97">
        <f>'COGS-PRICE-MARGIN_CWS'!$F92*BB6</f>
        <v>0</v>
      </c>
      <c r="BC16" s="97">
        <f>'COGS-PRICE-MARGIN_CWS'!$F92*BC6</f>
        <v>0</v>
      </c>
      <c r="BD16" s="97">
        <f>'COGS-PRICE-MARGIN_CWS'!$F92*BD6</f>
        <v>0</v>
      </c>
      <c r="BE16" s="97">
        <f>'COGS-PRICE-MARGIN_CWS'!$F92*BE6</f>
        <v>0</v>
      </c>
      <c r="BF16" s="97">
        <f>'COGS-PRICE-MARGIN_CWS'!$F92*BF6</f>
        <v>0</v>
      </c>
      <c r="BG16" s="97">
        <f>'COGS-PRICE-MARGIN_CWS'!$F92*BG6</f>
        <v>0</v>
      </c>
      <c r="BH16" s="97">
        <f>'COGS-PRICE-MARGIN_CWS'!$F92*BH6</f>
        <v>0</v>
      </c>
      <c r="BI16" s="97">
        <f>'COGS-PRICE-MARGIN_CWS'!$F92*BI6</f>
        <v>0</v>
      </c>
      <c r="BJ16" s="97">
        <f>'COGS-PRICE-MARGIN_CWS'!$F92*BJ6</f>
        <v>0</v>
      </c>
      <c r="BK16" s="97">
        <f>'COGS-PRICE-MARGIN_CWS'!$F92*BK6</f>
        <v>0</v>
      </c>
      <c r="BL16" s="97">
        <f>'COGS-PRICE-MARGIN_CWS'!$F92*BL6</f>
        <v>0</v>
      </c>
      <c r="BM16" s="118">
        <f>SUM(E16:BL16)</f>
        <v>0</v>
      </c>
    </row>
    <row r="17" spans="2:65" x14ac:dyDescent="0.15">
      <c r="B17" s="17" t="s">
        <v>326</v>
      </c>
      <c r="C17" s="17"/>
      <c r="E17" s="97">
        <f>'COGS-PRICE-MARGIN_CWS'!$F8*E6</f>
        <v>0</v>
      </c>
      <c r="F17" s="97">
        <f>'COGS-PRICE-MARGIN_CWS'!$F8*F6</f>
        <v>0</v>
      </c>
      <c r="G17" s="97">
        <f>'COGS-PRICE-MARGIN_CWS'!$F8*G6</f>
        <v>0</v>
      </c>
      <c r="H17" s="97">
        <f>'COGS-PRICE-MARGIN_CWS'!$F8*H6</f>
        <v>0</v>
      </c>
      <c r="I17" s="97">
        <f>'COGS-PRICE-MARGIN_CWS'!$F8*I6</f>
        <v>0</v>
      </c>
      <c r="J17" s="97">
        <f>'COGS-PRICE-MARGIN_CWS'!$F8*J6</f>
        <v>0</v>
      </c>
      <c r="K17" s="97">
        <f>'COGS-PRICE-MARGIN_CWS'!$F8*K6</f>
        <v>0</v>
      </c>
      <c r="L17" s="97">
        <f>'COGS-PRICE-MARGIN_CWS'!$F8*L6</f>
        <v>0</v>
      </c>
      <c r="M17" s="97">
        <f>'COGS-PRICE-MARGIN_CWS'!$F8*M6</f>
        <v>0</v>
      </c>
      <c r="N17" s="97">
        <f>'COGS-PRICE-MARGIN_CWS'!$F8*N6</f>
        <v>0</v>
      </c>
      <c r="O17" s="97">
        <f>'COGS-PRICE-MARGIN_CWS'!$F8*O6</f>
        <v>0</v>
      </c>
      <c r="P17" s="97">
        <f>'COGS-PRICE-MARGIN_CWS'!$F8*P6</f>
        <v>0</v>
      </c>
      <c r="Q17" s="97">
        <f>'COGS-PRICE-MARGIN_CWS'!$F30*Q6</f>
        <v>0</v>
      </c>
      <c r="R17" s="97">
        <f>'COGS-PRICE-MARGIN_CWS'!$F30*R6</f>
        <v>0</v>
      </c>
      <c r="S17" s="97">
        <f>'COGS-PRICE-MARGIN_CWS'!$F30*S6</f>
        <v>0</v>
      </c>
      <c r="T17" s="97">
        <f>'COGS-PRICE-MARGIN_CWS'!$F30*T6</f>
        <v>0</v>
      </c>
      <c r="U17" s="97">
        <f>'COGS-PRICE-MARGIN_CWS'!$F30*U6</f>
        <v>0</v>
      </c>
      <c r="V17" s="97">
        <f>'COGS-PRICE-MARGIN_CWS'!$F30*V6</f>
        <v>0</v>
      </c>
      <c r="W17" s="97">
        <f>'COGS-PRICE-MARGIN_CWS'!$F30*W6</f>
        <v>0</v>
      </c>
      <c r="X17" s="97">
        <f>'COGS-PRICE-MARGIN_CWS'!$F30*X6</f>
        <v>0</v>
      </c>
      <c r="Y17" s="97">
        <f>'COGS-PRICE-MARGIN_CWS'!$F30*Y6</f>
        <v>0</v>
      </c>
      <c r="Z17" s="97">
        <f>'COGS-PRICE-MARGIN_CWS'!$F30*Z6</f>
        <v>0</v>
      </c>
      <c r="AA17" s="97">
        <f>'COGS-PRICE-MARGIN_CWS'!$F30*AA6</f>
        <v>0</v>
      </c>
      <c r="AB17" s="97">
        <f>'COGS-PRICE-MARGIN_CWS'!$F30*AB6</f>
        <v>0</v>
      </c>
      <c r="AC17" s="97">
        <f>'COGS-PRICE-MARGIN_CWS'!$F51*AC6</f>
        <v>0</v>
      </c>
      <c r="AD17" s="97">
        <f>'COGS-PRICE-MARGIN_CWS'!$F51*AD6</f>
        <v>0</v>
      </c>
      <c r="AE17" s="97">
        <f>'COGS-PRICE-MARGIN_CWS'!$F51*AE6</f>
        <v>0</v>
      </c>
      <c r="AF17" s="97">
        <f>'COGS-PRICE-MARGIN_CWS'!$F51*AF6</f>
        <v>0</v>
      </c>
      <c r="AG17" s="97">
        <f>'COGS-PRICE-MARGIN_CWS'!$F51*AG6</f>
        <v>0</v>
      </c>
      <c r="AH17" s="97">
        <f>'COGS-PRICE-MARGIN_CWS'!$F51*AH6</f>
        <v>0</v>
      </c>
      <c r="AI17" s="97">
        <f>'COGS-PRICE-MARGIN_CWS'!$F51*AI6</f>
        <v>0</v>
      </c>
      <c r="AJ17" s="97">
        <f>'COGS-PRICE-MARGIN_CWS'!$F51*AJ6</f>
        <v>0</v>
      </c>
      <c r="AK17" s="97">
        <f>'COGS-PRICE-MARGIN_CWS'!$F51*AK6</f>
        <v>0</v>
      </c>
      <c r="AL17" s="97">
        <f>'COGS-PRICE-MARGIN_CWS'!$F51*AL6</f>
        <v>0</v>
      </c>
      <c r="AM17" s="97">
        <f>'COGS-PRICE-MARGIN_CWS'!$F51*AM6</f>
        <v>0</v>
      </c>
      <c r="AN17" s="97">
        <f>'COGS-PRICE-MARGIN_CWS'!$F51*AN6</f>
        <v>0</v>
      </c>
      <c r="AO17" s="97">
        <f>'COGS-PRICE-MARGIN_CWS'!$F72*AO6</f>
        <v>0</v>
      </c>
      <c r="AP17" s="97">
        <f>'COGS-PRICE-MARGIN_CWS'!$F72*AP6</f>
        <v>0</v>
      </c>
      <c r="AQ17" s="97">
        <f>'COGS-PRICE-MARGIN_CWS'!$F72*AQ6</f>
        <v>0</v>
      </c>
      <c r="AR17" s="97">
        <f>'COGS-PRICE-MARGIN_CWS'!$F72*AR6</f>
        <v>0</v>
      </c>
      <c r="AS17" s="97">
        <f>'COGS-PRICE-MARGIN_CWS'!$F72*AS6</f>
        <v>0</v>
      </c>
      <c r="AT17" s="97">
        <f>'COGS-PRICE-MARGIN_CWS'!$F72*AT6</f>
        <v>0</v>
      </c>
      <c r="AU17" s="97">
        <f>'COGS-PRICE-MARGIN_CWS'!$F72*AU6</f>
        <v>0</v>
      </c>
      <c r="AV17" s="97">
        <f>'COGS-PRICE-MARGIN_CWS'!$F72*AV6</f>
        <v>0</v>
      </c>
      <c r="AW17" s="97">
        <f>'COGS-PRICE-MARGIN_CWS'!$F72*AW6</f>
        <v>0</v>
      </c>
      <c r="AX17" s="97">
        <f>'COGS-PRICE-MARGIN_CWS'!$F72*AX6</f>
        <v>0</v>
      </c>
      <c r="AY17" s="97">
        <f>'COGS-PRICE-MARGIN_CWS'!$F72*AY6</f>
        <v>0</v>
      </c>
      <c r="AZ17" s="97">
        <f>'COGS-PRICE-MARGIN_CWS'!$F72*AZ6</f>
        <v>0</v>
      </c>
      <c r="BA17" s="97">
        <f>'COGS-PRICE-MARGIN_CWS'!$F93*BA6</f>
        <v>0</v>
      </c>
      <c r="BB17" s="97">
        <f>'COGS-PRICE-MARGIN_CWS'!$F93*BB6</f>
        <v>0</v>
      </c>
      <c r="BC17" s="97">
        <f>'COGS-PRICE-MARGIN_CWS'!$F93*BC6</f>
        <v>0</v>
      </c>
      <c r="BD17" s="97">
        <f>'COGS-PRICE-MARGIN_CWS'!$F93*BD6</f>
        <v>0</v>
      </c>
      <c r="BE17" s="97">
        <f>'COGS-PRICE-MARGIN_CWS'!$F93*BE6</f>
        <v>0</v>
      </c>
      <c r="BF17" s="97">
        <f>'COGS-PRICE-MARGIN_CWS'!$F93*BF6</f>
        <v>0</v>
      </c>
      <c r="BG17" s="97">
        <f>'COGS-PRICE-MARGIN_CWS'!$F93*BG6</f>
        <v>0</v>
      </c>
      <c r="BH17" s="97">
        <f>'COGS-PRICE-MARGIN_CWS'!$F93*BH6</f>
        <v>0</v>
      </c>
      <c r="BI17" s="97">
        <f>'COGS-PRICE-MARGIN_CWS'!$F93*BI6</f>
        <v>0</v>
      </c>
      <c r="BJ17" s="97">
        <f>'COGS-PRICE-MARGIN_CWS'!$F93*BJ6</f>
        <v>0</v>
      </c>
      <c r="BK17" s="97">
        <f>'COGS-PRICE-MARGIN_CWS'!$F93*BK6</f>
        <v>0</v>
      </c>
      <c r="BL17" s="97">
        <f>'COGS-PRICE-MARGIN_CWS'!$F93*BL6</f>
        <v>0</v>
      </c>
      <c r="BM17" s="118">
        <f>SUM(E17:BL17)</f>
        <v>0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468000</v>
      </c>
      <c r="I19" s="99">
        <f t="shared" si="2"/>
        <v>516000</v>
      </c>
      <c r="J19" s="99">
        <f t="shared" si="2"/>
        <v>576000</v>
      </c>
      <c r="K19" s="99">
        <f t="shared" si="2"/>
        <v>468000</v>
      </c>
      <c r="L19" s="99">
        <f t="shared" si="2"/>
        <v>516000</v>
      </c>
      <c r="M19" s="99">
        <f t="shared" si="2"/>
        <v>420000</v>
      </c>
      <c r="N19" s="99">
        <f t="shared" si="2"/>
        <v>420000</v>
      </c>
      <c r="O19" s="99">
        <f t="shared" si="2"/>
        <v>420000</v>
      </c>
      <c r="P19" s="99">
        <f t="shared" si="2"/>
        <v>264000</v>
      </c>
      <c r="Q19" s="99">
        <f>SUM(Q14:Q17)</f>
        <v>172800</v>
      </c>
      <c r="R19" s="99">
        <f t="shared" ref="R19:AC19" si="3">SUM(R14:R17)</f>
        <v>280800</v>
      </c>
      <c r="S19" s="99">
        <f t="shared" si="3"/>
        <v>313200</v>
      </c>
      <c r="T19" s="99">
        <f t="shared" si="3"/>
        <v>313200</v>
      </c>
      <c r="U19" s="99">
        <f t="shared" si="3"/>
        <v>345600</v>
      </c>
      <c r="V19" s="99">
        <f t="shared" si="3"/>
        <v>378000</v>
      </c>
      <c r="W19" s="99">
        <f t="shared" si="3"/>
        <v>313200</v>
      </c>
      <c r="X19" s="99">
        <f t="shared" si="3"/>
        <v>345600</v>
      </c>
      <c r="Y19" s="99">
        <f t="shared" si="3"/>
        <v>280800</v>
      </c>
      <c r="Z19" s="99">
        <f t="shared" si="3"/>
        <v>280800</v>
      </c>
      <c r="AA19" s="99">
        <f t="shared" si="3"/>
        <v>280800</v>
      </c>
      <c r="AB19" s="99">
        <f t="shared" si="3"/>
        <v>172800</v>
      </c>
      <c r="AC19" s="99">
        <f t="shared" si="3"/>
        <v>281880</v>
      </c>
      <c r="AD19" s="99">
        <f t="shared" ref="AD19:BL19" si="4">SUM(AD14:AD17)</f>
        <v>456840</v>
      </c>
      <c r="AE19" s="99">
        <f t="shared" si="4"/>
        <v>515160</v>
      </c>
      <c r="AF19" s="99">
        <f t="shared" si="4"/>
        <v>515160</v>
      </c>
      <c r="AG19" s="99">
        <f t="shared" si="4"/>
        <v>563760</v>
      </c>
      <c r="AH19" s="99">
        <f t="shared" si="4"/>
        <v>622080</v>
      </c>
      <c r="AI19" s="99">
        <f t="shared" si="4"/>
        <v>515160</v>
      </c>
      <c r="AJ19" s="99">
        <f t="shared" si="4"/>
        <v>563760</v>
      </c>
      <c r="AK19" s="99">
        <f t="shared" si="4"/>
        <v>456840</v>
      </c>
      <c r="AL19" s="99">
        <f t="shared" si="4"/>
        <v>456840</v>
      </c>
      <c r="AM19" s="99">
        <f t="shared" si="4"/>
        <v>456840</v>
      </c>
      <c r="AN19" s="99">
        <f t="shared" si="4"/>
        <v>281880</v>
      </c>
      <c r="AO19" s="99">
        <f t="shared" si="4"/>
        <v>271188</v>
      </c>
      <c r="AP19" s="99">
        <f t="shared" si="4"/>
        <v>437400</v>
      </c>
      <c r="AQ19" s="99">
        <f t="shared" si="4"/>
        <v>489888</v>
      </c>
      <c r="AR19" s="99">
        <f t="shared" si="4"/>
        <v>489888</v>
      </c>
      <c r="AS19" s="99">
        <f t="shared" si="4"/>
        <v>542376</v>
      </c>
      <c r="AT19" s="99">
        <f t="shared" si="4"/>
        <v>594864</v>
      </c>
      <c r="AU19" s="99">
        <f t="shared" si="4"/>
        <v>489888</v>
      </c>
      <c r="AV19" s="99">
        <f t="shared" si="4"/>
        <v>542376</v>
      </c>
      <c r="AW19" s="99">
        <f t="shared" si="4"/>
        <v>437400</v>
      </c>
      <c r="AX19" s="99">
        <f t="shared" si="4"/>
        <v>437400</v>
      </c>
      <c r="AY19" s="99">
        <f t="shared" si="4"/>
        <v>437400</v>
      </c>
      <c r="AZ19" s="99">
        <f t="shared" si="4"/>
        <v>271188</v>
      </c>
      <c r="BA19" s="99">
        <f t="shared" si="4"/>
        <v>259851.9</v>
      </c>
      <c r="BB19" s="99">
        <f t="shared" si="4"/>
        <v>417337.89999999997</v>
      </c>
      <c r="BC19" s="99">
        <f t="shared" si="4"/>
        <v>464583.7</v>
      </c>
      <c r="BD19" s="99">
        <f t="shared" si="4"/>
        <v>464583.7</v>
      </c>
      <c r="BE19" s="99">
        <f t="shared" si="4"/>
        <v>519703.8</v>
      </c>
      <c r="BF19" s="99">
        <f t="shared" si="4"/>
        <v>566949.6</v>
      </c>
      <c r="BG19" s="99">
        <f t="shared" si="4"/>
        <v>464583.7</v>
      </c>
      <c r="BH19" s="99">
        <f t="shared" si="4"/>
        <v>519703.8</v>
      </c>
      <c r="BI19" s="99">
        <f t="shared" si="4"/>
        <v>417337.89999999997</v>
      </c>
      <c r="BJ19" s="99">
        <f t="shared" si="4"/>
        <v>417337.89999999997</v>
      </c>
      <c r="BK19" s="99">
        <f t="shared" si="4"/>
        <v>417337.89999999997</v>
      </c>
      <c r="BL19" s="99">
        <f t="shared" si="4"/>
        <v>259851.9</v>
      </c>
      <c r="BM19" s="118">
        <f>SUM(E19:BL19)</f>
        <v>23862219.699999992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170820</v>
      </c>
      <c r="I21" s="99">
        <f t="shared" si="5"/>
        <v>188340</v>
      </c>
      <c r="J21" s="99">
        <f t="shared" si="5"/>
        <v>210240</v>
      </c>
      <c r="K21" s="99">
        <f t="shared" si="5"/>
        <v>170820</v>
      </c>
      <c r="L21" s="99">
        <f t="shared" si="5"/>
        <v>188340</v>
      </c>
      <c r="M21" s="99">
        <f t="shared" si="5"/>
        <v>153300</v>
      </c>
      <c r="N21" s="99">
        <f t="shared" si="5"/>
        <v>153300</v>
      </c>
      <c r="O21" s="99">
        <f t="shared" si="5"/>
        <v>153300</v>
      </c>
      <c r="P21" s="99">
        <f t="shared" si="5"/>
        <v>96360</v>
      </c>
      <c r="Q21" s="99">
        <f t="shared" si="5"/>
        <v>64800</v>
      </c>
      <c r="R21" s="99">
        <f t="shared" si="5"/>
        <v>105300</v>
      </c>
      <c r="S21" s="99">
        <f t="shared" si="5"/>
        <v>117450</v>
      </c>
      <c r="T21" s="99">
        <f t="shared" si="5"/>
        <v>117450</v>
      </c>
      <c r="U21" s="99">
        <f t="shared" si="5"/>
        <v>129600</v>
      </c>
      <c r="V21" s="99">
        <f t="shared" si="5"/>
        <v>141750</v>
      </c>
      <c r="W21" s="99">
        <f t="shared" si="5"/>
        <v>117450</v>
      </c>
      <c r="X21" s="99">
        <f t="shared" si="5"/>
        <v>129600</v>
      </c>
      <c r="Y21" s="99">
        <f t="shared" si="5"/>
        <v>105300</v>
      </c>
      <c r="Z21" s="99">
        <f t="shared" si="5"/>
        <v>105300</v>
      </c>
      <c r="AA21" s="99">
        <f t="shared" si="5"/>
        <v>105300</v>
      </c>
      <c r="AB21" s="99">
        <f t="shared" si="5"/>
        <v>64800</v>
      </c>
      <c r="AC21" s="99">
        <f t="shared" si="5"/>
        <v>-133980</v>
      </c>
      <c r="AD21" s="99">
        <f t="shared" si="5"/>
        <v>-217140</v>
      </c>
      <c r="AE21" s="99">
        <f t="shared" si="5"/>
        <v>-244860</v>
      </c>
      <c r="AF21" s="99">
        <f t="shared" si="5"/>
        <v>-244860</v>
      </c>
      <c r="AG21" s="99">
        <f t="shared" si="5"/>
        <v>-267960</v>
      </c>
      <c r="AH21" s="99">
        <f t="shared" si="5"/>
        <v>-295680</v>
      </c>
      <c r="AI21" s="99">
        <f t="shared" si="5"/>
        <v>-244860</v>
      </c>
      <c r="AJ21" s="99">
        <f t="shared" si="5"/>
        <v>-267960</v>
      </c>
      <c r="AK21" s="99">
        <f t="shared" ref="AK21:BL21" si="6">AK10-AK19</f>
        <v>-217140</v>
      </c>
      <c r="AL21" s="99">
        <f t="shared" si="6"/>
        <v>-217140</v>
      </c>
      <c r="AM21" s="99">
        <f t="shared" si="6"/>
        <v>-217140</v>
      </c>
      <c r="AN21" s="99">
        <f t="shared" si="6"/>
        <v>-133980</v>
      </c>
      <c r="AO21" s="99">
        <f t="shared" si="6"/>
        <v>-89838</v>
      </c>
      <c r="AP21" s="99">
        <f t="shared" si="6"/>
        <v>-144900</v>
      </c>
      <c r="AQ21" s="99">
        <f t="shared" si="6"/>
        <v>-162288</v>
      </c>
      <c r="AR21" s="99">
        <f t="shared" si="6"/>
        <v>-162288</v>
      </c>
      <c r="AS21" s="99">
        <f t="shared" si="6"/>
        <v>-179676</v>
      </c>
      <c r="AT21" s="99">
        <f t="shared" si="6"/>
        <v>-197064</v>
      </c>
      <c r="AU21" s="99">
        <f t="shared" si="6"/>
        <v>-162288</v>
      </c>
      <c r="AV21" s="99">
        <f t="shared" si="6"/>
        <v>-179676</v>
      </c>
      <c r="AW21" s="99">
        <f t="shared" si="6"/>
        <v>-144900</v>
      </c>
      <c r="AX21" s="99">
        <f t="shared" si="6"/>
        <v>-144900</v>
      </c>
      <c r="AY21" s="99">
        <f t="shared" si="6"/>
        <v>-144900</v>
      </c>
      <c r="AZ21" s="99">
        <f t="shared" si="6"/>
        <v>-89838</v>
      </c>
      <c r="BA21" s="99">
        <f t="shared" si="6"/>
        <v>-44526.899999999994</v>
      </c>
      <c r="BB21" s="99">
        <f t="shared" si="6"/>
        <v>-71512.899999999965</v>
      </c>
      <c r="BC21" s="99">
        <f t="shared" si="6"/>
        <v>-79608.700000000012</v>
      </c>
      <c r="BD21" s="99">
        <f t="shared" si="6"/>
        <v>-79608.700000000012</v>
      </c>
      <c r="BE21" s="99">
        <f t="shared" si="6"/>
        <v>-89053.799999999988</v>
      </c>
      <c r="BF21" s="99">
        <f t="shared" si="6"/>
        <v>-97149.599999999977</v>
      </c>
      <c r="BG21" s="99">
        <f t="shared" si="6"/>
        <v>-79608.700000000012</v>
      </c>
      <c r="BH21" s="99">
        <f t="shared" si="6"/>
        <v>-89053.799999999988</v>
      </c>
      <c r="BI21" s="99">
        <f t="shared" si="6"/>
        <v>-71512.899999999965</v>
      </c>
      <c r="BJ21" s="99">
        <f t="shared" si="6"/>
        <v>-71512.899999999965</v>
      </c>
      <c r="BK21" s="99">
        <f t="shared" si="6"/>
        <v>-71512.899999999965</v>
      </c>
      <c r="BL21" s="99">
        <f t="shared" si="6"/>
        <v>-44526.899999999994</v>
      </c>
      <c r="BM21" s="118">
        <f>SUM(E21:BL21)</f>
        <v>-2605524.6999999993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0.26739926739926739</v>
      </c>
      <c r="I22" s="100">
        <f t="shared" si="7"/>
        <v>0.26739926739926739</v>
      </c>
      <c r="J22" s="100">
        <f t="shared" si="7"/>
        <v>0.26739926739926739</v>
      </c>
      <c r="K22" s="100">
        <f t="shared" si="7"/>
        <v>0.26739926739926739</v>
      </c>
      <c r="L22" s="100">
        <f t="shared" si="7"/>
        <v>0.26739926739926739</v>
      </c>
      <c r="M22" s="100">
        <f t="shared" si="7"/>
        <v>0.26739926739926739</v>
      </c>
      <c r="N22" s="100">
        <f t="shared" si="7"/>
        <v>0.26739926739926739</v>
      </c>
      <c r="O22" s="100">
        <f t="shared" si="7"/>
        <v>0.26739926739926739</v>
      </c>
      <c r="P22" s="100">
        <f t="shared" si="7"/>
        <v>0.26739926739926739</v>
      </c>
      <c r="Q22" s="100">
        <f t="shared" si="7"/>
        <v>0.27272727272727271</v>
      </c>
      <c r="R22" s="100">
        <f t="shared" si="7"/>
        <v>0.27272727272727271</v>
      </c>
      <c r="S22" s="100">
        <f t="shared" si="7"/>
        <v>0.27272727272727271</v>
      </c>
      <c r="T22" s="100">
        <f t="shared" si="7"/>
        <v>0.27272727272727271</v>
      </c>
      <c r="U22" s="100">
        <f t="shared" si="7"/>
        <v>0.27272727272727271</v>
      </c>
      <c r="V22" s="100">
        <f t="shared" si="7"/>
        <v>0.27272727272727271</v>
      </c>
      <c r="W22" s="100">
        <f t="shared" si="7"/>
        <v>0.27272727272727271</v>
      </c>
      <c r="X22" s="100">
        <f t="shared" si="7"/>
        <v>0.27272727272727271</v>
      </c>
      <c r="Y22" s="100">
        <f t="shared" si="7"/>
        <v>0.27272727272727271</v>
      </c>
      <c r="Z22" s="100">
        <f t="shared" si="7"/>
        <v>0.27272727272727271</v>
      </c>
      <c r="AA22" s="100">
        <f t="shared" si="7"/>
        <v>0.27272727272727271</v>
      </c>
      <c r="AB22" s="100">
        <f t="shared" si="7"/>
        <v>0.27272727272727271</v>
      </c>
      <c r="AC22" s="100">
        <f t="shared" si="7"/>
        <v>0</v>
      </c>
      <c r="AD22" s="100">
        <f t="shared" si="7"/>
        <v>0</v>
      </c>
      <c r="AE22" s="100">
        <f t="shared" si="7"/>
        <v>0</v>
      </c>
      <c r="AF22" s="100">
        <f t="shared" si="7"/>
        <v>0</v>
      </c>
      <c r="AG22" s="100">
        <f t="shared" si="7"/>
        <v>0</v>
      </c>
      <c r="AH22" s="100">
        <f t="shared" si="7"/>
        <v>0</v>
      </c>
      <c r="AI22" s="100">
        <f t="shared" si="7"/>
        <v>0</v>
      </c>
      <c r="AJ22" s="100">
        <f t="shared" si="7"/>
        <v>0</v>
      </c>
      <c r="AK22" s="100">
        <f t="shared" si="7"/>
        <v>0</v>
      </c>
      <c r="AL22" s="100">
        <f t="shared" si="7"/>
        <v>0</v>
      </c>
      <c r="AM22" s="100">
        <f t="shared" si="7"/>
        <v>0</v>
      </c>
      <c r="AN22" s="100">
        <f t="shared" si="7"/>
        <v>0</v>
      </c>
      <c r="AO22" s="100">
        <f t="shared" si="7"/>
        <v>0</v>
      </c>
      <c r="AP22" s="100">
        <f t="shared" si="7"/>
        <v>0</v>
      </c>
      <c r="AQ22" s="100">
        <f t="shared" si="7"/>
        <v>0</v>
      </c>
      <c r="AR22" s="100">
        <f t="shared" si="7"/>
        <v>0</v>
      </c>
      <c r="AS22" s="100">
        <f t="shared" si="7"/>
        <v>0</v>
      </c>
      <c r="AT22" s="100">
        <f t="shared" si="7"/>
        <v>0</v>
      </c>
      <c r="AU22" s="100">
        <f t="shared" si="7"/>
        <v>0</v>
      </c>
      <c r="AV22" s="100">
        <f t="shared" si="7"/>
        <v>0</v>
      </c>
      <c r="AW22" s="100">
        <f t="shared" si="7"/>
        <v>0</v>
      </c>
      <c r="AX22" s="100">
        <f t="shared" si="7"/>
        <v>0</v>
      </c>
      <c r="AY22" s="100">
        <f t="shared" si="7"/>
        <v>0</v>
      </c>
      <c r="AZ22" s="100">
        <f t="shared" si="7"/>
        <v>0</v>
      </c>
      <c r="BA22" s="100">
        <f t="shared" si="7"/>
        <v>0</v>
      </c>
      <c r="BB22" s="100">
        <f t="shared" si="7"/>
        <v>0</v>
      </c>
      <c r="BC22" s="100">
        <f t="shared" si="7"/>
        <v>0</v>
      </c>
      <c r="BD22" s="100">
        <f t="shared" si="7"/>
        <v>0</v>
      </c>
      <c r="BE22" s="100">
        <f t="shared" si="7"/>
        <v>0</v>
      </c>
      <c r="BF22" s="100">
        <f t="shared" si="7"/>
        <v>0</v>
      </c>
      <c r="BG22" s="100">
        <f t="shared" si="7"/>
        <v>0</v>
      </c>
      <c r="BH22" s="100">
        <f t="shared" si="7"/>
        <v>0</v>
      </c>
      <c r="BI22" s="100">
        <f t="shared" si="7"/>
        <v>0</v>
      </c>
      <c r="BJ22" s="100">
        <f t="shared" si="7"/>
        <v>0</v>
      </c>
      <c r="BK22" s="100">
        <f t="shared" si="7"/>
        <v>0</v>
      </c>
      <c r="BL22" s="100">
        <f t="shared" si="7"/>
        <v>0</v>
      </c>
      <c r="BM22" s="119"/>
    </row>
    <row r="24" spans="2:65" x14ac:dyDescent="0.15">
      <c r="B24" s="16" t="s">
        <v>349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'COGS-PRICE-MARGIN_CWS'!$C21</f>
        <v>0.25</v>
      </c>
      <c r="F26" s="98">
        <f>'COGS-PRICE-MARGIN_CWS'!$C21</f>
        <v>0.25</v>
      </c>
      <c r="G26" s="98">
        <f>'COGS-PRICE-MARGIN_CWS'!$C21</f>
        <v>0.25</v>
      </c>
      <c r="H26" s="98">
        <f>'COGS-PRICE-MARGIN_CWS'!$C21</f>
        <v>0.25</v>
      </c>
      <c r="I26" s="98">
        <f>'COGS-PRICE-MARGIN_CWS'!$C21</f>
        <v>0.25</v>
      </c>
      <c r="J26" s="98">
        <f>'COGS-PRICE-MARGIN_CWS'!$C21</f>
        <v>0.25</v>
      </c>
      <c r="K26" s="98">
        <f>'COGS-PRICE-MARGIN_CWS'!$C21</f>
        <v>0.25</v>
      </c>
      <c r="L26" s="98">
        <f>'COGS-PRICE-MARGIN_CWS'!$C21</f>
        <v>0.25</v>
      </c>
      <c r="M26" s="98">
        <f>'COGS-PRICE-MARGIN_CWS'!$C21</f>
        <v>0.25</v>
      </c>
      <c r="N26" s="98">
        <f>'COGS-PRICE-MARGIN_CWS'!$C21</f>
        <v>0.25</v>
      </c>
      <c r="O26" s="98">
        <f>'COGS-PRICE-MARGIN_CWS'!$C21</f>
        <v>0.25</v>
      </c>
      <c r="P26" s="98">
        <f>'COGS-PRICE-MARGIN_CWS'!$C21</f>
        <v>0.25</v>
      </c>
      <c r="Q26" s="98">
        <f>'COGS-PRICE-MARGIN_CWS'!$C42</f>
        <v>0.4</v>
      </c>
      <c r="R26" s="98">
        <f>'COGS-PRICE-MARGIN_CWS'!$C42</f>
        <v>0.4</v>
      </c>
      <c r="S26" s="98">
        <f>'COGS-PRICE-MARGIN_CWS'!$C42</f>
        <v>0.4</v>
      </c>
      <c r="T26" s="98">
        <f>'COGS-PRICE-MARGIN_CWS'!$C42</f>
        <v>0.4</v>
      </c>
      <c r="U26" s="98">
        <f>'COGS-PRICE-MARGIN_CWS'!$C42</f>
        <v>0.4</v>
      </c>
      <c r="V26" s="98">
        <f>'COGS-PRICE-MARGIN_CWS'!$C42</f>
        <v>0.4</v>
      </c>
      <c r="W26" s="98">
        <f>'COGS-PRICE-MARGIN_CWS'!$C42</f>
        <v>0.4</v>
      </c>
      <c r="X26" s="98">
        <f>'COGS-PRICE-MARGIN_CWS'!$C42</f>
        <v>0.4</v>
      </c>
      <c r="Y26" s="98">
        <f>'COGS-PRICE-MARGIN_CWS'!$C42</f>
        <v>0.4</v>
      </c>
      <c r="Z26" s="98">
        <f>'COGS-PRICE-MARGIN_CWS'!$C42</f>
        <v>0.4</v>
      </c>
      <c r="AA26" s="98">
        <f>'COGS-PRICE-MARGIN_CWS'!$C42</f>
        <v>0.4</v>
      </c>
      <c r="AB26" s="98">
        <f>'COGS-PRICE-MARGIN_CWS'!$C42</f>
        <v>0.4</v>
      </c>
      <c r="AC26" s="98">
        <f>'COGS-PRICE-MARGIN_CWS'!$C63</f>
        <v>0.6</v>
      </c>
      <c r="AD26" s="98">
        <f>'COGS-PRICE-MARGIN_CWS'!$C63</f>
        <v>0.6</v>
      </c>
      <c r="AE26" s="98">
        <f>'COGS-PRICE-MARGIN_CWS'!$C63</f>
        <v>0.6</v>
      </c>
      <c r="AF26" s="98">
        <f>'COGS-PRICE-MARGIN_CWS'!$C63</f>
        <v>0.6</v>
      </c>
      <c r="AG26" s="98">
        <f>'COGS-PRICE-MARGIN_CWS'!$C63</f>
        <v>0.6</v>
      </c>
      <c r="AH26" s="98">
        <f>'COGS-PRICE-MARGIN_CWS'!$C63</f>
        <v>0.6</v>
      </c>
      <c r="AI26" s="98">
        <f>'COGS-PRICE-MARGIN_CWS'!$C63</f>
        <v>0.6</v>
      </c>
      <c r="AJ26" s="98">
        <f>'COGS-PRICE-MARGIN_CWS'!$C63</f>
        <v>0.6</v>
      </c>
      <c r="AK26" s="98">
        <f>'COGS-PRICE-MARGIN_CWS'!$C63</f>
        <v>0.6</v>
      </c>
      <c r="AL26" s="98">
        <f>'COGS-PRICE-MARGIN_CWS'!$C63</f>
        <v>0.6</v>
      </c>
      <c r="AM26" s="98">
        <f>'COGS-PRICE-MARGIN_CWS'!$C63</f>
        <v>0.6</v>
      </c>
      <c r="AN26" s="98">
        <f>'COGS-PRICE-MARGIN_CWS'!$C63</f>
        <v>0.6</v>
      </c>
      <c r="AO26" s="98">
        <f>'COGS-PRICE-MARGIN_CWS'!$C84</f>
        <v>0.8</v>
      </c>
      <c r="AP26" s="98">
        <f>'COGS-PRICE-MARGIN_CWS'!$C84</f>
        <v>0.8</v>
      </c>
      <c r="AQ26" s="98">
        <f>'COGS-PRICE-MARGIN_CWS'!$C84</f>
        <v>0.8</v>
      </c>
      <c r="AR26" s="98">
        <f>'COGS-PRICE-MARGIN_CWS'!$C84</f>
        <v>0.8</v>
      </c>
      <c r="AS26" s="98">
        <f>'COGS-PRICE-MARGIN_CWS'!$C84</f>
        <v>0.8</v>
      </c>
      <c r="AT26" s="98">
        <f>'COGS-PRICE-MARGIN_CWS'!$C84</f>
        <v>0.8</v>
      </c>
      <c r="AU26" s="98">
        <f>'COGS-PRICE-MARGIN_CWS'!$C84</f>
        <v>0.8</v>
      </c>
      <c r="AV26" s="98">
        <f>'COGS-PRICE-MARGIN_CWS'!$C84</f>
        <v>0.8</v>
      </c>
      <c r="AW26" s="98">
        <f>'COGS-PRICE-MARGIN_CWS'!$C84</f>
        <v>0.8</v>
      </c>
      <c r="AX26" s="98">
        <f>'COGS-PRICE-MARGIN_CWS'!$C84</f>
        <v>0.8</v>
      </c>
      <c r="AY26" s="98">
        <f>'COGS-PRICE-MARGIN_CWS'!$C84</f>
        <v>0.8</v>
      </c>
      <c r="AZ26" s="98">
        <f>'COGS-PRICE-MARGIN_CWS'!$C84</f>
        <v>0.8</v>
      </c>
      <c r="BA26" s="98">
        <f>'COGS-PRICE-MARGIN_CWS'!$C105</f>
        <v>0.9</v>
      </c>
      <c r="BB26" s="98">
        <f>'COGS-PRICE-MARGIN_CWS'!$C105</f>
        <v>0.9</v>
      </c>
      <c r="BC26" s="98">
        <f>'COGS-PRICE-MARGIN_CWS'!$C105</f>
        <v>0.9</v>
      </c>
      <c r="BD26" s="98">
        <f>'COGS-PRICE-MARGIN_CWS'!$C105</f>
        <v>0.9</v>
      </c>
      <c r="BE26" s="98">
        <f>'COGS-PRICE-MARGIN_CWS'!$C105</f>
        <v>0.9</v>
      </c>
      <c r="BF26" s="98">
        <f>'COGS-PRICE-MARGIN_CWS'!$C105</f>
        <v>0.9</v>
      </c>
      <c r="BG26" s="98">
        <f>'COGS-PRICE-MARGIN_CWS'!$C105</f>
        <v>0.9</v>
      </c>
      <c r="BH26" s="98">
        <f>'COGS-PRICE-MARGIN_CWS'!$C105</f>
        <v>0.9</v>
      </c>
      <c r="BI26" s="98">
        <f>'COGS-PRICE-MARGIN_CWS'!$C105</f>
        <v>0.9</v>
      </c>
      <c r="BJ26" s="98">
        <f>'COGS-PRICE-MARGIN_CWS'!$C105</f>
        <v>0.9</v>
      </c>
      <c r="BK26" s="98">
        <f>'COGS-PRICE-MARGIN_CWS'!$C105</f>
        <v>0.9</v>
      </c>
      <c r="BL26" s="98">
        <f>'COGS-PRICE-MARGIN_CWS'!$C105</f>
        <v>0.9</v>
      </c>
    </row>
    <row r="27" spans="2:65" s="102" customFormat="1" x14ac:dyDescent="0.15">
      <c r="B27" s="299" t="s">
        <v>350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29</v>
      </c>
      <c r="I27" s="102">
        <f t="shared" si="8"/>
        <v>32</v>
      </c>
      <c r="J27" s="102">
        <f t="shared" si="8"/>
        <v>36</v>
      </c>
      <c r="K27" s="102">
        <f t="shared" si="8"/>
        <v>29</v>
      </c>
      <c r="L27" s="102">
        <f t="shared" si="8"/>
        <v>32</v>
      </c>
      <c r="M27" s="102">
        <f t="shared" si="8"/>
        <v>26</v>
      </c>
      <c r="N27" s="102">
        <f t="shared" si="8"/>
        <v>26</v>
      </c>
      <c r="O27" s="102">
        <f t="shared" si="8"/>
        <v>26</v>
      </c>
      <c r="P27" s="102">
        <f t="shared" si="8"/>
        <v>16</v>
      </c>
      <c r="Q27" s="102">
        <f t="shared" si="8"/>
        <v>9</v>
      </c>
      <c r="R27" s="102">
        <f t="shared" si="8"/>
        <v>15</v>
      </c>
      <c r="S27" s="102">
        <f t="shared" si="8"/>
        <v>17</v>
      </c>
      <c r="T27" s="102">
        <f t="shared" si="8"/>
        <v>17</v>
      </c>
      <c r="U27" s="102">
        <f t="shared" si="8"/>
        <v>19</v>
      </c>
      <c r="V27" s="102">
        <f t="shared" si="8"/>
        <v>21</v>
      </c>
      <c r="W27" s="102">
        <f t="shared" si="8"/>
        <v>17</v>
      </c>
      <c r="X27" s="102">
        <f t="shared" si="8"/>
        <v>19</v>
      </c>
      <c r="Y27" s="102">
        <f t="shared" si="8"/>
        <v>15</v>
      </c>
      <c r="Z27" s="102">
        <f t="shared" si="8"/>
        <v>15</v>
      </c>
      <c r="AA27" s="102">
        <f t="shared" si="8"/>
        <v>15</v>
      </c>
      <c r="AB27" s="102">
        <f t="shared" si="8"/>
        <v>9</v>
      </c>
      <c r="AC27" s="102">
        <f t="shared" si="8"/>
        <v>11</v>
      </c>
      <c r="AD27" s="102">
        <f t="shared" si="8"/>
        <v>18</v>
      </c>
      <c r="AE27" s="102">
        <f t="shared" si="8"/>
        <v>21</v>
      </c>
      <c r="AF27" s="102">
        <f t="shared" si="8"/>
        <v>21</v>
      </c>
      <c r="AG27" s="102">
        <f t="shared" si="8"/>
        <v>23</v>
      </c>
      <c r="AH27" s="102">
        <f t="shared" si="8"/>
        <v>25</v>
      </c>
      <c r="AI27" s="102">
        <f t="shared" si="8"/>
        <v>21</v>
      </c>
      <c r="AJ27" s="102">
        <f t="shared" si="8"/>
        <v>23</v>
      </c>
      <c r="AK27" s="102">
        <f t="shared" ref="AK27:BL27" si="9">AK6-AK28</f>
        <v>18</v>
      </c>
      <c r="AL27" s="102">
        <f t="shared" si="9"/>
        <v>18</v>
      </c>
      <c r="AM27" s="102">
        <f t="shared" si="9"/>
        <v>18</v>
      </c>
      <c r="AN27" s="102">
        <f t="shared" si="9"/>
        <v>11</v>
      </c>
      <c r="AO27" s="102">
        <f t="shared" si="9"/>
        <v>6</v>
      </c>
      <c r="AP27" s="102">
        <f t="shared" si="9"/>
        <v>10</v>
      </c>
      <c r="AQ27" s="102">
        <f t="shared" si="9"/>
        <v>11</v>
      </c>
      <c r="AR27" s="102">
        <f t="shared" si="9"/>
        <v>11</v>
      </c>
      <c r="AS27" s="102">
        <f t="shared" si="9"/>
        <v>12</v>
      </c>
      <c r="AT27" s="102">
        <f t="shared" si="9"/>
        <v>13</v>
      </c>
      <c r="AU27" s="102">
        <f t="shared" si="9"/>
        <v>11</v>
      </c>
      <c r="AV27" s="102">
        <f t="shared" si="9"/>
        <v>12</v>
      </c>
      <c r="AW27" s="102">
        <f t="shared" si="9"/>
        <v>10</v>
      </c>
      <c r="AX27" s="102">
        <f t="shared" si="9"/>
        <v>10</v>
      </c>
      <c r="AY27" s="102">
        <f t="shared" si="9"/>
        <v>10</v>
      </c>
      <c r="AZ27" s="102">
        <f t="shared" si="9"/>
        <v>6</v>
      </c>
      <c r="BA27" s="102">
        <f t="shared" si="9"/>
        <v>3</v>
      </c>
      <c r="BB27" s="102">
        <f t="shared" si="9"/>
        <v>5</v>
      </c>
      <c r="BC27" s="102">
        <f t="shared" si="9"/>
        <v>5</v>
      </c>
      <c r="BD27" s="102">
        <f t="shared" si="9"/>
        <v>5</v>
      </c>
      <c r="BE27" s="102">
        <f t="shared" si="9"/>
        <v>6</v>
      </c>
      <c r="BF27" s="102">
        <f t="shared" si="9"/>
        <v>7</v>
      </c>
      <c r="BG27" s="102">
        <f t="shared" si="9"/>
        <v>5</v>
      </c>
      <c r="BH27" s="102">
        <f t="shared" si="9"/>
        <v>6</v>
      </c>
      <c r="BI27" s="102">
        <f t="shared" si="9"/>
        <v>5</v>
      </c>
      <c r="BJ27" s="102">
        <f t="shared" si="9"/>
        <v>5</v>
      </c>
      <c r="BK27" s="102">
        <f t="shared" si="9"/>
        <v>5</v>
      </c>
      <c r="BL27" s="102">
        <f t="shared" si="9"/>
        <v>3</v>
      </c>
      <c r="BM27" s="103">
        <f>SUM(E27:BL27)</f>
        <v>850</v>
      </c>
    </row>
    <row r="28" spans="2:65" s="102" customFormat="1" x14ac:dyDescent="0.15">
      <c r="B28" s="299" t="s">
        <v>352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10</v>
      </c>
      <c r="I28" s="102">
        <f t="shared" si="10"/>
        <v>11</v>
      </c>
      <c r="J28" s="102">
        <f t="shared" si="10"/>
        <v>12</v>
      </c>
      <c r="K28" s="102">
        <f t="shared" si="10"/>
        <v>10</v>
      </c>
      <c r="L28" s="102">
        <f t="shared" si="10"/>
        <v>11</v>
      </c>
      <c r="M28" s="102">
        <f t="shared" si="10"/>
        <v>9</v>
      </c>
      <c r="N28" s="102">
        <f t="shared" si="10"/>
        <v>9</v>
      </c>
      <c r="O28" s="102">
        <f t="shared" si="10"/>
        <v>9</v>
      </c>
      <c r="P28" s="102">
        <f t="shared" si="10"/>
        <v>6</v>
      </c>
      <c r="Q28" s="102">
        <f t="shared" si="10"/>
        <v>7</v>
      </c>
      <c r="R28" s="102">
        <f t="shared" si="10"/>
        <v>11</v>
      </c>
      <c r="S28" s="102">
        <f t="shared" si="10"/>
        <v>12</v>
      </c>
      <c r="T28" s="102">
        <f t="shared" si="10"/>
        <v>12</v>
      </c>
      <c r="U28" s="102">
        <f t="shared" si="10"/>
        <v>13</v>
      </c>
      <c r="V28" s="102">
        <f t="shared" si="10"/>
        <v>14</v>
      </c>
      <c r="W28" s="102">
        <f t="shared" si="10"/>
        <v>12</v>
      </c>
      <c r="X28" s="102">
        <f t="shared" si="10"/>
        <v>13</v>
      </c>
      <c r="Y28" s="102">
        <f t="shared" si="10"/>
        <v>11</v>
      </c>
      <c r="Z28" s="102">
        <f t="shared" si="10"/>
        <v>11</v>
      </c>
      <c r="AA28" s="102">
        <f t="shared" si="10"/>
        <v>11</v>
      </c>
      <c r="AB28" s="102">
        <f t="shared" si="10"/>
        <v>7</v>
      </c>
      <c r="AC28" s="102">
        <f t="shared" si="10"/>
        <v>18</v>
      </c>
      <c r="AD28" s="102">
        <f t="shared" si="10"/>
        <v>29</v>
      </c>
      <c r="AE28" s="102">
        <f t="shared" si="10"/>
        <v>32</v>
      </c>
      <c r="AF28" s="102">
        <f t="shared" si="10"/>
        <v>32</v>
      </c>
      <c r="AG28" s="102">
        <f t="shared" si="10"/>
        <v>35</v>
      </c>
      <c r="AH28" s="102">
        <f t="shared" si="10"/>
        <v>39</v>
      </c>
      <c r="AI28" s="102">
        <f t="shared" si="10"/>
        <v>32</v>
      </c>
      <c r="AJ28" s="102">
        <f t="shared" si="10"/>
        <v>35</v>
      </c>
      <c r="AK28" s="102">
        <f t="shared" si="10"/>
        <v>29</v>
      </c>
      <c r="AL28" s="102">
        <f t="shared" si="10"/>
        <v>29</v>
      </c>
      <c r="AM28" s="102">
        <f t="shared" si="10"/>
        <v>29</v>
      </c>
      <c r="AN28" s="102">
        <f t="shared" si="10"/>
        <v>18</v>
      </c>
      <c r="AO28" s="102">
        <f t="shared" si="10"/>
        <v>25</v>
      </c>
      <c r="AP28" s="102">
        <f t="shared" si="10"/>
        <v>40</v>
      </c>
      <c r="AQ28" s="102">
        <f t="shared" si="10"/>
        <v>45</v>
      </c>
      <c r="AR28" s="102">
        <f t="shared" si="10"/>
        <v>45</v>
      </c>
      <c r="AS28" s="102">
        <f t="shared" si="10"/>
        <v>50</v>
      </c>
      <c r="AT28" s="102">
        <f t="shared" si="10"/>
        <v>55</v>
      </c>
      <c r="AU28" s="102">
        <f t="shared" si="10"/>
        <v>45</v>
      </c>
      <c r="AV28" s="102">
        <f t="shared" si="10"/>
        <v>50</v>
      </c>
      <c r="AW28" s="102">
        <f t="shared" si="10"/>
        <v>40</v>
      </c>
      <c r="AX28" s="102">
        <f t="shared" si="10"/>
        <v>40</v>
      </c>
      <c r="AY28" s="102">
        <f t="shared" si="10"/>
        <v>40</v>
      </c>
      <c r="AZ28" s="102">
        <f t="shared" si="10"/>
        <v>25</v>
      </c>
      <c r="BA28" s="102">
        <f t="shared" si="10"/>
        <v>30</v>
      </c>
      <c r="BB28" s="102">
        <f t="shared" si="10"/>
        <v>48</v>
      </c>
      <c r="BC28" s="102">
        <f t="shared" si="10"/>
        <v>54</v>
      </c>
      <c r="BD28" s="102">
        <f t="shared" si="10"/>
        <v>54</v>
      </c>
      <c r="BE28" s="102">
        <f t="shared" si="10"/>
        <v>60</v>
      </c>
      <c r="BF28" s="102">
        <f t="shared" si="10"/>
        <v>65</v>
      </c>
      <c r="BG28" s="102">
        <f t="shared" si="10"/>
        <v>54</v>
      </c>
      <c r="BH28" s="102">
        <f t="shared" si="10"/>
        <v>60</v>
      </c>
      <c r="BI28" s="102">
        <f t="shared" si="10"/>
        <v>48</v>
      </c>
      <c r="BJ28" s="102">
        <f t="shared" si="10"/>
        <v>48</v>
      </c>
      <c r="BK28" s="102">
        <f t="shared" si="10"/>
        <v>48</v>
      </c>
      <c r="BL28" s="102">
        <f t="shared" si="10"/>
        <v>30</v>
      </c>
      <c r="BM28" s="103">
        <f>SUM(E28:BL28)</f>
        <v>1677</v>
      </c>
    </row>
    <row r="29" spans="2:65" x14ac:dyDescent="0.15">
      <c r="B29" s="47"/>
      <c r="C29" s="47"/>
    </row>
    <row r="30" spans="2:65" x14ac:dyDescent="0.15">
      <c r="B30" s="14" t="s">
        <v>339</v>
      </c>
      <c r="C30" s="14"/>
    </row>
    <row r="31" spans="2:65" x14ac:dyDescent="0.15">
      <c r="B31" s="14"/>
      <c r="C31" s="14"/>
    </row>
    <row r="32" spans="2:65" x14ac:dyDescent="0.15">
      <c r="B32" s="47" t="s">
        <v>322</v>
      </c>
      <c r="C32" s="47"/>
      <c r="E32" s="90">
        <f>'COGS-PRICE-MARGIN_CWS'!$C12*E27</f>
        <v>0</v>
      </c>
      <c r="F32" s="90">
        <f>'COGS-PRICE-MARGIN_CWS'!$C12*F27</f>
        <v>0</v>
      </c>
      <c r="G32" s="90">
        <f>'COGS-PRICE-MARGIN_CWS'!$C12*G27</f>
        <v>0</v>
      </c>
      <c r="H32" s="90">
        <f>'COGS-PRICE-MARGIN_CWS'!$C12*H27</f>
        <v>667000</v>
      </c>
      <c r="I32" s="90">
        <f>'COGS-PRICE-MARGIN_CWS'!$C12*I27</f>
        <v>736000</v>
      </c>
      <c r="J32" s="90">
        <f>'COGS-PRICE-MARGIN_CWS'!$C12*J27</f>
        <v>828000</v>
      </c>
      <c r="K32" s="90">
        <f>'COGS-PRICE-MARGIN_CWS'!$C12*K27</f>
        <v>667000</v>
      </c>
      <c r="L32" s="90">
        <f>'COGS-PRICE-MARGIN_CWS'!$C12*L27</f>
        <v>736000</v>
      </c>
      <c r="M32" s="90">
        <f>'COGS-PRICE-MARGIN_CWS'!$C12*M27</f>
        <v>598000</v>
      </c>
      <c r="N32" s="90">
        <f>'COGS-PRICE-MARGIN_CWS'!$C12*N27</f>
        <v>598000</v>
      </c>
      <c r="O32" s="90">
        <f>'COGS-PRICE-MARGIN_CWS'!$C12*O27</f>
        <v>598000</v>
      </c>
      <c r="P32" s="90">
        <f>'COGS-PRICE-MARGIN_CWS'!$C12*P27</f>
        <v>368000</v>
      </c>
      <c r="Q32" s="90">
        <f>'COGS-PRICE-MARGIN_CWS'!$C34*Q27</f>
        <v>2250</v>
      </c>
      <c r="R32" s="90">
        <f>'COGS-PRICE-MARGIN_CWS'!$C34*R27</f>
        <v>3750</v>
      </c>
      <c r="S32" s="90">
        <f>'COGS-PRICE-MARGIN_CWS'!$C34*S27</f>
        <v>4250</v>
      </c>
      <c r="T32" s="90">
        <f>'COGS-PRICE-MARGIN_CWS'!$C34*T27</f>
        <v>4250</v>
      </c>
      <c r="U32" s="90">
        <f>'COGS-PRICE-MARGIN_CWS'!$C34*U27</f>
        <v>4750</v>
      </c>
      <c r="V32" s="90">
        <f>'COGS-PRICE-MARGIN_CWS'!$C34*V27</f>
        <v>5250</v>
      </c>
      <c r="W32" s="90">
        <f>'COGS-PRICE-MARGIN_CWS'!$C34*W27</f>
        <v>4250</v>
      </c>
      <c r="X32" s="90">
        <f>'COGS-PRICE-MARGIN_CWS'!$C34*X27</f>
        <v>4750</v>
      </c>
      <c r="Y32" s="90">
        <f>'COGS-PRICE-MARGIN_CWS'!$C34*Y27</f>
        <v>3750</v>
      </c>
      <c r="Z32" s="90">
        <f>'COGS-PRICE-MARGIN_CWS'!$C34*Z27</f>
        <v>3750</v>
      </c>
      <c r="AA32" s="90">
        <f>'COGS-PRICE-MARGIN_CWS'!$C34*AA27</f>
        <v>3750</v>
      </c>
      <c r="AB32" s="90">
        <f>'COGS-PRICE-MARGIN_CWS'!$C34*AB27</f>
        <v>2250</v>
      </c>
      <c r="AC32" s="90">
        <f>'COGS-PRICE-MARGIN_CWS'!$C55*AC27</f>
        <v>2750</v>
      </c>
      <c r="AD32" s="90">
        <f>'COGS-PRICE-MARGIN_CWS'!$C55*AD27</f>
        <v>4500</v>
      </c>
      <c r="AE32" s="90">
        <f>'COGS-PRICE-MARGIN_CWS'!$C55*AE27</f>
        <v>5250</v>
      </c>
      <c r="AF32" s="90">
        <f>'COGS-PRICE-MARGIN_CWS'!$C55*AF27</f>
        <v>5250</v>
      </c>
      <c r="AG32" s="90">
        <f>'COGS-PRICE-MARGIN_CWS'!$C55*AG27</f>
        <v>5750</v>
      </c>
      <c r="AH32" s="90">
        <f>'COGS-PRICE-MARGIN_CWS'!$C55*AH27</f>
        <v>6250</v>
      </c>
      <c r="AI32" s="90">
        <f>'COGS-PRICE-MARGIN_CWS'!$C55*AI27</f>
        <v>5250</v>
      </c>
      <c r="AJ32" s="90">
        <f>'COGS-PRICE-MARGIN_CWS'!$C55*AJ27</f>
        <v>5750</v>
      </c>
      <c r="AK32" s="90">
        <f>'COGS-PRICE-MARGIN_CWS'!$C55*AK27</f>
        <v>4500</v>
      </c>
      <c r="AL32" s="90">
        <f>'COGS-PRICE-MARGIN_CWS'!$C55*AL27</f>
        <v>4500</v>
      </c>
      <c r="AM32" s="90">
        <f>'COGS-PRICE-MARGIN_CWS'!$C55*AM27</f>
        <v>4500</v>
      </c>
      <c r="AN32" s="90">
        <f>'COGS-PRICE-MARGIN_CWS'!$C55*AN27</f>
        <v>2750</v>
      </c>
      <c r="AO32" s="90">
        <f>'COGS-PRICE-MARGIN_CWS'!$C76*AO27</f>
        <v>2100</v>
      </c>
      <c r="AP32" s="90">
        <f>'COGS-PRICE-MARGIN_CWS'!$C76*AP27</f>
        <v>3500</v>
      </c>
      <c r="AQ32" s="90">
        <f>'COGS-PRICE-MARGIN_CWS'!$C76*AQ27</f>
        <v>3850</v>
      </c>
      <c r="AR32" s="90">
        <f>'COGS-PRICE-MARGIN_CWS'!$C76*AR27</f>
        <v>3850</v>
      </c>
      <c r="AS32" s="90">
        <f>'COGS-PRICE-MARGIN_CWS'!$C76*AS27</f>
        <v>4200</v>
      </c>
      <c r="AT32" s="90">
        <f>'COGS-PRICE-MARGIN_CWS'!$C76*AT27</f>
        <v>4550</v>
      </c>
      <c r="AU32" s="90">
        <f>'COGS-PRICE-MARGIN_CWS'!$C76*AU27</f>
        <v>3850</v>
      </c>
      <c r="AV32" s="90">
        <f>'COGS-PRICE-MARGIN_CWS'!$C76*AV27</f>
        <v>4200</v>
      </c>
      <c r="AW32" s="90">
        <f>'COGS-PRICE-MARGIN_CWS'!$C76*AW27</f>
        <v>3500</v>
      </c>
      <c r="AX32" s="90">
        <f>'COGS-PRICE-MARGIN_CWS'!$C76*AX27</f>
        <v>3500</v>
      </c>
      <c r="AY32" s="90">
        <f>'COGS-PRICE-MARGIN_CWS'!$C76*AY27</f>
        <v>3500</v>
      </c>
      <c r="AZ32" s="90">
        <f>'COGS-PRICE-MARGIN_CWS'!$C76*AZ27</f>
        <v>2100</v>
      </c>
      <c r="BA32" s="90">
        <f>'COGS-PRICE-MARGIN_CWS'!$C97*BA27</f>
        <v>1050</v>
      </c>
      <c r="BB32" s="90">
        <f>'COGS-PRICE-MARGIN_CWS'!$C97*BB27</f>
        <v>1750</v>
      </c>
      <c r="BC32" s="90">
        <f>'COGS-PRICE-MARGIN_CWS'!$C97*BC27</f>
        <v>1750</v>
      </c>
      <c r="BD32" s="90">
        <f>'COGS-PRICE-MARGIN_CWS'!$C97*BD27</f>
        <v>1750</v>
      </c>
      <c r="BE32" s="90">
        <f>'COGS-PRICE-MARGIN_CWS'!$C97*BE27</f>
        <v>2100</v>
      </c>
      <c r="BF32" s="90">
        <f>'COGS-PRICE-MARGIN_CWS'!$C97*BF27</f>
        <v>2450</v>
      </c>
      <c r="BG32" s="90">
        <f>'COGS-PRICE-MARGIN_CWS'!$C97*BG27</f>
        <v>1750</v>
      </c>
      <c r="BH32" s="90">
        <f>'COGS-PRICE-MARGIN_CWS'!$C97*BH27</f>
        <v>2100</v>
      </c>
      <c r="BI32" s="90">
        <f>'COGS-PRICE-MARGIN_CWS'!$C97*BI27</f>
        <v>1750</v>
      </c>
      <c r="BJ32" s="90">
        <f>'COGS-PRICE-MARGIN_CWS'!$C97*BJ27</f>
        <v>1750</v>
      </c>
      <c r="BK32" s="90">
        <f>'COGS-PRICE-MARGIN_CWS'!$C97*BK27</f>
        <v>1750</v>
      </c>
      <c r="BL32" s="90">
        <f>'COGS-PRICE-MARGIN_CWS'!$C97*BL27</f>
        <v>1050</v>
      </c>
      <c r="BM32" s="118">
        <f>SUM(E32:BL32)</f>
        <v>5963700</v>
      </c>
    </row>
    <row r="33" spans="2:66" x14ac:dyDescent="0.15">
      <c r="B33" s="47" t="s">
        <v>347</v>
      </c>
      <c r="C33" s="47"/>
      <c r="E33" s="98">
        <f>'COGS-PRICE-MARGIN_CWS'!$D12</f>
        <v>0.09</v>
      </c>
      <c r="F33" s="98">
        <f>'COGS-PRICE-MARGIN_CWS'!$D12</f>
        <v>0.09</v>
      </c>
      <c r="G33" s="98">
        <f>'COGS-PRICE-MARGIN_CWS'!$D12</f>
        <v>0.09</v>
      </c>
      <c r="H33" s="98">
        <f>'COGS-PRICE-MARGIN_CWS'!$D12</f>
        <v>0.09</v>
      </c>
      <c r="I33" s="98">
        <f>'COGS-PRICE-MARGIN_CWS'!$D12</f>
        <v>0.09</v>
      </c>
      <c r="J33" s="98">
        <f>'COGS-PRICE-MARGIN_CWS'!$D12</f>
        <v>0.09</v>
      </c>
      <c r="K33" s="98">
        <f>'COGS-PRICE-MARGIN_CWS'!$D12</f>
        <v>0.09</v>
      </c>
      <c r="L33" s="98">
        <f>'COGS-PRICE-MARGIN_CWS'!$D12</f>
        <v>0.09</v>
      </c>
      <c r="M33" s="98">
        <f>'COGS-PRICE-MARGIN_CWS'!$D12</f>
        <v>0.09</v>
      </c>
      <c r="N33" s="98">
        <f>'COGS-PRICE-MARGIN_CWS'!$D12</f>
        <v>0.09</v>
      </c>
      <c r="O33" s="98">
        <f>'COGS-PRICE-MARGIN_CWS'!$D12</f>
        <v>0.09</v>
      </c>
      <c r="P33" s="98">
        <f>'COGS-PRICE-MARGIN_CWS'!$D12</f>
        <v>0.09</v>
      </c>
      <c r="Q33" s="98">
        <f>'COGS-PRICE-MARGIN_CWS'!$D34</f>
        <v>0.25</v>
      </c>
      <c r="R33" s="98">
        <f>'COGS-PRICE-MARGIN_CWS'!$D34</f>
        <v>0.25</v>
      </c>
      <c r="S33" s="98">
        <f>'COGS-PRICE-MARGIN_CWS'!$D34</f>
        <v>0.25</v>
      </c>
      <c r="T33" s="98">
        <f>'COGS-PRICE-MARGIN_CWS'!$D34</f>
        <v>0.25</v>
      </c>
      <c r="U33" s="98">
        <f>'COGS-PRICE-MARGIN_CWS'!$D34</f>
        <v>0.25</v>
      </c>
      <c r="V33" s="98">
        <f>'COGS-PRICE-MARGIN_CWS'!$D34</f>
        <v>0.25</v>
      </c>
      <c r="W33" s="98">
        <f>'COGS-PRICE-MARGIN_CWS'!$D34</f>
        <v>0.25</v>
      </c>
      <c r="X33" s="98">
        <f>'COGS-PRICE-MARGIN_CWS'!$D34</f>
        <v>0.25</v>
      </c>
      <c r="Y33" s="98">
        <f>'COGS-PRICE-MARGIN_CWS'!$D34</f>
        <v>0.25</v>
      </c>
      <c r="Z33" s="98">
        <f>'COGS-PRICE-MARGIN_CWS'!$D34</f>
        <v>0.25</v>
      </c>
      <c r="AA33" s="98">
        <f>'COGS-PRICE-MARGIN_CWS'!$D34</f>
        <v>0.25</v>
      </c>
      <c r="AB33" s="98">
        <f>'COGS-PRICE-MARGIN_CWS'!$D34</f>
        <v>0.25</v>
      </c>
      <c r="AC33" s="98">
        <f>'COGS-PRICE-MARGIN_CWS'!$D55</f>
        <v>0.15</v>
      </c>
      <c r="AD33" s="98">
        <f>'COGS-PRICE-MARGIN_CWS'!$D55</f>
        <v>0.15</v>
      </c>
      <c r="AE33" s="98">
        <f>'COGS-PRICE-MARGIN_CWS'!$D55</f>
        <v>0.15</v>
      </c>
      <c r="AF33" s="98">
        <f>'COGS-PRICE-MARGIN_CWS'!$D55</f>
        <v>0.15</v>
      </c>
      <c r="AG33" s="98">
        <f>'COGS-PRICE-MARGIN_CWS'!$D55</f>
        <v>0.15</v>
      </c>
      <c r="AH33" s="98">
        <f>'COGS-PRICE-MARGIN_CWS'!$D55</f>
        <v>0.15</v>
      </c>
      <c r="AI33" s="98">
        <f>'COGS-PRICE-MARGIN_CWS'!$D55</f>
        <v>0.15</v>
      </c>
      <c r="AJ33" s="98">
        <f>'COGS-PRICE-MARGIN_CWS'!$D55</f>
        <v>0.15</v>
      </c>
      <c r="AK33" s="98">
        <f>'COGS-PRICE-MARGIN_CWS'!$D55</f>
        <v>0.15</v>
      </c>
      <c r="AL33" s="98">
        <f>'COGS-PRICE-MARGIN_CWS'!$D55</f>
        <v>0.15</v>
      </c>
      <c r="AM33" s="98">
        <f>'COGS-PRICE-MARGIN_CWS'!$D55</f>
        <v>0.15</v>
      </c>
      <c r="AN33" s="98">
        <f>'COGS-PRICE-MARGIN_CWS'!$D55</f>
        <v>0.15</v>
      </c>
      <c r="AO33" s="98">
        <f>'COGS-PRICE-MARGIN_CWS'!$D76</f>
        <v>0.1</v>
      </c>
      <c r="AP33" s="98">
        <f>'COGS-PRICE-MARGIN_CWS'!$D76</f>
        <v>0.1</v>
      </c>
      <c r="AQ33" s="98">
        <f>'COGS-PRICE-MARGIN_CWS'!$D76</f>
        <v>0.1</v>
      </c>
      <c r="AR33" s="98">
        <f>'COGS-PRICE-MARGIN_CWS'!$D76</f>
        <v>0.1</v>
      </c>
      <c r="AS33" s="98">
        <f>'COGS-PRICE-MARGIN_CWS'!$D76</f>
        <v>0.1</v>
      </c>
      <c r="AT33" s="98">
        <f>'COGS-PRICE-MARGIN_CWS'!$D76</f>
        <v>0.1</v>
      </c>
      <c r="AU33" s="98">
        <f>'COGS-PRICE-MARGIN_CWS'!$D76</f>
        <v>0.1</v>
      </c>
      <c r="AV33" s="98">
        <f>'COGS-PRICE-MARGIN_CWS'!$D76</f>
        <v>0.1</v>
      </c>
      <c r="AW33" s="98">
        <f>'COGS-PRICE-MARGIN_CWS'!$D76</f>
        <v>0.1</v>
      </c>
      <c r="AX33" s="98">
        <f>'COGS-PRICE-MARGIN_CWS'!$D76</f>
        <v>0.1</v>
      </c>
      <c r="AY33" s="98">
        <f>'COGS-PRICE-MARGIN_CWS'!$D76</f>
        <v>0.1</v>
      </c>
      <c r="AZ33" s="98">
        <f>'COGS-PRICE-MARGIN_CWS'!$D76</f>
        <v>0.1</v>
      </c>
      <c r="BA33" s="98">
        <f>'COGS-PRICE-MARGIN_CWS'!$D97</f>
        <v>0.1</v>
      </c>
      <c r="BB33" s="98">
        <f>'COGS-PRICE-MARGIN_CWS'!$D97</f>
        <v>0.1</v>
      </c>
      <c r="BC33" s="98">
        <f>'COGS-PRICE-MARGIN_CWS'!$D97</f>
        <v>0.1</v>
      </c>
      <c r="BD33" s="98">
        <f>'COGS-PRICE-MARGIN_CWS'!$D97</f>
        <v>0.1</v>
      </c>
      <c r="BE33" s="98">
        <f>'COGS-PRICE-MARGIN_CWS'!$D97</f>
        <v>0.1</v>
      </c>
      <c r="BF33" s="98">
        <f>'COGS-PRICE-MARGIN_CWS'!$D97</f>
        <v>0.1</v>
      </c>
      <c r="BG33" s="98">
        <f>'COGS-PRICE-MARGIN_CWS'!$D97</f>
        <v>0.1</v>
      </c>
      <c r="BH33" s="98">
        <f>'COGS-PRICE-MARGIN_CWS'!$D97</f>
        <v>0.1</v>
      </c>
      <c r="BI33" s="98">
        <f>'COGS-PRICE-MARGIN_CWS'!$D97</f>
        <v>0.1</v>
      </c>
      <c r="BJ33" s="98">
        <f>'COGS-PRICE-MARGIN_CWS'!$D97</f>
        <v>0.1</v>
      </c>
      <c r="BK33" s="98">
        <f>'COGS-PRICE-MARGIN_CWS'!$D97</f>
        <v>0.1</v>
      </c>
      <c r="BL33" s="98">
        <f>'COGS-PRICE-MARGIN_CWS'!$D97</f>
        <v>0.1</v>
      </c>
    </row>
    <row r="34" spans="2:66" x14ac:dyDescent="0.15">
      <c r="B34" s="47" t="s">
        <v>355</v>
      </c>
      <c r="C34" s="47"/>
      <c r="E34" s="90">
        <f t="shared" ref="E34:AJ34" si="11">E32*(1-E33)</f>
        <v>0</v>
      </c>
      <c r="F34" s="90">
        <f t="shared" si="11"/>
        <v>0</v>
      </c>
      <c r="G34" s="90">
        <f t="shared" si="11"/>
        <v>0</v>
      </c>
      <c r="H34" s="90">
        <f t="shared" si="11"/>
        <v>606970</v>
      </c>
      <c r="I34" s="90">
        <f t="shared" si="11"/>
        <v>669760</v>
      </c>
      <c r="J34" s="90">
        <f t="shared" si="11"/>
        <v>753480</v>
      </c>
      <c r="K34" s="90">
        <f t="shared" si="11"/>
        <v>606970</v>
      </c>
      <c r="L34" s="90">
        <f t="shared" si="11"/>
        <v>669760</v>
      </c>
      <c r="M34" s="90">
        <f t="shared" si="11"/>
        <v>544180</v>
      </c>
      <c r="N34" s="90">
        <f t="shared" si="11"/>
        <v>544180</v>
      </c>
      <c r="O34" s="90">
        <f t="shared" si="11"/>
        <v>544180</v>
      </c>
      <c r="P34" s="90">
        <f t="shared" si="11"/>
        <v>334880</v>
      </c>
      <c r="Q34" s="90">
        <f t="shared" si="11"/>
        <v>1687.5</v>
      </c>
      <c r="R34" s="90">
        <f t="shared" si="11"/>
        <v>2812.5</v>
      </c>
      <c r="S34" s="90">
        <f t="shared" si="11"/>
        <v>3187.5</v>
      </c>
      <c r="T34" s="90">
        <f t="shared" si="11"/>
        <v>3187.5</v>
      </c>
      <c r="U34" s="90">
        <f t="shared" si="11"/>
        <v>3562.5</v>
      </c>
      <c r="V34" s="90">
        <f t="shared" si="11"/>
        <v>3937.5</v>
      </c>
      <c r="W34" s="90">
        <f t="shared" si="11"/>
        <v>3187.5</v>
      </c>
      <c r="X34" s="90">
        <f t="shared" si="11"/>
        <v>3562.5</v>
      </c>
      <c r="Y34" s="90">
        <f t="shared" si="11"/>
        <v>2812.5</v>
      </c>
      <c r="Z34" s="90">
        <f t="shared" si="11"/>
        <v>2812.5</v>
      </c>
      <c r="AA34" s="90">
        <f t="shared" si="11"/>
        <v>2812.5</v>
      </c>
      <c r="AB34" s="90">
        <f t="shared" si="11"/>
        <v>1687.5</v>
      </c>
      <c r="AC34" s="90">
        <f t="shared" si="11"/>
        <v>2337.5</v>
      </c>
      <c r="AD34" s="90">
        <f t="shared" si="11"/>
        <v>3825</v>
      </c>
      <c r="AE34" s="90">
        <f t="shared" si="11"/>
        <v>4462.5</v>
      </c>
      <c r="AF34" s="90">
        <f t="shared" si="11"/>
        <v>4462.5</v>
      </c>
      <c r="AG34" s="90">
        <f t="shared" si="11"/>
        <v>4887.5</v>
      </c>
      <c r="AH34" s="90">
        <f t="shared" si="11"/>
        <v>5312.5</v>
      </c>
      <c r="AI34" s="90">
        <f t="shared" si="11"/>
        <v>4462.5</v>
      </c>
      <c r="AJ34" s="90">
        <f t="shared" si="11"/>
        <v>4887.5</v>
      </c>
      <c r="AK34" s="90">
        <f t="shared" ref="AK34:BL34" si="12">AK32*(1-AK33)</f>
        <v>3825</v>
      </c>
      <c r="AL34" s="90">
        <f t="shared" si="12"/>
        <v>3825</v>
      </c>
      <c r="AM34" s="90">
        <f t="shared" si="12"/>
        <v>3825</v>
      </c>
      <c r="AN34" s="90">
        <f t="shared" si="12"/>
        <v>2337.5</v>
      </c>
      <c r="AO34" s="90">
        <f t="shared" si="12"/>
        <v>1890</v>
      </c>
      <c r="AP34" s="90">
        <f t="shared" si="12"/>
        <v>3150</v>
      </c>
      <c r="AQ34" s="90">
        <f t="shared" si="12"/>
        <v>3465</v>
      </c>
      <c r="AR34" s="90">
        <f t="shared" si="12"/>
        <v>3465</v>
      </c>
      <c r="AS34" s="90">
        <f t="shared" si="12"/>
        <v>3780</v>
      </c>
      <c r="AT34" s="90">
        <f t="shared" si="12"/>
        <v>4095</v>
      </c>
      <c r="AU34" s="90">
        <f t="shared" si="12"/>
        <v>3465</v>
      </c>
      <c r="AV34" s="90">
        <f t="shared" si="12"/>
        <v>3780</v>
      </c>
      <c r="AW34" s="90">
        <f t="shared" si="12"/>
        <v>3150</v>
      </c>
      <c r="AX34" s="90">
        <f t="shared" si="12"/>
        <v>3150</v>
      </c>
      <c r="AY34" s="90">
        <f t="shared" si="12"/>
        <v>3150</v>
      </c>
      <c r="AZ34" s="90">
        <f t="shared" si="12"/>
        <v>1890</v>
      </c>
      <c r="BA34" s="90">
        <f t="shared" si="12"/>
        <v>945</v>
      </c>
      <c r="BB34" s="90">
        <f t="shared" si="12"/>
        <v>1575</v>
      </c>
      <c r="BC34" s="90">
        <f t="shared" si="12"/>
        <v>1575</v>
      </c>
      <c r="BD34" s="90">
        <f t="shared" si="12"/>
        <v>1575</v>
      </c>
      <c r="BE34" s="90">
        <f t="shared" si="12"/>
        <v>1890</v>
      </c>
      <c r="BF34" s="90">
        <f t="shared" si="12"/>
        <v>2205</v>
      </c>
      <c r="BG34" s="90">
        <f t="shared" si="12"/>
        <v>1575</v>
      </c>
      <c r="BH34" s="90">
        <f t="shared" si="12"/>
        <v>1890</v>
      </c>
      <c r="BI34" s="90">
        <f t="shared" si="12"/>
        <v>1575</v>
      </c>
      <c r="BJ34" s="90">
        <f t="shared" si="12"/>
        <v>1575</v>
      </c>
      <c r="BK34" s="90">
        <f t="shared" si="12"/>
        <v>1575</v>
      </c>
      <c r="BL34" s="90">
        <f t="shared" si="12"/>
        <v>945</v>
      </c>
      <c r="BM34" s="118">
        <f>SUM(E34:BL34)</f>
        <v>5415390</v>
      </c>
    </row>
    <row r="35" spans="2:66" x14ac:dyDescent="0.15">
      <c r="B35" s="47" t="s">
        <v>370</v>
      </c>
      <c r="C35" s="47"/>
      <c r="E35" s="90">
        <f>'REV-REC-MAINT_CWS'!F69</f>
        <v>0</v>
      </c>
      <c r="F35" s="90">
        <f>'REV-REC-MAINT_CWS'!G69</f>
        <v>0</v>
      </c>
      <c r="G35" s="90">
        <f>'REV-REC-MAINT_CWS'!H69</f>
        <v>0</v>
      </c>
      <c r="H35" s="90">
        <f>'REV-REC-MAINT_CWS'!I69</f>
        <v>0</v>
      </c>
      <c r="I35" s="90">
        <f>'REV-REC-MAINT_CWS'!J69</f>
        <v>0</v>
      </c>
      <c r="J35" s="90">
        <f>'REV-REC-MAINT_CWS'!K69</f>
        <v>0</v>
      </c>
      <c r="K35" s="90">
        <f>'REV-REC-MAINT_CWS'!L69</f>
        <v>0</v>
      </c>
      <c r="L35" s="90">
        <f>'REV-REC-MAINT_CWS'!M69</f>
        <v>0</v>
      </c>
      <c r="M35" s="90">
        <f>'REV-REC-MAINT_CWS'!N69</f>
        <v>0</v>
      </c>
      <c r="N35" s="90">
        <f>'REV-REC-MAINT_CWS'!O69</f>
        <v>0</v>
      </c>
      <c r="O35" s="90">
        <f>'REV-REC-MAINT_CWS'!P69</f>
        <v>0</v>
      </c>
      <c r="P35" s="90">
        <f>'REV-REC-MAINT_CWS'!Q69</f>
        <v>0</v>
      </c>
      <c r="Q35" s="90">
        <f>'REV-REC-MAINT_CWS'!R69</f>
        <v>225</v>
      </c>
      <c r="R35" s="90">
        <f>'REV-REC-MAINT_CWS'!S69</f>
        <v>375</v>
      </c>
      <c r="S35" s="90">
        <f>'REV-REC-MAINT_CWS'!T69</f>
        <v>425</v>
      </c>
      <c r="T35" s="90">
        <f>'REV-REC-MAINT_CWS'!U69</f>
        <v>1150</v>
      </c>
      <c r="U35" s="90">
        <f>'REV-REC-MAINT_CWS'!V69</f>
        <v>1275</v>
      </c>
      <c r="V35" s="90">
        <f>'REV-REC-MAINT_CWS'!W69</f>
        <v>1425</v>
      </c>
      <c r="W35" s="90">
        <f>'REV-REC-MAINT_CWS'!X69</f>
        <v>1150</v>
      </c>
      <c r="X35" s="90">
        <f>'REV-REC-MAINT_CWS'!Y69</f>
        <v>1275</v>
      </c>
      <c r="Y35" s="90">
        <f>'REV-REC-MAINT_CWS'!Z69</f>
        <v>1025</v>
      </c>
      <c r="Z35" s="90">
        <f>'REV-REC-MAINT_CWS'!AA69</f>
        <v>1025</v>
      </c>
      <c r="AA35" s="90">
        <f>'REV-REC-MAINT_CWS'!AB69</f>
        <v>1025</v>
      </c>
      <c r="AB35" s="90">
        <f>'REV-REC-MAINT_CWS'!AC69</f>
        <v>625</v>
      </c>
      <c r="AC35" s="90">
        <f>'REV-REC-MAINT_CWS'!AD69</f>
        <v>500</v>
      </c>
      <c r="AD35" s="90">
        <f>'REV-REC-MAINT_CWS'!AE69</f>
        <v>825</v>
      </c>
      <c r="AE35" s="90">
        <f>'REV-REC-MAINT_CWS'!AF69</f>
        <v>950</v>
      </c>
      <c r="AF35" s="90">
        <f>'REV-REC-MAINT_CWS'!AG69</f>
        <v>1675</v>
      </c>
      <c r="AG35" s="90">
        <f>'REV-REC-MAINT_CWS'!AH69</f>
        <v>1850</v>
      </c>
      <c r="AH35" s="90">
        <f>'REV-REC-MAINT_CWS'!AI69</f>
        <v>2050</v>
      </c>
      <c r="AI35" s="90">
        <f>'REV-REC-MAINT_CWS'!AJ69</f>
        <v>1675</v>
      </c>
      <c r="AJ35" s="90">
        <f>'REV-REC-MAINT_CWS'!AK69</f>
        <v>1850</v>
      </c>
      <c r="AK35" s="90">
        <f>'REV-REC-MAINT_CWS'!AL69</f>
        <v>1475</v>
      </c>
      <c r="AL35" s="90">
        <f>'REV-REC-MAINT_CWS'!AM69</f>
        <v>1475</v>
      </c>
      <c r="AM35" s="90">
        <f>'REV-REC-MAINT_CWS'!AN69</f>
        <v>1475</v>
      </c>
      <c r="AN35" s="90">
        <f>'REV-REC-MAINT_CWS'!AO69</f>
        <v>900</v>
      </c>
      <c r="AO35" s="90">
        <f>'REV-REC-MAINT_CWS'!AP69</f>
        <v>910</v>
      </c>
      <c r="AP35" s="90">
        <f>'REV-REC-MAINT_CWS'!AQ69</f>
        <v>1505</v>
      </c>
      <c r="AQ35" s="90">
        <f>'REV-REC-MAINT_CWS'!AR69</f>
        <v>1715</v>
      </c>
      <c r="AR35" s="90">
        <f>'REV-REC-MAINT_CWS'!AS69</f>
        <v>2730</v>
      </c>
      <c r="AS35" s="90">
        <f>'REV-REC-MAINT_CWS'!AT69</f>
        <v>3010</v>
      </c>
      <c r="AT35" s="90">
        <f>'REV-REC-MAINT_CWS'!AU69</f>
        <v>3325</v>
      </c>
      <c r="AU35" s="90">
        <f>'REV-REC-MAINT_CWS'!AV69</f>
        <v>2730</v>
      </c>
      <c r="AV35" s="90">
        <f>'REV-REC-MAINT_CWS'!AW69</f>
        <v>3010</v>
      </c>
      <c r="AW35" s="90">
        <f>'REV-REC-MAINT_CWS'!AX69</f>
        <v>2415</v>
      </c>
      <c r="AX35" s="90">
        <f>'REV-REC-MAINT_CWS'!AY69</f>
        <v>2415</v>
      </c>
      <c r="AY35" s="90">
        <f>'REV-REC-MAINT_CWS'!AZ69</f>
        <v>2415</v>
      </c>
      <c r="AZ35" s="90">
        <f>'REV-REC-MAINT_CWS'!BA69</f>
        <v>1470</v>
      </c>
      <c r="BA35" s="90">
        <f>'REV-REC-MAINT_CWS'!BB69</f>
        <v>1015</v>
      </c>
      <c r="BB35" s="90">
        <f>'REV-REC-MAINT_CWS'!BC69</f>
        <v>1680</v>
      </c>
      <c r="BC35" s="90">
        <f>'REV-REC-MAINT_CWS'!BD69</f>
        <v>1890</v>
      </c>
      <c r="BD35" s="90">
        <f>'REV-REC-MAINT_CWS'!BE69</f>
        <v>2905</v>
      </c>
      <c r="BE35" s="90">
        <f>'REV-REC-MAINT_CWS'!BF69</f>
        <v>3220</v>
      </c>
      <c r="BF35" s="90">
        <f>'REV-REC-MAINT_CWS'!BG69</f>
        <v>3570</v>
      </c>
      <c r="BG35" s="90">
        <f>'REV-REC-MAINT_CWS'!BH69</f>
        <v>2905</v>
      </c>
      <c r="BH35" s="90">
        <f>'REV-REC-MAINT_CWS'!BI69</f>
        <v>3220</v>
      </c>
      <c r="BI35" s="90">
        <f>'REV-REC-MAINT_CWS'!BJ69</f>
        <v>2590</v>
      </c>
      <c r="BJ35" s="90">
        <f>'REV-REC-MAINT_CWS'!BK69</f>
        <v>2590</v>
      </c>
      <c r="BK35" s="90">
        <f>'REV-REC-MAINT_CWS'!BL69</f>
        <v>2590</v>
      </c>
      <c r="BL35" s="90">
        <f>'REV-REC-MAINT_CWS'!BM69</f>
        <v>1575</v>
      </c>
      <c r="BM35" s="118">
        <f>SUM(E35:BL35)</f>
        <v>85100</v>
      </c>
    </row>
    <row r="37" spans="2:66" x14ac:dyDescent="0.15">
      <c r="B37" s="16" t="s">
        <v>340</v>
      </c>
    </row>
    <row r="38" spans="2:66" x14ac:dyDescent="0.15">
      <c r="B38" s="47" t="s">
        <v>362</v>
      </c>
      <c r="E38" s="90">
        <f>'COGS-PRICE-MARGIN_CWS'!$C19*E28</f>
        <v>0</v>
      </c>
      <c r="F38" s="90">
        <f>'COGS-PRICE-MARGIN_CWS'!$C19*F28</f>
        <v>0</v>
      </c>
      <c r="G38" s="90">
        <f>'COGS-PRICE-MARGIN_CWS'!$C19*G28</f>
        <v>0</v>
      </c>
      <c r="H38" s="90">
        <f>'COGS-PRICE-MARGIN_CWS'!$C19*H28</f>
        <v>0</v>
      </c>
      <c r="I38" s="90">
        <f>'COGS-PRICE-MARGIN_CWS'!$C19*I28</f>
        <v>0</v>
      </c>
      <c r="J38" s="90">
        <f>'COGS-PRICE-MARGIN_CWS'!$C19*J28</f>
        <v>0</v>
      </c>
      <c r="K38" s="90">
        <f>'COGS-PRICE-MARGIN_CWS'!$C19*K28</f>
        <v>0</v>
      </c>
      <c r="L38" s="90">
        <f>'COGS-PRICE-MARGIN_CWS'!$C19*L28</f>
        <v>0</v>
      </c>
      <c r="M38" s="90">
        <f>'COGS-PRICE-MARGIN_CWS'!$C19*M28</f>
        <v>0</v>
      </c>
      <c r="N38" s="90">
        <f>'COGS-PRICE-MARGIN_CWS'!$C19*N28</f>
        <v>0</v>
      </c>
      <c r="O38" s="90">
        <f>'COGS-PRICE-MARGIN_CWS'!$C19*O28</f>
        <v>0</v>
      </c>
      <c r="P38" s="90">
        <f>'COGS-PRICE-MARGIN_CWS'!$C19*P28</f>
        <v>0</v>
      </c>
      <c r="Q38" s="90">
        <f>'COGS-PRICE-MARGIN_CWS'!$C40*Q28</f>
        <v>175</v>
      </c>
      <c r="R38" s="90">
        <f>'COGS-PRICE-MARGIN_CWS'!$C40*R28</f>
        <v>275</v>
      </c>
      <c r="S38" s="90">
        <f>'COGS-PRICE-MARGIN_CWS'!$C40*S28</f>
        <v>300</v>
      </c>
      <c r="T38" s="90">
        <f>'COGS-PRICE-MARGIN_CWS'!$C40*T28</f>
        <v>300</v>
      </c>
      <c r="U38" s="90">
        <f>'COGS-PRICE-MARGIN_CWS'!$C40*U28</f>
        <v>325</v>
      </c>
      <c r="V38" s="90">
        <f>'COGS-PRICE-MARGIN_CWS'!$C40*V28</f>
        <v>350</v>
      </c>
      <c r="W38" s="90">
        <f>'COGS-PRICE-MARGIN_CWS'!$C40*W28</f>
        <v>300</v>
      </c>
      <c r="X38" s="90">
        <f>'COGS-PRICE-MARGIN_CWS'!$C40*X28</f>
        <v>325</v>
      </c>
      <c r="Y38" s="90">
        <f>'COGS-PRICE-MARGIN_CWS'!$C40*Y28</f>
        <v>275</v>
      </c>
      <c r="Z38" s="90">
        <f>'COGS-PRICE-MARGIN_CWS'!$C40*Z28</f>
        <v>275</v>
      </c>
      <c r="AA38" s="90">
        <f>'COGS-PRICE-MARGIN_CWS'!$C40*AA28</f>
        <v>275</v>
      </c>
      <c r="AB38" s="90">
        <f>'COGS-PRICE-MARGIN_CWS'!$C40*AB28</f>
        <v>175</v>
      </c>
      <c r="AC38" s="90">
        <f>'COGS-PRICE-MARGIN_CWS'!$C61*AC28</f>
        <v>450</v>
      </c>
      <c r="AD38" s="90">
        <f>'COGS-PRICE-MARGIN_CWS'!$C61*AD28</f>
        <v>725</v>
      </c>
      <c r="AE38" s="90">
        <f>'COGS-PRICE-MARGIN_CWS'!$C61*AE28</f>
        <v>800</v>
      </c>
      <c r="AF38" s="90">
        <f>'COGS-PRICE-MARGIN_CWS'!$C61*AF28</f>
        <v>800</v>
      </c>
      <c r="AG38" s="90">
        <f>'COGS-PRICE-MARGIN_CWS'!$C61*AG28</f>
        <v>875</v>
      </c>
      <c r="AH38" s="90">
        <f>'COGS-PRICE-MARGIN_CWS'!$C61*AH28</f>
        <v>975</v>
      </c>
      <c r="AI38" s="90">
        <f>'COGS-PRICE-MARGIN_CWS'!$C61*AI28</f>
        <v>800</v>
      </c>
      <c r="AJ38" s="90">
        <f>'COGS-PRICE-MARGIN_CWS'!$C61*AJ28</f>
        <v>875</v>
      </c>
      <c r="AK38" s="90">
        <f>'COGS-PRICE-MARGIN_CWS'!$C61*AK28</f>
        <v>725</v>
      </c>
      <c r="AL38" s="90">
        <f>'COGS-PRICE-MARGIN_CWS'!$C61*AL28</f>
        <v>725</v>
      </c>
      <c r="AM38" s="90">
        <f>'COGS-PRICE-MARGIN_CWS'!$C61*AM28</f>
        <v>725</v>
      </c>
      <c r="AN38" s="90">
        <f>'COGS-PRICE-MARGIN_CWS'!$C61*AN28</f>
        <v>450</v>
      </c>
      <c r="AO38" s="90">
        <f>'COGS-PRICE-MARGIN_CWS'!$C82*AO28</f>
        <v>625</v>
      </c>
      <c r="AP38" s="90">
        <f>'COGS-PRICE-MARGIN_CWS'!$C82*AP28</f>
        <v>1000</v>
      </c>
      <c r="AQ38" s="90">
        <f>'COGS-PRICE-MARGIN_CWS'!$C82*AQ28</f>
        <v>1125</v>
      </c>
      <c r="AR38" s="90">
        <f>'COGS-PRICE-MARGIN_CWS'!$C82*AR28</f>
        <v>1125</v>
      </c>
      <c r="AS38" s="90">
        <f>'COGS-PRICE-MARGIN_CWS'!$C82*AS28</f>
        <v>1250</v>
      </c>
      <c r="AT38" s="90">
        <f>'COGS-PRICE-MARGIN_CWS'!$C82*AT28</f>
        <v>1375</v>
      </c>
      <c r="AU38" s="90">
        <f>'COGS-PRICE-MARGIN_CWS'!$C82*AU28</f>
        <v>1125</v>
      </c>
      <c r="AV38" s="90">
        <f>'COGS-PRICE-MARGIN_CWS'!$C82*AV28</f>
        <v>1250</v>
      </c>
      <c r="AW38" s="90">
        <f>'COGS-PRICE-MARGIN_CWS'!$C82*AW28</f>
        <v>1000</v>
      </c>
      <c r="AX38" s="90">
        <f>'COGS-PRICE-MARGIN_CWS'!$C82*AX28</f>
        <v>1000</v>
      </c>
      <c r="AY38" s="90">
        <f>'COGS-PRICE-MARGIN_CWS'!$C82*AY28</f>
        <v>1000</v>
      </c>
      <c r="AZ38" s="90">
        <f>'COGS-PRICE-MARGIN_CWS'!$C82*AZ28</f>
        <v>625</v>
      </c>
      <c r="BA38" s="90">
        <f>'COGS-PRICE-MARGIN_CWS'!$C103*BA28</f>
        <v>750</v>
      </c>
      <c r="BB38" s="90">
        <f>'COGS-PRICE-MARGIN_CWS'!$C103*BB28</f>
        <v>1200</v>
      </c>
      <c r="BC38" s="90">
        <f>'COGS-PRICE-MARGIN_CWS'!$C103*BC28</f>
        <v>1350</v>
      </c>
      <c r="BD38" s="90">
        <f>'COGS-PRICE-MARGIN_CWS'!$C103*BD28</f>
        <v>1350</v>
      </c>
      <c r="BE38" s="90">
        <f>'COGS-PRICE-MARGIN_CWS'!$C103*BE28</f>
        <v>1500</v>
      </c>
      <c r="BF38" s="90">
        <f>'COGS-PRICE-MARGIN_CWS'!$C103*BF28</f>
        <v>1625</v>
      </c>
      <c r="BG38" s="90">
        <f>'COGS-PRICE-MARGIN_CWS'!$C103*BG28</f>
        <v>1350</v>
      </c>
      <c r="BH38" s="90">
        <f>'COGS-PRICE-MARGIN_CWS'!$C103*BH28</f>
        <v>1500</v>
      </c>
      <c r="BI38" s="90">
        <f>'COGS-PRICE-MARGIN_CWS'!$C103*BI28</f>
        <v>1200</v>
      </c>
      <c r="BJ38" s="90">
        <f>'COGS-PRICE-MARGIN_CWS'!$C103*BJ28</f>
        <v>1200</v>
      </c>
      <c r="BK38" s="90">
        <f>'COGS-PRICE-MARGIN_CWS'!$C103*BK28</f>
        <v>1200</v>
      </c>
      <c r="BL38" s="90">
        <f>'COGS-PRICE-MARGIN_CWS'!$C103*BL28</f>
        <v>750</v>
      </c>
      <c r="BM38" s="118">
        <f>SUM(E38:BL38)</f>
        <v>39750</v>
      </c>
    </row>
    <row r="39" spans="2:66" x14ac:dyDescent="0.15">
      <c r="B39" s="47" t="s">
        <v>369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0</v>
      </c>
      <c r="O39" s="12">
        <f>'REV-REC-MAINT_CWS'!P142</f>
        <v>0</v>
      </c>
      <c r="P39" s="12">
        <f>'REV-REC-MAINT_CWS'!Q142</f>
        <v>0</v>
      </c>
      <c r="Q39" s="12">
        <f>'REV-REC-MAINT_CWS'!R142</f>
        <v>1181.25</v>
      </c>
      <c r="R39" s="12">
        <f>'REV-REC-MAINT_CWS'!S142</f>
        <v>1856.25</v>
      </c>
      <c r="S39" s="12">
        <f>'REV-REC-MAINT_CWS'!T142</f>
        <v>2025</v>
      </c>
      <c r="T39" s="12">
        <f>'REV-REC-MAINT_CWS'!U142</f>
        <v>3712.5</v>
      </c>
      <c r="U39" s="12">
        <f>'REV-REC-MAINT_CWS'!V142</f>
        <v>4050</v>
      </c>
      <c r="V39" s="12">
        <f>'REV-REC-MAINT_CWS'!W142</f>
        <v>4387.5</v>
      </c>
      <c r="W39" s="12">
        <f>'REV-REC-MAINT_CWS'!X142</f>
        <v>3712.5</v>
      </c>
      <c r="X39" s="12">
        <f>'REV-REC-MAINT_CWS'!Y142</f>
        <v>4050</v>
      </c>
      <c r="Y39" s="12">
        <f>'REV-REC-MAINT_CWS'!Z142</f>
        <v>3375</v>
      </c>
      <c r="Z39" s="12">
        <f>'REV-REC-MAINT_CWS'!AA142</f>
        <v>3375</v>
      </c>
      <c r="AA39" s="12">
        <f>'REV-REC-MAINT_CWS'!AB142</f>
        <v>3375</v>
      </c>
      <c r="AB39" s="12">
        <f>'REV-REC-MAINT_CWS'!AC142</f>
        <v>2193.75</v>
      </c>
      <c r="AC39" s="12">
        <f>'REV-REC-MAINT_CWS'!AD142</f>
        <v>4781.25</v>
      </c>
      <c r="AD39" s="12">
        <f>'REV-REC-MAINT_CWS'!AE142</f>
        <v>7650</v>
      </c>
      <c r="AE39" s="12">
        <f>'REV-REC-MAINT_CWS'!AF142</f>
        <v>8415</v>
      </c>
      <c r="AF39" s="12">
        <f>'REV-REC-MAINT_CWS'!AG142</f>
        <v>10327.5</v>
      </c>
      <c r="AG39" s="12">
        <f>'REV-REC-MAINT_CWS'!AH142</f>
        <v>11283.75</v>
      </c>
      <c r="AH39" s="12">
        <f>'REV-REC-MAINT_CWS'!AI142</f>
        <v>12431.25</v>
      </c>
      <c r="AI39" s="12">
        <f>'REV-REC-MAINT_CWS'!AJ142</f>
        <v>10327.5</v>
      </c>
      <c r="AJ39" s="12">
        <f>'REV-REC-MAINT_CWS'!AK142</f>
        <v>11283.75</v>
      </c>
      <c r="AK39" s="12">
        <f>'REV-REC-MAINT_CWS'!AL142</f>
        <v>9371.25</v>
      </c>
      <c r="AL39" s="12">
        <f>'REV-REC-MAINT_CWS'!AM142</f>
        <v>9371.25</v>
      </c>
      <c r="AM39" s="12">
        <f>'REV-REC-MAINT_CWS'!AN142</f>
        <v>9371.25</v>
      </c>
      <c r="AN39" s="12">
        <f>'REV-REC-MAINT_CWS'!AO142</f>
        <v>5928.75</v>
      </c>
      <c r="AO39" s="12">
        <f>'REV-REC-MAINT_CWS'!AP142</f>
        <v>10125</v>
      </c>
      <c r="AP39" s="12">
        <f>'REV-REC-MAINT_CWS'!AQ142</f>
        <v>16200</v>
      </c>
      <c r="AQ39" s="12">
        <f>'REV-REC-MAINT_CWS'!AR142</f>
        <v>18022.5</v>
      </c>
      <c r="AR39" s="12">
        <f>'REV-REC-MAINT_CWS'!AS142</f>
        <v>20047.5</v>
      </c>
      <c r="AS39" s="12">
        <f>'REV-REC-MAINT_CWS'!AT142</f>
        <v>22072.5</v>
      </c>
      <c r="AT39" s="12">
        <f>'REV-REC-MAINT_CWS'!AU142</f>
        <v>24300</v>
      </c>
      <c r="AU39" s="12">
        <f>'REV-REC-MAINT_CWS'!AV142</f>
        <v>20047.5</v>
      </c>
      <c r="AV39" s="12">
        <f>'REV-REC-MAINT_CWS'!AW142</f>
        <v>22072.5</v>
      </c>
      <c r="AW39" s="12">
        <f>'REV-REC-MAINT_CWS'!AX142</f>
        <v>18022.5</v>
      </c>
      <c r="AX39" s="12">
        <f>'REV-REC-MAINT_CWS'!AY142</f>
        <v>18022.5</v>
      </c>
      <c r="AY39" s="12">
        <f>'REV-REC-MAINT_CWS'!AZ142</f>
        <v>18022.5</v>
      </c>
      <c r="AZ39" s="12">
        <f>'REV-REC-MAINT_CWS'!BA142</f>
        <v>11340</v>
      </c>
      <c r="BA39" s="12">
        <f>'REV-REC-MAINT_CWS'!BB142</f>
        <v>16200</v>
      </c>
      <c r="BB39" s="12">
        <f>'REV-REC-MAINT_CWS'!BC142</f>
        <v>25920</v>
      </c>
      <c r="BC39" s="12">
        <f>'REV-REC-MAINT_CWS'!BD142</f>
        <v>28957.5</v>
      </c>
      <c r="BD39" s="12">
        <f>'REV-REC-MAINT_CWS'!BE142</f>
        <v>30982.5</v>
      </c>
      <c r="BE39" s="12">
        <f>'REV-REC-MAINT_CWS'!BF142</f>
        <v>34222.5</v>
      </c>
      <c r="BF39" s="12">
        <f>'REV-REC-MAINT_CWS'!BG142</f>
        <v>37462.5</v>
      </c>
      <c r="BG39" s="12">
        <f>'REV-REC-MAINT_CWS'!BH142</f>
        <v>30982.5</v>
      </c>
      <c r="BH39" s="12">
        <f>'REV-REC-MAINT_CWS'!BI142</f>
        <v>34222.5</v>
      </c>
      <c r="BI39" s="12">
        <f>'REV-REC-MAINT_CWS'!BJ142</f>
        <v>27742.5</v>
      </c>
      <c r="BJ39" s="12">
        <f>'REV-REC-MAINT_CWS'!BK142</f>
        <v>27742.5</v>
      </c>
      <c r="BK39" s="12">
        <f>'REV-REC-MAINT_CWS'!BL142</f>
        <v>27742.5</v>
      </c>
      <c r="BL39" s="12">
        <f>'REV-REC-MAINT_CWS'!BM142</f>
        <v>17415</v>
      </c>
      <c r="BM39" s="118">
        <f>SUM(E39:BL39)</f>
        <v>705723.75</v>
      </c>
    </row>
    <row r="41" spans="2:66" x14ac:dyDescent="0.15">
      <c r="B41" s="14" t="s">
        <v>376</v>
      </c>
      <c r="E41" s="97">
        <f t="shared" ref="E41:AJ41" si="13">E39+E38+E35+E34+E10</f>
        <v>0</v>
      </c>
      <c r="F41" s="97">
        <f t="shared" si="13"/>
        <v>0</v>
      </c>
      <c r="G41" s="97">
        <f t="shared" si="13"/>
        <v>0</v>
      </c>
      <c r="H41" s="97">
        <f t="shared" si="13"/>
        <v>1245790</v>
      </c>
      <c r="I41" s="97">
        <f t="shared" si="13"/>
        <v>1374100</v>
      </c>
      <c r="J41" s="97">
        <f t="shared" si="13"/>
        <v>1539720</v>
      </c>
      <c r="K41" s="97">
        <f t="shared" si="13"/>
        <v>1245790</v>
      </c>
      <c r="L41" s="97">
        <f t="shared" si="13"/>
        <v>1374100</v>
      </c>
      <c r="M41" s="97">
        <f t="shared" si="13"/>
        <v>1117480</v>
      </c>
      <c r="N41" s="97">
        <f t="shared" si="13"/>
        <v>1117480</v>
      </c>
      <c r="O41" s="97">
        <f t="shared" si="13"/>
        <v>1117480</v>
      </c>
      <c r="P41" s="97">
        <f t="shared" si="13"/>
        <v>695240</v>
      </c>
      <c r="Q41" s="97">
        <f t="shared" si="13"/>
        <v>240868.75</v>
      </c>
      <c r="R41" s="97">
        <f t="shared" si="13"/>
        <v>391418.75</v>
      </c>
      <c r="S41" s="97">
        <f t="shared" si="13"/>
        <v>436587.5</v>
      </c>
      <c r="T41" s="97">
        <f t="shared" si="13"/>
        <v>439000</v>
      </c>
      <c r="U41" s="97">
        <f t="shared" si="13"/>
        <v>484412.5</v>
      </c>
      <c r="V41" s="97">
        <f t="shared" si="13"/>
        <v>529850</v>
      </c>
      <c r="W41" s="97">
        <f t="shared" si="13"/>
        <v>439000</v>
      </c>
      <c r="X41" s="97">
        <f t="shared" si="13"/>
        <v>484412.5</v>
      </c>
      <c r="Y41" s="97">
        <f t="shared" si="13"/>
        <v>393587.5</v>
      </c>
      <c r="Z41" s="97">
        <f t="shared" si="13"/>
        <v>393587.5</v>
      </c>
      <c r="AA41" s="97">
        <f t="shared" si="13"/>
        <v>393587.5</v>
      </c>
      <c r="AB41" s="97">
        <f t="shared" si="13"/>
        <v>242281.25</v>
      </c>
      <c r="AC41" s="97">
        <f t="shared" si="13"/>
        <v>155968.75</v>
      </c>
      <c r="AD41" s="97">
        <f t="shared" si="13"/>
        <v>252725</v>
      </c>
      <c r="AE41" s="97">
        <f t="shared" si="13"/>
        <v>284927.5</v>
      </c>
      <c r="AF41" s="97">
        <f t="shared" si="13"/>
        <v>287565</v>
      </c>
      <c r="AG41" s="97">
        <f t="shared" si="13"/>
        <v>314696.25</v>
      </c>
      <c r="AH41" s="97">
        <f t="shared" si="13"/>
        <v>347168.75</v>
      </c>
      <c r="AI41" s="97">
        <f t="shared" si="13"/>
        <v>287565</v>
      </c>
      <c r="AJ41" s="97">
        <f t="shared" si="13"/>
        <v>314696.25</v>
      </c>
      <c r="AK41" s="97">
        <f t="shared" ref="AK41:BL41" si="14">AK39+AK38+AK35+AK34+AK10</f>
        <v>255096.25</v>
      </c>
      <c r="AL41" s="97">
        <f t="shared" si="14"/>
        <v>255096.25</v>
      </c>
      <c r="AM41" s="97">
        <f t="shared" si="14"/>
        <v>255096.25</v>
      </c>
      <c r="AN41" s="97">
        <f t="shared" si="14"/>
        <v>157516.25</v>
      </c>
      <c r="AO41" s="97">
        <f t="shared" si="14"/>
        <v>194900</v>
      </c>
      <c r="AP41" s="97">
        <f t="shared" si="14"/>
        <v>314355</v>
      </c>
      <c r="AQ41" s="97">
        <f t="shared" si="14"/>
        <v>351927.5</v>
      </c>
      <c r="AR41" s="97">
        <f t="shared" si="14"/>
        <v>354967.5</v>
      </c>
      <c r="AS41" s="97">
        <f t="shared" si="14"/>
        <v>392812.5</v>
      </c>
      <c r="AT41" s="97">
        <f t="shared" si="14"/>
        <v>430895</v>
      </c>
      <c r="AU41" s="97">
        <f t="shared" si="14"/>
        <v>354967.5</v>
      </c>
      <c r="AV41" s="97">
        <f t="shared" si="14"/>
        <v>392812.5</v>
      </c>
      <c r="AW41" s="97">
        <f t="shared" si="14"/>
        <v>317087.5</v>
      </c>
      <c r="AX41" s="97">
        <f t="shared" si="14"/>
        <v>317087.5</v>
      </c>
      <c r="AY41" s="97">
        <f t="shared" si="14"/>
        <v>317087.5</v>
      </c>
      <c r="AZ41" s="97">
        <f t="shared" si="14"/>
        <v>196675</v>
      </c>
      <c r="BA41" s="97">
        <f t="shared" si="14"/>
        <v>234235</v>
      </c>
      <c r="BB41" s="97">
        <f t="shared" si="14"/>
        <v>376200</v>
      </c>
      <c r="BC41" s="97">
        <f t="shared" si="14"/>
        <v>418747.5</v>
      </c>
      <c r="BD41" s="97">
        <f t="shared" si="14"/>
        <v>421787.5</v>
      </c>
      <c r="BE41" s="97">
        <f t="shared" si="14"/>
        <v>471482.5</v>
      </c>
      <c r="BF41" s="97">
        <f t="shared" si="14"/>
        <v>514662.5</v>
      </c>
      <c r="BG41" s="97">
        <f t="shared" si="14"/>
        <v>421787.5</v>
      </c>
      <c r="BH41" s="97">
        <f t="shared" si="14"/>
        <v>471482.5</v>
      </c>
      <c r="BI41" s="97">
        <f t="shared" si="14"/>
        <v>378932.5</v>
      </c>
      <c r="BJ41" s="97">
        <f t="shared" si="14"/>
        <v>378932.5</v>
      </c>
      <c r="BK41" s="97">
        <f t="shared" si="14"/>
        <v>378932.5</v>
      </c>
      <c r="BL41" s="97">
        <f t="shared" si="14"/>
        <v>236010</v>
      </c>
      <c r="BM41" s="118">
        <f>SUM(E41:BL41)</f>
        <v>27502658.75</v>
      </c>
      <c r="BN41" s="97">
        <f>BM39+BM38+BM35+BM34+BM10</f>
        <v>27502658.75</v>
      </c>
    </row>
    <row r="42" spans="2:66" x14ac:dyDescent="0.15">
      <c r="B42" s="14" t="s">
        <v>381</v>
      </c>
      <c r="E42" s="97">
        <f t="shared" ref="E42:AJ42" si="15">E21+E34+E35+E38+E39</f>
        <v>0</v>
      </c>
      <c r="F42" s="97">
        <f t="shared" si="15"/>
        <v>0</v>
      </c>
      <c r="G42" s="97">
        <f t="shared" si="15"/>
        <v>0</v>
      </c>
      <c r="H42" s="97">
        <f t="shared" si="15"/>
        <v>777790</v>
      </c>
      <c r="I42" s="97">
        <f t="shared" si="15"/>
        <v>858100</v>
      </c>
      <c r="J42" s="97">
        <f t="shared" si="15"/>
        <v>963720</v>
      </c>
      <c r="K42" s="97">
        <f t="shared" si="15"/>
        <v>777790</v>
      </c>
      <c r="L42" s="97">
        <f t="shared" si="15"/>
        <v>858100</v>
      </c>
      <c r="M42" s="97">
        <f t="shared" si="15"/>
        <v>697480</v>
      </c>
      <c r="N42" s="97">
        <f t="shared" si="15"/>
        <v>697480</v>
      </c>
      <c r="O42" s="97">
        <f t="shared" si="15"/>
        <v>697480</v>
      </c>
      <c r="P42" s="97">
        <f t="shared" si="15"/>
        <v>431240</v>
      </c>
      <c r="Q42" s="97">
        <f t="shared" si="15"/>
        <v>68068.75</v>
      </c>
      <c r="R42" s="97">
        <f t="shared" si="15"/>
        <v>110618.75</v>
      </c>
      <c r="S42" s="97">
        <f t="shared" si="15"/>
        <v>123387.5</v>
      </c>
      <c r="T42" s="97">
        <f t="shared" si="15"/>
        <v>125800</v>
      </c>
      <c r="U42" s="97">
        <f t="shared" si="15"/>
        <v>138812.5</v>
      </c>
      <c r="V42" s="97">
        <f t="shared" si="15"/>
        <v>151850</v>
      </c>
      <c r="W42" s="97">
        <f t="shared" si="15"/>
        <v>125800</v>
      </c>
      <c r="X42" s="97">
        <f t="shared" si="15"/>
        <v>138812.5</v>
      </c>
      <c r="Y42" s="97">
        <f t="shared" si="15"/>
        <v>112787.5</v>
      </c>
      <c r="Z42" s="97">
        <f t="shared" si="15"/>
        <v>112787.5</v>
      </c>
      <c r="AA42" s="97">
        <f t="shared" si="15"/>
        <v>112787.5</v>
      </c>
      <c r="AB42" s="97">
        <f t="shared" si="15"/>
        <v>69481.25</v>
      </c>
      <c r="AC42" s="97">
        <f t="shared" si="15"/>
        <v>-125911.25</v>
      </c>
      <c r="AD42" s="97">
        <f t="shared" si="15"/>
        <v>-204115</v>
      </c>
      <c r="AE42" s="97">
        <f t="shared" si="15"/>
        <v>-230232.5</v>
      </c>
      <c r="AF42" s="97">
        <f t="shared" si="15"/>
        <v>-227595</v>
      </c>
      <c r="AG42" s="97">
        <f t="shared" si="15"/>
        <v>-249063.75</v>
      </c>
      <c r="AH42" s="97">
        <f t="shared" si="15"/>
        <v>-274911.25</v>
      </c>
      <c r="AI42" s="97">
        <f t="shared" si="15"/>
        <v>-227595</v>
      </c>
      <c r="AJ42" s="97">
        <f t="shared" si="15"/>
        <v>-249063.75</v>
      </c>
      <c r="AK42" s="97">
        <f t="shared" ref="AK42:BL42" si="16">AK21+AK34+AK35+AK38+AK39</f>
        <v>-201743.75</v>
      </c>
      <c r="AL42" s="97">
        <f t="shared" si="16"/>
        <v>-201743.75</v>
      </c>
      <c r="AM42" s="97">
        <f t="shared" si="16"/>
        <v>-201743.75</v>
      </c>
      <c r="AN42" s="97">
        <f t="shared" si="16"/>
        <v>-124363.75</v>
      </c>
      <c r="AO42" s="97">
        <f t="shared" si="16"/>
        <v>-76288</v>
      </c>
      <c r="AP42" s="97">
        <f t="shared" si="16"/>
        <v>-123045</v>
      </c>
      <c r="AQ42" s="97">
        <f t="shared" si="16"/>
        <v>-137960.5</v>
      </c>
      <c r="AR42" s="97">
        <f t="shared" si="16"/>
        <v>-134920.5</v>
      </c>
      <c r="AS42" s="97">
        <f t="shared" si="16"/>
        <v>-149563.5</v>
      </c>
      <c r="AT42" s="97">
        <f t="shared" si="16"/>
        <v>-163969</v>
      </c>
      <c r="AU42" s="97">
        <f t="shared" si="16"/>
        <v>-134920.5</v>
      </c>
      <c r="AV42" s="97">
        <f t="shared" si="16"/>
        <v>-149563.5</v>
      </c>
      <c r="AW42" s="97">
        <f t="shared" si="16"/>
        <v>-120312.5</v>
      </c>
      <c r="AX42" s="97">
        <f t="shared" si="16"/>
        <v>-120312.5</v>
      </c>
      <c r="AY42" s="97">
        <f t="shared" si="16"/>
        <v>-120312.5</v>
      </c>
      <c r="AZ42" s="97">
        <f t="shared" si="16"/>
        <v>-74513</v>
      </c>
      <c r="BA42" s="97">
        <f t="shared" si="16"/>
        <v>-25616.899999999994</v>
      </c>
      <c r="BB42" s="97">
        <f t="shared" si="16"/>
        <v>-41137.899999999965</v>
      </c>
      <c r="BC42" s="97">
        <f t="shared" si="16"/>
        <v>-45836.200000000012</v>
      </c>
      <c r="BD42" s="97">
        <f t="shared" si="16"/>
        <v>-42796.200000000012</v>
      </c>
      <c r="BE42" s="97">
        <f t="shared" si="16"/>
        <v>-48221.299999999988</v>
      </c>
      <c r="BF42" s="97">
        <f t="shared" si="16"/>
        <v>-52287.099999999977</v>
      </c>
      <c r="BG42" s="97">
        <f t="shared" si="16"/>
        <v>-42796.200000000012</v>
      </c>
      <c r="BH42" s="97">
        <f t="shared" si="16"/>
        <v>-48221.299999999988</v>
      </c>
      <c r="BI42" s="97">
        <f t="shared" si="16"/>
        <v>-38405.399999999965</v>
      </c>
      <c r="BJ42" s="97">
        <f t="shared" si="16"/>
        <v>-38405.399999999965</v>
      </c>
      <c r="BK42" s="97">
        <f t="shared" si="16"/>
        <v>-38405.399999999965</v>
      </c>
      <c r="BL42" s="97">
        <f t="shared" si="16"/>
        <v>-23841.899999999994</v>
      </c>
      <c r="BM42" s="118">
        <f>SUM(E42:BL42)</f>
        <v>3640439.0500000003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4"/>
      <c r="G2" s="364"/>
      <c r="H2" s="364"/>
      <c r="I2" s="364"/>
      <c r="J2" s="364"/>
      <c r="K2" s="364"/>
      <c r="L2" s="364"/>
      <c r="M2" s="364"/>
      <c r="N2" s="364"/>
      <c r="O2" s="364"/>
      <c r="P2" s="364"/>
      <c r="Q2" s="364"/>
      <c r="R2" s="10"/>
      <c r="S2" s="364" t="s">
        <v>36</v>
      </c>
      <c r="T2" s="364"/>
      <c r="U2" s="364"/>
      <c r="V2" s="364"/>
      <c r="W2" s="364"/>
      <c r="X2" s="364"/>
      <c r="Y2" s="364"/>
      <c r="Z2" s="364"/>
      <c r="AA2" s="364"/>
      <c r="AB2" s="364"/>
      <c r="AC2" s="364"/>
      <c r="AD2" s="364"/>
      <c r="AE2" s="10"/>
      <c r="AF2" s="364" t="s">
        <v>37</v>
      </c>
      <c r="AG2" s="364"/>
      <c r="AH2" s="364"/>
      <c r="AI2" s="364"/>
      <c r="AJ2" s="364"/>
      <c r="AK2" s="364"/>
      <c r="AL2" s="364"/>
      <c r="AM2" s="364"/>
      <c r="AN2" s="364"/>
      <c r="AO2" s="364"/>
      <c r="AP2" s="364"/>
      <c r="AQ2" s="364"/>
      <c r="AR2" s="10"/>
      <c r="AS2" s="364" t="s">
        <v>38</v>
      </c>
      <c r="AT2" s="364"/>
      <c r="AU2" s="364"/>
      <c r="AV2" s="364"/>
      <c r="AW2" s="364"/>
      <c r="AX2" s="364"/>
      <c r="AY2" s="364"/>
      <c r="AZ2" s="364"/>
      <c r="BA2" s="364"/>
      <c r="BB2" s="364"/>
      <c r="BC2" s="364"/>
      <c r="BD2" s="364"/>
      <c r="BE2" s="10"/>
      <c r="BF2" s="364" t="s">
        <v>39</v>
      </c>
      <c r="BG2" s="364"/>
      <c r="BH2" s="364"/>
      <c r="BI2" s="364"/>
      <c r="BJ2" s="364"/>
      <c r="BK2" s="364"/>
      <c r="BL2" s="364"/>
      <c r="BM2" s="364"/>
    </row>
    <row r="3" spans="1:66" ht="14.25" customHeight="1" x14ac:dyDescent="0.15">
      <c r="B3" s="302" t="s">
        <v>660</v>
      </c>
      <c r="C3" s="10" t="s">
        <v>1098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371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660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29</v>
      </c>
      <c r="E9" s="67"/>
      <c r="F9" s="102"/>
      <c r="G9" s="102"/>
      <c r="H9" s="45"/>
      <c r="I9" s="101">
        <f>$D9</f>
        <v>29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29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29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29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29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29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32</v>
      </c>
      <c r="E10" s="67"/>
      <c r="F10" s="102"/>
      <c r="G10" s="102"/>
      <c r="H10" s="102"/>
      <c r="I10" s="45"/>
      <c r="J10" s="101">
        <f>$D10</f>
        <v>32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32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32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32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32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32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36</v>
      </c>
      <c r="E11" s="67"/>
      <c r="F11" s="102"/>
      <c r="G11" s="102"/>
      <c r="H11" s="102"/>
      <c r="I11" s="102"/>
      <c r="J11" s="45"/>
      <c r="K11" s="101">
        <f>$D11</f>
        <v>36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36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36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36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36</v>
      </c>
      <c r="BH11" s="101"/>
      <c r="BI11" s="101"/>
      <c r="BJ11" s="101"/>
      <c r="BK11" s="101"/>
      <c r="BL11" s="101"/>
      <c r="BM11" s="101"/>
      <c r="BN11" s="105">
        <f t="shared" si="0"/>
        <v>36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29</v>
      </c>
      <c r="E12" s="67"/>
      <c r="F12" s="102"/>
      <c r="G12" s="102"/>
      <c r="H12" s="102"/>
      <c r="I12" s="102"/>
      <c r="J12" s="102"/>
      <c r="K12" s="45"/>
      <c r="L12" s="101">
        <f>$D12</f>
        <v>29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29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29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29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29</v>
      </c>
      <c r="BI12" s="101"/>
      <c r="BJ12" s="101"/>
      <c r="BK12" s="101"/>
      <c r="BL12" s="101"/>
      <c r="BM12" s="101"/>
      <c r="BN12" s="105">
        <f t="shared" si="0"/>
        <v>29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32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32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32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32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32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32</v>
      </c>
      <c r="BJ13" s="101"/>
      <c r="BK13" s="101"/>
      <c r="BL13" s="101"/>
      <c r="BM13" s="101"/>
      <c r="BN13" s="105">
        <f t="shared" si="0"/>
        <v>32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26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26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26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26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26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26</v>
      </c>
      <c r="BK14" s="101"/>
      <c r="BL14" s="101"/>
      <c r="BM14" s="101"/>
      <c r="BN14" s="105">
        <f t="shared" si="0"/>
        <v>26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26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26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26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26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26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26</v>
      </c>
      <c r="BL15" s="101"/>
      <c r="BM15" s="101"/>
      <c r="BN15" s="105">
        <f t="shared" si="0"/>
        <v>26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26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26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26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26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26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26</v>
      </c>
      <c r="BM16" s="101"/>
      <c r="BN16" s="105">
        <f t="shared" si="0"/>
        <v>26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16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16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16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16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16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16</v>
      </c>
      <c r="BN17" s="105">
        <f t="shared" si="0"/>
        <v>16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9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9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9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9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9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9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15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15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15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15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15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15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17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17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17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17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17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17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17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17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17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17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17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17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19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19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19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19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19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19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21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21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21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21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21</v>
      </c>
      <c r="BH23" s="101"/>
      <c r="BI23" s="101"/>
      <c r="BJ23" s="101"/>
      <c r="BK23" s="101"/>
      <c r="BL23" s="101"/>
      <c r="BM23" s="101"/>
      <c r="BN23" s="105">
        <f t="shared" si="0"/>
        <v>21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17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17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17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17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17</v>
      </c>
      <c r="BI24" s="101"/>
      <c r="BJ24" s="101"/>
      <c r="BK24" s="101"/>
      <c r="BL24" s="101"/>
      <c r="BM24" s="101"/>
      <c r="BN24" s="105">
        <f t="shared" si="0"/>
        <v>17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19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19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19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19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19</v>
      </c>
      <c r="BJ25" s="101"/>
      <c r="BK25" s="101"/>
      <c r="BL25" s="101"/>
      <c r="BM25" s="101"/>
      <c r="BN25" s="105">
        <f t="shared" si="0"/>
        <v>19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15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15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15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15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15</v>
      </c>
      <c r="BK26" s="101"/>
      <c r="BL26" s="101"/>
      <c r="BM26" s="101"/>
      <c r="BN26" s="105">
        <f t="shared" si="0"/>
        <v>15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15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15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15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15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15</v>
      </c>
      <c r="BL27" s="101"/>
      <c r="BM27" s="101"/>
      <c r="BN27" s="105">
        <f t="shared" si="0"/>
        <v>15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15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15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15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15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15</v>
      </c>
      <c r="BM28" s="101"/>
      <c r="BN28" s="105">
        <f t="shared" si="0"/>
        <v>15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9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9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9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9</v>
      </c>
      <c r="BN29" s="105">
        <f t="shared" si="0"/>
        <v>9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11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11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11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11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11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18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18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18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18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18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21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21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21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21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21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21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21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21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21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21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23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23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23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23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23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25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25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25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25</v>
      </c>
      <c r="BH35" s="101"/>
      <c r="BI35" s="101"/>
      <c r="BJ35" s="101"/>
      <c r="BK35" s="101"/>
      <c r="BL35" s="101"/>
      <c r="BM35" s="101"/>
      <c r="BN35" s="105">
        <f t="shared" si="0"/>
        <v>25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21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21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21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21</v>
      </c>
      <c r="BI36" s="101"/>
      <c r="BJ36" s="101"/>
      <c r="BK36" s="101"/>
      <c r="BL36" s="101"/>
      <c r="BM36" s="101"/>
      <c r="BN36" s="105">
        <f t="shared" si="0"/>
        <v>21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23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23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23</v>
      </c>
      <c r="BJ37" s="101"/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18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18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18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18</v>
      </c>
      <c r="BK38" s="101"/>
      <c r="BL38" s="101"/>
      <c r="BM38" s="101"/>
      <c r="BN38" s="105">
        <f t="shared" si="0"/>
        <v>18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18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18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18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18</v>
      </c>
      <c r="BL39" s="101"/>
      <c r="BM39" s="101"/>
      <c r="BN39" s="105">
        <f t="shared" si="0"/>
        <v>18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18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18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18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18</v>
      </c>
      <c r="BM40" s="101"/>
      <c r="BN40" s="105">
        <f t="shared" si="0"/>
        <v>18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11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11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11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11</v>
      </c>
      <c r="BN41" s="105">
        <f t="shared" si="0"/>
        <v>11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0" t="s">
        <v>655</v>
      </c>
      <c r="B67" s="370"/>
      <c r="C67" s="370"/>
      <c r="D67" s="370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29</v>
      </c>
      <c r="J67" s="102">
        <f t="shared" si="1"/>
        <v>32</v>
      </c>
      <c r="K67" s="102">
        <f t="shared" si="1"/>
        <v>36</v>
      </c>
      <c r="L67" s="102">
        <f t="shared" si="1"/>
        <v>29</v>
      </c>
      <c r="M67" s="102">
        <f t="shared" si="1"/>
        <v>32</v>
      </c>
      <c r="N67" s="102">
        <f t="shared" si="1"/>
        <v>26</v>
      </c>
      <c r="O67" s="102">
        <f t="shared" si="1"/>
        <v>26</v>
      </c>
      <c r="P67" s="102">
        <f t="shared" si="1"/>
        <v>26</v>
      </c>
      <c r="Q67" s="102">
        <f t="shared" si="1"/>
        <v>16</v>
      </c>
      <c r="R67" s="102">
        <f t="shared" si="1"/>
        <v>9</v>
      </c>
      <c r="S67" s="102">
        <f t="shared" si="1"/>
        <v>15</v>
      </c>
      <c r="T67" s="102">
        <f t="shared" si="1"/>
        <v>17</v>
      </c>
      <c r="U67" s="102">
        <f t="shared" si="1"/>
        <v>46</v>
      </c>
      <c r="V67" s="102">
        <f t="shared" si="1"/>
        <v>51</v>
      </c>
      <c r="W67" s="102">
        <f t="shared" si="1"/>
        <v>57</v>
      </c>
      <c r="X67" s="102">
        <f t="shared" si="1"/>
        <v>46</v>
      </c>
      <c r="Y67" s="102">
        <f t="shared" si="1"/>
        <v>51</v>
      </c>
      <c r="Z67" s="102">
        <f t="shared" si="1"/>
        <v>41</v>
      </c>
      <c r="AA67" s="102">
        <f t="shared" si="1"/>
        <v>41</v>
      </c>
      <c r="AB67" s="102">
        <f t="shared" si="1"/>
        <v>41</v>
      </c>
      <c r="AC67" s="102">
        <f t="shared" si="1"/>
        <v>25</v>
      </c>
      <c r="AD67" s="102">
        <f t="shared" si="1"/>
        <v>20</v>
      </c>
      <c r="AE67" s="102">
        <f t="shared" si="1"/>
        <v>33</v>
      </c>
      <c r="AF67" s="102">
        <f t="shared" si="1"/>
        <v>38</v>
      </c>
      <c r="AG67" s="102">
        <f t="shared" si="1"/>
        <v>67</v>
      </c>
      <c r="AH67" s="102">
        <f t="shared" si="1"/>
        <v>74</v>
      </c>
      <c r="AI67" s="102">
        <f t="shared" si="1"/>
        <v>82</v>
      </c>
      <c r="AJ67" s="102">
        <f t="shared" si="1"/>
        <v>67</v>
      </c>
      <c r="AK67" s="102">
        <f t="shared" si="1"/>
        <v>74</v>
      </c>
      <c r="AL67" s="102">
        <f t="shared" si="1"/>
        <v>59</v>
      </c>
      <c r="AM67" s="102">
        <f t="shared" si="1"/>
        <v>59</v>
      </c>
      <c r="AN67" s="102">
        <f t="shared" si="1"/>
        <v>59</v>
      </c>
      <c r="AO67" s="102">
        <f t="shared" si="1"/>
        <v>36</v>
      </c>
      <c r="AP67" s="102">
        <f t="shared" si="1"/>
        <v>26</v>
      </c>
      <c r="AQ67" s="102">
        <f t="shared" si="1"/>
        <v>43</v>
      </c>
      <c r="AR67" s="102">
        <f t="shared" si="1"/>
        <v>49</v>
      </c>
      <c r="AS67" s="102">
        <f t="shared" si="1"/>
        <v>78</v>
      </c>
      <c r="AT67" s="102">
        <f t="shared" si="1"/>
        <v>86</v>
      </c>
      <c r="AU67" s="102">
        <f t="shared" si="1"/>
        <v>95</v>
      </c>
      <c r="AV67" s="102">
        <f t="shared" si="1"/>
        <v>78</v>
      </c>
      <c r="AW67" s="102">
        <f t="shared" si="1"/>
        <v>86</v>
      </c>
      <c r="AX67" s="102">
        <f t="shared" si="1"/>
        <v>69</v>
      </c>
      <c r="AY67" s="102">
        <f t="shared" si="1"/>
        <v>69</v>
      </c>
      <c r="AZ67" s="102">
        <f t="shared" si="1"/>
        <v>69</v>
      </c>
      <c r="BA67" s="102">
        <f t="shared" si="1"/>
        <v>42</v>
      </c>
      <c r="BB67" s="102">
        <f t="shared" si="1"/>
        <v>29</v>
      </c>
      <c r="BC67" s="102">
        <f t="shared" si="1"/>
        <v>48</v>
      </c>
      <c r="BD67" s="102">
        <f t="shared" si="1"/>
        <v>54</v>
      </c>
      <c r="BE67" s="102">
        <f t="shared" si="1"/>
        <v>83</v>
      </c>
      <c r="BF67" s="102">
        <f t="shared" si="1"/>
        <v>92</v>
      </c>
      <c r="BG67" s="102">
        <f t="shared" si="1"/>
        <v>102</v>
      </c>
      <c r="BH67" s="102">
        <f t="shared" si="1"/>
        <v>83</v>
      </c>
      <c r="BI67" s="102">
        <f t="shared" si="1"/>
        <v>92</v>
      </c>
      <c r="BJ67" s="102">
        <f t="shared" si="1"/>
        <v>74</v>
      </c>
      <c r="BK67" s="102">
        <f t="shared" si="1"/>
        <v>74</v>
      </c>
      <c r="BL67" s="102">
        <f t="shared" si="1"/>
        <v>74</v>
      </c>
      <c r="BM67" s="102">
        <f>SUM(BM6:BM66)</f>
        <v>45</v>
      </c>
      <c r="BN67" s="105">
        <f>SUM(BN5:BN66)</f>
        <v>850</v>
      </c>
    </row>
    <row r="68" spans="1:72" ht="14.25" customHeight="1" x14ac:dyDescent="0.15">
      <c r="A68" s="370" t="s">
        <v>657</v>
      </c>
      <c r="B68" s="370"/>
      <c r="C68" s="370"/>
      <c r="D68" s="370"/>
      <c r="E68" s="104"/>
      <c r="F68" s="102">
        <f>'COGS-PRICE-MARGIN_CWS'!$E13</f>
        <v>0</v>
      </c>
      <c r="G68" s="102">
        <f>'COGS-PRICE-MARGIN_CWS'!$E13</f>
        <v>0</v>
      </c>
      <c r="H68" s="102">
        <f>'COGS-PRICE-MARGIN_CWS'!$E13</f>
        <v>0</v>
      </c>
      <c r="I68" s="102">
        <f>'COGS-PRICE-MARGIN_CWS'!$E13</f>
        <v>0</v>
      </c>
      <c r="J68" s="102">
        <f>'COGS-PRICE-MARGIN_CWS'!$E13</f>
        <v>0</v>
      </c>
      <c r="K68" s="102">
        <f>'COGS-PRICE-MARGIN_CWS'!$E13</f>
        <v>0</v>
      </c>
      <c r="L68" s="102">
        <f>'COGS-PRICE-MARGIN_CWS'!$E13</f>
        <v>0</v>
      </c>
      <c r="M68" s="102">
        <f>'COGS-PRICE-MARGIN_CWS'!$E13</f>
        <v>0</v>
      </c>
      <c r="N68" s="102">
        <f>'COGS-PRICE-MARGIN_CWS'!$E13</f>
        <v>0</v>
      </c>
      <c r="O68" s="102">
        <f>'COGS-PRICE-MARGIN_CWS'!$E13</f>
        <v>0</v>
      </c>
      <c r="P68" s="102">
        <f>'COGS-PRICE-MARGIN_CWS'!$E13</f>
        <v>0</v>
      </c>
      <c r="Q68" s="102">
        <f>'COGS-PRICE-MARGIN_CWS'!$E13</f>
        <v>0</v>
      </c>
      <c r="R68" s="102">
        <f>'COGS-PRICE-MARGIN_CWS'!$E35</f>
        <v>25</v>
      </c>
      <c r="S68" s="102">
        <f>'COGS-PRICE-MARGIN_CWS'!$E35</f>
        <v>25</v>
      </c>
      <c r="T68" s="102">
        <f>'COGS-PRICE-MARGIN_CWS'!$E35</f>
        <v>25</v>
      </c>
      <c r="U68" s="102">
        <f>'COGS-PRICE-MARGIN_CWS'!$E35</f>
        <v>25</v>
      </c>
      <c r="V68" s="102">
        <f>'COGS-PRICE-MARGIN_CWS'!$E35</f>
        <v>25</v>
      </c>
      <c r="W68" s="102">
        <f>'COGS-PRICE-MARGIN_CWS'!$E35</f>
        <v>25</v>
      </c>
      <c r="X68" s="102">
        <f>'COGS-PRICE-MARGIN_CWS'!$E35</f>
        <v>25</v>
      </c>
      <c r="Y68" s="102">
        <f>'COGS-PRICE-MARGIN_CWS'!$E35</f>
        <v>25</v>
      </c>
      <c r="Z68" s="102">
        <f>'COGS-PRICE-MARGIN_CWS'!$E35</f>
        <v>25</v>
      </c>
      <c r="AA68" s="102">
        <f>'COGS-PRICE-MARGIN_CWS'!$E35</f>
        <v>25</v>
      </c>
      <c r="AB68" s="102">
        <f>'COGS-PRICE-MARGIN_CWS'!$E35</f>
        <v>25</v>
      </c>
      <c r="AC68" s="102">
        <f>'COGS-PRICE-MARGIN_CWS'!$E35</f>
        <v>25</v>
      </c>
      <c r="AD68" s="102">
        <f>'COGS-PRICE-MARGIN_CWS'!$E56</f>
        <v>25</v>
      </c>
      <c r="AE68" s="102">
        <f>'COGS-PRICE-MARGIN_CWS'!$E56</f>
        <v>25</v>
      </c>
      <c r="AF68" s="102">
        <f>'COGS-PRICE-MARGIN_CWS'!$E56</f>
        <v>25</v>
      </c>
      <c r="AG68" s="102">
        <f>'COGS-PRICE-MARGIN_CWS'!$E56</f>
        <v>25</v>
      </c>
      <c r="AH68" s="102">
        <f>'COGS-PRICE-MARGIN_CWS'!$E56</f>
        <v>25</v>
      </c>
      <c r="AI68" s="102">
        <f>'COGS-PRICE-MARGIN_CWS'!$E56</f>
        <v>25</v>
      </c>
      <c r="AJ68" s="102">
        <f>'COGS-PRICE-MARGIN_CWS'!$E56</f>
        <v>25</v>
      </c>
      <c r="AK68" s="102">
        <f>'COGS-PRICE-MARGIN_CWS'!$E56</f>
        <v>25</v>
      </c>
      <c r="AL68" s="102">
        <f>'COGS-PRICE-MARGIN_CWS'!$E56</f>
        <v>25</v>
      </c>
      <c r="AM68" s="102">
        <f>'COGS-PRICE-MARGIN_CWS'!$E56</f>
        <v>25</v>
      </c>
      <c r="AN68" s="102">
        <f>'COGS-PRICE-MARGIN_CWS'!$E56</f>
        <v>25</v>
      </c>
      <c r="AO68" s="102">
        <f>'COGS-PRICE-MARGIN_CWS'!$E56</f>
        <v>25</v>
      </c>
      <c r="AP68" s="102">
        <f>'COGS-PRICE-MARGIN_CWS'!$E77</f>
        <v>35</v>
      </c>
      <c r="AQ68" s="102">
        <f>'COGS-PRICE-MARGIN_CWS'!$E77</f>
        <v>35</v>
      </c>
      <c r="AR68" s="102">
        <f>'COGS-PRICE-MARGIN_CWS'!$E77</f>
        <v>35</v>
      </c>
      <c r="AS68" s="102">
        <f>'COGS-PRICE-MARGIN_CWS'!$E77</f>
        <v>35</v>
      </c>
      <c r="AT68" s="102">
        <f>'COGS-PRICE-MARGIN_CWS'!$E77</f>
        <v>35</v>
      </c>
      <c r="AU68" s="102">
        <f>'COGS-PRICE-MARGIN_CWS'!$E77</f>
        <v>35</v>
      </c>
      <c r="AV68" s="102">
        <f>'COGS-PRICE-MARGIN_CWS'!$E77</f>
        <v>35</v>
      </c>
      <c r="AW68" s="102">
        <f>'COGS-PRICE-MARGIN_CWS'!$E77</f>
        <v>35</v>
      </c>
      <c r="AX68" s="102">
        <f>'COGS-PRICE-MARGIN_CWS'!$E77</f>
        <v>35</v>
      </c>
      <c r="AY68" s="102">
        <f>'COGS-PRICE-MARGIN_CWS'!$E77</f>
        <v>35</v>
      </c>
      <c r="AZ68" s="102">
        <f>'COGS-PRICE-MARGIN_CWS'!$E77</f>
        <v>35</v>
      </c>
      <c r="BA68" s="102">
        <f>'COGS-PRICE-MARGIN_CWS'!$E77</f>
        <v>35</v>
      </c>
      <c r="BB68" s="102">
        <f>'COGS-PRICE-MARGIN_CWS'!$E98</f>
        <v>35</v>
      </c>
      <c r="BC68" s="102">
        <f>'COGS-PRICE-MARGIN_CWS'!$E98</f>
        <v>35</v>
      </c>
      <c r="BD68" s="102">
        <f>'COGS-PRICE-MARGIN_CWS'!$E98</f>
        <v>35</v>
      </c>
      <c r="BE68" s="102">
        <f>'COGS-PRICE-MARGIN_CWS'!$E98</f>
        <v>35</v>
      </c>
      <c r="BF68" s="102">
        <f>'COGS-PRICE-MARGIN_CWS'!$E98</f>
        <v>35</v>
      </c>
      <c r="BG68" s="102">
        <f>'COGS-PRICE-MARGIN_CWS'!$E98</f>
        <v>35</v>
      </c>
      <c r="BH68" s="102">
        <f>'COGS-PRICE-MARGIN_CWS'!$E98</f>
        <v>35</v>
      </c>
      <c r="BI68" s="102">
        <f>'COGS-PRICE-MARGIN_CWS'!$E98</f>
        <v>35</v>
      </c>
      <c r="BJ68" s="102">
        <f>'COGS-PRICE-MARGIN_CWS'!$E98</f>
        <v>35</v>
      </c>
      <c r="BK68" s="102">
        <f>'COGS-PRICE-MARGIN_CWS'!$E98</f>
        <v>35</v>
      </c>
      <c r="BL68" s="102">
        <f>'COGS-PRICE-MARGIN_CWS'!$E98</f>
        <v>35</v>
      </c>
      <c r="BM68" s="102">
        <f>'COGS-PRICE-MARGIN_CWS'!$E98</f>
        <v>35</v>
      </c>
    </row>
    <row r="69" spans="1:72" ht="14.25" customHeight="1" x14ac:dyDescent="0.15">
      <c r="A69" s="370" t="s">
        <v>656</v>
      </c>
      <c r="B69" s="370"/>
      <c r="C69" s="370"/>
      <c r="D69" s="370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0</v>
      </c>
      <c r="P69" s="102">
        <f t="shared" si="2"/>
        <v>0</v>
      </c>
      <c r="Q69" s="102">
        <f t="shared" si="2"/>
        <v>0</v>
      </c>
      <c r="R69" s="102">
        <f t="shared" si="2"/>
        <v>225</v>
      </c>
      <c r="S69" s="102">
        <f t="shared" si="2"/>
        <v>375</v>
      </c>
      <c r="T69" s="102">
        <f t="shared" si="2"/>
        <v>425</v>
      </c>
      <c r="U69" s="102">
        <f t="shared" si="2"/>
        <v>1150</v>
      </c>
      <c r="V69" s="102">
        <f t="shared" si="2"/>
        <v>1275</v>
      </c>
      <c r="W69" s="102">
        <f t="shared" si="2"/>
        <v>1425</v>
      </c>
      <c r="X69" s="102">
        <f t="shared" si="2"/>
        <v>1150</v>
      </c>
      <c r="Y69" s="102">
        <f t="shared" si="2"/>
        <v>1275</v>
      </c>
      <c r="Z69" s="102">
        <f t="shared" si="2"/>
        <v>1025</v>
      </c>
      <c r="AA69" s="102">
        <f t="shared" si="2"/>
        <v>1025</v>
      </c>
      <c r="AB69" s="102">
        <f t="shared" si="2"/>
        <v>1025</v>
      </c>
      <c r="AC69" s="102">
        <f t="shared" si="2"/>
        <v>625</v>
      </c>
      <c r="AD69" s="102">
        <f t="shared" si="2"/>
        <v>500</v>
      </c>
      <c r="AE69" s="102">
        <f t="shared" si="2"/>
        <v>825</v>
      </c>
      <c r="AF69" s="102">
        <f t="shared" si="2"/>
        <v>950</v>
      </c>
      <c r="AG69" s="102">
        <f t="shared" si="2"/>
        <v>1675</v>
      </c>
      <c r="AH69" s="102">
        <f t="shared" si="2"/>
        <v>1850</v>
      </c>
      <c r="AI69" s="102">
        <f t="shared" si="2"/>
        <v>2050</v>
      </c>
      <c r="AJ69" s="102">
        <f t="shared" si="2"/>
        <v>1675</v>
      </c>
      <c r="AK69" s="102">
        <f t="shared" si="2"/>
        <v>1850</v>
      </c>
      <c r="AL69" s="102">
        <f t="shared" ref="AL69:BM69" si="3">AL68*AL67</f>
        <v>1475</v>
      </c>
      <c r="AM69" s="102">
        <f t="shared" si="3"/>
        <v>1475</v>
      </c>
      <c r="AN69" s="102">
        <f t="shared" si="3"/>
        <v>1475</v>
      </c>
      <c r="AO69" s="102">
        <f t="shared" si="3"/>
        <v>900</v>
      </c>
      <c r="AP69" s="102">
        <f t="shared" si="3"/>
        <v>910</v>
      </c>
      <c r="AQ69" s="102">
        <f t="shared" si="3"/>
        <v>1505</v>
      </c>
      <c r="AR69" s="102">
        <f t="shared" si="3"/>
        <v>1715</v>
      </c>
      <c r="AS69" s="102">
        <f t="shared" si="3"/>
        <v>2730</v>
      </c>
      <c r="AT69" s="102">
        <f t="shared" si="3"/>
        <v>3010</v>
      </c>
      <c r="AU69" s="102">
        <f t="shared" si="3"/>
        <v>3325</v>
      </c>
      <c r="AV69" s="102">
        <f t="shared" si="3"/>
        <v>2730</v>
      </c>
      <c r="AW69" s="102">
        <f t="shared" si="3"/>
        <v>3010</v>
      </c>
      <c r="AX69" s="102">
        <f t="shared" si="3"/>
        <v>2415</v>
      </c>
      <c r="AY69" s="102">
        <f t="shared" si="3"/>
        <v>2415</v>
      </c>
      <c r="AZ69" s="102">
        <f t="shared" si="3"/>
        <v>2415</v>
      </c>
      <c r="BA69" s="102">
        <f t="shared" si="3"/>
        <v>1470</v>
      </c>
      <c r="BB69" s="102">
        <f t="shared" si="3"/>
        <v>1015</v>
      </c>
      <c r="BC69" s="102">
        <f t="shared" si="3"/>
        <v>1680</v>
      </c>
      <c r="BD69" s="102">
        <f t="shared" si="3"/>
        <v>1890</v>
      </c>
      <c r="BE69" s="102">
        <f t="shared" si="3"/>
        <v>2905</v>
      </c>
      <c r="BF69" s="102">
        <f t="shared" si="3"/>
        <v>3220</v>
      </c>
      <c r="BG69" s="102">
        <f t="shared" si="3"/>
        <v>3570</v>
      </c>
      <c r="BH69" s="102">
        <f t="shared" si="3"/>
        <v>2905</v>
      </c>
      <c r="BI69" s="102">
        <f t="shared" si="3"/>
        <v>3220</v>
      </c>
      <c r="BJ69" s="102">
        <f t="shared" si="3"/>
        <v>2590</v>
      </c>
      <c r="BK69" s="102">
        <f t="shared" si="3"/>
        <v>2590</v>
      </c>
      <c r="BL69" s="102">
        <f t="shared" si="3"/>
        <v>2590</v>
      </c>
      <c r="BM69" s="102">
        <f t="shared" si="3"/>
        <v>1575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252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440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668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790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850</v>
      </c>
      <c r="BN70" s="105">
        <f>SUM(F70:BM70)</f>
        <v>3000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0</v>
      </c>
      <c r="AC71" s="90">
        <f>SUM(R69:AC69)</f>
        <v>11000</v>
      </c>
      <c r="AO71" s="90">
        <f>SUM(AD69:AO69)</f>
        <v>16700</v>
      </c>
      <c r="BA71" s="90">
        <f>SUM(AP69:BA69)</f>
        <v>27650</v>
      </c>
      <c r="BM71" s="90">
        <f>SUM(BB69:BM69)</f>
        <v>29750</v>
      </c>
      <c r="BN71" s="105">
        <f>SUM(F71:BM71)</f>
        <v>85100</v>
      </c>
    </row>
    <row r="74" spans="1:72" ht="14.25" customHeight="1" x14ac:dyDescent="0.2">
      <c r="H74" s="68" t="s">
        <v>654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10"/>
      <c r="S75" s="364" t="s">
        <v>36</v>
      </c>
      <c r="T75" s="364"/>
      <c r="U75" s="364"/>
      <c r="V75" s="364"/>
      <c r="W75" s="364"/>
      <c r="X75" s="364"/>
      <c r="Y75" s="364"/>
      <c r="Z75" s="364"/>
      <c r="AA75" s="364"/>
      <c r="AB75" s="364"/>
      <c r="AC75" s="364"/>
      <c r="AD75" s="364"/>
      <c r="AE75" s="10"/>
      <c r="AF75" s="364" t="s">
        <v>37</v>
      </c>
      <c r="AG75" s="364"/>
      <c r="AH75" s="364"/>
      <c r="AI75" s="364"/>
      <c r="AJ75" s="364"/>
      <c r="AK75" s="364"/>
      <c r="AL75" s="364"/>
      <c r="AM75" s="364"/>
      <c r="AN75" s="364"/>
      <c r="AO75" s="364"/>
      <c r="AP75" s="364"/>
      <c r="AQ75" s="364"/>
      <c r="AR75" s="10"/>
      <c r="AS75" s="364" t="s">
        <v>38</v>
      </c>
      <c r="AT75" s="364"/>
      <c r="AU75" s="364"/>
      <c r="AV75" s="364"/>
      <c r="AW75" s="364"/>
      <c r="AX75" s="364"/>
      <c r="AY75" s="364"/>
      <c r="AZ75" s="364"/>
      <c r="BA75" s="364"/>
      <c r="BB75" s="364"/>
      <c r="BC75" s="364"/>
      <c r="BD75" s="364"/>
      <c r="BE75" s="10"/>
      <c r="BF75" s="364" t="s">
        <v>39</v>
      </c>
      <c r="BG75" s="364"/>
      <c r="BH75" s="364"/>
      <c r="BI75" s="364"/>
      <c r="BJ75" s="364"/>
      <c r="BK75" s="364"/>
      <c r="BL75" s="364"/>
      <c r="BM75" s="364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10</v>
      </c>
      <c r="E82" s="67"/>
      <c r="F82" s="102"/>
      <c r="G82" s="102"/>
      <c r="H82" s="45"/>
      <c r="I82" s="101">
        <f>$D82</f>
        <v>10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10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10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10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10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10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11</v>
      </c>
      <c r="E83" s="67"/>
      <c r="F83" s="102"/>
      <c r="G83" s="102"/>
      <c r="H83" s="102"/>
      <c r="I83" s="45"/>
      <c r="J83" s="101">
        <f>$D83</f>
        <v>11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11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11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11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11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11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12</v>
      </c>
      <c r="E84" s="67"/>
      <c r="F84" s="102"/>
      <c r="G84" s="102"/>
      <c r="H84" s="102"/>
      <c r="I84" s="102"/>
      <c r="J84" s="45"/>
      <c r="K84" s="101">
        <f>$D84</f>
        <v>12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12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12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12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12</v>
      </c>
      <c r="BH84" s="101"/>
      <c r="BI84" s="101"/>
      <c r="BJ84" s="101"/>
      <c r="BK84" s="101"/>
      <c r="BL84" s="101"/>
      <c r="BM84" s="101"/>
      <c r="BN84" s="105">
        <f t="shared" si="4"/>
        <v>12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10</v>
      </c>
      <c r="E85" s="67"/>
      <c r="F85" s="102"/>
      <c r="G85" s="102"/>
      <c r="H85" s="102"/>
      <c r="I85" s="102"/>
      <c r="J85" s="102"/>
      <c r="K85" s="45"/>
      <c r="L85" s="101">
        <f>$D85</f>
        <v>10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10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10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10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10</v>
      </c>
      <c r="BI85" s="101"/>
      <c r="BJ85" s="101"/>
      <c r="BK85" s="101"/>
      <c r="BL85" s="101"/>
      <c r="BM85" s="101"/>
      <c r="BN85" s="105">
        <f t="shared" si="4"/>
        <v>10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11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11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11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11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11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11</v>
      </c>
      <c r="BJ86" s="101"/>
      <c r="BK86" s="101"/>
      <c r="BL86" s="101"/>
      <c r="BM86" s="101"/>
      <c r="BN86" s="105">
        <f t="shared" si="4"/>
        <v>11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9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9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9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9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9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9</v>
      </c>
      <c r="BK87" s="101"/>
      <c r="BL87" s="101"/>
      <c r="BM87" s="101"/>
      <c r="BN87" s="105">
        <f t="shared" si="4"/>
        <v>9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9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9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9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9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9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9</v>
      </c>
      <c r="BL88" s="101"/>
      <c r="BM88" s="101"/>
      <c r="BN88" s="105">
        <f t="shared" si="4"/>
        <v>9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9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9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9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9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9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9</v>
      </c>
      <c r="BM89" s="101"/>
      <c r="BN89" s="105">
        <f t="shared" si="4"/>
        <v>9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6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6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6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6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6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6</v>
      </c>
      <c r="BN90" s="105">
        <f t="shared" si="4"/>
        <v>6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7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7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7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7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11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11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11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11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11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12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12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12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12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12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12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12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12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12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12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12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12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13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13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13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13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13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13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14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14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14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14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14</v>
      </c>
      <c r="BH96" s="101"/>
      <c r="BI96" s="101"/>
      <c r="BJ96" s="101"/>
      <c r="BK96" s="101"/>
      <c r="BL96" s="101"/>
      <c r="BM96" s="101"/>
      <c r="BN96" s="105">
        <f t="shared" si="4"/>
        <v>14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12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12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12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12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12</v>
      </c>
      <c r="BI97" s="101"/>
      <c r="BJ97" s="101"/>
      <c r="BK97" s="101"/>
      <c r="BL97" s="101"/>
      <c r="BM97" s="101"/>
      <c r="BN97" s="105">
        <f t="shared" si="4"/>
        <v>12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13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13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13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13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13</v>
      </c>
      <c r="BJ98" s="101"/>
      <c r="BK98" s="101"/>
      <c r="BL98" s="101"/>
      <c r="BM98" s="101"/>
      <c r="BN98" s="105">
        <f t="shared" si="4"/>
        <v>13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11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11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11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11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11</v>
      </c>
      <c r="BK99" s="101"/>
      <c r="BL99" s="101"/>
      <c r="BM99" s="101"/>
      <c r="BN99" s="105">
        <f t="shared" si="4"/>
        <v>11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11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11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11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11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11</v>
      </c>
      <c r="BL100" s="101"/>
      <c r="BM100" s="101"/>
      <c r="BN100" s="105">
        <f t="shared" si="4"/>
        <v>11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11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11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11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11</v>
      </c>
      <c r="BM101" s="101"/>
      <c r="BN101" s="105">
        <f t="shared" si="4"/>
        <v>11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7</v>
      </c>
      <c r="BN102" s="105">
        <f t="shared" si="4"/>
        <v>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18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18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18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18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18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29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29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29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29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29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32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32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32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32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32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32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32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32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32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35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35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35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35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35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39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39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39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39</v>
      </c>
      <c r="BH108" s="101"/>
      <c r="BI108" s="101"/>
      <c r="BJ108" s="101"/>
      <c r="BK108" s="101"/>
      <c r="BL108" s="101"/>
      <c r="BM108" s="101"/>
      <c r="BN108" s="105">
        <f t="shared" si="4"/>
        <v>39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32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32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32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32</v>
      </c>
      <c r="BI109" s="101"/>
      <c r="BJ109" s="101"/>
      <c r="BK109" s="101"/>
      <c r="BL109" s="101"/>
      <c r="BM109" s="101"/>
      <c r="BN109" s="105">
        <f t="shared" si="4"/>
        <v>32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35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35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35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35</v>
      </c>
      <c r="BJ110" s="101"/>
      <c r="BK110" s="101"/>
      <c r="BL110" s="101"/>
      <c r="BM110" s="101"/>
      <c r="BN110" s="105">
        <f t="shared" si="4"/>
        <v>35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29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29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29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29</v>
      </c>
      <c r="BK111" s="101"/>
      <c r="BL111" s="101"/>
      <c r="BM111" s="101"/>
      <c r="BN111" s="105">
        <f t="shared" si="4"/>
        <v>29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29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29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29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29</v>
      </c>
      <c r="BL112" s="101"/>
      <c r="BM112" s="101"/>
      <c r="BN112" s="105">
        <f t="shared" si="4"/>
        <v>29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29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29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29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29</v>
      </c>
      <c r="BM113" s="101"/>
      <c r="BN113" s="105">
        <f t="shared" si="4"/>
        <v>29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18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18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18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18</v>
      </c>
      <c r="BN114" s="105">
        <f t="shared" si="4"/>
        <v>18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0" t="s">
        <v>658</v>
      </c>
      <c r="B140" s="370"/>
      <c r="C140" s="370"/>
      <c r="D140" s="370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10</v>
      </c>
      <c r="J140" s="169">
        <f t="shared" si="5"/>
        <v>11</v>
      </c>
      <c r="K140" s="169">
        <f t="shared" si="5"/>
        <v>12</v>
      </c>
      <c r="L140" s="169">
        <f t="shared" si="5"/>
        <v>10</v>
      </c>
      <c r="M140" s="169">
        <f t="shared" si="5"/>
        <v>11</v>
      </c>
      <c r="N140" s="169">
        <f t="shared" si="5"/>
        <v>9</v>
      </c>
      <c r="O140" s="169">
        <f t="shared" si="5"/>
        <v>9</v>
      </c>
      <c r="P140" s="169">
        <f t="shared" si="5"/>
        <v>9</v>
      </c>
      <c r="Q140" s="169">
        <f t="shared" si="5"/>
        <v>6</v>
      </c>
      <c r="R140" s="169">
        <f t="shared" si="5"/>
        <v>7</v>
      </c>
      <c r="S140" s="169">
        <f t="shared" si="5"/>
        <v>11</v>
      </c>
      <c r="T140" s="169">
        <f t="shared" si="5"/>
        <v>12</v>
      </c>
      <c r="U140" s="169">
        <f t="shared" si="5"/>
        <v>22</v>
      </c>
      <c r="V140" s="169">
        <f t="shared" si="5"/>
        <v>24</v>
      </c>
      <c r="W140" s="169">
        <f t="shared" si="5"/>
        <v>26</v>
      </c>
      <c r="X140" s="169">
        <f t="shared" si="5"/>
        <v>22</v>
      </c>
      <c r="Y140" s="169">
        <f t="shared" si="5"/>
        <v>24</v>
      </c>
      <c r="Z140" s="169">
        <f t="shared" si="5"/>
        <v>20</v>
      </c>
      <c r="AA140" s="169">
        <f t="shared" si="5"/>
        <v>20</v>
      </c>
      <c r="AB140" s="169">
        <f t="shared" si="5"/>
        <v>20</v>
      </c>
      <c r="AC140" s="169">
        <f t="shared" si="5"/>
        <v>13</v>
      </c>
      <c r="AD140" s="169">
        <f t="shared" si="5"/>
        <v>25</v>
      </c>
      <c r="AE140" s="169">
        <f t="shared" si="5"/>
        <v>40</v>
      </c>
      <c r="AF140" s="169">
        <f t="shared" si="5"/>
        <v>44</v>
      </c>
      <c r="AG140" s="169">
        <f t="shared" si="5"/>
        <v>54</v>
      </c>
      <c r="AH140" s="169">
        <f t="shared" si="5"/>
        <v>59</v>
      </c>
      <c r="AI140" s="169">
        <f t="shared" si="5"/>
        <v>65</v>
      </c>
      <c r="AJ140" s="169">
        <f t="shared" si="5"/>
        <v>54</v>
      </c>
      <c r="AK140" s="169">
        <f t="shared" si="5"/>
        <v>59</v>
      </c>
      <c r="AL140" s="169">
        <f t="shared" si="5"/>
        <v>49</v>
      </c>
      <c r="AM140" s="169">
        <f t="shared" si="5"/>
        <v>49</v>
      </c>
      <c r="AN140" s="169">
        <f t="shared" si="5"/>
        <v>49</v>
      </c>
      <c r="AO140" s="169">
        <f t="shared" si="5"/>
        <v>31</v>
      </c>
      <c r="AP140" s="169">
        <f t="shared" si="5"/>
        <v>50</v>
      </c>
      <c r="AQ140" s="169">
        <f t="shared" si="5"/>
        <v>80</v>
      </c>
      <c r="AR140" s="169">
        <f t="shared" si="5"/>
        <v>89</v>
      </c>
      <c r="AS140" s="169">
        <f t="shared" si="5"/>
        <v>99</v>
      </c>
      <c r="AT140" s="169">
        <f t="shared" si="5"/>
        <v>109</v>
      </c>
      <c r="AU140" s="169">
        <f t="shared" si="5"/>
        <v>120</v>
      </c>
      <c r="AV140" s="169">
        <f t="shared" si="5"/>
        <v>99</v>
      </c>
      <c r="AW140" s="169">
        <f t="shared" si="5"/>
        <v>109</v>
      </c>
      <c r="AX140" s="169">
        <f t="shared" si="5"/>
        <v>89</v>
      </c>
      <c r="AY140" s="169">
        <f t="shared" si="5"/>
        <v>89</v>
      </c>
      <c r="AZ140" s="169">
        <f t="shared" si="5"/>
        <v>89</v>
      </c>
      <c r="BA140" s="169">
        <f t="shared" si="5"/>
        <v>56</v>
      </c>
      <c r="BB140" s="169">
        <f t="shared" si="5"/>
        <v>80</v>
      </c>
      <c r="BC140" s="169">
        <f t="shared" si="5"/>
        <v>128</v>
      </c>
      <c r="BD140" s="169">
        <f t="shared" si="5"/>
        <v>143</v>
      </c>
      <c r="BE140" s="169">
        <f t="shared" si="5"/>
        <v>153</v>
      </c>
      <c r="BF140" s="169">
        <f t="shared" si="5"/>
        <v>169</v>
      </c>
      <c r="BG140" s="169">
        <f t="shared" si="5"/>
        <v>185</v>
      </c>
      <c r="BH140" s="169">
        <f t="shared" si="5"/>
        <v>153</v>
      </c>
      <c r="BI140" s="169">
        <f t="shared" si="5"/>
        <v>169</v>
      </c>
      <c r="BJ140" s="169">
        <f t="shared" si="5"/>
        <v>137</v>
      </c>
      <c r="BK140" s="169">
        <f t="shared" si="5"/>
        <v>137</v>
      </c>
      <c r="BL140" s="169">
        <f t="shared" si="5"/>
        <v>137</v>
      </c>
      <c r="BM140" s="169">
        <f t="shared" si="5"/>
        <v>86</v>
      </c>
      <c r="BN140" s="105">
        <f>SUM(BN78:BN139)</f>
        <v>1677</v>
      </c>
    </row>
    <row r="141" spans="1:72" ht="14.25" customHeight="1" x14ac:dyDescent="0.15">
      <c r="A141" s="370" t="s">
        <v>368</v>
      </c>
      <c r="B141" s="370"/>
      <c r="C141" s="370"/>
      <c r="D141" s="370"/>
      <c r="E141" s="104" t="s">
        <v>324</v>
      </c>
      <c r="F141" s="102">
        <f>'COGS-PRICE-MARGIN_CWS'!$E20</f>
        <v>0</v>
      </c>
      <c r="G141" s="102">
        <f>'COGS-PRICE-MARGIN_CWS'!$E20</f>
        <v>0</v>
      </c>
      <c r="H141" s="102">
        <f>'COGS-PRICE-MARGIN_CWS'!$E20</f>
        <v>0</v>
      </c>
      <c r="I141" s="102">
        <f>'COGS-PRICE-MARGIN_CWS'!$E20</f>
        <v>0</v>
      </c>
      <c r="J141" s="102">
        <f>'COGS-PRICE-MARGIN_CWS'!$E20</f>
        <v>0</v>
      </c>
      <c r="K141" s="102">
        <f>'COGS-PRICE-MARGIN_CWS'!$E20</f>
        <v>0</v>
      </c>
      <c r="L141" s="102">
        <f>'COGS-PRICE-MARGIN_CWS'!$E20</f>
        <v>0</v>
      </c>
      <c r="M141" s="102">
        <f>'COGS-PRICE-MARGIN_CWS'!$E20</f>
        <v>0</v>
      </c>
      <c r="N141" s="102">
        <f>'COGS-PRICE-MARGIN_CWS'!$E20</f>
        <v>0</v>
      </c>
      <c r="O141" s="102">
        <f>'COGS-PRICE-MARGIN_CWS'!$E20</f>
        <v>0</v>
      </c>
      <c r="P141" s="102">
        <f>'COGS-PRICE-MARGIN_CWS'!$E20</f>
        <v>0</v>
      </c>
      <c r="Q141" s="102">
        <f>'COGS-PRICE-MARGIN_CWS'!$E20</f>
        <v>0</v>
      </c>
      <c r="R141" s="102">
        <f>'COGS-PRICE-MARGIN_CWS'!$E41</f>
        <v>168.75</v>
      </c>
      <c r="S141" s="102">
        <f>'COGS-PRICE-MARGIN_CWS'!$E41</f>
        <v>168.75</v>
      </c>
      <c r="T141" s="102">
        <f>'COGS-PRICE-MARGIN_CWS'!$E41</f>
        <v>168.75</v>
      </c>
      <c r="U141" s="102">
        <f>'COGS-PRICE-MARGIN_CWS'!$E41</f>
        <v>168.75</v>
      </c>
      <c r="V141" s="102">
        <f>'COGS-PRICE-MARGIN_CWS'!$E41</f>
        <v>168.75</v>
      </c>
      <c r="W141" s="102">
        <f>'COGS-PRICE-MARGIN_CWS'!$E41</f>
        <v>168.75</v>
      </c>
      <c r="X141" s="102">
        <f>'COGS-PRICE-MARGIN_CWS'!$E41</f>
        <v>168.75</v>
      </c>
      <c r="Y141" s="102">
        <f>'COGS-PRICE-MARGIN_CWS'!$E41</f>
        <v>168.75</v>
      </c>
      <c r="Z141" s="102">
        <f>'COGS-PRICE-MARGIN_CWS'!$E41</f>
        <v>168.75</v>
      </c>
      <c r="AA141" s="102">
        <f>'COGS-PRICE-MARGIN_CWS'!$E41</f>
        <v>168.75</v>
      </c>
      <c r="AB141" s="102">
        <f>'COGS-PRICE-MARGIN_CWS'!$E41</f>
        <v>168.75</v>
      </c>
      <c r="AC141" s="102">
        <f>'COGS-PRICE-MARGIN_CWS'!$E41</f>
        <v>168.75</v>
      </c>
      <c r="AD141" s="102">
        <f>'COGS-PRICE-MARGIN_CWS'!$E62</f>
        <v>191.25</v>
      </c>
      <c r="AE141" s="102">
        <f>'COGS-PRICE-MARGIN_CWS'!$E62</f>
        <v>191.25</v>
      </c>
      <c r="AF141" s="102">
        <f>'COGS-PRICE-MARGIN_CWS'!$E62</f>
        <v>191.25</v>
      </c>
      <c r="AG141" s="102">
        <f>'COGS-PRICE-MARGIN_CWS'!$E62</f>
        <v>191.25</v>
      </c>
      <c r="AH141" s="102">
        <f>'COGS-PRICE-MARGIN_CWS'!$E62</f>
        <v>191.25</v>
      </c>
      <c r="AI141" s="102">
        <f>'COGS-PRICE-MARGIN_CWS'!$E62</f>
        <v>191.25</v>
      </c>
      <c r="AJ141" s="102">
        <f>'COGS-PRICE-MARGIN_CWS'!$E62</f>
        <v>191.25</v>
      </c>
      <c r="AK141" s="102">
        <f>'COGS-PRICE-MARGIN_CWS'!$E62</f>
        <v>191.25</v>
      </c>
      <c r="AL141" s="102">
        <f>'COGS-PRICE-MARGIN_CWS'!$E62</f>
        <v>191.25</v>
      </c>
      <c r="AM141" s="102">
        <f>'COGS-PRICE-MARGIN_CWS'!$E62</f>
        <v>191.25</v>
      </c>
      <c r="AN141" s="102">
        <f>'COGS-PRICE-MARGIN_CWS'!$E62</f>
        <v>191.25</v>
      </c>
      <c r="AO141" s="300">
        <f>'COGS-PRICE-MARGIN_CWS'!$E62</f>
        <v>191.25</v>
      </c>
      <c r="AP141" s="300">
        <f>'COGS-PRICE-MARGIN_CWS'!$E83</f>
        <v>202.5</v>
      </c>
      <c r="AQ141" s="102">
        <f>'COGS-PRICE-MARGIN_CWS'!$E83</f>
        <v>202.5</v>
      </c>
      <c r="AR141" s="102">
        <f>'COGS-PRICE-MARGIN_CWS'!$E83</f>
        <v>202.5</v>
      </c>
      <c r="AS141" s="102">
        <f>'COGS-PRICE-MARGIN_CWS'!$E83</f>
        <v>202.5</v>
      </c>
      <c r="AT141" s="102">
        <f>'COGS-PRICE-MARGIN_CWS'!$E83</f>
        <v>202.5</v>
      </c>
      <c r="AU141" s="102">
        <f>'COGS-PRICE-MARGIN_CWS'!$E83</f>
        <v>202.5</v>
      </c>
      <c r="AV141" s="102">
        <f>'COGS-PRICE-MARGIN_CWS'!$E83</f>
        <v>202.5</v>
      </c>
      <c r="AW141" s="102">
        <f>'COGS-PRICE-MARGIN_CWS'!$E83</f>
        <v>202.5</v>
      </c>
      <c r="AX141" s="102">
        <f>'COGS-PRICE-MARGIN_CWS'!$E83</f>
        <v>202.5</v>
      </c>
      <c r="AY141" s="102">
        <f>'COGS-PRICE-MARGIN_CWS'!$E83</f>
        <v>202.5</v>
      </c>
      <c r="AZ141" s="102">
        <f>'COGS-PRICE-MARGIN_CWS'!$E83</f>
        <v>202.5</v>
      </c>
      <c r="BA141" s="102">
        <f>'COGS-PRICE-MARGIN_CWS'!$E83</f>
        <v>202.5</v>
      </c>
      <c r="BB141" s="102">
        <f>'COGS-PRICE-MARGIN_CWS'!$E104</f>
        <v>202.5</v>
      </c>
      <c r="BC141" s="102">
        <f>'COGS-PRICE-MARGIN_CWS'!$E104</f>
        <v>202.5</v>
      </c>
      <c r="BD141" s="102">
        <f>'COGS-PRICE-MARGIN_CWS'!$E104</f>
        <v>202.5</v>
      </c>
      <c r="BE141" s="102">
        <f>'COGS-PRICE-MARGIN_CWS'!$E104</f>
        <v>202.5</v>
      </c>
      <c r="BF141" s="102">
        <f>'COGS-PRICE-MARGIN_CWS'!$E104</f>
        <v>202.5</v>
      </c>
      <c r="BG141" s="102">
        <f>'COGS-PRICE-MARGIN_CWS'!$E104</f>
        <v>202.5</v>
      </c>
      <c r="BH141" s="102">
        <f>'COGS-PRICE-MARGIN_CWS'!$E104</f>
        <v>202.5</v>
      </c>
      <c r="BI141" s="102">
        <f>'COGS-PRICE-MARGIN_CWS'!$E104</f>
        <v>202.5</v>
      </c>
      <c r="BJ141" s="102">
        <f>'COGS-PRICE-MARGIN_CWS'!$E104</f>
        <v>202.5</v>
      </c>
      <c r="BK141" s="102">
        <f>'COGS-PRICE-MARGIN_CWS'!$E104</f>
        <v>202.5</v>
      </c>
      <c r="BL141" s="102">
        <f>'COGS-PRICE-MARGIN_CWS'!$E104</f>
        <v>202.5</v>
      </c>
      <c r="BM141" s="102">
        <f>'COGS-PRICE-MARGIN_CWS'!$E104</f>
        <v>202.5</v>
      </c>
    </row>
    <row r="142" spans="1:72" ht="14.25" customHeight="1" x14ac:dyDescent="0.15">
      <c r="A142" s="370" t="s">
        <v>659</v>
      </c>
      <c r="B142" s="370"/>
      <c r="C142" s="370"/>
      <c r="D142" s="370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0</v>
      </c>
      <c r="P142" s="102">
        <f t="shared" si="6"/>
        <v>0</v>
      </c>
      <c r="Q142" s="102">
        <f t="shared" si="6"/>
        <v>0</v>
      </c>
      <c r="R142" s="102">
        <f t="shared" si="6"/>
        <v>1181.25</v>
      </c>
      <c r="S142" s="102">
        <f t="shared" si="6"/>
        <v>1856.25</v>
      </c>
      <c r="T142" s="102">
        <f t="shared" si="6"/>
        <v>2025</v>
      </c>
      <c r="U142" s="102">
        <f t="shared" si="6"/>
        <v>3712.5</v>
      </c>
      <c r="V142" s="102">
        <f t="shared" si="6"/>
        <v>4050</v>
      </c>
      <c r="W142" s="102">
        <f t="shared" si="6"/>
        <v>4387.5</v>
      </c>
      <c r="X142" s="102">
        <f t="shared" si="6"/>
        <v>3712.5</v>
      </c>
      <c r="Y142" s="102">
        <f t="shared" si="6"/>
        <v>4050</v>
      </c>
      <c r="Z142" s="102">
        <f t="shared" si="6"/>
        <v>3375</v>
      </c>
      <c r="AA142" s="102">
        <f t="shared" si="6"/>
        <v>3375</v>
      </c>
      <c r="AB142" s="102">
        <f t="shared" si="6"/>
        <v>3375</v>
      </c>
      <c r="AC142" s="102">
        <f t="shared" si="6"/>
        <v>2193.75</v>
      </c>
      <c r="AD142" s="102">
        <f t="shared" si="6"/>
        <v>4781.25</v>
      </c>
      <c r="AE142" s="102">
        <f t="shared" si="6"/>
        <v>7650</v>
      </c>
      <c r="AF142" s="102">
        <f t="shared" si="6"/>
        <v>8415</v>
      </c>
      <c r="AG142" s="102">
        <f t="shared" si="6"/>
        <v>10327.5</v>
      </c>
      <c r="AH142" s="102">
        <f t="shared" si="6"/>
        <v>11283.75</v>
      </c>
      <c r="AI142" s="102">
        <f t="shared" si="6"/>
        <v>12431.25</v>
      </c>
      <c r="AJ142" s="102">
        <f t="shared" si="6"/>
        <v>10327.5</v>
      </c>
      <c r="AK142" s="102">
        <f t="shared" si="6"/>
        <v>11283.75</v>
      </c>
      <c r="AL142" s="102">
        <f t="shared" ref="AL142:BL142" si="7">AL141*AL140</f>
        <v>9371.25</v>
      </c>
      <c r="AM142" s="102">
        <f t="shared" si="7"/>
        <v>9371.25</v>
      </c>
      <c r="AN142" s="102">
        <f t="shared" si="7"/>
        <v>9371.25</v>
      </c>
      <c r="AO142" s="300">
        <f t="shared" si="7"/>
        <v>5928.75</v>
      </c>
      <c r="AP142" s="300">
        <f t="shared" si="7"/>
        <v>10125</v>
      </c>
      <c r="AQ142" s="102">
        <f t="shared" si="7"/>
        <v>16200</v>
      </c>
      <c r="AR142" s="102">
        <f t="shared" si="7"/>
        <v>18022.5</v>
      </c>
      <c r="AS142" s="102">
        <f t="shared" si="7"/>
        <v>20047.5</v>
      </c>
      <c r="AT142" s="102">
        <f t="shared" si="7"/>
        <v>22072.5</v>
      </c>
      <c r="AU142" s="102">
        <f t="shared" si="7"/>
        <v>24300</v>
      </c>
      <c r="AV142" s="102">
        <f t="shared" si="7"/>
        <v>20047.5</v>
      </c>
      <c r="AW142" s="102">
        <f t="shared" si="7"/>
        <v>22072.5</v>
      </c>
      <c r="AX142" s="102">
        <f t="shared" si="7"/>
        <v>18022.5</v>
      </c>
      <c r="AY142" s="102">
        <f t="shared" si="7"/>
        <v>18022.5</v>
      </c>
      <c r="AZ142" s="102">
        <f t="shared" si="7"/>
        <v>18022.5</v>
      </c>
      <c r="BA142" s="102">
        <f t="shared" si="7"/>
        <v>11340</v>
      </c>
      <c r="BB142" s="102">
        <f t="shared" si="7"/>
        <v>16200</v>
      </c>
      <c r="BC142" s="102">
        <f t="shared" si="7"/>
        <v>25920</v>
      </c>
      <c r="BD142" s="102">
        <f t="shared" si="7"/>
        <v>28957.5</v>
      </c>
      <c r="BE142" s="102">
        <f t="shared" si="7"/>
        <v>30982.5</v>
      </c>
      <c r="BF142" s="102">
        <f t="shared" si="7"/>
        <v>34222.5</v>
      </c>
      <c r="BG142" s="102">
        <f t="shared" si="7"/>
        <v>37462.5</v>
      </c>
      <c r="BH142" s="102">
        <f t="shared" si="7"/>
        <v>30982.5</v>
      </c>
      <c r="BI142" s="102">
        <f t="shared" si="7"/>
        <v>34222.5</v>
      </c>
      <c r="BJ142" s="102">
        <f t="shared" si="7"/>
        <v>27742.5</v>
      </c>
      <c r="BK142" s="102">
        <f t="shared" si="7"/>
        <v>27742.5</v>
      </c>
      <c r="BL142" s="102">
        <f t="shared" si="7"/>
        <v>27742.5</v>
      </c>
      <c r="BM142" s="102">
        <f>BM141*BM140</f>
        <v>17415</v>
      </c>
    </row>
    <row r="143" spans="1:72" s="37" customFormat="1" ht="14.25" customHeight="1" x14ac:dyDescent="0.15">
      <c r="A143" s="37" t="s">
        <v>359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87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221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578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1078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1677</v>
      </c>
      <c r="BN143" s="105">
        <f>SUM(F143:BM143)</f>
        <v>3641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0</v>
      </c>
      <c r="AC144" s="90">
        <f>SUM(R142:AC142)</f>
        <v>37293.75</v>
      </c>
      <c r="AO144" s="90">
        <f>SUM(AD142:AO142)</f>
        <v>110542.5</v>
      </c>
      <c r="BA144" s="90">
        <f>SUM(AP142:BA142)</f>
        <v>218295</v>
      </c>
      <c r="BM144" s="90">
        <f>SUM(BB142:BM142)</f>
        <v>339592.5</v>
      </c>
      <c r="BN144" s="105">
        <f>SUM(F144:BM144)</f>
        <v>705723.75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494</v>
      </c>
      <c r="C4" s="9">
        <f>SUM(C14)</f>
        <v>0</v>
      </c>
      <c r="D4" s="9">
        <f>SUM(D14:O14)</f>
        <v>10827180</v>
      </c>
      <c r="E4" s="9">
        <f>SUM(P14:AA14)</f>
        <v>4868593.75</v>
      </c>
      <c r="F4" s="9">
        <f>SUM(AB14:AM14)</f>
        <v>3168117.5</v>
      </c>
      <c r="G4" s="9">
        <f>SUM(AN14:AY14)</f>
        <v>3935575</v>
      </c>
      <c r="H4" s="9">
        <f>SUM(AZ14:BK14)</f>
        <v>4703192.5</v>
      </c>
      <c r="I4" s="9">
        <f>SUM(E4:H4)</f>
        <v>16675478.75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495</v>
      </c>
      <c r="C6" s="9">
        <f>C16</f>
        <v>0</v>
      </c>
      <c r="D6" s="66">
        <f>C9</f>
        <v>0</v>
      </c>
      <c r="E6" s="66">
        <f>D9</f>
        <v>695240</v>
      </c>
      <c r="F6" s="66">
        <f>E9</f>
        <v>242281.25</v>
      </c>
      <c r="G6" s="66">
        <f>F9</f>
        <v>157516.25</v>
      </c>
      <c r="H6" s="66">
        <f>G9</f>
        <v>196675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496</v>
      </c>
      <c r="C7" s="9">
        <f>C17</f>
        <v>0</v>
      </c>
      <c r="D7" s="9">
        <f>SUM(D17:O17)</f>
        <v>10827180</v>
      </c>
      <c r="E7" s="9">
        <f>SUM(P17:AA17)</f>
        <v>4868593.75</v>
      </c>
      <c r="F7" s="9">
        <f>SUM(AB17:AM17)</f>
        <v>3168117.5</v>
      </c>
      <c r="G7" s="9">
        <f>SUM(AN17:AY17)</f>
        <v>3935575</v>
      </c>
      <c r="H7" s="9">
        <f>SUM(AZ17:BK17)</f>
        <v>4703192.5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497</v>
      </c>
      <c r="C8" s="9">
        <f>C18</f>
        <v>0</v>
      </c>
      <c r="D8" s="9">
        <f>SUM(D18:O18)</f>
        <v>10131940</v>
      </c>
      <c r="E8" s="9">
        <f>SUM(P18:AA18)</f>
        <v>5321552.5</v>
      </c>
      <c r="F8" s="9">
        <f>SUM(AB18:AM18)</f>
        <v>3252882.5</v>
      </c>
      <c r="G8" s="9">
        <f>SUM(AN18:AY18)</f>
        <v>3896416.25</v>
      </c>
      <c r="H8" s="9">
        <f>SUM(AZ18:BK18)</f>
        <v>4663857.5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498</v>
      </c>
      <c r="C9" s="9">
        <f>C19</f>
        <v>0</v>
      </c>
      <c r="D9" s="66">
        <f>D6+D7-D8</f>
        <v>695240</v>
      </c>
      <c r="E9" s="66">
        <f>E6+E7-E8</f>
        <v>242281.25</v>
      </c>
      <c r="F9" s="66">
        <f>F6+F7-F8</f>
        <v>157516.25</v>
      </c>
      <c r="G9" s="66">
        <f>G6+G7-G8</f>
        <v>196675</v>
      </c>
      <c r="H9" s="66">
        <f>H6+H7-H8</f>
        <v>236010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499</v>
      </c>
      <c r="C10" s="9">
        <f>C20</f>
        <v>0</v>
      </c>
      <c r="D10" s="140">
        <f>D7-D8</f>
        <v>695240</v>
      </c>
      <c r="E10" s="140">
        <f>E7-E8</f>
        <v>-452958.75</v>
      </c>
      <c r="F10" s="140">
        <f>F7-F8</f>
        <v>-84765</v>
      </c>
      <c r="G10" s="140">
        <f>G7-G8</f>
        <v>39158.75</v>
      </c>
      <c r="H10" s="140">
        <f>H7-H8</f>
        <v>39335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4" t="s">
        <v>35</v>
      </c>
      <c r="E11" s="364"/>
      <c r="F11" s="364"/>
      <c r="G11" s="364"/>
      <c r="H11" s="364"/>
      <c r="I11" s="364"/>
      <c r="J11" s="364"/>
      <c r="K11" s="364"/>
      <c r="L11" s="364"/>
      <c r="M11" s="364"/>
      <c r="N11" s="364"/>
      <c r="O11" s="364"/>
      <c r="P11" s="364" t="s">
        <v>36</v>
      </c>
      <c r="Q11" s="364"/>
      <c r="R11" s="364"/>
      <c r="S11" s="364"/>
      <c r="T11" s="364"/>
      <c r="U11" s="364"/>
      <c r="V11" s="364"/>
      <c r="W11" s="364"/>
      <c r="X11" s="364"/>
      <c r="Y11" s="364"/>
      <c r="Z11" s="364"/>
      <c r="AA11" s="364"/>
      <c r="AB11" s="364" t="s">
        <v>37</v>
      </c>
      <c r="AC11" s="364"/>
      <c r="AD11" s="364"/>
      <c r="AE11" s="364"/>
      <c r="AF11" s="364"/>
      <c r="AG11" s="364"/>
      <c r="AH11" s="364"/>
      <c r="AI11" s="364"/>
      <c r="AJ11" s="364"/>
      <c r="AK11" s="364"/>
      <c r="AL11" s="364"/>
      <c r="AM11" s="364"/>
      <c r="AN11" s="364" t="s">
        <v>38</v>
      </c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 t="s">
        <v>39</v>
      </c>
      <c r="BA11" s="364"/>
      <c r="BB11" s="364"/>
      <c r="BC11" s="364"/>
      <c r="BD11" s="364"/>
      <c r="BE11" s="364"/>
      <c r="BF11" s="364"/>
      <c r="BG11" s="364"/>
      <c r="BH11" s="364"/>
      <c r="BI11" s="364"/>
      <c r="BJ11" s="364"/>
      <c r="BK11" s="364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494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1245790</v>
      </c>
      <c r="H14" s="9">
        <f>'REV-REVCALC_CWS'!I41</f>
        <v>1374100</v>
      </c>
      <c r="I14" s="9">
        <f>'REV-REVCALC_CWS'!J41</f>
        <v>1539720</v>
      </c>
      <c r="J14" s="9">
        <f>'REV-REVCALC_CWS'!K41</f>
        <v>1245790</v>
      </c>
      <c r="K14" s="9">
        <f>'REV-REVCALC_CWS'!L41</f>
        <v>1374100</v>
      </c>
      <c r="L14" s="9">
        <f>'REV-REVCALC_CWS'!M41</f>
        <v>1117480</v>
      </c>
      <c r="M14" s="9">
        <f>'REV-REVCALC_CWS'!N41</f>
        <v>1117480</v>
      </c>
      <c r="N14" s="9">
        <f>'REV-REVCALC_CWS'!O41</f>
        <v>1117480</v>
      </c>
      <c r="O14" s="9">
        <f>'REV-REVCALC_CWS'!P41</f>
        <v>695240</v>
      </c>
      <c r="P14" s="9">
        <f>'REV-REVCALC_CWS'!Q41</f>
        <v>240868.75</v>
      </c>
      <c r="Q14" s="9">
        <f>'REV-REVCALC_CWS'!R41</f>
        <v>391418.75</v>
      </c>
      <c r="R14" s="9">
        <f>'REV-REVCALC_CWS'!S41</f>
        <v>436587.5</v>
      </c>
      <c r="S14" s="9">
        <f>'REV-REVCALC_CWS'!T41</f>
        <v>439000</v>
      </c>
      <c r="T14" s="9">
        <f>'REV-REVCALC_CWS'!U41</f>
        <v>484412.5</v>
      </c>
      <c r="U14" s="9">
        <f>'REV-REVCALC_CWS'!V41</f>
        <v>529850</v>
      </c>
      <c r="V14" s="9">
        <f>'REV-REVCALC_CWS'!W41</f>
        <v>439000</v>
      </c>
      <c r="W14" s="9">
        <f>'REV-REVCALC_CWS'!X41</f>
        <v>484412.5</v>
      </c>
      <c r="X14" s="9">
        <f>'REV-REVCALC_CWS'!Y41</f>
        <v>393587.5</v>
      </c>
      <c r="Y14" s="9">
        <f>'REV-REVCALC_CWS'!Z41</f>
        <v>393587.5</v>
      </c>
      <c r="Z14" s="9">
        <f>'REV-REVCALC_CWS'!AA41</f>
        <v>393587.5</v>
      </c>
      <c r="AA14" s="9">
        <f>'REV-REVCALC_CWS'!AB41</f>
        <v>242281.25</v>
      </c>
      <c r="AB14" s="9">
        <f>'REV-REVCALC_CWS'!AC41</f>
        <v>155968.75</v>
      </c>
      <c r="AC14" s="9">
        <f>'REV-REVCALC_CWS'!AD41</f>
        <v>252725</v>
      </c>
      <c r="AD14" s="9">
        <f>'REV-REVCALC_CWS'!AE41</f>
        <v>284927.5</v>
      </c>
      <c r="AE14" s="9">
        <f>'REV-REVCALC_CWS'!AF41</f>
        <v>287565</v>
      </c>
      <c r="AF14" s="9">
        <f>'REV-REVCALC_CWS'!AG41</f>
        <v>314696.25</v>
      </c>
      <c r="AG14" s="9">
        <f>'REV-REVCALC_CWS'!AH41</f>
        <v>347168.75</v>
      </c>
      <c r="AH14" s="9">
        <f>'REV-REVCALC_CWS'!AI41</f>
        <v>287565</v>
      </c>
      <c r="AI14" s="9">
        <f>'REV-REVCALC_CWS'!AJ41</f>
        <v>314696.25</v>
      </c>
      <c r="AJ14" s="9">
        <f>'REV-REVCALC_CWS'!AK41</f>
        <v>255096.25</v>
      </c>
      <c r="AK14" s="9">
        <f>'REV-REVCALC_CWS'!AL41</f>
        <v>255096.25</v>
      </c>
      <c r="AL14" s="9">
        <f>'REV-REVCALC_CWS'!AM41</f>
        <v>255096.25</v>
      </c>
      <c r="AM14" s="9">
        <f>'REV-REVCALC_CWS'!AN41</f>
        <v>157516.25</v>
      </c>
      <c r="AN14" s="9">
        <f>'REV-REVCALC_CWS'!AO41</f>
        <v>194900</v>
      </c>
      <c r="AO14" s="9">
        <f>'REV-REVCALC_CWS'!AP41</f>
        <v>314355</v>
      </c>
      <c r="AP14" s="9">
        <f>'REV-REVCALC_CWS'!AQ41</f>
        <v>351927.5</v>
      </c>
      <c r="AQ14" s="9">
        <f>'REV-REVCALC_CWS'!AR41</f>
        <v>354967.5</v>
      </c>
      <c r="AR14" s="9">
        <f>'REV-REVCALC_CWS'!AS41</f>
        <v>392812.5</v>
      </c>
      <c r="AS14" s="9">
        <f>'REV-REVCALC_CWS'!AT41</f>
        <v>430895</v>
      </c>
      <c r="AT14" s="9">
        <f>'REV-REVCALC_CWS'!AU41</f>
        <v>354967.5</v>
      </c>
      <c r="AU14" s="9">
        <f>'REV-REVCALC_CWS'!AV41</f>
        <v>392812.5</v>
      </c>
      <c r="AV14" s="9">
        <f>'REV-REVCALC_CWS'!AW41</f>
        <v>317087.5</v>
      </c>
      <c r="AW14" s="9">
        <f>'REV-REVCALC_CWS'!AX41</f>
        <v>317087.5</v>
      </c>
      <c r="AX14" s="9">
        <f>'REV-REVCALC_CWS'!AY41</f>
        <v>317087.5</v>
      </c>
      <c r="AY14" s="9">
        <f>'REV-REVCALC_CWS'!AZ41</f>
        <v>196675</v>
      </c>
      <c r="AZ14" s="9">
        <f>'REV-REVCALC_CWS'!BA41</f>
        <v>234235</v>
      </c>
      <c r="BA14" s="9">
        <f>'REV-REVCALC_CWS'!BB41</f>
        <v>376200</v>
      </c>
      <c r="BB14" s="9">
        <f>'REV-REVCALC_CWS'!BC41</f>
        <v>418747.5</v>
      </c>
      <c r="BC14" s="9">
        <f>'REV-REVCALC_CWS'!BD41</f>
        <v>421787.5</v>
      </c>
      <c r="BD14" s="9">
        <f>'REV-REVCALC_CWS'!BE41</f>
        <v>471482.5</v>
      </c>
      <c r="BE14" s="9">
        <f>'REV-REVCALC_CWS'!BF41</f>
        <v>514662.5</v>
      </c>
      <c r="BF14" s="9">
        <f>'REV-REVCALC_CWS'!BG41</f>
        <v>421787.5</v>
      </c>
      <c r="BG14" s="9">
        <f>'REV-REVCALC_CWS'!BH41</f>
        <v>471482.5</v>
      </c>
      <c r="BH14" s="9">
        <f>'REV-REVCALC_CWS'!BI41</f>
        <v>378932.5</v>
      </c>
      <c r="BI14" s="9">
        <f>'REV-REVCALC_CWS'!BJ41</f>
        <v>378932.5</v>
      </c>
      <c r="BJ14" s="9">
        <f>'REV-REVCALC_CWS'!BK41</f>
        <v>378932.5</v>
      </c>
      <c r="BK14" s="9">
        <f>'REV-REVCALC_CWS'!BL41</f>
        <v>236010</v>
      </c>
      <c r="BL14" s="38">
        <f>SUM(C14:BK14)</f>
        <v>27502658.75</v>
      </c>
    </row>
    <row r="16" spans="2:64" x14ac:dyDescent="0.15">
      <c r="B16" t="s">
        <v>495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1245790</v>
      </c>
      <c r="I16" s="66">
        <f t="shared" si="0"/>
        <v>1374100</v>
      </c>
      <c r="J16" s="66">
        <f t="shared" si="0"/>
        <v>1539720</v>
      </c>
      <c r="K16" s="66">
        <f t="shared" si="0"/>
        <v>1245790</v>
      </c>
      <c r="L16" s="66">
        <f t="shared" si="0"/>
        <v>1374100</v>
      </c>
      <c r="M16" s="66">
        <f t="shared" si="0"/>
        <v>1117480</v>
      </c>
      <c r="N16" s="66">
        <f t="shared" si="0"/>
        <v>1117480</v>
      </c>
      <c r="O16" s="66">
        <f t="shared" si="0"/>
        <v>1117480</v>
      </c>
      <c r="P16" s="66">
        <f t="shared" si="0"/>
        <v>695240</v>
      </c>
      <c r="Q16" s="66">
        <f t="shared" si="0"/>
        <v>240868.75</v>
      </c>
      <c r="R16" s="66">
        <f t="shared" si="0"/>
        <v>391418.75</v>
      </c>
      <c r="S16" s="66">
        <f t="shared" si="0"/>
        <v>436587.5</v>
      </c>
      <c r="T16" s="66">
        <f t="shared" si="0"/>
        <v>439000</v>
      </c>
      <c r="U16" s="66">
        <f t="shared" si="0"/>
        <v>484412.5</v>
      </c>
      <c r="V16" s="66">
        <f t="shared" si="0"/>
        <v>529850</v>
      </c>
      <c r="W16" s="66">
        <f t="shared" si="0"/>
        <v>439000</v>
      </c>
      <c r="X16" s="66">
        <f t="shared" si="0"/>
        <v>484412.5</v>
      </c>
      <c r="Y16" s="66">
        <f t="shared" si="0"/>
        <v>393587.5</v>
      </c>
      <c r="Z16" s="66">
        <f t="shared" si="0"/>
        <v>393587.5</v>
      </c>
      <c r="AA16" s="66">
        <f t="shared" si="0"/>
        <v>393587.5</v>
      </c>
      <c r="AB16" s="66">
        <f t="shared" si="0"/>
        <v>242281.25</v>
      </c>
      <c r="AC16" s="66">
        <f t="shared" si="0"/>
        <v>155968.75</v>
      </c>
      <c r="AD16" s="66">
        <f t="shared" si="0"/>
        <v>252725</v>
      </c>
      <c r="AE16" s="66">
        <f t="shared" si="0"/>
        <v>284927.5</v>
      </c>
      <c r="AF16" s="66">
        <f t="shared" si="0"/>
        <v>287565</v>
      </c>
      <c r="AG16" s="66">
        <f t="shared" si="0"/>
        <v>314696.25</v>
      </c>
      <c r="AH16" s="66">
        <f t="shared" si="0"/>
        <v>347168.75</v>
      </c>
      <c r="AI16" s="66">
        <f t="shared" si="0"/>
        <v>287565</v>
      </c>
      <c r="AJ16" s="66">
        <f t="shared" ref="AJ16:BK16" si="1">AI19</f>
        <v>314696.25</v>
      </c>
      <c r="AK16" s="66">
        <f t="shared" si="1"/>
        <v>255096.25</v>
      </c>
      <c r="AL16" s="66">
        <f t="shared" si="1"/>
        <v>255096.25</v>
      </c>
      <c r="AM16" s="66">
        <f t="shared" si="1"/>
        <v>255096.25</v>
      </c>
      <c r="AN16" s="66">
        <f t="shared" si="1"/>
        <v>157516.25</v>
      </c>
      <c r="AO16" s="66">
        <f t="shared" si="1"/>
        <v>194900</v>
      </c>
      <c r="AP16" s="66">
        <f t="shared" si="1"/>
        <v>314355</v>
      </c>
      <c r="AQ16" s="66">
        <f t="shared" si="1"/>
        <v>351927.5</v>
      </c>
      <c r="AR16" s="66">
        <f t="shared" si="1"/>
        <v>354967.5</v>
      </c>
      <c r="AS16" s="66">
        <f t="shared" si="1"/>
        <v>392812.5</v>
      </c>
      <c r="AT16" s="66">
        <f t="shared" si="1"/>
        <v>430895</v>
      </c>
      <c r="AU16" s="66">
        <f t="shared" si="1"/>
        <v>354967.5</v>
      </c>
      <c r="AV16" s="66">
        <f t="shared" si="1"/>
        <v>392812.5</v>
      </c>
      <c r="AW16" s="66">
        <f t="shared" si="1"/>
        <v>317087.5</v>
      </c>
      <c r="AX16" s="66">
        <f t="shared" si="1"/>
        <v>317087.5</v>
      </c>
      <c r="AY16" s="66">
        <f t="shared" si="1"/>
        <v>317087.5</v>
      </c>
      <c r="AZ16" s="66">
        <f t="shared" si="1"/>
        <v>196675</v>
      </c>
      <c r="BA16" s="66">
        <f t="shared" si="1"/>
        <v>234235</v>
      </c>
      <c r="BB16" s="66">
        <f t="shared" si="1"/>
        <v>376200</v>
      </c>
      <c r="BC16" s="66">
        <f t="shared" si="1"/>
        <v>418747.5</v>
      </c>
      <c r="BD16" s="66">
        <f t="shared" si="1"/>
        <v>421787.5</v>
      </c>
      <c r="BE16" s="66">
        <f t="shared" si="1"/>
        <v>471482.5</v>
      </c>
      <c r="BF16" s="66">
        <f t="shared" si="1"/>
        <v>514662.5</v>
      </c>
      <c r="BG16" s="66">
        <f t="shared" si="1"/>
        <v>421787.5</v>
      </c>
      <c r="BH16" s="66">
        <f t="shared" si="1"/>
        <v>471482.5</v>
      </c>
      <c r="BI16" s="66">
        <f t="shared" si="1"/>
        <v>378932.5</v>
      </c>
      <c r="BJ16" s="66">
        <f t="shared" si="1"/>
        <v>378932.5</v>
      </c>
      <c r="BK16" s="66">
        <f t="shared" si="1"/>
        <v>378932.5</v>
      </c>
      <c r="BL16" s="35">
        <f>COLUMNS(D16:BK16)</f>
        <v>60</v>
      </c>
    </row>
    <row r="17" spans="2:63" x14ac:dyDescent="0.15">
      <c r="B17" s="139" t="s">
        <v>496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1245790</v>
      </c>
      <c r="H17" s="140">
        <f t="shared" si="2"/>
        <v>1374100</v>
      </c>
      <c r="I17" s="140">
        <f t="shared" si="2"/>
        <v>1539720</v>
      </c>
      <c r="J17" s="140">
        <f t="shared" si="2"/>
        <v>1245790</v>
      </c>
      <c r="K17" s="140">
        <f t="shared" si="2"/>
        <v>1374100</v>
      </c>
      <c r="L17" s="140">
        <f t="shared" si="2"/>
        <v>1117480</v>
      </c>
      <c r="M17" s="140">
        <f t="shared" si="2"/>
        <v>1117480</v>
      </c>
      <c r="N17" s="140">
        <f t="shared" si="2"/>
        <v>1117480</v>
      </c>
      <c r="O17" s="140">
        <f t="shared" si="2"/>
        <v>695240</v>
      </c>
      <c r="P17" s="140">
        <f t="shared" si="2"/>
        <v>240868.75</v>
      </c>
      <c r="Q17" s="140">
        <f t="shared" si="2"/>
        <v>391418.75</v>
      </c>
      <c r="R17" s="140">
        <f t="shared" si="2"/>
        <v>436587.5</v>
      </c>
      <c r="S17" s="140">
        <f t="shared" si="2"/>
        <v>439000</v>
      </c>
      <c r="T17" s="140">
        <f t="shared" si="2"/>
        <v>484412.5</v>
      </c>
      <c r="U17" s="140">
        <f t="shared" si="2"/>
        <v>529850</v>
      </c>
      <c r="V17" s="140">
        <f t="shared" si="2"/>
        <v>439000</v>
      </c>
      <c r="W17" s="140">
        <f t="shared" si="2"/>
        <v>484412.5</v>
      </c>
      <c r="X17" s="140">
        <f t="shared" si="2"/>
        <v>393587.5</v>
      </c>
      <c r="Y17" s="140">
        <f t="shared" si="2"/>
        <v>393587.5</v>
      </c>
      <c r="Z17" s="140">
        <f t="shared" si="2"/>
        <v>393587.5</v>
      </c>
      <c r="AA17" s="140">
        <f t="shared" si="2"/>
        <v>242281.25</v>
      </c>
      <c r="AB17" s="140">
        <f t="shared" si="2"/>
        <v>155968.75</v>
      </c>
      <c r="AC17" s="140">
        <f t="shared" si="2"/>
        <v>252725</v>
      </c>
      <c r="AD17" s="140">
        <f t="shared" si="2"/>
        <v>284927.5</v>
      </c>
      <c r="AE17" s="140">
        <f t="shared" si="2"/>
        <v>287565</v>
      </c>
      <c r="AF17" s="140">
        <f t="shared" si="2"/>
        <v>314696.25</v>
      </c>
      <c r="AG17" s="140">
        <f t="shared" si="2"/>
        <v>347168.75</v>
      </c>
      <c r="AH17" s="140">
        <f t="shared" si="2"/>
        <v>287565</v>
      </c>
      <c r="AI17" s="140">
        <f t="shared" ref="AI17:BK17" si="3">AI14</f>
        <v>314696.25</v>
      </c>
      <c r="AJ17" s="140">
        <f t="shared" si="3"/>
        <v>255096.25</v>
      </c>
      <c r="AK17" s="140">
        <f t="shared" si="3"/>
        <v>255096.25</v>
      </c>
      <c r="AL17" s="140">
        <f t="shared" si="3"/>
        <v>255096.25</v>
      </c>
      <c r="AM17" s="140">
        <f t="shared" si="3"/>
        <v>157516.25</v>
      </c>
      <c r="AN17" s="140">
        <f t="shared" si="3"/>
        <v>194900</v>
      </c>
      <c r="AO17" s="140">
        <f t="shared" si="3"/>
        <v>314355</v>
      </c>
      <c r="AP17" s="140">
        <f t="shared" si="3"/>
        <v>351927.5</v>
      </c>
      <c r="AQ17" s="140">
        <f t="shared" si="3"/>
        <v>354967.5</v>
      </c>
      <c r="AR17" s="140">
        <f t="shared" si="3"/>
        <v>392812.5</v>
      </c>
      <c r="AS17" s="140">
        <f t="shared" si="3"/>
        <v>430895</v>
      </c>
      <c r="AT17" s="140">
        <f t="shared" si="3"/>
        <v>354967.5</v>
      </c>
      <c r="AU17" s="140">
        <f t="shared" si="3"/>
        <v>392812.5</v>
      </c>
      <c r="AV17" s="140">
        <f t="shared" si="3"/>
        <v>317087.5</v>
      </c>
      <c r="AW17" s="140">
        <f t="shared" si="3"/>
        <v>317087.5</v>
      </c>
      <c r="AX17" s="140">
        <f t="shared" si="3"/>
        <v>317087.5</v>
      </c>
      <c r="AY17" s="140">
        <f t="shared" si="3"/>
        <v>196675</v>
      </c>
      <c r="AZ17" s="140">
        <f t="shared" si="3"/>
        <v>234235</v>
      </c>
      <c r="BA17" s="140">
        <f t="shared" si="3"/>
        <v>376200</v>
      </c>
      <c r="BB17" s="140">
        <f t="shared" si="3"/>
        <v>418747.5</v>
      </c>
      <c r="BC17" s="140">
        <f t="shared" si="3"/>
        <v>421787.5</v>
      </c>
      <c r="BD17" s="140">
        <f t="shared" si="3"/>
        <v>471482.5</v>
      </c>
      <c r="BE17" s="140">
        <f t="shared" si="3"/>
        <v>514662.5</v>
      </c>
      <c r="BF17" s="140">
        <f t="shared" si="3"/>
        <v>421787.5</v>
      </c>
      <c r="BG17" s="140">
        <f t="shared" si="3"/>
        <v>471482.5</v>
      </c>
      <c r="BH17" s="140">
        <f t="shared" si="3"/>
        <v>378932.5</v>
      </c>
      <c r="BI17" s="140">
        <f t="shared" si="3"/>
        <v>378932.5</v>
      </c>
      <c r="BJ17" s="140">
        <f t="shared" si="3"/>
        <v>378932.5</v>
      </c>
      <c r="BK17" s="140">
        <f t="shared" si="3"/>
        <v>236010</v>
      </c>
    </row>
    <row r="18" spans="2:63" x14ac:dyDescent="0.15">
      <c r="B18" s="139" t="s">
        <v>497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1245790</v>
      </c>
      <c r="I18" s="140">
        <f t="shared" si="4"/>
        <v>1374100</v>
      </c>
      <c r="J18" s="140">
        <f t="shared" si="4"/>
        <v>1539720</v>
      </c>
      <c r="K18" s="140">
        <f t="shared" si="4"/>
        <v>1245790</v>
      </c>
      <c r="L18" s="140">
        <f t="shared" si="4"/>
        <v>1374100</v>
      </c>
      <c r="M18" s="140">
        <f t="shared" si="4"/>
        <v>1117480</v>
      </c>
      <c r="N18" s="140">
        <f t="shared" si="4"/>
        <v>1117480</v>
      </c>
      <c r="O18" s="140">
        <f t="shared" si="4"/>
        <v>1117480</v>
      </c>
      <c r="P18" s="140">
        <f t="shared" si="4"/>
        <v>695240</v>
      </c>
      <c r="Q18" s="140">
        <f t="shared" si="4"/>
        <v>240868.75</v>
      </c>
      <c r="R18" s="140">
        <f t="shared" si="4"/>
        <v>391418.75</v>
      </c>
      <c r="S18" s="140">
        <f t="shared" si="4"/>
        <v>436587.5</v>
      </c>
      <c r="T18" s="140">
        <f t="shared" si="4"/>
        <v>439000</v>
      </c>
      <c r="U18" s="140">
        <f t="shared" si="4"/>
        <v>484412.5</v>
      </c>
      <c r="V18" s="140">
        <f t="shared" si="4"/>
        <v>529850</v>
      </c>
      <c r="W18" s="140">
        <f t="shared" si="4"/>
        <v>439000</v>
      </c>
      <c r="X18" s="140">
        <f t="shared" si="4"/>
        <v>484412.5</v>
      </c>
      <c r="Y18" s="140">
        <f t="shared" si="4"/>
        <v>393587.5</v>
      </c>
      <c r="Z18" s="140">
        <f t="shared" si="4"/>
        <v>393587.5</v>
      </c>
      <c r="AA18" s="140">
        <f t="shared" si="4"/>
        <v>393587.5</v>
      </c>
      <c r="AB18" s="140">
        <f t="shared" si="4"/>
        <v>242281.25</v>
      </c>
      <c r="AC18" s="140">
        <f t="shared" si="4"/>
        <v>155968.75</v>
      </c>
      <c r="AD18" s="140">
        <f t="shared" si="4"/>
        <v>252725</v>
      </c>
      <c r="AE18" s="140">
        <f t="shared" si="4"/>
        <v>284927.5</v>
      </c>
      <c r="AF18" s="140">
        <f t="shared" si="4"/>
        <v>287565</v>
      </c>
      <c r="AG18" s="140">
        <f t="shared" si="4"/>
        <v>314696.25</v>
      </c>
      <c r="AH18" s="140">
        <f t="shared" si="4"/>
        <v>347168.75</v>
      </c>
      <c r="AI18" s="140">
        <f t="shared" si="4"/>
        <v>287565</v>
      </c>
      <c r="AJ18" s="140">
        <f t="shared" ref="AJ18:BK18" si="5">AI17</f>
        <v>314696.25</v>
      </c>
      <c r="AK18" s="140">
        <f t="shared" si="5"/>
        <v>255096.25</v>
      </c>
      <c r="AL18" s="140">
        <f t="shared" si="5"/>
        <v>255096.25</v>
      </c>
      <c r="AM18" s="140">
        <f t="shared" si="5"/>
        <v>255096.25</v>
      </c>
      <c r="AN18" s="140">
        <f t="shared" si="5"/>
        <v>157516.25</v>
      </c>
      <c r="AO18" s="140">
        <f t="shared" si="5"/>
        <v>194900</v>
      </c>
      <c r="AP18" s="140">
        <f t="shared" si="5"/>
        <v>314355</v>
      </c>
      <c r="AQ18" s="140">
        <f t="shared" si="5"/>
        <v>351927.5</v>
      </c>
      <c r="AR18" s="140">
        <f t="shared" si="5"/>
        <v>354967.5</v>
      </c>
      <c r="AS18" s="140">
        <f t="shared" si="5"/>
        <v>392812.5</v>
      </c>
      <c r="AT18" s="140">
        <f t="shared" si="5"/>
        <v>430895</v>
      </c>
      <c r="AU18" s="140">
        <f t="shared" si="5"/>
        <v>354967.5</v>
      </c>
      <c r="AV18" s="140">
        <f t="shared" si="5"/>
        <v>392812.5</v>
      </c>
      <c r="AW18" s="140">
        <f t="shared" si="5"/>
        <v>317087.5</v>
      </c>
      <c r="AX18" s="140">
        <f t="shared" si="5"/>
        <v>317087.5</v>
      </c>
      <c r="AY18" s="140">
        <f t="shared" si="5"/>
        <v>317087.5</v>
      </c>
      <c r="AZ18" s="140">
        <f t="shared" si="5"/>
        <v>196675</v>
      </c>
      <c r="BA18" s="140">
        <f t="shared" si="5"/>
        <v>234235</v>
      </c>
      <c r="BB18" s="140">
        <f t="shared" si="5"/>
        <v>376200</v>
      </c>
      <c r="BC18" s="140">
        <f t="shared" si="5"/>
        <v>418747.5</v>
      </c>
      <c r="BD18" s="140">
        <f t="shared" si="5"/>
        <v>421787.5</v>
      </c>
      <c r="BE18" s="140">
        <f t="shared" si="5"/>
        <v>471482.5</v>
      </c>
      <c r="BF18" s="140">
        <f t="shared" si="5"/>
        <v>514662.5</v>
      </c>
      <c r="BG18" s="140">
        <f t="shared" si="5"/>
        <v>421787.5</v>
      </c>
      <c r="BH18" s="140">
        <f t="shared" si="5"/>
        <v>471482.5</v>
      </c>
      <c r="BI18" s="140">
        <f t="shared" si="5"/>
        <v>378932.5</v>
      </c>
      <c r="BJ18" s="140">
        <f t="shared" si="5"/>
        <v>378932.5</v>
      </c>
      <c r="BK18" s="140">
        <f t="shared" si="5"/>
        <v>378932.5</v>
      </c>
    </row>
    <row r="19" spans="2:63" x14ac:dyDescent="0.15">
      <c r="B19" t="s">
        <v>498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1245790</v>
      </c>
      <c r="H19" s="66">
        <f t="shared" si="6"/>
        <v>1374100</v>
      </c>
      <c r="I19" s="66">
        <f t="shared" si="6"/>
        <v>1539720</v>
      </c>
      <c r="J19" s="66">
        <f t="shared" si="6"/>
        <v>1245790</v>
      </c>
      <c r="K19" s="66">
        <f t="shared" si="6"/>
        <v>1374100</v>
      </c>
      <c r="L19" s="66">
        <f t="shared" si="6"/>
        <v>1117480</v>
      </c>
      <c r="M19" s="66">
        <f t="shared" si="6"/>
        <v>1117480</v>
      </c>
      <c r="N19" s="66">
        <f t="shared" si="6"/>
        <v>1117480</v>
      </c>
      <c r="O19" s="66">
        <f t="shared" si="6"/>
        <v>695240</v>
      </c>
      <c r="P19" s="66">
        <f t="shared" si="6"/>
        <v>240868.75</v>
      </c>
      <c r="Q19" s="66">
        <f t="shared" si="6"/>
        <v>391418.75</v>
      </c>
      <c r="R19" s="66">
        <f t="shared" si="6"/>
        <v>436587.5</v>
      </c>
      <c r="S19" s="66">
        <f t="shared" si="6"/>
        <v>439000</v>
      </c>
      <c r="T19" s="66">
        <f t="shared" si="6"/>
        <v>484412.5</v>
      </c>
      <c r="U19" s="66">
        <f t="shared" si="6"/>
        <v>529850</v>
      </c>
      <c r="V19" s="66">
        <f t="shared" si="6"/>
        <v>439000</v>
      </c>
      <c r="W19" s="66">
        <f t="shared" si="6"/>
        <v>484412.5</v>
      </c>
      <c r="X19" s="66">
        <f t="shared" si="6"/>
        <v>393587.5</v>
      </c>
      <c r="Y19" s="66">
        <f t="shared" si="6"/>
        <v>393587.5</v>
      </c>
      <c r="Z19" s="66">
        <f t="shared" si="6"/>
        <v>393587.5</v>
      </c>
      <c r="AA19" s="66">
        <f t="shared" si="6"/>
        <v>242281.25</v>
      </c>
      <c r="AB19" s="66">
        <f t="shared" si="6"/>
        <v>155968.75</v>
      </c>
      <c r="AC19" s="66">
        <f t="shared" si="6"/>
        <v>252725</v>
      </c>
      <c r="AD19" s="66">
        <f t="shared" si="6"/>
        <v>284927.5</v>
      </c>
      <c r="AE19" s="66">
        <f t="shared" si="6"/>
        <v>287565</v>
      </c>
      <c r="AF19" s="66">
        <f t="shared" si="6"/>
        <v>314696.25</v>
      </c>
      <c r="AG19" s="66">
        <f t="shared" si="6"/>
        <v>347168.75</v>
      </c>
      <c r="AH19" s="66">
        <f t="shared" si="6"/>
        <v>287565</v>
      </c>
      <c r="AI19" s="66">
        <f t="shared" ref="AI19:BK19" si="7">AI16+AI17-AI18</f>
        <v>314696.25</v>
      </c>
      <c r="AJ19" s="66">
        <f t="shared" si="7"/>
        <v>255096.25</v>
      </c>
      <c r="AK19" s="66">
        <f t="shared" si="7"/>
        <v>255096.25</v>
      </c>
      <c r="AL19" s="66">
        <f t="shared" si="7"/>
        <v>255096.25</v>
      </c>
      <c r="AM19" s="66">
        <f t="shared" si="7"/>
        <v>157516.25</v>
      </c>
      <c r="AN19" s="66">
        <f t="shared" si="7"/>
        <v>194900</v>
      </c>
      <c r="AO19" s="66">
        <f t="shared" si="7"/>
        <v>314355</v>
      </c>
      <c r="AP19" s="66">
        <f t="shared" si="7"/>
        <v>351927.5</v>
      </c>
      <c r="AQ19" s="66">
        <f t="shared" si="7"/>
        <v>354967.5</v>
      </c>
      <c r="AR19" s="66">
        <f t="shared" si="7"/>
        <v>392812.5</v>
      </c>
      <c r="AS19" s="66">
        <f t="shared" si="7"/>
        <v>430895</v>
      </c>
      <c r="AT19" s="66">
        <f t="shared" si="7"/>
        <v>354967.5</v>
      </c>
      <c r="AU19" s="66">
        <f t="shared" si="7"/>
        <v>392812.5</v>
      </c>
      <c r="AV19" s="66">
        <f t="shared" si="7"/>
        <v>317087.5</v>
      </c>
      <c r="AW19" s="66">
        <f t="shared" si="7"/>
        <v>317087.5</v>
      </c>
      <c r="AX19" s="66">
        <f t="shared" si="7"/>
        <v>317087.5</v>
      </c>
      <c r="AY19" s="66">
        <f t="shared" si="7"/>
        <v>196675</v>
      </c>
      <c r="AZ19" s="66">
        <f t="shared" si="7"/>
        <v>234235</v>
      </c>
      <c r="BA19" s="66">
        <f t="shared" si="7"/>
        <v>376200</v>
      </c>
      <c r="BB19" s="66">
        <f t="shared" si="7"/>
        <v>418747.5</v>
      </c>
      <c r="BC19" s="66">
        <f t="shared" si="7"/>
        <v>421787.5</v>
      </c>
      <c r="BD19" s="66">
        <f t="shared" si="7"/>
        <v>471482.5</v>
      </c>
      <c r="BE19" s="66">
        <f t="shared" si="7"/>
        <v>514662.5</v>
      </c>
      <c r="BF19" s="66">
        <f t="shared" si="7"/>
        <v>421787.5</v>
      </c>
      <c r="BG19" s="66">
        <f t="shared" si="7"/>
        <v>471482.5</v>
      </c>
      <c r="BH19" s="66">
        <f t="shared" si="7"/>
        <v>378932.5</v>
      </c>
      <c r="BI19" s="66">
        <f t="shared" si="7"/>
        <v>378932.5</v>
      </c>
      <c r="BJ19" s="66">
        <f t="shared" si="7"/>
        <v>378932.5</v>
      </c>
      <c r="BK19" s="66">
        <f t="shared" si="7"/>
        <v>236010</v>
      </c>
    </row>
    <row r="20" spans="2:63" x14ac:dyDescent="0.15">
      <c r="B20" t="s">
        <v>499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1245790</v>
      </c>
      <c r="H20" s="140">
        <f t="shared" si="8"/>
        <v>128310</v>
      </c>
      <c r="I20" s="140">
        <f t="shared" si="8"/>
        <v>165620</v>
      </c>
      <c r="J20" s="140">
        <f t="shared" si="8"/>
        <v>-293930</v>
      </c>
      <c r="K20" s="140">
        <f t="shared" si="8"/>
        <v>128310</v>
      </c>
      <c r="L20" s="140">
        <f t="shared" si="8"/>
        <v>-256620</v>
      </c>
      <c r="M20" s="140">
        <f t="shared" si="8"/>
        <v>0</v>
      </c>
      <c r="N20" s="140">
        <f t="shared" si="8"/>
        <v>0</v>
      </c>
      <c r="O20" s="140">
        <f t="shared" si="8"/>
        <v>-422240</v>
      </c>
      <c r="P20" s="140">
        <f t="shared" si="8"/>
        <v>-454371.25</v>
      </c>
      <c r="Q20" s="140">
        <f t="shared" si="8"/>
        <v>150550</v>
      </c>
      <c r="R20" s="140">
        <f t="shared" si="8"/>
        <v>45168.75</v>
      </c>
      <c r="S20" s="140">
        <f t="shared" si="8"/>
        <v>2412.5</v>
      </c>
      <c r="T20" s="140">
        <f t="shared" si="8"/>
        <v>45412.5</v>
      </c>
      <c r="U20" s="140">
        <f t="shared" si="8"/>
        <v>45437.5</v>
      </c>
      <c r="V20" s="140">
        <f t="shared" si="8"/>
        <v>-90850</v>
      </c>
      <c r="W20" s="140">
        <f t="shared" si="8"/>
        <v>45412.5</v>
      </c>
      <c r="X20" s="140">
        <f t="shared" si="8"/>
        <v>-90825</v>
      </c>
      <c r="Y20" s="140">
        <f t="shared" si="8"/>
        <v>0</v>
      </c>
      <c r="Z20" s="140">
        <f t="shared" si="8"/>
        <v>0</v>
      </c>
      <c r="AA20" s="140">
        <f t="shared" si="8"/>
        <v>-151306.25</v>
      </c>
      <c r="AB20" s="140">
        <f t="shared" si="8"/>
        <v>-86312.5</v>
      </c>
      <c r="AC20" s="140">
        <f t="shared" si="8"/>
        <v>96756.25</v>
      </c>
      <c r="AD20" s="140">
        <f t="shared" si="8"/>
        <v>32202.5</v>
      </c>
      <c r="AE20" s="140">
        <f t="shared" si="8"/>
        <v>2637.5</v>
      </c>
      <c r="AF20" s="140">
        <f t="shared" si="8"/>
        <v>27131.25</v>
      </c>
      <c r="AG20" s="140">
        <f t="shared" si="8"/>
        <v>32472.5</v>
      </c>
      <c r="AH20" s="140">
        <f t="shared" si="8"/>
        <v>-59603.75</v>
      </c>
      <c r="AI20" s="140">
        <f t="shared" si="8"/>
        <v>27131.25</v>
      </c>
      <c r="AJ20" s="140">
        <f t="shared" ref="AJ20:BK20" si="9">AJ17-AJ18</f>
        <v>-59600</v>
      </c>
      <c r="AK20" s="140">
        <f t="shared" si="9"/>
        <v>0</v>
      </c>
      <c r="AL20" s="140">
        <f t="shared" si="9"/>
        <v>0</v>
      </c>
      <c r="AM20" s="140">
        <f t="shared" si="9"/>
        <v>-97580</v>
      </c>
      <c r="AN20" s="140">
        <f t="shared" si="9"/>
        <v>37383.75</v>
      </c>
      <c r="AO20" s="140">
        <f t="shared" si="9"/>
        <v>119455</v>
      </c>
      <c r="AP20" s="140">
        <f t="shared" si="9"/>
        <v>37572.5</v>
      </c>
      <c r="AQ20" s="140">
        <f t="shared" si="9"/>
        <v>3040</v>
      </c>
      <c r="AR20" s="140">
        <f t="shared" si="9"/>
        <v>37845</v>
      </c>
      <c r="AS20" s="140">
        <f t="shared" si="9"/>
        <v>38082.5</v>
      </c>
      <c r="AT20" s="140">
        <f t="shared" si="9"/>
        <v>-75927.5</v>
      </c>
      <c r="AU20" s="140">
        <f t="shared" si="9"/>
        <v>37845</v>
      </c>
      <c r="AV20" s="140">
        <f t="shared" si="9"/>
        <v>-75725</v>
      </c>
      <c r="AW20" s="140">
        <f t="shared" si="9"/>
        <v>0</v>
      </c>
      <c r="AX20" s="140">
        <f t="shared" si="9"/>
        <v>0</v>
      </c>
      <c r="AY20" s="140">
        <f t="shared" si="9"/>
        <v>-120412.5</v>
      </c>
      <c r="AZ20" s="140">
        <f t="shared" si="9"/>
        <v>37560</v>
      </c>
      <c r="BA20" s="140">
        <f t="shared" si="9"/>
        <v>141965</v>
      </c>
      <c r="BB20" s="140">
        <f t="shared" si="9"/>
        <v>42547.5</v>
      </c>
      <c r="BC20" s="140">
        <f t="shared" si="9"/>
        <v>3040</v>
      </c>
      <c r="BD20" s="140">
        <f t="shared" si="9"/>
        <v>49695</v>
      </c>
      <c r="BE20" s="140">
        <f t="shared" si="9"/>
        <v>43180</v>
      </c>
      <c r="BF20" s="140">
        <f t="shared" si="9"/>
        <v>-92875</v>
      </c>
      <c r="BG20" s="140">
        <f t="shared" si="9"/>
        <v>49695</v>
      </c>
      <c r="BH20" s="140">
        <f t="shared" si="9"/>
        <v>-92550</v>
      </c>
      <c r="BI20" s="140">
        <f t="shared" si="9"/>
        <v>0</v>
      </c>
      <c r="BJ20" s="140">
        <f t="shared" si="9"/>
        <v>0</v>
      </c>
      <c r="BK20" s="140">
        <f t="shared" si="9"/>
        <v>-142922.5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4" t="s">
        <v>35</v>
      </c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 t="s">
        <v>36</v>
      </c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/>
      <c r="AD1" s="364" t="s">
        <v>37</v>
      </c>
      <c r="AE1" s="364"/>
      <c r="AF1" s="364"/>
      <c r="AG1" s="364"/>
      <c r="AH1" s="364"/>
      <c r="AI1" s="364"/>
      <c r="AJ1" s="364"/>
      <c r="AK1" s="364"/>
      <c r="AL1" s="364"/>
      <c r="AM1" s="364"/>
      <c r="AN1" s="364"/>
      <c r="AO1" s="364"/>
      <c r="AP1" s="364" t="s">
        <v>38</v>
      </c>
      <c r="AQ1" s="364"/>
      <c r="AR1" s="364"/>
      <c r="AS1" s="364"/>
      <c r="AT1" s="364"/>
      <c r="AU1" s="364"/>
      <c r="AV1" s="364"/>
      <c r="AW1" s="364"/>
      <c r="AX1" s="364"/>
      <c r="AY1" s="364"/>
      <c r="AZ1" s="364"/>
      <c r="BA1" s="364"/>
      <c r="BB1" s="364" t="s">
        <v>39</v>
      </c>
      <c r="BC1" s="364"/>
      <c r="BD1" s="364"/>
      <c r="BE1" s="364"/>
      <c r="BF1" s="364"/>
      <c r="BG1" s="364"/>
      <c r="BH1" s="364"/>
      <c r="BI1" s="364"/>
      <c r="BJ1" s="364"/>
      <c r="BK1" s="364"/>
      <c r="BL1" s="364"/>
      <c r="BM1" s="364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1" t="s">
        <v>292</v>
      </c>
      <c r="BO2" s="371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529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530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445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531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421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424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422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439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440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423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441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425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4"/>
      <c r="C2" s="364"/>
      <c r="D2" s="364"/>
      <c r="E2" s="364"/>
      <c r="F2" s="364"/>
      <c r="G2" s="364"/>
      <c r="H2" s="364"/>
      <c r="I2" s="364"/>
      <c r="J2" s="364"/>
      <c r="K2" s="364"/>
      <c r="L2" s="364"/>
      <c r="M2" s="364"/>
      <c r="N2" s="364" t="s">
        <v>36</v>
      </c>
      <c r="O2" s="364"/>
      <c r="P2" s="364"/>
      <c r="Q2" s="364"/>
      <c r="R2" s="364"/>
      <c r="S2" s="364"/>
      <c r="T2" s="364"/>
      <c r="U2" s="364"/>
      <c r="V2" s="364"/>
      <c r="W2" s="364"/>
      <c r="X2" s="364"/>
      <c r="Y2" s="364"/>
      <c r="Z2" s="364" t="s">
        <v>37</v>
      </c>
      <c r="AA2" s="364"/>
      <c r="AB2" s="364"/>
      <c r="AC2" s="364"/>
      <c r="AD2" s="364"/>
      <c r="AE2" s="364"/>
      <c r="AF2" s="364"/>
      <c r="AG2" s="364"/>
      <c r="AH2" s="364"/>
      <c r="AI2" s="364"/>
      <c r="AJ2" s="364"/>
      <c r="AK2" s="364"/>
      <c r="AL2" s="364" t="s">
        <v>38</v>
      </c>
      <c r="AM2" s="364"/>
      <c r="AN2" s="364"/>
      <c r="AO2" s="364"/>
      <c r="AP2" s="364"/>
      <c r="AQ2" s="364"/>
      <c r="AR2" s="364"/>
      <c r="AS2" s="364"/>
      <c r="AT2" s="364"/>
      <c r="AU2" s="364"/>
      <c r="AV2" s="364"/>
      <c r="AW2" s="364"/>
      <c r="AX2" s="364" t="s">
        <v>39</v>
      </c>
      <c r="AY2" s="364"/>
      <c r="AZ2" s="364"/>
      <c r="BA2" s="364"/>
      <c r="BB2" s="364"/>
      <c r="BC2" s="364"/>
      <c r="BD2" s="364"/>
      <c r="BE2" s="364"/>
      <c r="BF2" s="364"/>
      <c r="BG2" s="364"/>
      <c r="BH2" s="364"/>
      <c r="BI2" s="364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4" t="s">
        <v>35</v>
      </c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 t="s">
        <v>36</v>
      </c>
      <c r="O14" s="364"/>
      <c r="P14" s="364"/>
      <c r="Q14" s="364"/>
      <c r="R14" s="364"/>
      <c r="S14" s="364"/>
      <c r="T14" s="364"/>
      <c r="U14" s="364"/>
      <c r="V14" s="364"/>
      <c r="W14" s="364"/>
      <c r="X14" s="364"/>
      <c r="Y14" s="364"/>
      <c r="Z14" s="364" t="s">
        <v>37</v>
      </c>
      <c r="AA14" s="364"/>
      <c r="AB14" s="364"/>
      <c r="AC14" s="364"/>
      <c r="AD14" s="364"/>
      <c r="AE14" s="364"/>
      <c r="AF14" s="364"/>
      <c r="AG14" s="364"/>
      <c r="AH14" s="364"/>
      <c r="AI14" s="364"/>
      <c r="AJ14" s="364"/>
      <c r="AK14" s="364"/>
      <c r="AL14" s="364" t="s">
        <v>38</v>
      </c>
      <c r="AM14" s="364"/>
      <c r="AN14" s="364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 t="s">
        <v>39</v>
      </c>
      <c r="AY14" s="364"/>
      <c r="AZ14" s="364"/>
      <c r="BA14" s="364"/>
      <c r="BB14" s="364"/>
      <c r="BC14" s="364"/>
      <c r="BD14" s="364"/>
      <c r="BE14" s="364"/>
      <c r="BF14" s="364"/>
      <c r="BG14" s="364"/>
      <c r="BH14" s="364"/>
      <c r="BI14" s="364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1091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1092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529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530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405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445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531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421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424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422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439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440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423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441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425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2" t="s">
        <v>287</v>
      </c>
      <c r="I1" s="372"/>
      <c r="J1" s="372"/>
      <c r="K1" s="372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4"/>
      <c r="G3" s="364"/>
      <c r="H3" s="364"/>
      <c r="I3" s="364"/>
      <c r="J3" s="364"/>
      <c r="K3" s="364"/>
      <c r="L3" s="364"/>
      <c r="M3" s="364"/>
      <c r="N3" s="364"/>
      <c r="O3" s="364"/>
      <c r="P3" s="364"/>
      <c r="Q3" s="364"/>
      <c r="R3" s="10"/>
      <c r="S3" s="364" t="s">
        <v>36</v>
      </c>
      <c r="T3" s="364"/>
      <c r="U3" s="364"/>
      <c r="V3" s="364"/>
      <c r="W3" s="364"/>
      <c r="X3" s="364"/>
      <c r="Y3" s="364"/>
      <c r="Z3" s="364"/>
      <c r="AA3" s="364"/>
      <c r="AB3" s="364"/>
      <c r="AC3" s="364"/>
      <c r="AD3" s="364"/>
      <c r="AE3" s="10"/>
      <c r="AF3" s="364" t="s">
        <v>37</v>
      </c>
      <c r="AG3" s="364"/>
      <c r="AH3" s="364"/>
      <c r="AI3" s="364"/>
      <c r="AJ3" s="364"/>
      <c r="AK3" s="364"/>
      <c r="AL3" s="364"/>
      <c r="AM3" s="364"/>
      <c r="AN3" s="364"/>
      <c r="AO3" s="364"/>
      <c r="AP3" s="364"/>
      <c r="AQ3" s="364"/>
      <c r="AR3" s="10"/>
      <c r="AS3" s="364" t="s">
        <v>38</v>
      </c>
      <c r="AT3" s="364"/>
      <c r="AU3" s="364"/>
      <c r="AV3" s="364"/>
      <c r="AW3" s="364"/>
      <c r="AX3" s="364"/>
      <c r="AY3" s="364"/>
      <c r="AZ3" s="364"/>
      <c r="BA3" s="364"/>
      <c r="BB3" s="364"/>
      <c r="BC3" s="364"/>
      <c r="BD3" s="364"/>
      <c r="BE3" s="10"/>
      <c r="BF3" s="364" t="s">
        <v>39</v>
      </c>
      <c r="BG3" s="364"/>
      <c r="BH3" s="364"/>
      <c r="BI3" s="364"/>
      <c r="BJ3" s="364"/>
      <c r="BK3" s="364"/>
      <c r="BL3" s="364"/>
      <c r="BM3" s="364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1062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4" t="s">
        <v>318</v>
      </c>
      <c r="B2" s="364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4" t="s">
        <v>35</v>
      </c>
      <c r="D5" s="364"/>
      <c r="E5" s="364"/>
      <c r="F5" s="364"/>
      <c r="G5" s="364"/>
      <c r="H5" s="364"/>
      <c r="I5" s="364"/>
      <c r="J5" s="364"/>
      <c r="K5" s="364"/>
      <c r="L5" s="364"/>
      <c r="M5" s="364"/>
      <c r="N5" s="364"/>
      <c r="O5" s="364" t="s">
        <v>36</v>
      </c>
      <c r="P5" s="364"/>
      <c r="Q5" s="364"/>
      <c r="R5" s="364"/>
      <c r="S5" s="364"/>
      <c r="T5" s="364"/>
      <c r="U5" s="364"/>
      <c r="V5" s="364"/>
      <c r="W5" s="364"/>
      <c r="X5" s="364"/>
      <c r="Y5" s="364"/>
      <c r="Z5" s="364"/>
      <c r="AA5" s="364" t="s">
        <v>37</v>
      </c>
      <c r="AB5" s="364"/>
      <c r="AC5" s="364"/>
      <c r="AD5" s="364"/>
      <c r="AE5" s="364"/>
      <c r="AF5" s="364"/>
      <c r="AG5" s="364"/>
      <c r="AH5" s="364"/>
      <c r="AI5" s="364"/>
      <c r="AJ5" s="364"/>
      <c r="AK5" s="364"/>
      <c r="AL5" s="364"/>
      <c r="AM5" s="364" t="s">
        <v>38</v>
      </c>
      <c r="AN5" s="364"/>
      <c r="AO5" s="364"/>
      <c r="AP5" s="364"/>
      <c r="AQ5" s="364"/>
      <c r="AR5" s="364"/>
      <c r="AS5" s="364"/>
      <c r="AT5" s="364"/>
      <c r="AU5" s="364"/>
      <c r="AV5" s="364"/>
      <c r="AW5" s="364"/>
      <c r="AX5" s="364"/>
      <c r="AY5" s="364" t="s">
        <v>39</v>
      </c>
      <c r="AZ5" s="364"/>
      <c r="BA5" s="364"/>
      <c r="BB5" s="364"/>
      <c r="BC5" s="364"/>
      <c r="BD5" s="364"/>
      <c r="BE5" s="364"/>
      <c r="BF5" s="364"/>
      <c r="BG5" s="364"/>
      <c r="BH5" s="364"/>
      <c r="BI5" s="364"/>
      <c r="BJ5" s="364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4" t="s">
        <v>35</v>
      </c>
      <c r="D21" s="364"/>
      <c r="E21" s="364"/>
      <c r="F21" s="364"/>
      <c r="G21" s="364"/>
      <c r="H21" s="364"/>
      <c r="I21" s="364"/>
      <c r="J21" s="364"/>
      <c r="K21" s="364"/>
      <c r="L21" s="364"/>
      <c r="M21" s="364"/>
      <c r="N21" s="364"/>
      <c r="O21" s="364" t="s">
        <v>36</v>
      </c>
      <c r="P21" s="364"/>
      <c r="Q21" s="364"/>
      <c r="R21" s="364"/>
      <c r="S21" s="364"/>
      <c r="T21" s="364"/>
      <c r="U21" s="364"/>
      <c r="V21" s="364"/>
      <c r="W21" s="364"/>
      <c r="X21" s="364"/>
      <c r="Y21" s="364"/>
      <c r="Z21" s="364"/>
      <c r="AA21" s="364" t="s">
        <v>37</v>
      </c>
      <c r="AB21" s="364"/>
      <c r="AC21" s="364"/>
      <c r="AD21" s="364"/>
      <c r="AE21" s="364"/>
      <c r="AF21" s="364"/>
      <c r="AG21" s="364"/>
      <c r="AH21" s="364"/>
      <c r="AI21" s="364"/>
      <c r="AJ21" s="364"/>
      <c r="AK21" s="364"/>
      <c r="AL21" s="364"/>
      <c r="AM21" s="364" t="s">
        <v>38</v>
      </c>
      <c r="AN21" s="364"/>
      <c r="AO21" s="364"/>
      <c r="AP21" s="364"/>
      <c r="AQ21" s="364"/>
      <c r="AR21" s="364"/>
      <c r="AS21" s="364"/>
      <c r="AT21" s="364"/>
      <c r="AU21" s="364"/>
      <c r="AV21" s="364"/>
      <c r="AW21" s="364"/>
      <c r="AX21" s="364"/>
      <c r="AY21" s="364" t="s">
        <v>39</v>
      </c>
      <c r="AZ21" s="364"/>
      <c r="BA21" s="364"/>
      <c r="BB21" s="364"/>
      <c r="BC21" s="364"/>
      <c r="BD21" s="364"/>
      <c r="BE21" s="364"/>
      <c r="BF21" s="364"/>
      <c r="BG21" s="364"/>
      <c r="BH21" s="364"/>
      <c r="BI21" s="364"/>
      <c r="BJ21" s="364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1125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1126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4" t="s">
        <v>35</v>
      </c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 t="s">
        <v>36</v>
      </c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/>
      <c r="AD1" s="364" t="s">
        <v>37</v>
      </c>
      <c r="AE1" s="364"/>
      <c r="AF1" s="364"/>
      <c r="AG1" s="364"/>
      <c r="AH1" s="364"/>
      <c r="AI1" s="364"/>
      <c r="AJ1" s="364"/>
      <c r="AK1" s="364"/>
      <c r="AL1" s="364"/>
      <c r="AM1" s="364"/>
      <c r="AN1" s="364"/>
      <c r="AO1" s="364"/>
      <c r="AP1" s="364" t="s">
        <v>38</v>
      </c>
      <c r="AQ1" s="364"/>
      <c r="AR1" s="364"/>
      <c r="AS1" s="364"/>
      <c r="AT1" s="364"/>
      <c r="AU1" s="364"/>
      <c r="AV1" s="364"/>
      <c r="AW1" s="364"/>
      <c r="AX1" s="364"/>
      <c r="AY1" s="364"/>
      <c r="AZ1" s="364"/>
      <c r="BA1" s="364"/>
      <c r="BB1" s="364" t="s">
        <v>39</v>
      </c>
      <c r="BC1" s="364"/>
      <c r="BD1" s="364"/>
      <c r="BE1" s="364"/>
      <c r="BF1" s="364"/>
      <c r="BG1" s="364"/>
      <c r="BH1" s="364"/>
      <c r="BI1" s="364"/>
      <c r="BJ1" s="364"/>
      <c r="BK1" s="364"/>
      <c r="BL1" s="364"/>
      <c r="BM1" s="364"/>
      <c r="BN1" s="35"/>
    </row>
    <row r="2" spans="1:66" x14ac:dyDescent="0.15">
      <c r="B2" s="74" t="s">
        <v>1052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1055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1054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1054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1054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1055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1054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1054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1054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1054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1054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1056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1054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1054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1054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1054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1054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1053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4" t="s">
        <v>35</v>
      </c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 t="s">
        <v>36</v>
      </c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 t="s">
        <v>37</v>
      </c>
      <c r="AC1" s="364"/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 t="s">
        <v>38</v>
      </c>
      <c r="AO1" s="364"/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 t="s">
        <v>39</v>
      </c>
      <c r="BA1" s="364"/>
      <c r="BB1" s="364"/>
      <c r="BC1" s="364"/>
      <c r="BD1" s="364"/>
      <c r="BE1" s="364"/>
      <c r="BF1" s="364"/>
      <c r="BG1" s="364"/>
      <c r="BH1" s="364"/>
      <c r="BI1" s="364"/>
      <c r="BJ1" s="364"/>
      <c r="BK1" s="364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1051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R159" activePane="bottomRight" state="frozen"/>
      <selection pane="topRight" activeCell="G1" sqref="G1"/>
      <selection pane="bottomLeft" activeCell="A5" sqref="A5"/>
      <selection pane="bottomRight" activeCell="A575" sqref="A575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4" t="s">
        <v>35</v>
      </c>
      <c r="I1" s="364"/>
      <c r="J1" s="364"/>
      <c r="K1" s="364"/>
      <c r="L1" s="364"/>
      <c r="M1" s="364"/>
      <c r="N1" s="364"/>
      <c r="O1" s="364"/>
      <c r="P1" s="364"/>
      <c r="Q1" s="364"/>
      <c r="R1" s="364"/>
      <c r="S1" s="364"/>
      <c r="T1" s="364" t="s">
        <v>36</v>
      </c>
      <c r="U1" s="364"/>
      <c r="V1" s="364"/>
      <c r="W1" s="364"/>
      <c r="X1" s="364"/>
      <c r="Y1" s="364"/>
      <c r="Z1" s="364"/>
      <c r="AA1" s="364"/>
      <c r="AB1" s="364"/>
      <c r="AC1" s="364"/>
      <c r="AD1" s="364"/>
      <c r="AE1" s="364"/>
      <c r="AF1" s="364" t="s">
        <v>37</v>
      </c>
      <c r="AG1" s="364"/>
      <c r="AH1" s="364"/>
      <c r="AI1" s="364"/>
      <c r="AJ1" s="364"/>
      <c r="AK1" s="364"/>
      <c r="AL1" s="364"/>
      <c r="AM1" s="364"/>
      <c r="AN1" s="364"/>
      <c r="AO1" s="364"/>
      <c r="AP1" s="364"/>
      <c r="AQ1" s="364"/>
      <c r="AR1" s="364" t="s">
        <v>38</v>
      </c>
      <c r="AS1" s="364"/>
      <c r="AT1" s="364"/>
      <c r="AU1" s="364"/>
      <c r="AV1" s="364"/>
      <c r="AW1" s="364"/>
      <c r="AX1" s="364"/>
      <c r="AY1" s="364"/>
      <c r="AZ1" s="364"/>
      <c r="BA1" s="364"/>
      <c r="BB1" s="364"/>
      <c r="BC1" s="364"/>
      <c r="BD1" s="364" t="s">
        <v>39</v>
      </c>
      <c r="BE1" s="364"/>
      <c r="BF1" s="364"/>
      <c r="BG1" s="364"/>
      <c r="BH1" s="364"/>
      <c r="BI1" s="364"/>
      <c r="BJ1" s="364"/>
      <c r="BK1" s="364"/>
      <c r="BL1" s="364"/>
      <c r="BM1" s="364"/>
      <c r="BN1" s="364"/>
      <c r="BO1" s="364"/>
      <c r="BP1" s="35"/>
    </row>
    <row r="2" spans="1:79" s="14" customFormat="1" x14ac:dyDescent="0.15">
      <c r="A2" s="10" t="s">
        <v>1211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1215</v>
      </c>
      <c r="B3" s="10" t="s">
        <v>68</v>
      </c>
      <c r="C3" s="269" t="s">
        <v>1217</v>
      </c>
      <c r="D3" s="10" t="s">
        <v>65</v>
      </c>
      <c r="E3" s="10" t="s">
        <v>66</v>
      </c>
      <c r="F3" s="10" t="s">
        <v>67</v>
      </c>
      <c r="G3" s="10"/>
      <c r="BP3" s="36" t="s">
        <v>758</v>
      </c>
    </row>
    <row r="4" spans="1:79" x14ac:dyDescent="0.15">
      <c r="A4" s="10" t="s">
        <v>1216</v>
      </c>
      <c r="B4" s="10" t="s">
        <v>1218</v>
      </c>
      <c r="C4" s="269" t="s">
        <v>1217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1204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1213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1233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1225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1050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1219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1220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1221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1222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1212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1223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1224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1227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1226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1231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1230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1228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1229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754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754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19444.75</v>
      </c>
      <c r="L175" s="26">
        <f>'COSM-BONUS_CWS'!J72</f>
        <v>21452.5</v>
      </c>
      <c r="M175" s="26">
        <f>'COSM-BONUS_CWS'!K72</f>
        <v>24093</v>
      </c>
      <c r="N175" s="26">
        <f>'COSM-BONUS_CWS'!L72</f>
        <v>19444.75</v>
      </c>
      <c r="O175" s="26">
        <f>'COSM-BONUS_CWS'!M72</f>
        <v>21452.5</v>
      </c>
      <c r="P175" s="26">
        <f>'COSM-BONUS_CWS'!N72</f>
        <v>17437</v>
      </c>
      <c r="Q175" s="26">
        <f>'COSM-BONUS_CWS'!O72</f>
        <v>17437</v>
      </c>
      <c r="R175" s="26">
        <f>'COSM-BONUS_CWS'!P72</f>
        <v>17437</v>
      </c>
      <c r="S175" s="26">
        <f>'COSM-BONUS_CWS'!Q72</f>
        <v>10781</v>
      </c>
      <c r="T175" s="26">
        <f>'COSM-BONUS_CWS'!R72</f>
        <v>1701.71875</v>
      </c>
      <c r="U175" s="26">
        <f>'COSM-BONUS_CWS'!S72</f>
        <v>2765.46875</v>
      </c>
      <c r="V175" s="26">
        <f>'COSM-BONUS_CWS'!T72</f>
        <v>3084.6875</v>
      </c>
      <c r="W175" s="26">
        <f>'COSM-BONUS_CWS'!U72</f>
        <v>3145</v>
      </c>
      <c r="X175" s="26">
        <f>'COSM-BONUS_CWS'!V72</f>
        <v>3470.3125</v>
      </c>
      <c r="Y175" s="26">
        <f>'COSM-BONUS_CWS'!W72</f>
        <v>3796.25</v>
      </c>
      <c r="Z175" s="26">
        <f>'COSM-BONUS_CWS'!X72</f>
        <v>3145</v>
      </c>
      <c r="AA175" s="26">
        <f>'COSM-BONUS_CWS'!Y72</f>
        <v>3470.3125</v>
      </c>
      <c r="AB175" s="26">
        <f>'COSM-BONUS_CWS'!Z72</f>
        <v>2819.6875</v>
      </c>
      <c r="AC175" s="26">
        <f>'COSM-BONUS_CWS'!AA72</f>
        <v>2819.6875</v>
      </c>
      <c r="AD175" s="26">
        <f>'COSM-BONUS_CWS'!AB72</f>
        <v>2819.6875</v>
      </c>
      <c r="AE175" s="26">
        <f>'COSM-BONUS_CWS'!AC72</f>
        <v>1737.03125</v>
      </c>
      <c r="AF175" s="26">
        <f>'COSM-BONUS_CWS'!AD72</f>
        <v>-3147.78125</v>
      </c>
      <c r="AG175" s="26">
        <f>'COSM-BONUS_CWS'!AE72</f>
        <v>-5102.875</v>
      </c>
      <c r="AH175" s="26">
        <f>'COSM-BONUS_CWS'!AF72</f>
        <v>-5755.8125</v>
      </c>
      <c r="AI175" s="26">
        <f>'COSM-BONUS_CWS'!AG72</f>
        <v>-5689.875</v>
      </c>
      <c r="AJ175" s="26">
        <f>'COSM-BONUS_CWS'!AH72</f>
        <v>-6226.59375</v>
      </c>
      <c r="AK175" s="26">
        <f>'COSM-BONUS_CWS'!AI72</f>
        <v>-6872.78125</v>
      </c>
      <c r="AL175" s="26">
        <f>'COSM-BONUS_CWS'!AJ72</f>
        <v>-5689.875</v>
      </c>
      <c r="AM175" s="26">
        <f>'COSM-BONUS_CWS'!AK72</f>
        <v>-6226.59375</v>
      </c>
      <c r="AN175" s="26">
        <f>'COSM-BONUS_CWS'!AL72</f>
        <v>-5043.59375</v>
      </c>
      <c r="AO175" s="26">
        <f>'COSM-BONUS_CWS'!AM72</f>
        <v>-5043.59375</v>
      </c>
      <c r="AP175" s="26">
        <f>'COSM-BONUS_CWS'!AN72</f>
        <v>-5043.59375</v>
      </c>
      <c r="AQ175" s="26">
        <f>'COSM-BONUS_CWS'!AO72</f>
        <v>-3109.09375</v>
      </c>
      <c r="AR175" s="26">
        <f>'COSM-BONUS_CWS'!AP72</f>
        <v>-1907.2</v>
      </c>
      <c r="AS175" s="26">
        <f>'COSM-BONUS_CWS'!AQ72</f>
        <v>-3076.125</v>
      </c>
      <c r="AT175" s="26">
        <f>'COSM-BONUS_CWS'!AR72</f>
        <v>-3449.0125000000003</v>
      </c>
      <c r="AU175" s="26">
        <f>'COSM-BONUS_CWS'!AS72</f>
        <v>-3373.0125000000003</v>
      </c>
      <c r="AV175" s="26">
        <f>'COSM-BONUS_CWS'!AT72</f>
        <v>-3739.0875000000001</v>
      </c>
      <c r="AW175" s="26">
        <f>'COSM-BONUS_CWS'!AU72</f>
        <v>-4099.2250000000004</v>
      </c>
      <c r="AX175" s="26">
        <f>'COSM-BONUS_CWS'!AV72</f>
        <v>-3373.0125000000003</v>
      </c>
      <c r="AY175" s="26">
        <f>'COSM-BONUS_CWS'!AW72</f>
        <v>-3739.0875000000001</v>
      </c>
      <c r="AZ175" s="26">
        <f>'COSM-BONUS_CWS'!AX72</f>
        <v>-3007.8125</v>
      </c>
      <c r="BA175" s="26">
        <f>'COSM-BONUS_CWS'!AY72</f>
        <v>-3007.8125</v>
      </c>
      <c r="BB175" s="26">
        <f>'COSM-BONUS_CWS'!AZ72</f>
        <v>-3007.8125</v>
      </c>
      <c r="BC175" s="26">
        <f>'COSM-BONUS_CWS'!BA72</f>
        <v>-1862.825</v>
      </c>
      <c r="BD175" s="26">
        <f>'COSM-BONUS_CWS'!BB72</f>
        <v>-640.4224999999999</v>
      </c>
      <c r="BE175" s="26">
        <f>'COSM-BONUS_CWS'!BC72</f>
        <v>-1028.4474999999991</v>
      </c>
      <c r="BF175" s="26">
        <f>'COSM-BONUS_CWS'!BD72</f>
        <v>-1145.9050000000004</v>
      </c>
      <c r="BG175" s="26">
        <f>'COSM-BONUS_CWS'!BE72</f>
        <v>-1069.9050000000004</v>
      </c>
      <c r="BH175" s="26">
        <f>'COSM-BONUS_CWS'!BF72</f>
        <v>-1205.5324999999998</v>
      </c>
      <c r="BI175" s="26">
        <f>'COSM-BONUS_CWS'!BG72</f>
        <v>-1307.1774999999996</v>
      </c>
      <c r="BJ175" s="26">
        <f>'COSM-BONUS_CWS'!BH72</f>
        <v>-1069.9050000000004</v>
      </c>
      <c r="BK175" s="26">
        <f>'COSM-BONUS_CWS'!BI72</f>
        <v>-1205.5324999999998</v>
      </c>
      <c r="BL175" s="26">
        <f>'COSM-BONUS_CWS'!BJ72</f>
        <v>-960.1349999999992</v>
      </c>
      <c r="BM175" s="26">
        <f>'COSM-BONUS_CWS'!BK72</f>
        <v>-960.1349999999992</v>
      </c>
      <c r="BN175" s="26">
        <f>'COSM-BONUS_CWS'!BL72</f>
        <v>-960.1349999999992</v>
      </c>
      <c r="BO175" s="26">
        <f>'COSM-BONUS_CWS'!BM72</f>
        <v>-596.0474999999999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1019444.75</v>
      </c>
      <c r="L176" s="26">
        <f t="shared" si="70"/>
        <v>1021452.5</v>
      </c>
      <c r="M176" s="26">
        <f t="shared" si="70"/>
        <v>1024093</v>
      </c>
      <c r="N176" s="26">
        <f t="shared" si="70"/>
        <v>1019444.75</v>
      </c>
      <c r="O176" s="26">
        <f t="shared" si="70"/>
        <v>1021452.5</v>
      </c>
      <c r="P176" s="26">
        <f t="shared" si="70"/>
        <v>1017437</v>
      </c>
      <c r="Q176" s="26">
        <f t="shared" si="70"/>
        <v>1017437</v>
      </c>
      <c r="R176" s="26">
        <f t="shared" si="70"/>
        <v>1017437</v>
      </c>
      <c r="S176" s="26">
        <f t="shared" si="70"/>
        <v>1010781</v>
      </c>
      <c r="T176" s="26">
        <f t="shared" si="70"/>
        <v>1401701.71875</v>
      </c>
      <c r="U176" s="26">
        <f t="shared" si="70"/>
        <v>1402765.46875</v>
      </c>
      <c r="V176" s="26">
        <f t="shared" si="70"/>
        <v>1403084.6875</v>
      </c>
      <c r="W176" s="26">
        <f t="shared" si="70"/>
        <v>1403145</v>
      </c>
      <c r="X176" s="26">
        <f t="shared" si="70"/>
        <v>1403470.3125</v>
      </c>
      <c r="Y176" s="26">
        <f t="shared" si="70"/>
        <v>1403796.25</v>
      </c>
      <c r="Z176" s="26">
        <f t="shared" si="70"/>
        <v>1403145</v>
      </c>
      <c r="AA176" s="26">
        <f t="shared" si="70"/>
        <v>1403470.3125</v>
      </c>
      <c r="AB176" s="26">
        <f t="shared" si="70"/>
        <v>1402819.6875</v>
      </c>
      <c r="AC176" s="26">
        <f t="shared" si="70"/>
        <v>1402819.6875</v>
      </c>
      <c r="AD176" s="26">
        <f t="shared" si="70"/>
        <v>1402819.6875</v>
      </c>
      <c r="AE176" s="26">
        <f t="shared" si="70"/>
        <v>1401737.03125</v>
      </c>
      <c r="AF176" s="26">
        <f t="shared" si="70"/>
        <v>1796852.21875</v>
      </c>
      <c r="AG176" s="26">
        <f t="shared" si="70"/>
        <v>1794897.125</v>
      </c>
      <c r="AH176" s="26">
        <f t="shared" si="70"/>
        <v>1794244.1875</v>
      </c>
      <c r="AI176" s="26">
        <f t="shared" si="70"/>
        <v>1794310.125</v>
      </c>
      <c r="AJ176" s="26">
        <f t="shared" si="70"/>
        <v>1793773.40625</v>
      </c>
      <c r="AK176" s="26">
        <f t="shared" si="70"/>
        <v>1793127.21875</v>
      </c>
      <c r="AL176" s="26">
        <f t="shared" si="70"/>
        <v>1794310.125</v>
      </c>
      <c r="AM176" s="26">
        <f t="shared" ref="AM176:BO176" si="71">AM174+AM175</f>
        <v>1793773.40625</v>
      </c>
      <c r="AN176" s="26">
        <f t="shared" si="71"/>
        <v>1794956.40625</v>
      </c>
      <c r="AO176" s="26">
        <f t="shared" si="71"/>
        <v>1794956.40625</v>
      </c>
      <c r="AP176" s="26">
        <f t="shared" si="71"/>
        <v>1794956.40625</v>
      </c>
      <c r="AQ176" s="26">
        <f t="shared" si="71"/>
        <v>1796890.90625</v>
      </c>
      <c r="AR176" s="26">
        <f t="shared" si="71"/>
        <v>2198092.7999999998</v>
      </c>
      <c r="AS176" s="26">
        <f t="shared" si="71"/>
        <v>2196923.875</v>
      </c>
      <c r="AT176" s="26">
        <f t="shared" si="71"/>
        <v>2196550.9874999998</v>
      </c>
      <c r="AU176" s="26">
        <f t="shared" si="71"/>
        <v>2196626.9874999998</v>
      </c>
      <c r="AV176" s="26">
        <f t="shared" si="71"/>
        <v>2196260.9125000001</v>
      </c>
      <c r="AW176" s="26">
        <f t="shared" si="71"/>
        <v>2195900.7749999999</v>
      </c>
      <c r="AX176" s="26">
        <f t="shared" si="71"/>
        <v>2196626.9874999998</v>
      </c>
      <c r="AY176" s="26">
        <f t="shared" si="71"/>
        <v>2196260.9125000001</v>
      </c>
      <c r="AZ176" s="26">
        <f t="shared" si="71"/>
        <v>2196992.1875</v>
      </c>
      <c r="BA176" s="26">
        <f t="shared" si="71"/>
        <v>2196992.1875</v>
      </c>
      <c r="BB176" s="26">
        <f t="shared" si="71"/>
        <v>2196992.1875</v>
      </c>
      <c r="BC176" s="26">
        <f t="shared" si="71"/>
        <v>2198137.1749999998</v>
      </c>
      <c r="BD176" s="26">
        <f t="shared" si="71"/>
        <v>3399359.5775000001</v>
      </c>
      <c r="BE176" s="26">
        <f t="shared" si="71"/>
        <v>3398971.5525000002</v>
      </c>
      <c r="BF176" s="26">
        <f t="shared" si="71"/>
        <v>3398854.0950000002</v>
      </c>
      <c r="BG176" s="26">
        <f t="shared" si="71"/>
        <v>3398930.0950000002</v>
      </c>
      <c r="BH176" s="26">
        <f t="shared" si="71"/>
        <v>3398794.4674999998</v>
      </c>
      <c r="BI176" s="26">
        <f t="shared" si="71"/>
        <v>3398692.8224999998</v>
      </c>
      <c r="BJ176" s="26">
        <f t="shared" si="71"/>
        <v>3398930.0950000002</v>
      </c>
      <c r="BK176" s="26">
        <f t="shared" si="71"/>
        <v>3398794.4674999998</v>
      </c>
      <c r="BL176" s="26">
        <f t="shared" si="71"/>
        <v>3399039.8650000002</v>
      </c>
      <c r="BM176" s="26">
        <f t="shared" si="71"/>
        <v>3399039.8650000002</v>
      </c>
      <c r="BN176" s="26">
        <f t="shared" si="71"/>
        <v>3399039.8650000002</v>
      </c>
      <c r="BO176" s="26">
        <f t="shared" si="71"/>
        <v>3399403.9525000001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754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754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754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754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19444.75</v>
      </c>
      <c r="L209" s="26">
        <f t="shared" si="100"/>
        <v>21452.5</v>
      </c>
      <c r="M209" s="26">
        <f t="shared" si="100"/>
        <v>24093</v>
      </c>
      <c r="N209" s="26">
        <f t="shared" si="100"/>
        <v>19444.75</v>
      </c>
      <c r="O209" s="26">
        <f t="shared" si="100"/>
        <v>21452.5</v>
      </c>
      <c r="P209" s="26">
        <f t="shared" si="100"/>
        <v>17437</v>
      </c>
      <c r="Q209" s="26">
        <f t="shared" si="100"/>
        <v>17437</v>
      </c>
      <c r="R209" s="26">
        <f t="shared" si="100"/>
        <v>17437</v>
      </c>
      <c r="S209" s="26">
        <f t="shared" si="100"/>
        <v>10781</v>
      </c>
      <c r="T209" s="26">
        <f t="shared" si="100"/>
        <v>1701.71875</v>
      </c>
      <c r="U209" s="26">
        <f t="shared" si="100"/>
        <v>2765.46875</v>
      </c>
      <c r="V209" s="26">
        <f t="shared" si="100"/>
        <v>3084.6875</v>
      </c>
      <c r="W209" s="26">
        <f t="shared" si="100"/>
        <v>3145</v>
      </c>
      <c r="X209" s="26">
        <f t="shared" si="100"/>
        <v>3470.3125</v>
      </c>
      <c r="Y209" s="26">
        <f t="shared" si="100"/>
        <v>3796.25</v>
      </c>
      <c r="Z209" s="26">
        <f t="shared" si="100"/>
        <v>3145</v>
      </c>
      <c r="AA209" s="26">
        <f t="shared" si="100"/>
        <v>3470.3125</v>
      </c>
      <c r="AB209" s="26">
        <f t="shared" si="100"/>
        <v>2819.6875</v>
      </c>
      <c r="AC209" s="26">
        <f t="shared" si="100"/>
        <v>2819.6875</v>
      </c>
      <c r="AD209" s="26">
        <f t="shared" si="100"/>
        <v>2819.6875</v>
      </c>
      <c r="AE209" s="26">
        <f t="shared" si="100"/>
        <v>1737.03125</v>
      </c>
      <c r="AF209" s="26">
        <f t="shared" si="100"/>
        <v>-3147.78125</v>
      </c>
      <c r="AG209" s="26">
        <f t="shared" si="100"/>
        <v>-5102.875</v>
      </c>
      <c r="AH209" s="26">
        <f t="shared" si="100"/>
        <v>-5755.8125</v>
      </c>
      <c r="AI209" s="26">
        <f t="shared" si="100"/>
        <v>-5689.875</v>
      </c>
      <c r="AJ209" s="26">
        <f t="shared" si="100"/>
        <v>-6226.59375</v>
      </c>
      <c r="AK209" s="26">
        <f t="shared" si="100"/>
        <v>-6872.78125</v>
      </c>
      <c r="AL209" s="26">
        <f t="shared" si="100"/>
        <v>-5689.875</v>
      </c>
      <c r="AM209" s="26">
        <f t="shared" ref="AM209:BO209" si="101">AM202+AM193+AM175+AM166+AM184</f>
        <v>-6226.59375</v>
      </c>
      <c r="AN209" s="26">
        <f t="shared" si="101"/>
        <v>-5043.59375</v>
      </c>
      <c r="AO209" s="26">
        <f t="shared" si="101"/>
        <v>-5043.59375</v>
      </c>
      <c r="AP209" s="26">
        <f t="shared" si="101"/>
        <v>-5043.59375</v>
      </c>
      <c r="AQ209" s="26">
        <f t="shared" si="101"/>
        <v>-3109.09375</v>
      </c>
      <c r="AR209" s="26">
        <f t="shared" si="101"/>
        <v>-1907.2</v>
      </c>
      <c r="AS209" s="26">
        <f t="shared" si="101"/>
        <v>-3076.125</v>
      </c>
      <c r="AT209" s="26">
        <f t="shared" si="101"/>
        <v>-3449.0125000000003</v>
      </c>
      <c r="AU209" s="26">
        <f t="shared" si="101"/>
        <v>-3373.0125000000003</v>
      </c>
      <c r="AV209" s="26">
        <f t="shared" si="101"/>
        <v>-3739.0875000000001</v>
      </c>
      <c r="AW209" s="26">
        <f t="shared" si="101"/>
        <v>-4099.2250000000004</v>
      </c>
      <c r="AX209" s="26">
        <f t="shared" si="101"/>
        <v>-3373.0125000000003</v>
      </c>
      <c r="AY209" s="26">
        <f t="shared" si="101"/>
        <v>-3739.0875000000001</v>
      </c>
      <c r="AZ209" s="26">
        <f t="shared" si="101"/>
        <v>-3007.8125</v>
      </c>
      <c r="BA209" s="26">
        <f t="shared" si="101"/>
        <v>-3007.8125</v>
      </c>
      <c r="BB209" s="26">
        <f t="shared" si="101"/>
        <v>-3007.8125</v>
      </c>
      <c r="BC209" s="26">
        <f t="shared" si="101"/>
        <v>-1862.825</v>
      </c>
      <c r="BD209" s="26">
        <f t="shared" si="101"/>
        <v>-640.4224999999999</v>
      </c>
      <c r="BE209" s="26">
        <f t="shared" si="101"/>
        <v>-1028.4474999999991</v>
      </c>
      <c r="BF209" s="26">
        <f t="shared" si="101"/>
        <v>-1145.9050000000004</v>
      </c>
      <c r="BG209" s="26">
        <f t="shared" si="101"/>
        <v>-1069.9050000000004</v>
      </c>
      <c r="BH209" s="26">
        <f t="shared" si="101"/>
        <v>-1205.5324999999998</v>
      </c>
      <c r="BI209" s="26">
        <f t="shared" si="101"/>
        <v>-1307.1774999999996</v>
      </c>
      <c r="BJ209" s="26">
        <f t="shared" si="101"/>
        <v>-1069.9050000000004</v>
      </c>
      <c r="BK209" s="26">
        <f t="shared" si="101"/>
        <v>-1205.5324999999998</v>
      </c>
      <c r="BL209" s="26">
        <f t="shared" si="101"/>
        <v>-960.1349999999992</v>
      </c>
      <c r="BM209" s="26">
        <f t="shared" si="101"/>
        <v>-960.1349999999992</v>
      </c>
      <c r="BN209" s="26">
        <f t="shared" si="101"/>
        <v>-960.1349999999992</v>
      </c>
      <c r="BO209" s="26">
        <f t="shared" si="101"/>
        <v>-596.0474999999999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2019444.75</v>
      </c>
      <c r="L210" s="26">
        <f t="shared" si="102"/>
        <v>2021452.5</v>
      </c>
      <c r="M210" s="26">
        <f t="shared" si="102"/>
        <v>2024093</v>
      </c>
      <c r="N210" s="26">
        <f t="shared" si="102"/>
        <v>2019444.75</v>
      </c>
      <c r="O210" s="26">
        <f t="shared" si="102"/>
        <v>2021452.5</v>
      </c>
      <c r="P210" s="26">
        <f t="shared" si="102"/>
        <v>2017437</v>
      </c>
      <c r="Q210" s="26">
        <f t="shared" si="102"/>
        <v>2017437</v>
      </c>
      <c r="R210" s="26">
        <f t="shared" si="102"/>
        <v>2017437</v>
      </c>
      <c r="S210" s="26">
        <f t="shared" si="102"/>
        <v>2010781</v>
      </c>
      <c r="T210" s="26">
        <f t="shared" si="102"/>
        <v>2801701.71875</v>
      </c>
      <c r="U210" s="26">
        <f t="shared" si="102"/>
        <v>2802765.46875</v>
      </c>
      <c r="V210" s="26">
        <f t="shared" si="102"/>
        <v>2803084.6875</v>
      </c>
      <c r="W210" s="26">
        <f t="shared" si="102"/>
        <v>2803145</v>
      </c>
      <c r="X210" s="26">
        <f t="shared" si="102"/>
        <v>2803470.3125</v>
      </c>
      <c r="Y210" s="26">
        <f t="shared" si="102"/>
        <v>2803796.25</v>
      </c>
      <c r="Z210" s="26">
        <f t="shared" si="102"/>
        <v>2803145</v>
      </c>
      <c r="AA210" s="26">
        <f t="shared" si="102"/>
        <v>2803470.3125</v>
      </c>
      <c r="AB210" s="26">
        <f t="shared" si="102"/>
        <v>2802819.6875</v>
      </c>
      <c r="AC210" s="26">
        <f t="shared" si="102"/>
        <v>2802819.6875</v>
      </c>
      <c r="AD210" s="26">
        <f t="shared" si="102"/>
        <v>2802819.6875</v>
      </c>
      <c r="AE210" s="26">
        <f t="shared" si="102"/>
        <v>2801737.03125</v>
      </c>
      <c r="AF210" s="26">
        <f t="shared" si="102"/>
        <v>3596852.21875</v>
      </c>
      <c r="AG210" s="26">
        <f t="shared" si="102"/>
        <v>3594897.125</v>
      </c>
      <c r="AH210" s="26">
        <f t="shared" si="102"/>
        <v>3594244.1875</v>
      </c>
      <c r="AI210" s="26">
        <f t="shared" si="102"/>
        <v>3594310.125</v>
      </c>
      <c r="AJ210" s="26">
        <f t="shared" si="102"/>
        <v>3593773.40625</v>
      </c>
      <c r="AK210" s="26">
        <f t="shared" si="102"/>
        <v>3593127.21875</v>
      </c>
      <c r="AL210" s="26">
        <f t="shared" si="102"/>
        <v>3594310.125</v>
      </c>
      <c r="AM210" s="26">
        <f t="shared" ref="AM210:BO210" si="103">AM208+AM209</f>
        <v>3593773.40625</v>
      </c>
      <c r="AN210" s="26">
        <f t="shared" si="103"/>
        <v>3594956.40625</v>
      </c>
      <c r="AO210" s="26">
        <f t="shared" si="103"/>
        <v>3594956.40625</v>
      </c>
      <c r="AP210" s="26">
        <f t="shared" si="103"/>
        <v>3594956.40625</v>
      </c>
      <c r="AQ210" s="26">
        <f t="shared" si="103"/>
        <v>3596890.90625</v>
      </c>
      <c r="AR210" s="26">
        <f t="shared" si="103"/>
        <v>4398092.8</v>
      </c>
      <c r="AS210" s="26">
        <f t="shared" si="103"/>
        <v>4396923.875</v>
      </c>
      <c r="AT210" s="26">
        <f t="shared" si="103"/>
        <v>4396550.9874999998</v>
      </c>
      <c r="AU210" s="26">
        <f t="shared" si="103"/>
        <v>4396626.9874999998</v>
      </c>
      <c r="AV210" s="26">
        <f t="shared" si="103"/>
        <v>4396260.9124999996</v>
      </c>
      <c r="AW210" s="26">
        <f t="shared" si="103"/>
        <v>4395900.7750000004</v>
      </c>
      <c r="AX210" s="26">
        <f t="shared" si="103"/>
        <v>4396626.9874999998</v>
      </c>
      <c r="AY210" s="26">
        <f t="shared" si="103"/>
        <v>4396260.9124999996</v>
      </c>
      <c r="AZ210" s="26">
        <f t="shared" si="103"/>
        <v>4396992.1875</v>
      </c>
      <c r="BA210" s="26">
        <f t="shared" si="103"/>
        <v>4396992.1875</v>
      </c>
      <c r="BB210" s="26">
        <f t="shared" si="103"/>
        <v>4396992.1875</v>
      </c>
      <c r="BC210" s="26">
        <f t="shared" si="103"/>
        <v>4398137.1749999998</v>
      </c>
      <c r="BD210" s="26">
        <f t="shared" si="103"/>
        <v>6799359.5774999997</v>
      </c>
      <c r="BE210" s="26">
        <f t="shared" si="103"/>
        <v>6798971.5525000002</v>
      </c>
      <c r="BF210" s="26">
        <f t="shared" si="103"/>
        <v>6798854.0949999997</v>
      </c>
      <c r="BG210" s="26">
        <f t="shared" si="103"/>
        <v>6798930.0949999997</v>
      </c>
      <c r="BH210" s="26">
        <f t="shared" si="103"/>
        <v>6798794.4675000003</v>
      </c>
      <c r="BI210" s="26">
        <f t="shared" si="103"/>
        <v>6798692.8224999998</v>
      </c>
      <c r="BJ210" s="26">
        <f t="shared" si="103"/>
        <v>6798930.0949999997</v>
      </c>
      <c r="BK210" s="26">
        <f t="shared" si="103"/>
        <v>6798794.4675000003</v>
      </c>
      <c r="BL210" s="26">
        <f t="shared" si="103"/>
        <v>6799039.8650000002</v>
      </c>
      <c r="BM210" s="26">
        <f t="shared" si="103"/>
        <v>6799039.8650000002</v>
      </c>
      <c r="BN210" s="26">
        <f t="shared" si="103"/>
        <v>6799039.8650000002</v>
      </c>
      <c r="BO210" s="26">
        <f t="shared" si="103"/>
        <v>6799403.9524999997</v>
      </c>
      <c r="BP210" s="38">
        <f t="shared" ref="BP210:BP215" si="104">SUM(H210:BO210)</f>
        <v>235291010.97624999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24168979.5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33634774.84375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43137047.9375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52762357.974999994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81587850.719999984</v>
      </c>
      <c r="BP211" s="38">
        <f t="shared" si="104"/>
        <v>235291010.97624999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2019444.75</v>
      </c>
      <c r="L214" s="26">
        <f t="shared" si="107"/>
        <v>2021452.5</v>
      </c>
      <c r="M214" s="26">
        <f t="shared" si="107"/>
        <v>2024093</v>
      </c>
      <c r="N214" s="26">
        <f t="shared" si="107"/>
        <v>2019444.75</v>
      </c>
      <c r="O214" s="26">
        <f t="shared" si="107"/>
        <v>2021452.5</v>
      </c>
      <c r="P214" s="26">
        <f t="shared" si="107"/>
        <v>2017437</v>
      </c>
      <c r="Q214" s="26">
        <f t="shared" si="107"/>
        <v>2017437</v>
      </c>
      <c r="R214" s="26">
        <f t="shared" si="107"/>
        <v>2017437</v>
      </c>
      <c r="S214" s="26">
        <f t="shared" si="107"/>
        <v>2010781</v>
      </c>
      <c r="T214" s="26">
        <f t="shared" si="107"/>
        <v>2801701.71875</v>
      </c>
      <c r="U214" s="26">
        <f t="shared" si="107"/>
        <v>2802765.46875</v>
      </c>
      <c r="V214" s="26">
        <f t="shared" si="107"/>
        <v>2803084.6875</v>
      </c>
      <c r="W214" s="26">
        <f t="shared" si="107"/>
        <v>2803145</v>
      </c>
      <c r="X214" s="26">
        <f t="shared" si="107"/>
        <v>2803470.3125</v>
      </c>
      <c r="Y214" s="26">
        <f t="shared" si="107"/>
        <v>2803796.25</v>
      </c>
      <c r="Z214" s="26">
        <f t="shared" si="107"/>
        <v>2803145</v>
      </c>
      <c r="AA214" s="26">
        <f t="shared" si="107"/>
        <v>2803470.3125</v>
      </c>
      <c r="AB214" s="26">
        <f t="shared" si="107"/>
        <v>2802819.6875</v>
      </c>
      <c r="AC214" s="26">
        <f t="shared" si="107"/>
        <v>2802819.6875</v>
      </c>
      <c r="AD214" s="26">
        <f t="shared" si="107"/>
        <v>2802819.6875</v>
      </c>
      <c r="AE214" s="26">
        <f t="shared" si="107"/>
        <v>2801737.03125</v>
      </c>
      <c r="AF214" s="26">
        <f t="shared" si="107"/>
        <v>3596852.21875</v>
      </c>
      <c r="AG214" s="26">
        <f t="shared" si="107"/>
        <v>3594897.125</v>
      </c>
      <c r="AH214" s="26">
        <f t="shared" si="107"/>
        <v>3594244.1875</v>
      </c>
      <c r="AI214" s="26">
        <f t="shared" si="107"/>
        <v>3594310.125</v>
      </c>
      <c r="AJ214" s="26">
        <f t="shared" si="107"/>
        <v>3593773.40625</v>
      </c>
      <c r="AK214" s="26">
        <f t="shared" si="107"/>
        <v>3593127.21875</v>
      </c>
      <c r="AL214" s="26">
        <f t="shared" si="107"/>
        <v>3594310.125</v>
      </c>
      <c r="AM214" s="26">
        <f t="shared" ref="AM214:BO214" si="108">AM212+AM210</f>
        <v>3593773.40625</v>
      </c>
      <c r="AN214" s="26">
        <f t="shared" si="108"/>
        <v>3594956.40625</v>
      </c>
      <c r="AO214" s="26">
        <f t="shared" si="108"/>
        <v>3594956.40625</v>
      </c>
      <c r="AP214" s="26">
        <f t="shared" si="108"/>
        <v>3594956.40625</v>
      </c>
      <c r="AQ214" s="26">
        <f t="shared" si="108"/>
        <v>3596890.90625</v>
      </c>
      <c r="AR214" s="26">
        <f t="shared" si="108"/>
        <v>4398092.8</v>
      </c>
      <c r="AS214" s="26">
        <f t="shared" si="108"/>
        <v>4396923.875</v>
      </c>
      <c r="AT214" s="26">
        <f t="shared" si="108"/>
        <v>4396550.9874999998</v>
      </c>
      <c r="AU214" s="26">
        <f t="shared" si="108"/>
        <v>4396626.9874999998</v>
      </c>
      <c r="AV214" s="26">
        <f t="shared" si="108"/>
        <v>4396260.9124999996</v>
      </c>
      <c r="AW214" s="26">
        <f t="shared" si="108"/>
        <v>4395900.7750000004</v>
      </c>
      <c r="AX214" s="26">
        <f t="shared" si="108"/>
        <v>4396626.9874999998</v>
      </c>
      <c r="AY214" s="26">
        <f t="shared" si="108"/>
        <v>4396260.9124999996</v>
      </c>
      <c r="AZ214" s="26">
        <f t="shared" si="108"/>
        <v>4396992.1875</v>
      </c>
      <c r="BA214" s="26">
        <f t="shared" si="108"/>
        <v>4396992.1875</v>
      </c>
      <c r="BB214" s="26">
        <f t="shared" si="108"/>
        <v>4396992.1875</v>
      </c>
      <c r="BC214" s="26">
        <f t="shared" si="108"/>
        <v>4398137.1749999998</v>
      </c>
      <c r="BD214" s="26">
        <f t="shared" si="108"/>
        <v>6799359.5774999997</v>
      </c>
      <c r="BE214" s="26">
        <f t="shared" si="108"/>
        <v>6798971.5525000002</v>
      </c>
      <c r="BF214" s="26">
        <f t="shared" si="108"/>
        <v>6798854.0949999997</v>
      </c>
      <c r="BG214" s="26">
        <f t="shared" si="108"/>
        <v>6798930.0949999997</v>
      </c>
      <c r="BH214" s="26">
        <f t="shared" si="108"/>
        <v>6798794.4675000003</v>
      </c>
      <c r="BI214" s="26">
        <f t="shared" si="108"/>
        <v>6798692.8224999998</v>
      </c>
      <c r="BJ214" s="26">
        <f t="shared" si="108"/>
        <v>6798930.0949999997</v>
      </c>
      <c r="BK214" s="26">
        <f t="shared" si="108"/>
        <v>6798794.4675000003</v>
      </c>
      <c r="BL214" s="26">
        <f t="shared" si="108"/>
        <v>6799039.8650000002</v>
      </c>
      <c r="BM214" s="26">
        <f t="shared" si="108"/>
        <v>6799039.8650000002</v>
      </c>
      <c r="BN214" s="26">
        <f t="shared" si="108"/>
        <v>6799039.8650000002</v>
      </c>
      <c r="BO214" s="26">
        <f t="shared" si="108"/>
        <v>6799403.9524999997</v>
      </c>
      <c r="BP214" s="38">
        <f t="shared" si="104"/>
        <v>235291010.97624999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24168979.5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33634774.84375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43137047.9375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52762357.974999994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81587850.719999984</v>
      </c>
      <c r="BP215" s="38">
        <f t="shared" si="104"/>
        <v>235291010.97624999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323111.16000000003</v>
      </c>
      <c r="L219" s="26">
        <f>L210*STAFFPLAN_CWS!$C177</f>
        <v>323432.40000000002</v>
      </c>
      <c r="M219" s="26">
        <f>M210*STAFFPLAN_CWS!$C177</f>
        <v>323854.88</v>
      </c>
      <c r="N219" s="26">
        <f>N210*STAFFPLAN_CWS!$C177</f>
        <v>323111.16000000003</v>
      </c>
      <c r="O219" s="26">
        <f>O210*STAFFPLAN_CWS!$C177</f>
        <v>323432.40000000002</v>
      </c>
      <c r="P219" s="26">
        <f>P210*STAFFPLAN_CWS!$C177</f>
        <v>322789.92</v>
      </c>
      <c r="Q219" s="26">
        <f>Q210*STAFFPLAN_CWS!$C177</f>
        <v>322789.92</v>
      </c>
      <c r="R219" s="26">
        <f>R210*STAFFPLAN_CWS!$C177</f>
        <v>322789.92</v>
      </c>
      <c r="S219" s="26">
        <f>S210*STAFFPLAN_CWS!$D177</f>
        <v>321724.96000000002</v>
      </c>
      <c r="T219" s="26">
        <f>T210*STAFFPLAN_CWS!$D177</f>
        <v>448272.27500000002</v>
      </c>
      <c r="U219" s="26">
        <f>U210*STAFFPLAN_CWS!$D177</f>
        <v>448442.47500000003</v>
      </c>
      <c r="V219" s="26">
        <f>V210*STAFFPLAN_CWS!$D177</f>
        <v>448493.55</v>
      </c>
      <c r="W219" s="26">
        <f>W210*STAFFPLAN_CWS!$D177</f>
        <v>448503.2</v>
      </c>
      <c r="X219" s="26">
        <f>X210*STAFFPLAN_CWS!$D177</f>
        <v>448555.25</v>
      </c>
      <c r="Y219" s="26">
        <f>Y210*STAFFPLAN_CWS!$D177</f>
        <v>448607.4</v>
      </c>
      <c r="Z219" s="26">
        <f>Z210*STAFFPLAN_CWS!$D177</f>
        <v>448503.2</v>
      </c>
      <c r="AA219" s="26">
        <f>AA210*STAFFPLAN_CWS!$D177</f>
        <v>448555.25</v>
      </c>
      <c r="AB219" s="26">
        <f>AB210*STAFFPLAN_CWS!$D177</f>
        <v>448451.15</v>
      </c>
      <c r="AC219" s="26">
        <f>AC210*STAFFPLAN_CWS!$D177</f>
        <v>448451.15</v>
      </c>
      <c r="AD219" s="26">
        <f>AD210*STAFFPLAN_CWS!$D177</f>
        <v>448451.15</v>
      </c>
      <c r="AE219" s="26">
        <f>AE210*STAFFPLAN_CWS!$D177</f>
        <v>448277.92499999999</v>
      </c>
      <c r="AF219" s="26">
        <f>AF210*STAFFPLAN_CWS!$E177</f>
        <v>575496.35499999998</v>
      </c>
      <c r="AG219" s="26">
        <f>AG210*STAFFPLAN_CWS!$E177</f>
        <v>575183.54</v>
      </c>
      <c r="AH219" s="26">
        <f>AH210*STAFFPLAN_CWS!$E177</f>
        <v>575079.07000000007</v>
      </c>
      <c r="AI219" s="26">
        <f>AI210*STAFFPLAN_CWS!$E177</f>
        <v>575089.62</v>
      </c>
      <c r="AJ219" s="26">
        <f>AJ210*STAFFPLAN_CWS!$E177</f>
        <v>575003.745</v>
      </c>
      <c r="AK219" s="26">
        <f>AK210*STAFFPLAN_CWS!$E177</f>
        <v>574900.35499999998</v>
      </c>
      <c r="AL219" s="26">
        <f>AL210*STAFFPLAN_CWS!$E177</f>
        <v>575089.62</v>
      </c>
      <c r="AM219" s="26">
        <f>AM210*STAFFPLAN_CWS!$E177</f>
        <v>575003.745</v>
      </c>
      <c r="AN219" s="26">
        <f>AN210*STAFFPLAN_CWS!$E177</f>
        <v>575193.02500000002</v>
      </c>
      <c r="AO219" s="26">
        <f>AO210*STAFFPLAN_CWS!$E177</f>
        <v>575193.02500000002</v>
      </c>
      <c r="AP219" s="26">
        <f>AP210*STAFFPLAN_CWS!$E177</f>
        <v>575193.02500000002</v>
      </c>
      <c r="AQ219" s="26">
        <f>AQ210*STAFFPLAN_CWS!$E177</f>
        <v>575502.54500000004</v>
      </c>
      <c r="AR219" s="26">
        <f>AR210*STAFFPLAN_CWS!$F177</f>
        <v>703694.848</v>
      </c>
      <c r="AS219" s="26">
        <f>AS210*STAFFPLAN_CWS!$F177</f>
        <v>703507.82000000007</v>
      </c>
      <c r="AT219" s="26">
        <f>AT210*STAFFPLAN_CWS!$F177</f>
        <v>703448.15799999994</v>
      </c>
      <c r="AU219" s="26">
        <f>AU210*STAFFPLAN_CWS!$F177</f>
        <v>703460.31799999997</v>
      </c>
      <c r="AV219" s="26">
        <f>AV210*STAFFPLAN_CWS!$F177</f>
        <v>703401.74599999993</v>
      </c>
      <c r="AW219" s="26">
        <f>AW210*STAFFPLAN_CWS!$F177</f>
        <v>703344.12400000007</v>
      </c>
      <c r="AX219" s="26">
        <f>AX210*STAFFPLAN_CWS!$F177</f>
        <v>703460.31799999997</v>
      </c>
      <c r="AY219" s="26">
        <f>AY210*STAFFPLAN_CWS!$F177</f>
        <v>703401.74599999993</v>
      </c>
      <c r="AZ219" s="26">
        <f>AZ210*STAFFPLAN_CWS!$F177</f>
        <v>703518.75</v>
      </c>
      <c r="BA219" s="26">
        <f>BA210*STAFFPLAN_CWS!$F177</f>
        <v>703518.75</v>
      </c>
      <c r="BB219" s="26">
        <f>BB210*STAFFPLAN_CWS!$F177</f>
        <v>703518.75</v>
      </c>
      <c r="BC219" s="26">
        <f>BC210*STAFFPLAN_CWS!$F177</f>
        <v>703701.94799999997</v>
      </c>
      <c r="BD219" s="26">
        <f>BD210*STAFFPLAN_CWS!$G177</f>
        <v>1087897.5323999999</v>
      </c>
      <c r="BE219" s="26">
        <f>BE210*STAFFPLAN_CWS!$G177</f>
        <v>1087835.4484000001</v>
      </c>
      <c r="BF219" s="26">
        <f>BF210*STAFFPLAN_CWS!$G177</f>
        <v>1087816.6551999999</v>
      </c>
      <c r="BG219" s="26">
        <f>BG210*STAFFPLAN_CWS!$G177</f>
        <v>1087828.8152000001</v>
      </c>
      <c r="BH219" s="26">
        <f>BH210*STAFFPLAN_CWS!$G177</f>
        <v>1087807.1148000001</v>
      </c>
      <c r="BI219" s="26">
        <f>BI210*STAFFPLAN_CWS!$G177</f>
        <v>1087790.8515999999</v>
      </c>
      <c r="BJ219" s="26">
        <f>BJ210*STAFFPLAN_CWS!$G177</f>
        <v>1087828.8152000001</v>
      </c>
      <c r="BK219" s="26">
        <f>BK210*STAFFPLAN_CWS!$G177</f>
        <v>1087807.1148000001</v>
      </c>
      <c r="BL219" s="26">
        <f>BL210*STAFFPLAN_CWS!$G177</f>
        <v>1087846.3784</v>
      </c>
      <c r="BM219" s="26">
        <f>BM210*STAFFPLAN_CWS!$G177</f>
        <v>1087846.3784</v>
      </c>
      <c r="BN219" s="26">
        <f>BN210*STAFFPLAN_CWS!$G177</f>
        <v>1087846.3784</v>
      </c>
      <c r="BO219" s="26">
        <f>BO210*STAFFPLAN_CWS!$G177</f>
        <v>1087904.6324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80777.790000000008</v>
      </c>
      <c r="L220" s="26">
        <f>L210*STAFFPLAN_CWS!$C178</f>
        <v>80858.100000000006</v>
      </c>
      <c r="M220" s="26">
        <f>M210*STAFFPLAN_CWS!$C178</f>
        <v>80963.72</v>
      </c>
      <c r="N220" s="26">
        <f>N210*STAFFPLAN_CWS!$C178</f>
        <v>80777.790000000008</v>
      </c>
      <c r="O220" s="26">
        <f>O210*STAFFPLAN_CWS!$C178</f>
        <v>80858.100000000006</v>
      </c>
      <c r="P220" s="26">
        <f>P210*STAFFPLAN_CWS!$C178</f>
        <v>80697.48</v>
      </c>
      <c r="Q220" s="26">
        <f>Q210*STAFFPLAN_CWS!$C178</f>
        <v>80697.48</v>
      </c>
      <c r="R220" s="26">
        <f>R210*STAFFPLAN_CWS!$C178</f>
        <v>80697.48</v>
      </c>
      <c r="S220" s="26">
        <f>S210*STAFFPLAN_CWS!$D178</f>
        <v>80431.240000000005</v>
      </c>
      <c r="T220" s="26">
        <f>T210*STAFFPLAN_CWS!$D178</f>
        <v>112068.06875000001</v>
      </c>
      <c r="U220" s="26">
        <f>U210*STAFFPLAN_CWS!$D178</f>
        <v>112110.61875000001</v>
      </c>
      <c r="V220" s="26">
        <f>V210*STAFFPLAN_CWS!$D178</f>
        <v>112123.3875</v>
      </c>
      <c r="W220" s="26">
        <f>W210*STAFFPLAN_CWS!$D178</f>
        <v>112125.8</v>
      </c>
      <c r="X220" s="26">
        <f>X210*STAFFPLAN_CWS!$D178</f>
        <v>112138.8125</v>
      </c>
      <c r="Y220" s="26">
        <f>Y210*STAFFPLAN_CWS!$D178</f>
        <v>112151.85</v>
      </c>
      <c r="Z220" s="26">
        <f>Z210*STAFFPLAN_CWS!$D178</f>
        <v>112125.8</v>
      </c>
      <c r="AA220" s="26">
        <f>AA210*STAFFPLAN_CWS!$D178</f>
        <v>112138.8125</v>
      </c>
      <c r="AB220" s="26">
        <f>AB210*STAFFPLAN_CWS!$D178</f>
        <v>112112.78750000001</v>
      </c>
      <c r="AC220" s="26">
        <f>AC210*STAFFPLAN_CWS!$D178</f>
        <v>112112.78750000001</v>
      </c>
      <c r="AD220" s="26">
        <f>AD210*STAFFPLAN_CWS!$D178</f>
        <v>112112.78750000001</v>
      </c>
      <c r="AE220" s="26">
        <f>AE210*STAFFPLAN_CWS!$D178</f>
        <v>112069.48125</v>
      </c>
      <c r="AF220" s="26">
        <f>AF210*STAFFPLAN_CWS!$E178</f>
        <v>143874.08875</v>
      </c>
      <c r="AG220" s="26">
        <f>AG210*STAFFPLAN_CWS!$E178</f>
        <v>143795.88500000001</v>
      </c>
      <c r="AH220" s="26">
        <f>AH210*STAFFPLAN_CWS!$E178</f>
        <v>143769.76750000002</v>
      </c>
      <c r="AI220" s="26">
        <f>AI210*STAFFPLAN_CWS!$E178</f>
        <v>143772.405</v>
      </c>
      <c r="AJ220" s="26">
        <f>AJ210*STAFFPLAN_CWS!$E178</f>
        <v>143750.93625</v>
      </c>
      <c r="AK220" s="26">
        <f>AK210*STAFFPLAN_CWS!$E178</f>
        <v>143725.08875</v>
      </c>
      <c r="AL220" s="26">
        <f>AL210*STAFFPLAN_CWS!$E178</f>
        <v>143772.405</v>
      </c>
      <c r="AM220" s="26">
        <f>AM210*STAFFPLAN_CWS!$E178</f>
        <v>143750.93625</v>
      </c>
      <c r="AN220" s="26">
        <f>AN210*STAFFPLAN_CWS!$E178</f>
        <v>143798.25625000001</v>
      </c>
      <c r="AO220" s="26">
        <f>AO210*STAFFPLAN_CWS!$E178</f>
        <v>143798.25625000001</v>
      </c>
      <c r="AP220" s="26">
        <f>AP210*STAFFPLAN_CWS!$E178</f>
        <v>143798.25625000001</v>
      </c>
      <c r="AQ220" s="26">
        <f>AQ210*STAFFPLAN_CWS!$E178</f>
        <v>143875.63625000001</v>
      </c>
      <c r="AR220" s="26">
        <f>AR210*STAFFPLAN_CWS!$F178</f>
        <v>175923.712</v>
      </c>
      <c r="AS220" s="26">
        <f>AS210*STAFFPLAN_CWS!$F178</f>
        <v>175876.95500000002</v>
      </c>
      <c r="AT220" s="26">
        <f>AT210*STAFFPLAN_CWS!$F178</f>
        <v>175862.03949999998</v>
      </c>
      <c r="AU220" s="26">
        <f>AU210*STAFFPLAN_CWS!$F178</f>
        <v>175865.07949999999</v>
      </c>
      <c r="AV220" s="26">
        <f>AV210*STAFFPLAN_CWS!$F178</f>
        <v>175850.43649999998</v>
      </c>
      <c r="AW220" s="26">
        <f>AW210*STAFFPLAN_CWS!$F178</f>
        <v>175836.03100000002</v>
      </c>
      <c r="AX220" s="26">
        <f>AX210*STAFFPLAN_CWS!$F178</f>
        <v>175865.07949999999</v>
      </c>
      <c r="AY220" s="26">
        <f>AY210*STAFFPLAN_CWS!$F178</f>
        <v>175850.43649999998</v>
      </c>
      <c r="AZ220" s="26">
        <f>AZ210*STAFFPLAN_CWS!$F178</f>
        <v>175879.6875</v>
      </c>
      <c r="BA220" s="26">
        <f>BA210*STAFFPLAN_CWS!$F178</f>
        <v>175879.6875</v>
      </c>
      <c r="BB220" s="26">
        <f>BB210*STAFFPLAN_CWS!$F178</f>
        <v>175879.6875</v>
      </c>
      <c r="BC220" s="26">
        <f>BC210*STAFFPLAN_CWS!$F178</f>
        <v>175925.48699999999</v>
      </c>
      <c r="BD220" s="26">
        <f>BD210*STAFFPLAN_CWS!$G178</f>
        <v>271974.38309999998</v>
      </c>
      <c r="BE220" s="26">
        <f>BE210*STAFFPLAN_CWS!$G178</f>
        <v>271958.86210000003</v>
      </c>
      <c r="BF220" s="26">
        <f>BF210*STAFFPLAN_CWS!$G178</f>
        <v>271954.16379999998</v>
      </c>
      <c r="BG220" s="26">
        <f>BG210*STAFFPLAN_CWS!$G178</f>
        <v>271957.20380000002</v>
      </c>
      <c r="BH220" s="26">
        <f>BH210*STAFFPLAN_CWS!$G178</f>
        <v>271951.77870000002</v>
      </c>
      <c r="BI220" s="26">
        <f>BI210*STAFFPLAN_CWS!$G178</f>
        <v>271947.71289999998</v>
      </c>
      <c r="BJ220" s="26">
        <f>BJ210*STAFFPLAN_CWS!$G178</f>
        <v>271957.20380000002</v>
      </c>
      <c r="BK220" s="26">
        <f>BK210*STAFFPLAN_CWS!$G178</f>
        <v>271951.77870000002</v>
      </c>
      <c r="BL220" s="26">
        <f>BL210*STAFFPLAN_CWS!$G178</f>
        <v>271961.59460000001</v>
      </c>
      <c r="BM220" s="26">
        <f>BM210*STAFFPLAN_CWS!$G178</f>
        <v>271961.59460000001</v>
      </c>
      <c r="BN220" s="26">
        <f>BN210*STAFFPLAN_CWS!$G178</f>
        <v>271961.59460000001</v>
      </c>
      <c r="BO220" s="26">
        <f>BO210*STAFFPLAN_CWS!$G178</f>
        <v>271976.1581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403888.95000000007</v>
      </c>
      <c r="L224" s="26">
        <f t="shared" si="109"/>
        <v>404290.5</v>
      </c>
      <c r="M224" s="26">
        <f t="shared" si="109"/>
        <v>404818.6</v>
      </c>
      <c r="N224" s="26">
        <f t="shared" si="109"/>
        <v>403888.95000000007</v>
      </c>
      <c r="O224" s="26">
        <f t="shared" si="109"/>
        <v>404290.5</v>
      </c>
      <c r="P224" s="26">
        <f t="shared" si="109"/>
        <v>403487.39999999997</v>
      </c>
      <c r="Q224" s="26">
        <f t="shared" si="109"/>
        <v>403487.39999999997</v>
      </c>
      <c r="R224" s="26">
        <f t="shared" si="109"/>
        <v>403487.39999999997</v>
      </c>
      <c r="S224" s="26">
        <f t="shared" si="109"/>
        <v>402156.2</v>
      </c>
      <c r="T224" s="26">
        <f t="shared" si="109"/>
        <v>560340.34375</v>
      </c>
      <c r="U224" s="26">
        <f t="shared" si="109"/>
        <v>560553.09375</v>
      </c>
      <c r="V224" s="26">
        <f t="shared" si="109"/>
        <v>560616.9375</v>
      </c>
      <c r="W224" s="26">
        <f t="shared" si="109"/>
        <v>560629</v>
      </c>
      <c r="X224" s="26">
        <f t="shared" si="109"/>
        <v>560694.0625</v>
      </c>
      <c r="Y224" s="26">
        <f t="shared" si="109"/>
        <v>560759.25</v>
      </c>
      <c r="Z224" s="26">
        <f t="shared" si="109"/>
        <v>560629</v>
      </c>
      <c r="AA224" s="26">
        <f t="shared" si="109"/>
        <v>560694.0625</v>
      </c>
      <c r="AB224" s="26">
        <f t="shared" si="109"/>
        <v>560563.9375</v>
      </c>
      <c r="AC224" s="26">
        <f t="shared" si="109"/>
        <v>560563.9375</v>
      </c>
      <c r="AD224" s="26">
        <f t="shared" si="109"/>
        <v>560563.9375</v>
      </c>
      <c r="AE224" s="26">
        <f t="shared" si="109"/>
        <v>560347.40625</v>
      </c>
      <c r="AF224" s="26">
        <f t="shared" si="109"/>
        <v>719370.44374999998</v>
      </c>
      <c r="AG224" s="26">
        <f t="shared" si="109"/>
        <v>718979.42500000005</v>
      </c>
      <c r="AH224" s="26">
        <f t="shared" si="109"/>
        <v>718848.83750000014</v>
      </c>
      <c r="AI224" s="26">
        <f t="shared" si="109"/>
        <v>718862.02500000002</v>
      </c>
      <c r="AJ224" s="26">
        <f t="shared" si="109"/>
        <v>718754.68125000002</v>
      </c>
      <c r="AK224" s="26">
        <f t="shared" si="109"/>
        <v>718625.44374999998</v>
      </c>
      <c r="AL224" s="26">
        <f t="shared" si="109"/>
        <v>718862.02500000002</v>
      </c>
      <c r="AM224" s="26">
        <f t="shared" si="109"/>
        <v>718754.68125000002</v>
      </c>
      <c r="AN224" s="26">
        <f t="shared" si="109"/>
        <v>718991.28125</v>
      </c>
      <c r="AO224" s="26">
        <f t="shared" si="109"/>
        <v>718991.28125</v>
      </c>
      <c r="AP224" s="26">
        <f t="shared" si="109"/>
        <v>718991.28125</v>
      </c>
      <c r="AQ224" s="26">
        <f t="shared" si="109"/>
        <v>719378.18125000002</v>
      </c>
      <c r="AR224" s="26">
        <f t="shared" si="109"/>
        <v>879618.56000000006</v>
      </c>
      <c r="AS224" s="26">
        <f t="shared" si="109"/>
        <v>879384.77500000014</v>
      </c>
      <c r="AT224" s="26">
        <f t="shared" si="109"/>
        <v>879310.19749999989</v>
      </c>
      <c r="AU224" s="26">
        <f t="shared" si="109"/>
        <v>879325.39749999996</v>
      </c>
      <c r="AV224" s="26">
        <f t="shared" si="109"/>
        <v>879252.18249999988</v>
      </c>
      <c r="AW224" s="26">
        <f t="shared" si="109"/>
        <v>879180.15500000003</v>
      </c>
      <c r="AX224" s="26">
        <f t="shared" si="109"/>
        <v>879325.39749999996</v>
      </c>
      <c r="AY224" s="26">
        <f t="shared" si="109"/>
        <v>879252.18249999988</v>
      </c>
      <c r="AZ224" s="26">
        <f t="shared" si="109"/>
        <v>879398.4375</v>
      </c>
      <c r="BA224" s="26">
        <f t="shared" si="109"/>
        <v>879398.4375</v>
      </c>
      <c r="BB224" s="26">
        <f t="shared" si="109"/>
        <v>879398.4375</v>
      </c>
      <c r="BC224" s="26">
        <f t="shared" si="109"/>
        <v>879627.43499999994</v>
      </c>
      <c r="BD224" s="26">
        <f t="shared" si="109"/>
        <v>1359871.9154999999</v>
      </c>
      <c r="BE224" s="26">
        <f t="shared" si="109"/>
        <v>1359794.3105000001</v>
      </c>
      <c r="BF224" s="26">
        <f t="shared" si="109"/>
        <v>1359770.8189999999</v>
      </c>
      <c r="BG224" s="26">
        <f t="shared" si="109"/>
        <v>1359786.0190000001</v>
      </c>
      <c r="BH224" s="26">
        <f t="shared" si="109"/>
        <v>1359758.8935000002</v>
      </c>
      <c r="BI224" s="26">
        <f t="shared" si="109"/>
        <v>1359738.5644999999</v>
      </c>
      <c r="BJ224" s="26">
        <f t="shared" si="109"/>
        <v>1359786.0190000001</v>
      </c>
      <c r="BK224" s="26">
        <f t="shared" si="109"/>
        <v>1359758.8935000002</v>
      </c>
      <c r="BL224" s="26">
        <f t="shared" si="109"/>
        <v>1359807.973</v>
      </c>
      <c r="BM224" s="26">
        <f t="shared" si="109"/>
        <v>1359807.973</v>
      </c>
      <c r="BN224" s="26">
        <f t="shared" si="109"/>
        <v>1359807.973</v>
      </c>
      <c r="BO224" s="26">
        <f t="shared" si="109"/>
        <v>1359880.7905000001</v>
      </c>
      <c r="BP224" s="38">
        <f>SUM(H224:BO224)</f>
        <v>47058202.195249997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4833795.9000000004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6726954.96875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8627409.5875000004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10552471.595000001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16317570.143999998</v>
      </c>
      <c r="BP225" s="38">
        <f>SUM(H225:BO225)</f>
        <v>47058202.195250005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2704545.7</v>
      </c>
      <c r="L232" s="26">
        <f t="shared" si="113"/>
        <v>2706955</v>
      </c>
      <c r="M232" s="26">
        <f t="shared" si="113"/>
        <v>2710123.6</v>
      </c>
      <c r="N232" s="26">
        <f t="shared" si="113"/>
        <v>2704545.7</v>
      </c>
      <c r="O232" s="26">
        <f t="shared" si="113"/>
        <v>2706955</v>
      </c>
      <c r="P232" s="26">
        <f t="shared" si="113"/>
        <v>2702136.4</v>
      </c>
      <c r="Q232" s="26">
        <f t="shared" si="113"/>
        <v>2702136.4</v>
      </c>
      <c r="R232" s="26">
        <f t="shared" si="113"/>
        <v>2702136.4</v>
      </c>
      <c r="S232" s="26">
        <f t="shared" si="113"/>
        <v>2694149.2</v>
      </c>
      <c r="T232" s="26">
        <f t="shared" si="113"/>
        <v>3643254.0625</v>
      </c>
      <c r="U232" s="26">
        <f t="shared" si="113"/>
        <v>3644530.5625</v>
      </c>
      <c r="V232" s="26">
        <f t="shared" si="113"/>
        <v>3644913.625</v>
      </c>
      <c r="W232" s="26">
        <f t="shared" si="113"/>
        <v>3644986</v>
      </c>
      <c r="X232" s="26">
        <f t="shared" si="113"/>
        <v>3645376.375</v>
      </c>
      <c r="Y232" s="26">
        <f t="shared" si="113"/>
        <v>3645767.5</v>
      </c>
      <c r="Z232" s="26">
        <f t="shared" si="113"/>
        <v>3644986</v>
      </c>
      <c r="AA232" s="26">
        <f t="shared" si="113"/>
        <v>3645376.375</v>
      </c>
      <c r="AB232" s="26">
        <f t="shared" si="113"/>
        <v>3644595.625</v>
      </c>
      <c r="AC232" s="26">
        <f t="shared" si="113"/>
        <v>3644595.625</v>
      </c>
      <c r="AD232" s="26">
        <f t="shared" si="113"/>
        <v>3644595.625</v>
      </c>
      <c r="AE232" s="26">
        <f t="shared" si="113"/>
        <v>3643296.4375</v>
      </c>
      <c r="AF232" s="26">
        <f t="shared" si="113"/>
        <v>4597434.6624999996</v>
      </c>
      <c r="AG232" s="26">
        <f t="shared" si="113"/>
        <v>4595088.55</v>
      </c>
      <c r="AH232" s="26">
        <f t="shared" si="113"/>
        <v>4594305.0250000004</v>
      </c>
      <c r="AI232" s="26">
        <f t="shared" si="113"/>
        <v>4594384.1500000004</v>
      </c>
      <c r="AJ232" s="26">
        <f t="shared" si="113"/>
        <v>4593740.0875000004</v>
      </c>
      <c r="AK232" s="26">
        <f t="shared" si="113"/>
        <v>4592964.6624999996</v>
      </c>
      <c r="AL232" s="26">
        <f t="shared" si="113"/>
        <v>4594384.1500000004</v>
      </c>
      <c r="AM232" s="26">
        <f t="shared" ref="AM232:BO232" si="114">AM230+AM224+AM214</f>
        <v>4593740.0875000004</v>
      </c>
      <c r="AN232" s="26">
        <f t="shared" si="114"/>
        <v>4595159.6875</v>
      </c>
      <c r="AO232" s="26">
        <f t="shared" si="114"/>
        <v>4595159.6875</v>
      </c>
      <c r="AP232" s="26">
        <f t="shared" si="114"/>
        <v>4595159.6875</v>
      </c>
      <c r="AQ232" s="26">
        <f t="shared" si="114"/>
        <v>4597481.0875000004</v>
      </c>
      <c r="AR232" s="26">
        <f t="shared" si="114"/>
        <v>5558923.3599999994</v>
      </c>
      <c r="AS232" s="26">
        <f t="shared" si="114"/>
        <v>5557520.6500000004</v>
      </c>
      <c r="AT232" s="26">
        <f t="shared" si="114"/>
        <v>5557073.1849999996</v>
      </c>
      <c r="AU232" s="26">
        <f t="shared" si="114"/>
        <v>5557164.3849999998</v>
      </c>
      <c r="AV232" s="26">
        <f t="shared" si="114"/>
        <v>5556725.0949999997</v>
      </c>
      <c r="AW232" s="26">
        <f t="shared" si="114"/>
        <v>5556292.9300000006</v>
      </c>
      <c r="AX232" s="26">
        <f t="shared" si="114"/>
        <v>5557164.3849999998</v>
      </c>
      <c r="AY232" s="26">
        <f t="shared" si="114"/>
        <v>5556725.0949999997</v>
      </c>
      <c r="AZ232" s="26">
        <f t="shared" si="114"/>
        <v>5557602.625</v>
      </c>
      <c r="BA232" s="26">
        <f t="shared" si="114"/>
        <v>5557602.625</v>
      </c>
      <c r="BB232" s="26">
        <f t="shared" si="114"/>
        <v>5557602.625</v>
      </c>
      <c r="BC232" s="26">
        <f t="shared" si="114"/>
        <v>5558976.6099999994</v>
      </c>
      <c r="BD232" s="26">
        <f t="shared" si="114"/>
        <v>8440443.4929999989</v>
      </c>
      <c r="BE232" s="26">
        <f t="shared" si="114"/>
        <v>8439977.8629999999</v>
      </c>
      <c r="BF232" s="26">
        <f t="shared" si="114"/>
        <v>8439836.9139999989</v>
      </c>
      <c r="BG232" s="26">
        <f t="shared" si="114"/>
        <v>8439928.1140000001</v>
      </c>
      <c r="BH232" s="26">
        <f t="shared" si="114"/>
        <v>8439765.3610000014</v>
      </c>
      <c r="BI232" s="26">
        <f t="shared" si="114"/>
        <v>8439643.3870000001</v>
      </c>
      <c r="BJ232" s="26">
        <f t="shared" si="114"/>
        <v>8439928.1140000001</v>
      </c>
      <c r="BK232" s="26">
        <f t="shared" si="114"/>
        <v>8439765.3610000014</v>
      </c>
      <c r="BL232" s="26">
        <f t="shared" si="114"/>
        <v>8440059.8379999995</v>
      </c>
      <c r="BM232" s="26">
        <f t="shared" si="114"/>
        <v>8440059.8379999995</v>
      </c>
      <c r="BN232" s="26">
        <f t="shared" si="114"/>
        <v>8440059.8379999995</v>
      </c>
      <c r="BO232" s="26">
        <f t="shared" si="114"/>
        <v>8440496.7430000007</v>
      </c>
      <c r="BP232" s="38">
        <f>SUM(H232:BO232)</f>
        <v>299221933.17149997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32377319.399999995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43736273.8125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55139001.524999999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66689373.569999993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101279964.86399999</v>
      </c>
      <c r="BP233" s="38">
        <f>SUM(H233:BO233)</f>
        <v>299221933.17149997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754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754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754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754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754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754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754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754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754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754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754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754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754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754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754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754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754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754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754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754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754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754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756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1214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1057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1058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19444.75</v>
      </c>
      <c r="L562" s="26">
        <f t="shared" si="376"/>
        <v>21452.5</v>
      </c>
      <c r="M562" s="26">
        <f t="shared" si="376"/>
        <v>24093</v>
      </c>
      <c r="N562" s="26">
        <f t="shared" si="376"/>
        <v>19444.75</v>
      </c>
      <c r="O562" s="26">
        <f t="shared" si="376"/>
        <v>21452.5</v>
      </c>
      <c r="P562" s="26">
        <f t="shared" si="376"/>
        <v>17437</v>
      </c>
      <c r="Q562" s="26">
        <f t="shared" si="376"/>
        <v>17437</v>
      </c>
      <c r="R562" s="26">
        <f t="shared" si="376"/>
        <v>17437</v>
      </c>
      <c r="S562" s="26">
        <f t="shared" si="376"/>
        <v>10781</v>
      </c>
      <c r="T562" s="26">
        <f t="shared" si="376"/>
        <v>1701.71875</v>
      </c>
      <c r="U562" s="26">
        <f t="shared" si="376"/>
        <v>2765.46875</v>
      </c>
      <c r="V562" s="26">
        <f t="shared" si="376"/>
        <v>3084.6875</v>
      </c>
      <c r="W562" s="26">
        <f t="shared" si="376"/>
        <v>3145</v>
      </c>
      <c r="X562" s="26">
        <f t="shared" si="376"/>
        <v>3470.3125</v>
      </c>
      <c r="Y562" s="26">
        <f t="shared" si="376"/>
        <v>3796.25</v>
      </c>
      <c r="Z562" s="26">
        <f t="shared" si="376"/>
        <v>3145</v>
      </c>
      <c r="AA562" s="26">
        <f t="shared" si="376"/>
        <v>3470.3125</v>
      </c>
      <c r="AB562" s="26">
        <f t="shared" si="376"/>
        <v>2819.6875</v>
      </c>
      <c r="AC562" s="26">
        <f t="shared" si="376"/>
        <v>2819.6875</v>
      </c>
      <c r="AD562" s="26">
        <f t="shared" si="376"/>
        <v>2819.6875</v>
      </c>
      <c r="AE562" s="26">
        <f t="shared" si="376"/>
        <v>1737.03125</v>
      </c>
      <c r="AF562" s="26">
        <f t="shared" si="376"/>
        <v>-3147.78125</v>
      </c>
      <c r="AG562" s="26">
        <f t="shared" si="376"/>
        <v>-5102.875</v>
      </c>
      <c r="AH562" s="26">
        <f t="shared" si="376"/>
        <v>-5755.8125</v>
      </c>
      <c r="AI562" s="26">
        <f t="shared" si="376"/>
        <v>-5689.875</v>
      </c>
      <c r="AJ562" s="26">
        <f t="shared" si="376"/>
        <v>-6226.59375</v>
      </c>
      <c r="AK562" s="26">
        <f t="shared" si="376"/>
        <v>-6872.78125</v>
      </c>
      <c r="AL562" s="26">
        <f t="shared" si="376"/>
        <v>-5689.875</v>
      </c>
      <c r="AM562" s="26">
        <f t="shared" ref="AM562:BO562" si="377">+AM209+AM274+AM357+AM530</f>
        <v>-6226.59375</v>
      </c>
      <c r="AN562" s="26">
        <f t="shared" si="377"/>
        <v>-5043.59375</v>
      </c>
      <c r="AO562" s="26">
        <f t="shared" si="377"/>
        <v>-5043.59375</v>
      </c>
      <c r="AP562" s="26">
        <f t="shared" si="377"/>
        <v>-5043.59375</v>
      </c>
      <c r="AQ562" s="26">
        <f t="shared" si="377"/>
        <v>-3109.09375</v>
      </c>
      <c r="AR562" s="26">
        <f t="shared" si="377"/>
        <v>-1907.2</v>
      </c>
      <c r="AS562" s="26">
        <f t="shared" si="377"/>
        <v>-3076.125</v>
      </c>
      <c r="AT562" s="26">
        <f t="shared" si="377"/>
        <v>-3449.0125000000003</v>
      </c>
      <c r="AU562" s="26">
        <f t="shared" si="377"/>
        <v>-3373.0125000000003</v>
      </c>
      <c r="AV562" s="26">
        <f t="shared" si="377"/>
        <v>-3739.0875000000001</v>
      </c>
      <c r="AW562" s="26">
        <f t="shared" si="377"/>
        <v>-4099.2250000000004</v>
      </c>
      <c r="AX562" s="26">
        <f t="shared" si="377"/>
        <v>-3373.0125000000003</v>
      </c>
      <c r="AY562" s="26">
        <f t="shared" si="377"/>
        <v>-3739.0875000000001</v>
      </c>
      <c r="AZ562" s="26">
        <f t="shared" si="377"/>
        <v>-3007.8125</v>
      </c>
      <c r="BA562" s="26">
        <f t="shared" si="377"/>
        <v>-3007.8125</v>
      </c>
      <c r="BB562" s="26">
        <f t="shared" si="377"/>
        <v>-3007.8125</v>
      </c>
      <c r="BC562" s="26">
        <f t="shared" si="377"/>
        <v>-1862.825</v>
      </c>
      <c r="BD562" s="26">
        <f t="shared" si="377"/>
        <v>-640.4224999999999</v>
      </c>
      <c r="BE562" s="26">
        <f t="shared" si="377"/>
        <v>-1028.4474999999991</v>
      </c>
      <c r="BF562" s="26">
        <f t="shared" si="377"/>
        <v>-1145.9050000000004</v>
      </c>
      <c r="BG562" s="26">
        <f t="shared" si="377"/>
        <v>-1069.9050000000004</v>
      </c>
      <c r="BH562" s="26">
        <f t="shared" si="377"/>
        <v>-1205.5324999999998</v>
      </c>
      <c r="BI562" s="26">
        <f t="shared" si="377"/>
        <v>-1307.1774999999996</v>
      </c>
      <c r="BJ562" s="26">
        <f t="shared" si="377"/>
        <v>-1069.9050000000004</v>
      </c>
      <c r="BK562" s="26">
        <f t="shared" si="377"/>
        <v>-1205.5324999999998</v>
      </c>
      <c r="BL562" s="26">
        <f t="shared" si="377"/>
        <v>-960.1349999999992</v>
      </c>
      <c r="BM562" s="26">
        <f t="shared" si="377"/>
        <v>-960.1349999999992</v>
      </c>
      <c r="BN562" s="26">
        <f t="shared" si="377"/>
        <v>-960.1349999999992</v>
      </c>
      <c r="BO562" s="26">
        <f t="shared" si="377"/>
        <v>-596.0474999999999</v>
      </c>
      <c r="BP562" s="38">
        <f>SUM(H562:BO562)</f>
        <v>91010.976250000007</v>
      </c>
    </row>
    <row r="563" spans="1:69" x14ac:dyDescent="0.15">
      <c r="A563" s="44" t="s">
        <v>1059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4419444.75</v>
      </c>
      <c r="L563" s="26">
        <f t="shared" si="378"/>
        <v>4421452.5</v>
      </c>
      <c r="M563" s="26">
        <f t="shared" si="378"/>
        <v>4424093</v>
      </c>
      <c r="N563" s="26">
        <f t="shared" si="378"/>
        <v>4419444.75</v>
      </c>
      <c r="O563" s="26">
        <f t="shared" si="378"/>
        <v>4421452.5</v>
      </c>
      <c r="P563" s="26">
        <f t="shared" si="378"/>
        <v>4417437</v>
      </c>
      <c r="Q563" s="26">
        <f t="shared" si="378"/>
        <v>4417437</v>
      </c>
      <c r="R563" s="26">
        <f t="shared" si="378"/>
        <v>4417437</v>
      </c>
      <c r="S563" s="26">
        <f t="shared" si="378"/>
        <v>4410781</v>
      </c>
      <c r="T563" s="26">
        <f t="shared" si="378"/>
        <v>5601701.71875</v>
      </c>
      <c r="U563" s="26">
        <f t="shared" si="378"/>
        <v>5602765.46875</v>
      </c>
      <c r="V563" s="26">
        <f t="shared" si="378"/>
        <v>5603084.6875</v>
      </c>
      <c r="W563" s="26">
        <f t="shared" si="378"/>
        <v>5603145</v>
      </c>
      <c r="X563" s="26">
        <f t="shared" si="378"/>
        <v>5603470.3125</v>
      </c>
      <c r="Y563" s="26">
        <f t="shared" si="378"/>
        <v>5603796.25</v>
      </c>
      <c r="Z563" s="26">
        <f t="shared" si="378"/>
        <v>5603145</v>
      </c>
      <c r="AA563" s="26">
        <f t="shared" si="378"/>
        <v>5603470.3125</v>
      </c>
      <c r="AB563" s="26">
        <f t="shared" si="378"/>
        <v>5602819.6875</v>
      </c>
      <c r="AC563" s="26">
        <f t="shared" si="378"/>
        <v>5602819.6875</v>
      </c>
      <c r="AD563" s="26">
        <f t="shared" si="378"/>
        <v>5602819.6875</v>
      </c>
      <c r="AE563" s="26">
        <f t="shared" si="378"/>
        <v>5601737.03125</v>
      </c>
      <c r="AF563" s="26">
        <f t="shared" si="378"/>
        <v>6396852.21875</v>
      </c>
      <c r="AG563" s="26">
        <f t="shared" si="378"/>
        <v>6394897.125</v>
      </c>
      <c r="AH563" s="26">
        <f t="shared" si="378"/>
        <v>6394244.1875</v>
      </c>
      <c r="AI563" s="26">
        <f t="shared" si="378"/>
        <v>6394310.125</v>
      </c>
      <c r="AJ563" s="26">
        <f t="shared" si="378"/>
        <v>6393773.40625</v>
      </c>
      <c r="AK563" s="26">
        <f t="shared" si="378"/>
        <v>6393127.21875</v>
      </c>
      <c r="AL563" s="26">
        <f t="shared" si="378"/>
        <v>6394310.125</v>
      </c>
      <c r="AM563" s="26">
        <f t="shared" si="378"/>
        <v>6393773.40625</v>
      </c>
      <c r="AN563" s="26">
        <f t="shared" si="378"/>
        <v>6394956.40625</v>
      </c>
      <c r="AO563" s="26">
        <f t="shared" si="378"/>
        <v>6394956.40625</v>
      </c>
      <c r="AP563" s="26">
        <f t="shared" si="378"/>
        <v>6394956.40625</v>
      </c>
      <c r="AQ563" s="26">
        <f t="shared" si="378"/>
        <v>6396890.90625</v>
      </c>
      <c r="AR563" s="26">
        <f t="shared" si="378"/>
        <v>7798092.7999999998</v>
      </c>
      <c r="AS563" s="26">
        <f t="shared" si="378"/>
        <v>7796923.875</v>
      </c>
      <c r="AT563" s="26">
        <f t="shared" si="378"/>
        <v>7796550.9874999998</v>
      </c>
      <c r="AU563" s="26">
        <f t="shared" si="378"/>
        <v>7796626.9874999998</v>
      </c>
      <c r="AV563" s="26">
        <f t="shared" si="378"/>
        <v>7796260.9124999996</v>
      </c>
      <c r="AW563" s="26">
        <f t="shared" si="378"/>
        <v>7795900.7750000004</v>
      </c>
      <c r="AX563" s="26">
        <f t="shared" si="378"/>
        <v>7796626.9874999998</v>
      </c>
      <c r="AY563" s="26">
        <f t="shared" si="378"/>
        <v>7796260.9124999996</v>
      </c>
      <c r="AZ563" s="26">
        <f t="shared" si="378"/>
        <v>7796992.1875</v>
      </c>
      <c r="BA563" s="26">
        <f t="shared" si="378"/>
        <v>7796992.1875</v>
      </c>
      <c r="BB563" s="26">
        <f t="shared" si="378"/>
        <v>7796992.1875</v>
      </c>
      <c r="BC563" s="26">
        <f t="shared" si="378"/>
        <v>7798137.1749999998</v>
      </c>
      <c r="BD563" s="26">
        <f t="shared" si="378"/>
        <v>10799359.577500001</v>
      </c>
      <c r="BE563" s="26">
        <f t="shared" si="378"/>
        <v>10798971.5525</v>
      </c>
      <c r="BF563" s="26">
        <f t="shared" si="378"/>
        <v>10798854.095000001</v>
      </c>
      <c r="BG563" s="26">
        <f t="shared" si="378"/>
        <v>10798930.095000001</v>
      </c>
      <c r="BH563" s="26">
        <f t="shared" si="378"/>
        <v>10798794.467499999</v>
      </c>
      <c r="BI563" s="26">
        <f t="shared" si="378"/>
        <v>10798692.8225</v>
      </c>
      <c r="BJ563" s="26">
        <f t="shared" si="378"/>
        <v>10798930.095000001</v>
      </c>
      <c r="BK563" s="26">
        <f t="shared" si="378"/>
        <v>10798794.467499999</v>
      </c>
      <c r="BL563" s="26">
        <f t="shared" si="378"/>
        <v>10799039.865</v>
      </c>
      <c r="BM563" s="26">
        <f t="shared" si="378"/>
        <v>10799039.865</v>
      </c>
      <c r="BN563" s="26">
        <f t="shared" si="378"/>
        <v>10799039.865</v>
      </c>
      <c r="BO563" s="26">
        <f t="shared" si="378"/>
        <v>10799403.952500001</v>
      </c>
      <c r="BP563" s="38">
        <f>SUM(H563:BO563)</f>
        <v>420091010.97625011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7919444.75</v>
      </c>
      <c r="L565" s="26">
        <f t="shared" si="381"/>
        <v>7921452.5</v>
      </c>
      <c r="M565" s="26">
        <f t="shared" si="381"/>
        <v>7924093</v>
      </c>
      <c r="N565" s="26">
        <f t="shared" si="381"/>
        <v>7919444.75</v>
      </c>
      <c r="O565" s="26">
        <f t="shared" si="381"/>
        <v>7921452.5</v>
      </c>
      <c r="P565" s="26">
        <f t="shared" si="381"/>
        <v>7917437</v>
      </c>
      <c r="Q565" s="26">
        <f t="shared" si="381"/>
        <v>7917437</v>
      </c>
      <c r="R565" s="26">
        <f t="shared" si="381"/>
        <v>7917437</v>
      </c>
      <c r="S565" s="26">
        <f t="shared" si="381"/>
        <v>7910781</v>
      </c>
      <c r="T565" s="26">
        <f t="shared" si="381"/>
        <v>9101701.71875</v>
      </c>
      <c r="U565" s="26">
        <f t="shared" si="381"/>
        <v>9102765.46875</v>
      </c>
      <c r="V565" s="26">
        <f t="shared" si="381"/>
        <v>9103084.6875</v>
      </c>
      <c r="W565" s="26">
        <f t="shared" si="381"/>
        <v>9103145</v>
      </c>
      <c r="X565" s="26">
        <f t="shared" si="381"/>
        <v>9103470.3125</v>
      </c>
      <c r="Y565" s="26">
        <f t="shared" si="381"/>
        <v>9103796.25</v>
      </c>
      <c r="Z565" s="26">
        <f t="shared" si="381"/>
        <v>8103145</v>
      </c>
      <c r="AA565" s="26">
        <f t="shared" si="381"/>
        <v>8103470.3125</v>
      </c>
      <c r="AB565" s="26">
        <f t="shared" si="381"/>
        <v>8102819.6875</v>
      </c>
      <c r="AC565" s="26">
        <f t="shared" si="381"/>
        <v>8102819.6875</v>
      </c>
      <c r="AD565" s="26">
        <f t="shared" si="381"/>
        <v>8102819.6875</v>
      </c>
      <c r="AE565" s="26">
        <f t="shared" si="381"/>
        <v>8101737.03125</v>
      </c>
      <c r="AF565" s="26">
        <f t="shared" si="381"/>
        <v>6396852.21875</v>
      </c>
      <c r="AG565" s="26">
        <f t="shared" si="381"/>
        <v>6394897.125</v>
      </c>
      <c r="AH565" s="26">
        <f t="shared" si="381"/>
        <v>6394244.1875</v>
      </c>
      <c r="AI565" s="26">
        <f t="shared" si="381"/>
        <v>6394310.125</v>
      </c>
      <c r="AJ565" s="26">
        <f t="shared" si="381"/>
        <v>6393773.40625</v>
      </c>
      <c r="AK565" s="26">
        <f t="shared" si="381"/>
        <v>6393127.21875</v>
      </c>
      <c r="AL565" s="26">
        <f t="shared" si="381"/>
        <v>6394310.125</v>
      </c>
      <c r="AM565" s="26">
        <f t="shared" si="381"/>
        <v>6393773.40625</v>
      </c>
      <c r="AN565" s="26">
        <f t="shared" si="381"/>
        <v>6394956.40625</v>
      </c>
      <c r="AO565" s="26">
        <f t="shared" si="381"/>
        <v>6394956.40625</v>
      </c>
      <c r="AP565" s="26">
        <f t="shared" si="381"/>
        <v>6394956.40625</v>
      </c>
      <c r="AQ565" s="26">
        <f t="shared" si="381"/>
        <v>6396890.90625</v>
      </c>
      <c r="AR565" s="26">
        <f t="shared" si="381"/>
        <v>7798092.7999999998</v>
      </c>
      <c r="AS565" s="26">
        <f t="shared" si="381"/>
        <v>7796923.875</v>
      </c>
      <c r="AT565" s="26">
        <f t="shared" si="381"/>
        <v>7796550.9874999998</v>
      </c>
      <c r="AU565" s="26">
        <f t="shared" si="381"/>
        <v>7796626.9874999998</v>
      </c>
      <c r="AV565" s="26">
        <f t="shared" si="381"/>
        <v>7796260.9124999996</v>
      </c>
      <c r="AW565" s="26">
        <f t="shared" si="381"/>
        <v>7795900.7750000004</v>
      </c>
      <c r="AX565" s="26">
        <f t="shared" si="381"/>
        <v>7796626.9874999998</v>
      </c>
      <c r="AY565" s="26">
        <f t="shared" si="381"/>
        <v>7796260.9124999996</v>
      </c>
      <c r="AZ565" s="26">
        <f t="shared" si="381"/>
        <v>7796992.1875</v>
      </c>
      <c r="BA565" s="26">
        <f t="shared" si="381"/>
        <v>7796992.1875</v>
      </c>
      <c r="BB565" s="26">
        <f t="shared" si="381"/>
        <v>7796992.1875</v>
      </c>
      <c r="BC565" s="26">
        <f t="shared" si="381"/>
        <v>7798137.1749999998</v>
      </c>
      <c r="BD565" s="26">
        <f t="shared" si="381"/>
        <v>10799359.577500001</v>
      </c>
      <c r="BE565" s="26">
        <f t="shared" si="381"/>
        <v>10798971.5525</v>
      </c>
      <c r="BF565" s="26">
        <f t="shared" si="381"/>
        <v>10798854.095000001</v>
      </c>
      <c r="BG565" s="26">
        <f t="shared" si="381"/>
        <v>10798930.095000001</v>
      </c>
      <c r="BH565" s="26">
        <f t="shared" si="381"/>
        <v>10798794.467499999</v>
      </c>
      <c r="BI565" s="26">
        <f t="shared" si="381"/>
        <v>10798692.8225</v>
      </c>
      <c r="BJ565" s="26">
        <f t="shared" si="381"/>
        <v>10798930.095000001</v>
      </c>
      <c r="BK565" s="26">
        <f t="shared" si="381"/>
        <v>10798794.467499999</v>
      </c>
      <c r="BL565" s="26">
        <f t="shared" si="381"/>
        <v>10799039.865</v>
      </c>
      <c r="BM565" s="26">
        <f t="shared" si="381"/>
        <v>10799039.865</v>
      </c>
      <c r="BN565" s="26">
        <f t="shared" si="381"/>
        <v>10799039.865</v>
      </c>
      <c r="BO565" s="26">
        <f t="shared" si="381"/>
        <v>10799403.952500001</v>
      </c>
      <c r="BP565" s="38">
        <f t="shared" si="375"/>
        <v>498091010.97625011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883888.95000000007</v>
      </c>
      <c r="L566" s="26">
        <f t="shared" si="382"/>
        <v>884290.5</v>
      </c>
      <c r="M566" s="26">
        <f t="shared" si="382"/>
        <v>884818.6</v>
      </c>
      <c r="N566" s="26">
        <f t="shared" si="382"/>
        <v>883888.95000000007</v>
      </c>
      <c r="O566" s="26">
        <f t="shared" si="382"/>
        <v>884290.5</v>
      </c>
      <c r="P566" s="26">
        <f t="shared" si="382"/>
        <v>883487.39999999991</v>
      </c>
      <c r="Q566" s="26">
        <f t="shared" si="382"/>
        <v>883487.39999999991</v>
      </c>
      <c r="R566" s="26">
        <f t="shared" si="382"/>
        <v>883487.39999999991</v>
      </c>
      <c r="S566" s="26">
        <f t="shared" si="382"/>
        <v>882156.2</v>
      </c>
      <c r="T566" s="26">
        <f t="shared" si="382"/>
        <v>1120340.34375</v>
      </c>
      <c r="U566" s="26">
        <f t="shared" si="382"/>
        <v>1120553.09375</v>
      </c>
      <c r="V566" s="26">
        <f t="shared" si="382"/>
        <v>1120616.9375</v>
      </c>
      <c r="W566" s="26">
        <f t="shared" si="382"/>
        <v>1120629</v>
      </c>
      <c r="X566" s="26">
        <f t="shared" si="382"/>
        <v>1120694.0625</v>
      </c>
      <c r="Y566" s="26">
        <f t="shared" si="382"/>
        <v>1120759.25</v>
      </c>
      <c r="Z566" s="26">
        <f t="shared" si="382"/>
        <v>1120629</v>
      </c>
      <c r="AA566" s="26">
        <f t="shared" si="382"/>
        <v>1120694.0625</v>
      </c>
      <c r="AB566" s="26">
        <f t="shared" si="382"/>
        <v>1120563.9375</v>
      </c>
      <c r="AC566" s="26">
        <f t="shared" si="382"/>
        <v>1120563.9375</v>
      </c>
      <c r="AD566" s="26">
        <f t="shared" si="382"/>
        <v>1120563.9375</v>
      </c>
      <c r="AE566" s="26">
        <f t="shared" si="382"/>
        <v>1120347.40625</v>
      </c>
      <c r="AF566" s="26">
        <f t="shared" si="382"/>
        <v>1279370.4437500001</v>
      </c>
      <c r="AG566" s="26">
        <f t="shared" si="382"/>
        <v>1278979.425</v>
      </c>
      <c r="AH566" s="26">
        <f t="shared" si="382"/>
        <v>1278848.8375000001</v>
      </c>
      <c r="AI566" s="26">
        <f t="shared" si="382"/>
        <v>1278862.0249999999</v>
      </c>
      <c r="AJ566" s="26">
        <f t="shared" si="382"/>
        <v>1278754.6812499999</v>
      </c>
      <c r="AK566" s="26">
        <f t="shared" si="382"/>
        <v>1278625.4437500001</v>
      </c>
      <c r="AL566" s="26">
        <f t="shared" si="382"/>
        <v>1278862.0249999999</v>
      </c>
      <c r="AM566" s="26">
        <f t="shared" ref="AM566:BO566" si="383">AM289+AM372+AM545+AM224</f>
        <v>1278754.6812499999</v>
      </c>
      <c r="AN566" s="26">
        <f t="shared" si="383"/>
        <v>1278991.28125</v>
      </c>
      <c r="AO566" s="26">
        <f t="shared" si="383"/>
        <v>1278991.28125</v>
      </c>
      <c r="AP566" s="26">
        <f t="shared" si="383"/>
        <v>1278991.28125</v>
      </c>
      <c r="AQ566" s="26">
        <f t="shared" si="383"/>
        <v>1279378.1812499999</v>
      </c>
      <c r="AR566" s="26">
        <f t="shared" si="383"/>
        <v>1559618.5600000001</v>
      </c>
      <c r="AS566" s="26">
        <f t="shared" si="383"/>
        <v>1559384.7750000001</v>
      </c>
      <c r="AT566" s="26">
        <f t="shared" si="383"/>
        <v>1559310.1974999998</v>
      </c>
      <c r="AU566" s="26">
        <f t="shared" si="383"/>
        <v>1559325.3975</v>
      </c>
      <c r="AV566" s="26">
        <f t="shared" si="383"/>
        <v>1559252.1824999999</v>
      </c>
      <c r="AW566" s="26">
        <f t="shared" si="383"/>
        <v>1559180.155</v>
      </c>
      <c r="AX566" s="26">
        <f t="shared" si="383"/>
        <v>1559325.3975</v>
      </c>
      <c r="AY566" s="26">
        <f t="shared" si="383"/>
        <v>1559252.1824999999</v>
      </c>
      <c r="AZ566" s="26">
        <f t="shared" si="383"/>
        <v>1559398.4375</v>
      </c>
      <c r="BA566" s="26">
        <f t="shared" si="383"/>
        <v>1559398.4375</v>
      </c>
      <c r="BB566" s="26">
        <f t="shared" si="383"/>
        <v>1559398.4375</v>
      </c>
      <c r="BC566" s="26">
        <f t="shared" si="383"/>
        <v>1559627.4350000001</v>
      </c>
      <c r="BD566" s="26">
        <f t="shared" si="383"/>
        <v>2159871.9155000001</v>
      </c>
      <c r="BE566" s="26">
        <f t="shared" si="383"/>
        <v>2159794.3105000001</v>
      </c>
      <c r="BF566" s="26">
        <f t="shared" si="383"/>
        <v>2159770.8190000001</v>
      </c>
      <c r="BG566" s="26">
        <f t="shared" si="383"/>
        <v>2159786.0190000003</v>
      </c>
      <c r="BH566" s="26">
        <f t="shared" si="383"/>
        <v>2159758.8935000002</v>
      </c>
      <c r="BI566" s="26">
        <f t="shared" si="383"/>
        <v>2159738.5644999999</v>
      </c>
      <c r="BJ566" s="26">
        <f t="shared" si="383"/>
        <v>2159786.0190000003</v>
      </c>
      <c r="BK566" s="26">
        <f t="shared" si="383"/>
        <v>2159758.8935000002</v>
      </c>
      <c r="BL566" s="26">
        <f t="shared" si="383"/>
        <v>2159807.9730000002</v>
      </c>
      <c r="BM566" s="26">
        <f t="shared" si="383"/>
        <v>2159807.9730000002</v>
      </c>
      <c r="BN566" s="26">
        <f t="shared" si="383"/>
        <v>2159807.9730000002</v>
      </c>
      <c r="BO566" s="26">
        <f t="shared" si="383"/>
        <v>2159880.7905000001</v>
      </c>
      <c r="BP566" s="38">
        <f t="shared" si="375"/>
        <v>84018202.195250005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9365757.6999999993</v>
      </c>
      <c r="L568" s="26">
        <f t="shared" si="386"/>
        <v>9368167</v>
      </c>
      <c r="M568" s="26">
        <f t="shared" si="386"/>
        <v>9371335.5999999996</v>
      </c>
      <c r="N568" s="26">
        <f t="shared" si="386"/>
        <v>9365757.6999999993</v>
      </c>
      <c r="O568" s="26">
        <f t="shared" si="386"/>
        <v>9368167</v>
      </c>
      <c r="P568" s="26">
        <f t="shared" si="386"/>
        <v>9363348.4000000004</v>
      </c>
      <c r="Q568" s="26">
        <f t="shared" si="386"/>
        <v>9363348.4000000004</v>
      </c>
      <c r="R568" s="26">
        <f t="shared" si="386"/>
        <v>9363348.4000000004</v>
      </c>
      <c r="S568" s="26">
        <f t="shared" si="386"/>
        <v>9355361.1999999993</v>
      </c>
      <c r="T568" s="26">
        <f t="shared" si="386"/>
        <v>10784466.0625</v>
      </c>
      <c r="U568" s="26">
        <f t="shared" si="386"/>
        <v>10785742.5625</v>
      </c>
      <c r="V568" s="26">
        <f t="shared" si="386"/>
        <v>10786125.625</v>
      </c>
      <c r="W568" s="26">
        <f t="shared" si="386"/>
        <v>10786198</v>
      </c>
      <c r="X568" s="26">
        <f t="shared" si="386"/>
        <v>10786588.375</v>
      </c>
      <c r="Y568" s="26">
        <f t="shared" si="386"/>
        <v>10786979.5</v>
      </c>
      <c r="Z568" s="26">
        <f t="shared" si="386"/>
        <v>9786198</v>
      </c>
      <c r="AA568" s="26">
        <f t="shared" si="386"/>
        <v>9786588.375</v>
      </c>
      <c r="AB568" s="26">
        <f t="shared" si="386"/>
        <v>9785807.625</v>
      </c>
      <c r="AC568" s="26">
        <f t="shared" si="386"/>
        <v>9785807.625</v>
      </c>
      <c r="AD568" s="26">
        <f t="shared" si="386"/>
        <v>9785807.625</v>
      </c>
      <c r="AE568" s="26">
        <f t="shared" si="386"/>
        <v>9784508.4375</v>
      </c>
      <c r="AF568" s="26">
        <f t="shared" si="386"/>
        <v>8238646.6624999996</v>
      </c>
      <c r="AG568" s="26">
        <f t="shared" si="386"/>
        <v>8236300.5499999998</v>
      </c>
      <c r="AH568" s="26">
        <f t="shared" si="386"/>
        <v>8235517.0250000004</v>
      </c>
      <c r="AI568" s="26">
        <f t="shared" si="386"/>
        <v>8235596.1500000004</v>
      </c>
      <c r="AJ568" s="26">
        <f t="shared" si="386"/>
        <v>8234952.0875000004</v>
      </c>
      <c r="AK568" s="26">
        <f t="shared" si="386"/>
        <v>8234176.6624999996</v>
      </c>
      <c r="AL568" s="26">
        <f t="shared" si="386"/>
        <v>8235596.1500000004</v>
      </c>
      <c r="AM568" s="26">
        <f t="shared" ref="AM568:BO568" si="387">AM567+AM566+AM565</f>
        <v>8234952.0875000004</v>
      </c>
      <c r="AN568" s="26">
        <f t="shared" si="387"/>
        <v>8236371.6875</v>
      </c>
      <c r="AO568" s="26">
        <f t="shared" si="387"/>
        <v>8236371.6875</v>
      </c>
      <c r="AP568" s="26">
        <f t="shared" si="387"/>
        <v>8236371.6875</v>
      </c>
      <c r="AQ568" s="26">
        <f t="shared" si="387"/>
        <v>8238693.0875000004</v>
      </c>
      <c r="AR568" s="26">
        <f t="shared" si="387"/>
        <v>9920135.3599999994</v>
      </c>
      <c r="AS568" s="26">
        <f t="shared" si="387"/>
        <v>9918732.6500000004</v>
      </c>
      <c r="AT568" s="26">
        <f t="shared" si="387"/>
        <v>9918285.1849999987</v>
      </c>
      <c r="AU568" s="26">
        <f t="shared" si="387"/>
        <v>9918376.3849999998</v>
      </c>
      <c r="AV568" s="26">
        <f t="shared" si="387"/>
        <v>9917937.0949999988</v>
      </c>
      <c r="AW568" s="26">
        <f t="shared" si="387"/>
        <v>9917504.9299999997</v>
      </c>
      <c r="AX568" s="26">
        <f t="shared" si="387"/>
        <v>9918376.3849999998</v>
      </c>
      <c r="AY568" s="26">
        <f t="shared" si="387"/>
        <v>9917937.0949999988</v>
      </c>
      <c r="AZ568" s="26">
        <f t="shared" si="387"/>
        <v>9918814.625</v>
      </c>
      <c r="BA568" s="26">
        <f t="shared" si="387"/>
        <v>9918814.625</v>
      </c>
      <c r="BB568" s="26">
        <f t="shared" si="387"/>
        <v>9918814.625</v>
      </c>
      <c r="BC568" s="26">
        <f t="shared" si="387"/>
        <v>9920188.6099999994</v>
      </c>
      <c r="BD568" s="26">
        <f t="shared" si="387"/>
        <v>13521655.493000001</v>
      </c>
      <c r="BE568" s="26">
        <f t="shared" si="387"/>
        <v>13521189.863</v>
      </c>
      <c r="BF568" s="26">
        <f t="shared" si="387"/>
        <v>13521048.914000001</v>
      </c>
      <c r="BG568" s="26">
        <f t="shared" si="387"/>
        <v>13521140.114</v>
      </c>
      <c r="BH568" s="26">
        <f t="shared" si="387"/>
        <v>13520977.361</v>
      </c>
      <c r="BI568" s="26">
        <f t="shared" si="387"/>
        <v>13520855.387</v>
      </c>
      <c r="BJ568" s="26">
        <f t="shared" si="387"/>
        <v>13521140.114</v>
      </c>
      <c r="BK568" s="26">
        <f t="shared" si="387"/>
        <v>13520977.361</v>
      </c>
      <c r="BL568" s="26">
        <f t="shared" si="387"/>
        <v>13521271.838</v>
      </c>
      <c r="BM568" s="26">
        <f t="shared" si="387"/>
        <v>13521271.838</v>
      </c>
      <c r="BN568" s="26">
        <f t="shared" si="387"/>
        <v>13521271.838</v>
      </c>
      <c r="BO568" s="26">
        <f t="shared" si="387"/>
        <v>13521708.743000001</v>
      </c>
      <c r="BP568" s="38">
        <f>SUM(H568:BO568)</f>
        <v>615854653.17149997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112311863.40000002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123430817.8125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98833545.525000006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119023917.56999999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162254508.86399999</v>
      </c>
      <c r="BP569" s="38">
        <f>SUM(H569:BO569)</f>
        <v>615854653.17150009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9365757.6999999993</v>
      </c>
      <c r="L570" s="40">
        <f t="shared" si="388"/>
        <v>9368167</v>
      </c>
      <c r="M570" s="40">
        <f t="shared" si="388"/>
        <v>9371335.5999999996</v>
      </c>
      <c r="N570" s="40">
        <f t="shared" si="388"/>
        <v>9365757.6999999993</v>
      </c>
      <c r="O570" s="40">
        <f t="shared" si="388"/>
        <v>9368167</v>
      </c>
      <c r="P570" s="40">
        <f t="shared" si="388"/>
        <v>9363348.4000000004</v>
      </c>
      <c r="Q570" s="40">
        <f t="shared" si="388"/>
        <v>9363348.4000000004</v>
      </c>
      <c r="R570" s="40">
        <f t="shared" si="388"/>
        <v>9363348.4000000004</v>
      </c>
      <c r="S570" s="40">
        <f t="shared" si="388"/>
        <v>9355361.1999999993</v>
      </c>
      <c r="T570" s="40">
        <f t="shared" si="388"/>
        <v>10784466.0625</v>
      </c>
      <c r="U570" s="40">
        <f t="shared" si="388"/>
        <v>10785742.5625</v>
      </c>
      <c r="V570" s="40">
        <f t="shared" si="388"/>
        <v>10786125.625</v>
      </c>
      <c r="W570" s="40">
        <f t="shared" si="388"/>
        <v>10786198</v>
      </c>
      <c r="X570" s="40">
        <f t="shared" si="388"/>
        <v>10786588.375</v>
      </c>
      <c r="Y570" s="40">
        <f t="shared" si="388"/>
        <v>10786979.5</v>
      </c>
      <c r="Z570" s="40">
        <f t="shared" si="388"/>
        <v>9786198</v>
      </c>
      <c r="AA570" s="40">
        <f t="shared" si="388"/>
        <v>9786588.375</v>
      </c>
      <c r="AB570" s="40">
        <f t="shared" si="388"/>
        <v>9785807.625</v>
      </c>
      <c r="AC570" s="40">
        <f t="shared" si="388"/>
        <v>9785807.625</v>
      </c>
      <c r="AD570" s="40">
        <f t="shared" si="388"/>
        <v>9785807.625</v>
      </c>
      <c r="AE570" s="40">
        <f t="shared" si="388"/>
        <v>9784508.4375</v>
      </c>
      <c r="AF570" s="40">
        <f t="shared" si="388"/>
        <v>8238646.6624999996</v>
      </c>
      <c r="AG570" s="40">
        <f t="shared" si="388"/>
        <v>8236300.5499999998</v>
      </c>
      <c r="AH570" s="40">
        <f t="shared" si="388"/>
        <v>8235517.0250000004</v>
      </c>
      <c r="AI570" s="40">
        <f t="shared" si="388"/>
        <v>8235596.1500000004</v>
      </c>
      <c r="AJ570" s="40">
        <f t="shared" si="388"/>
        <v>8234952.0875000004</v>
      </c>
      <c r="AK570" s="40">
        <f t="shared" si="388"/>
        <v>8234176.6624999996</v>
      </c>
      <c r="AL570" s="40">
        <f t="shared" si="388"/>
        <v>8235596.1500000004</v>
      </c>
      <c r="AM570" s="40">
        <f t="shared" ref="AM570:BO570" si="389">AM553+AM380+AM297+AM232</f>
        <v>8234952.0875000004</v>
      </c>
      <c r="AN570" s="40">
        <f t="shared" si="389"/>
        <v>8236371.6875</v>
      </c>
      <c r="AO570" s="40">
        <f t="shared" si="389"/>
        <v>8236371.6875</v>
      </c>
      <c r="AP570" s="40">
        <f t="shared" si="389"/>
        <v>8236371.6875</v>
      </c>
      <c r="AQ570" s="40">
        <f t="shared" si="389"/>
        <v>8238693.0875000004</v>
      </c>
      <c r="AR570" s="40">
        <f t="shared" si="389"/>
        <v>9920135.3599999994</v>
      </c>
      <c r="AS570" s="40">
        <f t="shared" si="389"/>
        <v>9918732.6500000004</v>
      </c>
      <c r="AT570" s="40">
        <f t="shared" si="389"/>
        <v>9918285.1849999987</v>
      </c>
      <c r="AU570" s="40">
        <f t="shared" si="389"/>
        <v>9918376.3849999998</v>
      </c>
      <c r="AV570" s="40">
        <f t="shared" si="389"/>
        <v>9917937.0949999988</v>
      </c>
      <c r="AW570" s="40">
        <f t="shared" si="389"/>
        <v>9917504.9299999997</v>
      </c>
      <c r="AX570" s="40">
        <f t="shared" si="389"/>
        <v>9918376.3849999998</v>
      </c>
      <c r="AY570" s="40">
        <f t="shared" si="389"/>
        <v>9917937.0949999988</v>
      </c>
      <c r="AZ570" s="40">
        <f t="shared" si="389"/>
        <v>9918814.625</v>
      </c>
      <c r="BA570" s="40">
        <f t="shared" si="389"/>
        <v>9918814.625</v>
      </c>
      <c r="BB570" s="40">
        <f t="shared" si="389"/>
        <v>9918814.625</v>
      </c>
      <c r="BC570" s="40">
        <f t="shared" si="389"/>
        <v>9920188.6099999994</v>
      </c>
      <c r="BD570" s="40">
        <f t="shared" si="389"/>
        <v>13521655.492999999</v>
      </c>
      <c r="BE570" s="40">
        <f t="shared" si="389"/>
        <v>13521189.863</v>
      </c>
      <c r="BF570" s="40">
        <f t="shared" si="389"/>
        <v>13521048.913999999</v>
      </c>
      <c r="BG570" s="40">
        <f t="shared" si="389"/>
        <v>13521140.114</v>
      </c>
      <c r="BH570" s="40">
        <f t="shared" si="389"/>
        <v>13520977.361000001</v>
      </c>
      <c r="BI570" s="40">
        <f t="shared" si="389"/>
        <v>13520855.387</v>
      </c>
      <c r="BJ570" s="40">
        <f t="shared" si="389"/>
        <v>13521140.114</v>
      </c>
      <c r="BK570" s="40">
        <f t="shared" si="389"/>
        <v>13520977.361000001</v>
      </c>
      <c r="BL570" s="40">
        <f t="shared" si="389"/>
        <v>13521271.838</v>
      </c>
      <c r="BM570" s="40">
        <f t="shared" si="389"/>
        <v>13521271.838</v>
      </c>
      <c r="BN570" s="40">
        <f t="shared" si="389"/>
        <v>13521271.838</v>
      </c>
      <c r="BO570" s="40">
        <f t="shared" si="389"/>
        <v>13521708.743000001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8" activePane="bottomRight" state="frozen"/>
      <selection pane="topRight" activeCell="B1" sqref="B1"/>
      <selection pane="bottomLeft" activeCell="A2" sqref="A2"/>
      <selection pane="bottomRight" activeCell="B169" sqref="B169"/>
    </sheetView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1234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1235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1232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1236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15" activePane="bottomRight" state="frozen"/>
      <selection pane="topRight" activeCell="B1" sqref="B1"/>
      <selection pane="bottomLeft" activeCell="A2" sqref="A2"/>
      <selection pane="bottomRight" activeCell="B28" sqref="B28"/>
    </sheetView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1206</v>
      </c>
      <c r="C1" s="10" t="s">
        <v>1207</v>
      </c>
      <c r="D1" s="10" t="s">
        <v>1208</v>
      </c>
      <c r="E1" s="10" t="s">
        <v>1209</v>
      </c>
      <c r="F1" s="10" t="s">
        <v>1210</v>
      </c>
    </row>
    <row r="2" spans="1:102" x14ac:dyDescent="0.15">
      <c r="A2" s="14" t="s">
        <v>1205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52968979.5</v>
      </c>
      <c r="C7" s="3">
        <f t="shared" si="0"/>
        <v>67234774.84375</v>
      </c>
      <c r="D7" s="3">
        <f t="shared" si="0"/>
        <v>76737047.9375</v>
      </c>
      <c r="E7" s="3">
        <f t="shared" si="0"/>
        <v>93562357.974999994</v>
      </c>
      <c r="F7" s="3">
        <f t="shared" si="0"/>
        <v>129587850.71999998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94968979.5</v>
      </c>
      <c r="C9" s="3">
        <f t="shared" si="0"/>
        <v>103234774.84375</v>
      </c>
      <c r="D9" s="3">
        <f t="shared" si="0"/>
        <v>76737047.9375</v>
      </c>
      <c r="E9" s="3">
        <f t="shared" si="0"/>
        <v>93562357.974999994</v>
      </c>
      <c r="F9" s="3">
        <f t="shared" si="0"/>
        <v>129587850.71999998</v>
      </c>
    </row>
    <row r="10" spans="1:102" x14ac:dyDescent="0.15">
      <c r="A10" s="2" t="s">
        <v>4</v>
      </c>
      <c r="B10" s="3">
        <f t="shared" si="0"/>
        <v>10593795.9</v>
      </c>
      <c r="C10" s="3">
        <f t="shared" si="0"/>
        <v>13446954.96875</v>
      </c>
      <c r="D10" s="3">
        <f t="shared" si="0"/>
        <v>15347409.5875</v>
      </c>
      <c r="E10" s="3">
        <f t="shared" si="0"/>
        <v>18712471.594999999</v>
      </c>
      <c r="F10" s="3">
        <f t="shared" si="0"/>
        <v>25917570.143999998</v>
      </c>
    </row>
    <row r="11" spans="1:102" x14ac:dyDescent="0.15">
      <c r="A11" s="5" t="s">
        <v>3</v>
      </c>
      <c r="B11" s="4">
        <f>B10/B9</f>
        <v>0.11155006567170705</v>
      </c>
      <c r="C11" s="4">
        <f>C10/C9</f>
        <v>0.1302560594441409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7.1066236949508338E-2</v>
      </c>
      <c r="C13" s="4">
        <f>C12/C9</f>
        <v>6.5376110038647517E-2</v>
      </c>
      <c r="D13" s="4">
        <f>D12/D9</f>
        <v>8.7950842277603997E-2</v>
      </c>
      <c r="E13" s="4">
        <f>E12/E9</f>
        <v>7.2134650580347348E-2</v>
      </c>
      <c r="F13" s="4">
        <f>F12/F9</f>
        <v>5.2081178617451811E-2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112311863.39999999</v>
      </c>
      <c r="C14" s="3">
        <f>C28+C42+C56+C70</f>
        <v>123430817.8125</v>
      </c>
      <c r="D14" s="3">
        <f>D28+D42+D56+D70</f>
        <v>98833545.525000006</v>
      </c>
      <c r="E14" s="3">
        <f>E28+E42+E56+E70</f>
        <v>119023917.56999999</v>
      </c>
      <c r="F14" s="3">
        <f>F28+F42+F56+F70</f>
        <v>162254508.86399999</v>
      </c>
      <c r="G14" s="1">
        <f>SUM(B14:F14)</f>
        <v>615854653.17149997</v>
      </c>
      <c r="H14" s="1">
        <f>+F28+F42+F56+F70</f>
        <v>162254508.86399999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24168979.5</v>
      </c>
      <c r="C21" s="26">
        <f>STAFF_CWS!AE211</f>
        <v>33634774.84375</v>
      </c>
      <c r="D21" s="26">
        <f>STAFF_CWS!AQ211</f>
        <v>43137047.9375</v>
      </c>
      <c r="E21" s="26">
        <f>STAFF_CWS!BC211</f>
        <v>52762357.974999994</v>
      </c>
      <c r="F21" s="26">
        <f>STAFF_CWS!BO211</f>
        <v>81587850.719999984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24168979.5</v>
      </c>
      <c r="C23" s="26">
        <f>STAFF_CWS!AE215</f>
        <v>33634774.84375</v>
      </c>
      <c r="D23" s="26">
        <f>STAFF_CWS!AQ215</f>
        <v>43137047.9375</v>
      </c>
      <c r="E23" s="26">
        <f>STAFF_CWS!BC215</f>
        <v>52762357.974999994</v>
      </c>
      <c r="F23" s="26">
        <f>STAFF_CWS!BO215</f>
        <v>81587850.719999984</v>
      </c>
    </row>
    <row r="24" spans="1:102" x14ac:dyDescent="0.15">
      <c r="A24" s="2" t="s">
        <v>4</v>
      </c>
      <c r="B24" s="26">
        <f>STAFF_CWS!S225</f>
        <v>4833795.9000000004</v>
      </c>
      <c r="C24" s="26">
        <f>STAFF_CWS!AE225</f>
        <v>6726954.96875</v>
      </c>
      <c r="D24" s="26">
        <f>STAFF_CWS!AQ225</f>
        <v>8627409.5875000004</v>
      </c>
      <c r="E24" s="26">
        <f>STAFF_CWS!BC225</f>
        <v>10552471.595000001</v>
      </c>
      <c r="F24" s="26">
        <f>STAFF_CWS!BO225</f>
        <v>16317570.143999998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0.20000000000000004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0.13962294105135883</v>
      </c>
      <c r="C27" s="4">
        <f>C26/C23</f>
        <v>0.10032902005963797</v>
      </c>
      <c r="D27" s="4">
        <f>D26/D23</f>
        <v>7.8228440779936487E-2</v>
      </c>
      <c r="E27" s="4">
        <f>E26/E23</f>
        <v>6.3957414518868466E-2</v>
      </c>
      <c r="F27" s="4">
        <f>F26/F23</f>
        <v>4.1360864028408377E-2</v>
      </c>
    </row>
    <row r="28" spans="1:102" x14ac:dyDescent="0.15">
      <c r="A28" s="2" t="s">
        <v>0</v>
      </c>
      <c r="B28" s="26">
        <f>STAFF_CWS!S233</f>
        <v>32377319.399999995</v>
      </c>
      <c r="C28" s="26">
        <f>STAFF_CWS!AE233</f>
        <v>43736273.8125</v>
      </c>
      <c r="D28" s="26">
        <f>STAFF_CWS!AQ233</f>
        <v>55139001.524999999</v>
      </c>
      <c r="E28" s="26">
        <f>STAFF_CWS!BC233</f>
        <v>66689373.569999993</v>
      </c>
      <c r="F28" s="26">
        <f>STAFF_CWS!BO233</f>
        <v>101279964.86399999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B12" sqref="B12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4" t="s">
        <v>35</v>
      </c>
      <c r="D1" s="364"/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 t="s">
        <v>36</v>
      </c>
      <c r="P1" s="364"/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 t="s">
        <v>37</v>
      </c>
      <c r="AB1" s="364"/>
      <c r="AC1" s="364"/>
      <c r="AD1" s="364"/>
      <c r="AE1" s="364"/>
      <c r="AF1" s="364"/>
      <c r="AG1" s="364"/>
      <c r="AH1" s="364"/>
      <c r="AI1" s="364"/>
      <c r="AJ1" s="364"/>
      <c r="AK1" s="364"/>
      <c r="AL1" s="364"/>
      <c r="AM1" s="364" t="s">
        <v>38</v>
      </c>
      <c r="AN1" s="364"/>
      <c r="AO1" s="364"/>
      <c r="AP1" s="364"/>
      <c r="AQ1" s="364"/>
      <c r="AR1" s="364"/>
      <c r="AS1" s="364"/>
      <c r="AT1" s="364"/>
      <c r="AU1" s="364"/>
      <c r="AV1" s="364"/>
      <c r="AW1" s="364"/>
      <c r="AX1" s="364"/>
      <c r="AY1" s="364" t="s">
        <v>39</v>
      </c>
      <c r="AZ1" s="364"/>
      <c r="BA1" s="364"/>
      <c r="BB1" s="364"/>
      <c r="BC1" s="364"/>
      <c r="BD1" s="364"/>
      <c r="BE1" s="364"/>
      <c r="BF1" s="364"/>
      <c r="BG1" s="364"/>
      <c r="BH1" s="364"/>
      <c r="BI1" s="364"/>
      <c r="BJ1" s="364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4" t="s">
        <v>151</v>
      </c>
      <c r="B5" s="364"/>
    </row>
    <row r="6" spans="1:63" x14ac:dyDescent="0.15">
      <c r="C6" s="364" t="s">
        <v>35</v>
      </c>
      <c r="D6" s="364"/>
      <c r="E6" s="364"/>
      <c r="F6" s="364"/>
      <c r="G6" s="364"/>
      <c r="H6" s="364"/>
      <c r="I6" s="364"/>
      <c r="J6" s="364"/>
      <c r="K6" s="364"/>
      <c r="L6" s="364"/>
      <c r="M6" s="364"/>
      <c r="N6" s="364"/>
      <c r="O6" s="364" t="s">
        <v>36</v>
      </c>
      <c r="P6" s="364"/>
      <c r="Q6" s="364"/>
      <c r="R6" s="364"/>
      <c r="S6" s="364"/>
      <c r="T6" s="364"/>
      <c r="U6" s="364"/>
      <c r="V6" s="364"/>
      <c r="W6" s="364"/>
      <c r="X6" s="364"/>
      <c r="Y6" s="364"/>
      <c r="Z6" s="364"/>
      <c r="AA6" s="364" t="s">
        <v>37</v>
      </c>
      <c r="AB6" s="364"/>
      <c r="AC6" s="364"/>
      <c r="AD6" s="364"/>
      <c r="AE6" s="364"/>
      <c r="AF6" s="364"/>
      <c r="AG6" s="364"/>
      <c r="AH6" s="364"/>
      <c r="AI6" s="364"/>
      <c r="AJ6" s="364"/>
      <c r="AK6" s="364"/>
      <c r="AL6" s="364"/>
      <c r="AM6" s="364" t="s">
        <v>38</v>
      </c>
      <c r="AN6" s="364"/>
      <c r="AO6" s="364"/>
      <c r="AP6" s="364"/>
      <c r="AQ6" s="364"/>
      <c r="AR6" s="364"/>
      <c r="AS6" s="364"/>
      <c r="AT6" s="364"/>
      <c r="AU6" s="364"/>
      <c r="AV6" s="364"/>
      <c r="AW6" s="364"/>
      <c r="AX6" s="364"/>
      <c r="AY6" s="364" t="s">
        <v>39</v>
      </c>
      <c r="AZ6" s="364"/>
      <c r="BA6" s="364"/>
      <c r="BB6" s="364"/>
      <c r="BC6" s="364"/>
      <c r="BD6" s="364"/>
      <c r="BE6" s="364"/>
      <c r="BF6" s="364"/>
      <c r="BG6" s="364"/>
      <c r="BH6" s="364"/>
      <c r="BI6" s="364"/>
      <c r="BJ6" s="364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1060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1061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19444.75</v>
      </c>
      <c r="G10" s="9">
        <f>+STAFF_CWS!L562</f>
        <v>21452.5</v>
      </c>
      <c r="H10" s="9">
        <f>+STAFF_CWS!M562</f>
        <v>24093</v>
      </c>
      <c r="I10" s="9">
        <f>+STAFF_CWS!N562</f>
        <v>19444.75</v>
      </c>
      <c r="J10" s="9">
        <f>+STAFF_CWS!O562</f>
        <v>21452.5</v>
      </c>
      <c r="K10" s="9">
        <f>+STAFF_CWS!P562</f>
        <v>17437</v>
      </c>
      <c r="L10" s="9">
        <f>+STAFF_CWS!Q562</f>
        <v>17437</v>
      </c>
      <c r="M10" s="9">
        <f>+STAFF_CWS!R562</f>
        <v>17437</v>
      </c>
      <c r="N10" s="9">
        <f>+STAFF_CWS!S562</f>
        <v>10781</v>
      </c>
      <c r="O10" s="9">
        <f>+STAFF_CWS!T562</f>
        <v>1701.71875</v>
      </c>
      <c r="P10" s="9">
        <f>+STAFF_CWS!U562</f>
        <v>2765.46875</v>
      </c>
      <c r="Q10" s="9">
        <f>+STAFF_CWS!V562</f>
        <v>3084.6875</v>
      </c>
      <c r="R10" s="9">
        <f>+STAFF_CWS!W562</f>
        <v>3145</v>
      </c>
      <c r="S10" s="9">
        <f>+STAFF_CWS!X562</f>
        <v>3470.3125</v>
      </c>
      <c r="T10" s="9">
        <f>+STAFF_CWS!Y562</f>
        <v>3796.25</v>
      </c>
      <c r="U10" s="9">
        <f>+STAFF_CWS!Z562</f>
        <v>3145</v>
      </c>
      <c r="V10" s="9">
        <f>+STAFF_CWS!AA562</f>
        <v>3470.3125</v>
      </c>
      <c r="W10" s="9">
        <f>+STAFF_CWS!AB562</f>
        <v>2819.6875</v>
      </c>
      <c r="X10" s="9">
        <f>+STAFF_CWS!AC562</f>
        <v>2819.6875</v>
      </c>
      <c r="Y10" s="9">
        <f>+STAFF_CWS!AD562</f>
        <v>2819.6875</v>
      </c>
      <c r="Z10" s="9">
        <f>+STAFF_CWS!AE562</f>
        <v>1737.03125</v>
      </c>
      <c r="AA10" s="9">
        <f>+STAFF_CWS!AF562</f>
        <v>-3147.78125</v>
      </c>
      <c r="AB10" s="9">
        <f>+STAFF_CWS!AG562</f>
        <v>-5102.875</v>
      </c>
      <c r="AC10" s="9">
        <f>+STAFF_CWS!AH562</f>
        <v>-5755.8125</v>
      </c>
      <c r="AD10" s="9">
        <f>+STAFF_CWS!AI562</f>
        <v>-5689.875</v>
      </c>
      <c r="AE10" s="9">
        <f>+STAFF_CWS!AJ562</f>
        <v>-6226.59375</v>
      </c>
      <c r="AF10" s="9">
        <f>+STAFF_CWS!AK562</f>
        <v>-6872.78125</v>
      </c>
      <c r="AG10" s="9">
        <f>+STAFF_CWS!AL562</f>
        <v>-5689.875</v>
      </c>
      <c r="AH10" s="9">
        <f>+STAFF_CWS!AM562</f>
        <v>-6226.59375</v>
      </c>
      <c r="AI10" s="9">
        <f>+STAFF_CWS!AN562</f>
        <v>-5043.59375</v>
      </c>
      <c r="AJ10" s="9">
        <f>+STAFF_CWS!AO562</f>
        <v>-5043.59375</v>
      </c>
      <c r="AK10" s="9">
        <f>+STAFF_CWS!AP562</f>
        <v>-5043.59375</v>
      </c>
      <c r="AL10" s="9">
        <f>+STAFF_CWS!AQ562</f>
        <v>-3109.09375</v>
      </c>
      <c r="AM10" s="9">
        <f>+STAFF_CWS!AR562</f>
        <v>-1907.2</v>
      </c>
      <c r="AN10" s="9">
        <f>+STAFF_CWS!AS562</f>
        <v>-3076.125</v>
      </c>
      <c r="AO10" s="9">
        <f>+STAFF_CWS!AT562</f>
        <v>-3449.0125000000003</v>
      </c>
      <c r="AP10" s="9">
        <f>+STAFF_CWS!AU562</f>
        <v>-3373.0125000000003</v>
      </c>
      <c r="AQ10" s="9">
        <f>+STAFF_CWS!AV562</f>
        <v>-3739.0875000000001</v>
      </c>
      <c r="AR10" s="9">
        <f>+STAFF_CWS!AW562</f>
        <v>-4099.2250000000004</v>
      </c>
      <c r="AS10" s="9">
        <f>+STAFF_CWS!AX562</f>
        <v>-3373.0125000000003</v>
      </c>
      <c r="AT10" s="9">
        <f>+STAFF_CWS!AY562</f>
        <v>-3739.0875000000001</v>
      </c>
      <c r="AU10" s="9">
        <f>+STAFF_CWS!AZ562</f>
        <v>-3007.8125</v>
      </c>
      <c r="AV10" s="9">
        <f>+STAFF_CWS!BA562</f>
        <v>-3007.8125</v>
      </c>
      <c r="AW10" s="9">
        <f>+STAFF_CWS!BB562</f>
        <v>-3007.8125</v>
      </c>
      <c r="AX10" s="9">
        <f>+STAFF_CWS!BC562</f>
        <v>-1862.825</v>
      </c>
      <c r="AY10" s="9">
        <f>+STAFF_CWS!BD562</f>
        <v>-640.4224999999999</v>
      </c>
      <c r="AZ10" s="9">
        <f>+STAFF_CWS!BE562</f>
        <v>-1028.4474999999991</v>
      </c>
      <c r="BA10" s="9">
        <f>+STAFF_CWS!BF562</f>
        <v>-1145.9050000000004</v>
      </c>
      <c r="BB10" s="9">
        <f>+STAFF_CWS!BG562</f>
        <v>-1069.9050000000004</v>
      </c>
      <c r="BC10" s="9">
        <f>+STAFF_CWS!BH562</f>
        <v>-1205.5324999999998</v>
      </c>
      <c r="BD10" s="9">
        <f>+STAFF_CWS!BI562</f>
        <v>-1307.1774999999996</v>
      </c>
      <c r="BE10" s="9">
        <f>+STAFF_CWS!BJ562</f>
        <v>-1069.9050000000004</v>
      </c>
      <c r="BF10" s="9">
        <f>+STAFF_CWS!BK562</f>
        <v>-1205.5324999999998</v>
      </c>
      <c r="BG10" s="9">
        <f>+STAFF_CWS!BL562</f>
        <v>-960.1349999999992</v>
      </c>
      <c r="BH10" s="9">
        <f>+STAFF_CWS!BM562</f>
        <v>-960.1349999999992</v>
      </c>
      <c r="BI10" s="9">
        <f>+STAFF_CWS!BN562</f>
        <v>-960.1349999999992</v>
      </c>
      <c r="BJ10" s="9">
        <f>+STAFF_CWS!BO562</f>
        <v>-596.0474999999999</v>
      </c>
      <c r="BK10" s="37">
        <f>SUM(C10:BJ10)</f>
        <v>91010.976250000007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4419444.75</v>
      </c>
      <c r="G11" s="9">
        <f t="shared" si="0"/>
        <v>4421452.5</v>
      </c>
      <c r="H11" s="9">
        <f t="shared" si="0"/>
        <v>4424093</v>
      </c>
      <c r="I11" s="9">
        <f t="shared" si="0"/>
        <v>4419444.75</v>
      </c>
      <c r="J11" s="9">
        <f t="shared" si="0"/>
        <v>4421452.5</v>
      </c>
      <c r="K11" s="9">
        <f t="shared" si="0"/>
        <v>4417437</v>
      </c>
      <c r="L11" s="9">
        <f t="shared" si="0"/>
        <v>4417437</v>
      </c>
      <c r="M11" s="9">
        <f t="shared" si="0"/>
        <v>4417437</v>
      </c>
      <c r="N11" s="9">
        <f t="shared" si="0"/>
        <v>4410781</v>
      </c>
      <c r="O11" s="9">
        <f t="shared" si="0"/>
        <v>5601701.71875</v>
      </c>
      <c r="P11" s="9">
        <f t="shared" si="0"/>
        <v>5602765.46875</v>
      </c>
      <c r="Q11" s="9">
        <f t="shared" si="0"/>
        <v>5603084.6875</v>
      </c>
      <c r="R11" s="9">
        <f t="shared" si="0"/>
        <v>5603145</v>
      </c>
      <c r="S11" s="9">
        <f t="shared" si="0"/>
        <v>5603470.3125</v>
      </c>
      <c r="T11" s="9">
        <f t="shared" si="0"/>
        <v>5603796.25</v>
      </c>
      <c r="U11" s="9">
        <f t="shared" si="0"/>
        <v>5603145</v>
      </c>
      <c r="V11" s="9">
        <f t="shared" si="0"/>
        <v>5603470.3125</v>
      </c>
      <c r="W11" s="9">
        <f t="shared" si="0"/>
        <v>5602819.6875</v>
      </c>
      <c r="X11" s="9">
        <f t="shared" si="0"/>
        <v>5602819.6875</v>
      </c>
      <c r="Y11" s="9">
        <f t="shared" si="0"/>
        <v>5602819.6875</v>
      </c>
      <c r="Z11" s="9">
        <f t="shared" si="0"/>
        <v>5601737.03125</v>
      </c>
      <c r="AA11" s="9">
        <f t="shared" si="0"/>
        <v>6396852.21875</v>
      </c>
      <c r="AB11" s="9">
        <f t="shared" si="0"/>
        <v>6394897.125</v>
      </c>
      <c r="AC11" s="9">
        <f t="shared" si="0"/>
        <v>6394244.1875</v>
      </c>
      <c r="AD11" s="9">
        <f t="shared" si="0"/>
        <v>6394310.125</v>
      </c>
      <c r="AE11" s="9">
        <f t="shared" si="0"/>
        <v>6393773.40625</v>
      </c>
      <c r="AF11" s="9">
        <f t="shared" si="0"/>
        <v>6393127.21875</v>
      </c>
      <c r="AG11" s="9">
        <f t="shared" si="0"/>
        <v>6394310.125</v>
      </c>
      <c r="AH11" s="9">
        <f t="shared" si="0"/>
        <v>6393773.40625</v>
      </c>
      <c r="AI11" s="9">
        <f t="shared" si="0"/>
        <v>6394956.40625</v>
      </c>
      <c r="AJ11" s="9">
        <f t="shared" si="0"/>
        <v>6394956.40625</v>
      </c>
      <c r="AK11" s="9">
        <f t="shared" si="0"/>
        <v>6394956.40625</v>
      </c>
      <c r="AL11" s="9">
        <f t="shared" si="0"/>
        <v>6396890.90625</v>
      </c>
      <c r="AM11" s="9">
        <f t="shared" si="0"/>
        <v>7798092.7999999998</v>
      </c>
      <c r="AN11" s="9">
        <f t="shared" si="0"/>
        <v>7796923.875</v>
      </c>
      <c r="AO11" s="9">
        <f t="shared" si="0"/>
        <v>7796550.9874999998</v>
      </c>
      <c r="AP11" s="9">
        <f t="shared" si="0"/>
        <v>7796626.9874999998</v>
      </c>
      <c r="AQ11" s="9">
        <f t="shared" si="0"/>
        <v>7796260.9124999996</v>
      </c>
      <c r="AR11" s="9">
        <f t="shared" si="0"/>
        <v>7795900.7750000004</v>
      </c>
      <c r="AS11" s="9">
        <f t="shared" si="0"/>
        <v>7796626.9874999998</v>
      </c>
      <c r="AT11" s="9">
        <f t="shared" si="0"/>
        <v>7796260.9124999996</v>
      </c>
      <c r="AU11" s="9">
        <f t="shared" si="0"/>
        <v>7796992.1875</v>
      </c>
      <c r="AV11" s="9">
        <f t="shared" si="0"/>
        <v>7796992.1875</v>
      </c>
      <c r="AW11" s="9">
        <f t="shared" si="0"/>
        <v>7796992.1875</v>
      </c>
      <c r="AX11" s="9">
        <f t="shared" si="0"/>
        <v>7798137.1749999998</v>
      </c>
      <c r="AY11" s="9">
        <f t="shared" si="0"/>
        <v>10799359.577500001</v>
      </c>
      <c r="AZ11" s="9">
        <f t="shared" si="0"/>
        <v>10798971.5525</v>
      </c>
      <c r="BA11" s="9">
        <f t="shared" si="0"/>
        <v>10798854.095000001</v>
      </c>
      <c r="BB11" s="9">
        <f t="shared" si="0"/>
        <v>10798930.095000001</v>
      </c>
      <c r="BC11" s="9">
        <f t="shared" si="0"/>
        <v>10798794.467499999</v>
      </c>
      <c r="BD11" s="9">
        <f t="shared" si="0"/>
        <v>10798692.8225</v>
      </c>
      <c r="BE11" s="9">
        <f t="shared" si="0"/>
        <v>10798930.095000001</v>
      </c>
      <c r="BF11" s="9">
        <f t="shared" si="0"/>
        <v>10798794.467499999</v>
      </c>
      <c r="BG11" s="9">
        <f t="shared" si="0"/>
        <v>10799039.865</v>
      </c>
      <c r="BH11" s="9">
        <f t="shared" si="0"/>
        <v>10799039.865</v>
      </c>
      <c r="BI11" s="9">
        <f t="shared" si="0"/>
        <v>10799039.865</v>
      </c>
      <c r="BJ11" s="9">
        <f t="shared" si="0"/>
        <v>10799403.952500001</v>
      </c>
      <c r="BK11" s="37">
        <f>SUM(BK9:BK10)</f>
        <v>420091010.97624999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4" t="s">
        <v>154</v>
      </c>
      <c r="B13" s="364"/>
    </row>
    <row r="14" spans="1:63" x14ac:dyDescent="0.15">
      <c r="C14" s="364" t="s">
        <v>35</v>
      </c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4" t="s">
        <v>36</v>
      </c>
      <c r="P14" s="364"/>
      <c r="Q14" s="364"/>
      <c r="R14" s="364"/>
      <c r="S14" s="364"/>
      <c r="T14" s="364"/>
      <c r="U14" s="364"/>
      <c r="V14" s="364"/>
      <c r="W14" s="364"/>
      <c r="X14" s="364"/>
      <c r="Y14" s="364"/>
      <c r="Z14" s="364"/>
      <c r="AA14" s="364" t="s">
        <v>37</v>
      </c>
      <c r="AB14" s="364"/>
      <c r="AC14" s="364"/>
      <c r="AD14" s="364"/>
      <c r="AE14" s="364"/>
      <c r="AF14" s="364"/>
      <c r="AG14" s="364"/>
      <c r="AH14" s="364"/>
      <c r="AI14" s="364"/>
      <c r="AJ14" s="364"/>
      <c r="AK14" s="364"/>
      <c r="AL14" s="364"/>
      <c r="AM14" s="364" t="s">
        <v>38</v>
      </c>
      <c r="AN14" s="364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 t="s">
        <v>39</v>
      </c>
      <c r="AZ14" s="364"/>
      <c r="BA14" s="364"/>
      <c r="BB14" s="364"/>
      <c r="BC14" s="364"/>
      <c r="BD14" s="364"/>
      <c r="BE14" s="364"/>
      <c r="BF14" s="364"/>
      <c r="BG14" s="364"/>
      <c r="BH14" s="364"/>
      <c r="BI14" s="364"/>
      <c r="BJ14" s="364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9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2023-04-07T04:54:37Z</dcterms:modified>
</cp:coreProperties>
</file>