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22973173-B5C2-C745-8605-B4B13B657A33}" xr6:coauthVersionLast="47" xr6:coauthVersionMax="47" xr10:uidLastSave="{00000000-0000-0000-0000-000000000000}"/>
  <bookViews>
    <workbookView xWindow="0" yWindow="460" windowWidth="18000" windowHeight="12240" firstSheet="25" activeTab="29" xr2:uid="{E50F3A90-6C3A-7E44-BFF9-C5EB15E57DD5}"/>
    <workbookView xWindow="16800" yWindow="460" windowWidth="16800" windowHeight="10260" firstSheet="3" activeTab="6" xr2:uid="{29934939-0187-C44C-BB17-69C1A4EDF04A}"/>
    <workbookView xWindow="5080" yWindow="4060" windowWidth="19640" windowHeight="13440" firstSheet="35" activeTab="40" xr2:uid="{739CD0CF-5A5E-A343-9F92-C8F55810E87F}"/>
    <workbookView xWindow="16800" yWindow="10740" windowWidth="16800" windowHeight="10260" firstSheet="34" activeTab="35" xr2:uid="{22FE390B-6C18-6647-8CCF-D308D4A3C90F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AN1">'COGS-PRICE-MARGIN_CWS'!$E$5</definedName>
    <definedName name="CostoVentaDiarioDomicilioAN1">'COGS-PRICE-MARGIN_CWS'!$E$24</definedName>
    <definedName name="CostoVentaDiarioLocalAN1">'COGS-PRICE-MARGIN_CWS'!$E$15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" i="48" l="1"/>
  <c r="C7" i="48"/>
  <c r="C9" i="48"/>
  <c r="C52" i="48"/>
  <c r="C65" i="48"/>
  <c r="D6" i="48"/>
  <c r="D7" i="48"/>
  <c r="D9" i="48"/>
  <c r="D52" i="48"/>
  <c r="D65" i="48"/>
  <c r="E6" i="48"/>
  <c r="E7" i="48"/>
  <c r="E9" i="48"/>
  <c r="E52" i="48"/>
  <c r="E65" i="48"/>
  <c r="F6" i="48"/>
  <c r="F9" i="48"/>
  <c r="F52" i="48"/>
  <c r="F65" i="48"/>
  <c r="G6" i="48"/>
  <c r="G9" i="48"/>
  <c r="G52" i="48"/>
  <c r="G65" i="48"/>
  <c r="H6" i="48"/>
  <c r="H7" i="48"/>
  <c r="H9" i="48"/>
  <c r="H52" i="48"/>
  <c r="H65" i="48"/>
  <c r="I6" i="48"/>
  <c r="I7" i="48"/>
  <c r="I9" i="48"/>
  <c r="I52" i="48"/>
  <c r="I65" i="48"/>
  <c r="J6" i="48"/>
  <c r="J7" i="48"/>
  <c r="J9" i="48"/>
  <c r="J52" i="48"/>
  <c r="J65" i="48"/>
  <c r="K6" i="48"/>
  <c r="K7" i="48"/>
  <c r="K9" i="48"/>
  <c r="K52" i="48"/>
  <c r="K65" i="48"/>
  <c r="L6" i="48"/>
  <c r="L7" i="48"/>
  <c r="L9" i="48"/>
  <c r="L52" i="48"/>
  <c r="L65" i="48"/>
  <c r="M6" i="48"/>
  <c r="M7" i="48"/>
  <c r="M9" i="48"/>
  <c r="M52" i="48"/>
  <c r="M65" i="48"/>
  <c r="N6" i="48"/>
  <c r="N7" i="48"/>
  <c r="N9" i="48"/>
  <c r="N52" i="48"/>
  <c r="N65" i="48"/>
  <c r="O6" i="48"/>
  <c r="O7" i="48"/>
  <c r="O9" i="48"/>
  <c r="O52" i="48"/>
  <c r="O65" i="48"/>
  <c r="P6" i="48"/>
  <c r="P7" i="48"/>
  <c r="P9" i="48"/>
  <c r="P52" i="48"/>
  <c r="P65" i="48"/>
  <c r="Q6" i="48"/>
  <c r="Q7" i="48"/>
  <c r="Q9" i="48"/>
  <c r="Q52" i="48"/>
  <c r="Q65" i="48"/>
  <c r="F41" i="47"/>
  <c r="F42" i="47"/>
  <c r="R6" i="48"/>
  <c r="R7" i="48"/>
  <c r="R9" i="48"/>
  <c r="R52" i="48"/>
  <c r="R65" i="48"/>
  <c r="S6" i="48"/>
  <c r="S7" i="48"/>
  <c r="S9" i="48"/>
  <c r="S52" i="48"/>
  <c r="S65" i="48"/>
  <c r="T6" i="48"/>
  <c r="T7" i="48"/>
  <c r="T9" i="48"/>
  <c r="T52" i="48"/>
  <c r="T65" i="48"/>
  <c r="U6" i="48"/>
  <c r="U7" i="48"/>
  <c r="U9" i="48"/>
  <c r="U52" i="48"/>
  <c r="U65" i="48"/>
  <c r="V6" i="48"/>
  <c r="V7" i="48"/>
  <c r="V9" i="48"/>
  <c r="V52" i="48"/>
  <c r="V65" i="48"/>
  <c r="W6" i="48"/>
  <c r="W7" i="48"/>
  <c r="W9" i="48"/>
  <c r="W52" i="48"/>
  <c r="W65" i="48"/>
  <c r="X6" i="48"/>
  <c r="X7" i="48"/>
  <c r="X9" i="48"/>
  <c r="X52" i="48"/>
  <c r="X65" i="48"/>
  <c r="Y6" i="48"/>
  <c r="Y7" i="48"/>
  <c r="Y9" i="48"/>
  <c r="Y52" i="48"/>
  <c r="Y65" i="48"/>
  <c r="Z6" i="48"/>
  <c r="Z7" i="48"/>
  <c r="Z9" i="48"/>
  <c r="Z52" i="48"/>
  <c r="Z65" i="48"/>
  <c r="AA6" i="48"/>
  <c r="AA7" i="48"/>
  <c r="AA9" i="48"/>
  <c r="AA52" i="48"/>
  <c r="AA65" i="48"/>
  <c r="AB6" i="48"/>
  <c r="AB7" i="48"/>
  <c r="AB9" i="48"/>
  <c r="AB52" i="48"/>
  <c r="AB65" i="48"/>
  <c r="AC6" i="48"/>
  <c r="AC7" i="48"/>
  <c r="AC9" i="48"/>
  <c r="AC52" i="48"/>
  <c r="AC65" i="48"/>
  <c r="F45" i="47"/>
  <c r="F46" i="47"/>
  <c r="AD6" i="48"/>
  <c r="AD7" i="48"/>
  <c r="AD9" i="48"/>
  <c r="AD52" i="48"/>
  <c r="AD65" i="48"/>
  <c r="AE6" i="48"/>
  <c r="AE7" i="48"/>
  <c r="AE9" i="48"/>
  <c r="AE52" i="48"/>
  <c r="AE65" i="48"/>
  <c r="AF6" i="48"/>
  <c r="AF7" i="48"/>
  <c r="AF9" i="48"/>
  <c r="AF52" i="48"/>
  <c r="AF65" i="48"/>
  <c r="AG6" i="48"/>
  <c r="AG7" i="48"/>
  <c r="AG9" i="48"/>
  <c r="AG52" i="48"/>
  <c r="AG65" i="48"/>
  <c r="AH6" i="48"/>
  <c r="AH7" i="48"/>
  <c r="AH9" i="48"/>
  <c r="AH52" i="48"/>
  <c r="AH65" i="48"/>
  <c r="AI6" i="48"/>
  <c r="AI7" i="48"/>
  <c r="AI9" i="48"/>
  <c r="AI52" i="48"/>
  <c r="AI65" i="48"/>
  <c r="AJ6" i="48"/>
  <c r="AJ7" i="48"/>
  <c r="AJ9" i="48"/>
  <c r="AJ52" i="48"/>
  <c r="AJ65" i="48"/>
  <c r="AK6" i="48"/>
  <c r="AK7" i="48"/>
  <c r="AK9" i="48"/>
  <c r="AK52" i="48"/>
  <c r="AK65" i="48"/>
  <c r="AL6" i="48"/>
  <c r="AL7" i="48"/>
  <c r="AL9" i="48"/>
  <c r="AL52" i="48"/>
  <c r="AL65" i="48"/>
  <c r="F49" i="47"/>
  <c r="F50" i="47"/>
  <c r="AM6" i="48" a="1"/>
  <c r="AM6" i="48"/>
  <c r="AM7" i="48"/>
  <c r="AM9" i="48"/>
  <c r="AM52" i="48"/>
  <c r="AM65" i="48"/>
  <c r="AN7" i="48"/>
  <c r="AN9" i="48"/>
  <c r="AN52" i="48"/>
  <c r="AN65" i="48"/>
  <c r="AO7" i="48"/>
  <c r="AO9" i="48"/>
  <c r="AO52" i="48"/>
  <c r="AO65" i="48"/>
  <c r="AP7" i="48"/>
  <c r="AP9" i="48"/>
  <c r="AP52" i="48"/>
  <c r="AP65" i="48"/>
  <c r="AQ7" i="48"/>
  <c r="AQ9" i="48"/>
  <c r="AQ52" i="48"/>
  <c r="AQ65" i="48"/>
  <c r="AR7" i="48"/>
  <c r="AR9" i="48"/>
  <c r="AR52" i="48"/>
  <c r="AR65" i="48"/>
  <c r="AS7" i="48"/>
  <c r="AS9" i="48"/>
  <c r="AS52" i="48"/>
  <c r="AS65" i="48"/>
  <c r="AT7" i="48"/>
  <c r="AT9" i="48"/>
  <c r="AT52" i="48"/>
  <c r="AT65" i="48"/>
  <c r="AU7" i="48"/>
  <c r="AU9" i="48"/>
  <c r="AU52" i="48"/>
  <c r="AU65" i="48"/>
  <c r="AV7" i="48"/>
  <c r="AV9" i="48"/>
  <c r="AV52" i="48"/>
  <c r="AV65" i="48"/>
  <c r="AW7" i="48"/>
  <c r="AW9" i="48"/>
  <c r="AW52" i="48"/>
  <c r="AW65" i="48"/>
  <c r="AX7" i="48"/>
  <c r="AX9" i="48"/>
  <c r="AX52" i="48"/>
  <c r="AX65" i="48"/>
  <c r="F53" i="47"/>
  <c r="F54" i="47"/>
  <c r="AY6" i="48" a="1"/>
  <c r="AY6" i="48"/>
  <c r="AY7" i="48"/>
  <c r="AY9" i="48"/>
  <c r="AY52" i="48"/>
  <c r="AY65" i="48"/>
  <c r="AZ7" i="48"/>
  <c r="AZ9" i="48"/>
  <c r="AZ52" i="48"/>
  <c r="AZ65" i="48"/>
  <c r="BA7" i="48"/>
  <c r="BA9" i="48"/>
  <c r="BA52" i="48"/>
  <c r="BA65" i="48"/>
  <c r="BB7" i="48"/>
  <c r="BB9" i="48"/>
  <c r="BB52" i="48"/>
  <c r="BB65" i="48"/>
  <c r="BC7" i="48"/>
  <c r="BC9" i="48"/>
  <c r="BC52" i="48"/>
  <c r="BC65" i="48"/>
  <c r="BD7" i="48"/>
  <c r="BD9" i="48"/>
  <c r="BD52" i="48"/>
  <c r="BD65" i="48"/>
  <c r="BE7" i="48"/>
  <c r="BE9" i="48"/>
  <c r="BE52" i="48"/>
  <c r="BE65" i="48"/>
  <c r="BF7" i="48"/>
  <c r="BF9" i="48"/>
  <c r="BF52" i="48"/>
  <c r="BF65" i="48"/>
  <c r="BG7" i="48"/>
  <c r="BG9" i="48"/>
  <c r="BG52" i="48"/>
  <c r="BG65" i="48"/>
  <c r="BH7" i="48"/>
  <c r="BH9" i="48"/>
  <c r="BH52" i="48"/>
  <c r="BH65" i="48"/>
  <c r="BI7" i="48"/>
  <c r="BI9" i="48"/>
  <c r="BI52" i="48"/>
  <c r="BI65" i="48"/>
  <c r="BJ7" i="48"/>
  <c r="BJ9" i="48"/>
  <c r="BJ52" i="48"/>
  <c r="BJ65" i="48"/>
  <c r="BK65" i="48"/>
  <c r="C64" i="48"/>
  <c r="D64" i="48"/>
  <c r="E64" i="48"/>
  <c r="F64" i="48"/>
  <c r="G64" i="48"/>
  <c r="H64" i="48"/>
  <c r="I64" i="48"/>
  <c r="J64" i="48"/>
  <c r="K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C62" i="48"/>
  <c r="A76" i="48"/>
  <c r="A84" i="48"/>
  <c r="A75" i="48"/>
  <c r="A78" i="48"/>
  <c r="A37" i="48"/>
  <c r="A45" i="48"/>
  <c r="A36" i="48"/>
  <c r="A39" i="48"/>
  <c r="F8" i="48"/>
  <c r="F13" i="48"/>
  <c r="F26" i="48"/>
  <c r="F25" i="48"/>
  <c r="F21" i="48"/>
  <c r="BJ13" i="48"/>
  <c r="BJ26" i="48"/>
  <c r="BI13" i="48"/>
  <c r="BI26" i="48"/>
  <c r="BH13" i="48"/>
  <c r="BH26" i="48"/>
  <c r="BG13" i="48"/>
  <c r="BG26" i="48"/>
  <c r="BF13" i="48"/>
  <c r="BF26" i="48"/>
  <c r="BE13" i="48"/>
  <c r="BE26" i="48"/>
  <c r="BD13" i="48"/>
  <c r="BD26" i="48"/>
  <c r="BC13" i="48"/>
  <c r="BC26" i="48"/>
  <c r="BB13" i="48"/>
  <c r="BB26" i="48"/>
  <c r="BA13" i="48"/>
  <c r="BA26" i="48"/>
  <c r="AZ13" i="48"/>
  <c r="AZ26" i="48"/>
  <c r="AY13" i="48"/>
  <c r="AY26" i="48"/>
  <c r="AX13" i="48"/>
  <c r="AX26" i="48"/>
  <c r="AW13" i="48"/>
  <c r="AW26" i="48"/>
  <c r="AV13" i="48"/>
  <c r="AV26" i="48"/>
  <c r="AU13" i="48"/>
  <c r="AU26" i="48"/>
  <c r="AT13" i="48"/>
  <c r="AT26" i="48"/>
  <c r="AS13" i="48"/>
  <c r="AS26" i="48"/>
  <c r="AR13" i="48"/>
  <c r="AR26" i="48"/>
  <c r="AQ13" i="48"/>
  <c r="AQ26" i="48"/>
  <c r="AP13" i="48"/>
  <c r="AP26" i="48"/>
  <c r="AO13" i="48"/>
  <c r="AO26" i="48"/>
  <c r="AN13" i="48"/>
  <c r="AN26" i="48"/>
  <c r="AM13" i="48"/>
  <c r="AM26" i="48"/>
  <c r="AL8" i="48"/>
  <c r="AL13" i="48"/>
  <c r="AL26" i="48"/>
  <c r="AK8" i="48"/>
  <c r="AK13" i="48"/>
  <c r="AK26" i="48"/>
  <c r="AJ8" i="48"/>
  <c r="AJ13" i="48"/>
  <c r="AJ26" i="48"/>
  <c r="AI8" i="48"/>
  <c r="AI13" i="48"/>
  <c r="AI26" i="48"/>
  <c r="AH8" i="48"/>
  <c r="AH13" i="48"/>
  <c r="AH26" i="48"/>
  <c r="AG8" i="48"/>
  <c r="AG13" i="48"/>
  <c r="AG26" i="48"/>
  <c r="AF8" i="48"/>
  <c r="AF13" i="48"/>
  <c r="AF26" i="48"/>
  <c r="AE8" i="48"/>
  <c r="AE13" i="48"/>
  <c r="AE26" i="48"/>
  <c r="AD8" i="48"/>
  <c r="AD13" i="48"/>
  <c r="AD26" i="48"/>
  <c r="AC8" i="48"/>
  <c r="AC13" i="48"/>
  <c r="AC26" i="48"/>
  <c r="AB8" i="48"/>
  <c r="AB13" i="48"/>
  <c r="AB26" i="48"/>
  <c r="AA8" i="48"/>
  <c r="AA13" i="48"/>
  <c r="AA26" i="48"/>
  <c r="Z8" i="48"/>
  <c r="Z13" i="48"/>
  <c r="Z26" i="48"/>
  <c r="Y8" i="48"/>
  <c r="Y13" i="48"/>
  <c r="Y26" i="48"/>
  <c r="X8" i="48"/>
  <c r="X13" i="48"/>
  <c r="X26" i="48"/>
  <c r="W8" i="48"/>
  <c r="W13" i="48"/>
  <c r="W26" i="48"/>
  <c r="V8" i="48"/>
  <c r="V13" i="48"/>
  <c r="V26" i="48"/>
  <c r="U8" i="48"/>
  <c r="U13" i="48"/>
  <c r="U26" i="48"/>
  <c r="T8" i="48"/>
  <c r="T13" i="48"/>
  <c r="T26" i="48"/>
  <c r="S8" i="48"/>
  <c r="S13" i="48"/>
  <c r="S26" i="48"/>
  <c r="R8" i="48"/>
  <c r="R13" i="48"/>
  <c r="R26" i="48"/>
  <c r="Q8" i="48"/>
  <c r="Q13" i="48"/>
  <c r="Q26" i="48"/>
  <c r="P8" i="48"/>
  <c r="P13" i="48"/>
  <c r="P26" i="48"/>
  <c r="O8" i="48"/>
  <c r="O13" i="48"/>
  <c r="O26" i="48"/>
  <c r="N8" i="48"/>
  <c r="N13" i="48"/>
  <c r="N26" i="48"/>
  <c r="M8" i="48"/>
  <c r="M13" i="48"/>
  <c r="M26" i="48"/>
  <c r="L8" i="48"/>
  <c r="L13" i="48"/>
  <c r="L26" i="48"/>
  <c r="K8" i="48"/>
  <c r="K13" i="48"/>
  <c r="K26" i="48"/>
  <c r="J8" i="48"/>
  <c r="J13" i="48"/>
  <c r="J26" i="48"/>
  <c r="I8" i="48"/>
  <c r="I13" i="48"/>
  <c r="I26" i="48"/>
  <c r="H8" i="48"/>
  <c r="H13" i="48"/>
  <c r="H26" i="48"/>
  <c r="G8" i="48"/>
  <c r="G13" i="48"/>
  <c r="G26" i="48"/>
  <c r="E8" i="48"/>
  <c r="E13" i="48"/>
  <c r="E26" i="48"/>
  <c r="D8" i="48"/>
  <c r="D13" i="48"/>
  <c r="D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E25" i="48"/>
  <c r="D25" i="48"/>
  <c r="C8" i="48"/>
  <c r="C13" i="48"/>
  <c r="C26" i="48"/>
  <c r="C2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BK26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BK25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BB14" i="48"/>
  <c r="BC14" i="48"/>
  <c r="BD14" i="48"/>
  <c r="BE14" i="48"/>
  <c r="BF14" i="48"/>
  <c r="BG14" i="48"/>
  <c r="BH14" i="48"/>
  <c r="BI14" i="48"/>
  <c r="BJ14" i="48"/>
  <c r="BK14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C21" i="48"/>
  <c r="D21" i="48"/>
  <c r="E21" i="48"/>
  <c r="BK21" i="48"/>
  <c r="F22" i="48"/>
  <c r="F23" i="48"/>
  <c r="F24" i="48"/>
  <c r="F28" i="48"/>
  <c r="G22" i="48"/>
  <c r="G23" i="48"/>
  <c r="G24" i="48"/>
  <c r="G28" i="48"/>
  <c r="H22" i="48"/>
  <c r="H23" i="48"/>
  <c r="H24" i="48"/>
  <c r="H28" i="48"/>
  <c r="I22" i="48"/>
  <c r="I23" i="48"/>
  <c r="I24" i="48"/>
  <c r="I28" i="48"/>
  <c r="J22" i="48"/>
  <c r="J23" i="48"/>
  <c r="J24" i="48"/>
  <c r="J28" i="48"/>
  <c r="K22" i="48"/>
  <c r="K23" i="48"/>
  <c r="K24" i="48"/>
  <c r="K28" i="48"/>
  <c r="L22" i="48"/>
  <c r="L23" i="48"/>
  <c r="L24" i="48"/>
  <c r="L28" i="48"/>
  <c r="M22" i="48"/>
  <c r="M23" i="48"/>
  <c r="M24" i="48"/>
  <c r="M28" i="48"/>
  <c r="N22" i="48"/>
  <c r="N23" i="48"/>
  <c r="N24" i="48"/>
  <c r="N28" i="48"/>
  <c r="O22" i="48"/>
  <c r="O23" i="48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AA22" i="48"/>
  <c r="AA23" i="48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AM22" i="48"/>
  <c r="AM23" i="48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AY22" i="48"/>
  <c r="AY23" i="48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C22" i="48"/>
  <c r="C23" i="48"/>
  <c r="C24" i="48"/>
  <c r="C28" i="48"/>
  <c r="D22" i="48"/>
  <c r="D23" i="48"/>
  <c r="D24" i="48"/>
  <c r="D28" i="48"/>
  <c r="E22" i="48"/>
  <c r="E23" i="48"/>
  <c r="E24" i="48"/>
  <c r="E28" i="48"/>
  <c r="BK28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V17" i="48"/>
  <c r="W17" i="48"/>
  <c r="X17" i="48"/>
  <c r="Y17" i="48"/>
  <c r="Z17" i="48"/>
  <c r="AA15" i="48"/>
  <c r="AA17" i="48"/>
  <c r="AB15" i="48"/>
  <c r="AB17" i="48"/>
  <c r="AC15" i="48"/>
  <c r="AC17" i="48"/>
  <c r="AD15" i="48"/>
  <c r="AD17" i="48"/>
  <c r="AE15" i="48"/>
  <c r="AE17" i="48"/>
  <c r="AF15" i="48"/>
  <c r="AF17" i="48"/>
  <c r="AG15" i="48"/>
  <c r="AG17" i="48"/>
  <c r="AH15" i="48"/>
  <c r="AH17" i="48"/>
  <c r="AI15" i="48"/>
  <c r="AI17" i="48"/>
  <c r="AJ15" i="48"/>
  <c r="AJ17" i="48"/>
  <c r="AK15" i="48"/>
  <c r="AK17" i="48"/>
  <c r="AL15" i="48"/>
  <c r="AL17" i="48"/>
  <c r="AM15" i="48"/>
  <c r="AM17" i="48"/>
  <c r="AN15" i="48"/>
  <c r="AN17" i="48"/>
  <c r="AO15" i="48"/>
  <c r="AO17" i="48"/>
  <c r="AP15" i="48"/>
  <c r="AP17" i="48"/>
  <c r="AQ15" i="48"/>
  <c r="AQ17" i="48"/>
  <c r="AR15" i="48"/>
  <c r="AR17" i="48"/>
  <c r="AS15" i="48"/>
  <c r="AS17" i="48"/>
  <c r="AT15" i="48"/>
  <c r="AT17" i="48"/>
  <c r="AU15" i="48"/>
  <c r="AU17" i="48"/>
  <c r="AV15" i="48"/>
  <c r="AV17" i="48"/>
  <c r="AW15" i="48"/>
  <c r="AW17" i="48"/>
  <c r="AX15" i="48"/>
  <c r="AX17" i="48"/>
  <c r="AY15" i="48"/>
  <c r="AY17" i="48"/>
  <c r="AZ15" i="48"/>
  <c r="AZ17" i="48"/>
  <c r="BA15" i="48"/>
  <c r="BA17" i="48"/>
  <c r="BB15" i="48"/>
  <c r="BB17" i="48"/>
  <c r="BC15" i="48"/>
  <c r="BC17" i="48"/>
  <c r="BD15" i="48"/>
  <c r="BD17" i="48"/>
  <c r="BE15" i="48"/>
  <c r="BE17" i="48"/>
  <c r="BF15" i="48"/>
  <c r="BF17" i="48"/>
  <c r="BG15" i="48"/>
  <c r="BG17" i="48"/>
  <c r="BH15" i="48"/>
  <c r="BH17" i="48"/>
  <c r="BI15" i="48"/>
  <c r="BI17" i="48"/>
  <c r="BJ15" i="48"/>
  <c r="BJ17" i="48"/>
  <c r="C17" i="48"/>
  <c r="D17" i="48"/>
  <c r="E17" i="48"/>
  <c r="BK17" i="48"/>
  <c r="B10" i="47"/>
  <c r="C19" i="47"/>
  <c r="C36" i="47"/>
  <c r="C38" i="47"/>
  <c r="C35" i="48"/>
  <c r="C37" i="48"/>
  <c r="D78" i="49"/>
  <c r="R78" i="49"/>
  <c r="O35" i="48"/>
  <c r="O37" i="48"/>
  <c r="D90" i="49"/>
  <c r="R90" i="49"/>
  <c r="R139" i="49"/>
  <c r="R141" i="49"/>
  <c r="O47" i="48"/>
  <c r="O86" i="48"/>
  <c r="Q126" i="59"/>
  <c r="O46" i="48"/>
  <c r="O74" i="48"/>
  <c r="O76" i="48"/>
  <c r="O85" i="48"/>
  <c r="Q125" i="59"/>
  <c r="Q127" i="59"/>
  <c r="C36" i="48"/>
  <c r="D5" i="49"/>
  <c r="R5" i="49"/>
  <c r="O36" i="48"/>
  <c r="D17" i="49"/>
  <c r="R17" i="49"/>
  <c r="R66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O53" i="48"/>
  <c r="O54" i="48"/>
  <c r="O56" i="48"/>
  <c r="O60" i="48"/>
  <c r="E80" i="46"/>
  <c r="O61" i="48"/>
  <c r="O62" i="48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531" i="6"/>
  <c r="T549" i="6"/>
  <c r="Q166" i="59"/>
  <c r="Q167" i="59"/>
  <c r="Q150" i="59"/>
  <c r="Q152" i="59"/>
  <c r="Q153" i="59"/>
  <c r="Q154" i="59"/>
  <c r="Q169" i="59"/>
  <c r="Q206" i="59"/>
  <c r="Q208" i="59"/>
  <c r="P35" i="64"/>
  <c r="O94" i="48"/>
  <c r="P14" i="67"/>
  <c r="P17" i="67"/>
  <c r="P18" i="67"/>
  <c r="P20" i="67"/>
  <c r="P39" i="64"/>
  <c r="D38" i="50"/>
  <c r="D34" i="50"/>
  <c r="D35" i="50"/>
  <c r="D66" i="50"/>
  <c r="D67" i="50"/>
  <c r="D69" i="50"/>
  <c r="E65" i="50"/>
  <c r="D36" i="47"/>
  <c r="D38" i="47"/>
  <c r="E38" i="50"/>
  <c r="E34" i="50"/>
  <c r="E35" i="50"/>
  <c r="E66" i="50"/>
  <c r="E67" i="50"/>
  <c r="E69" i="50"/>
  <c r="F65" i="50"/>
  <c r="E36" i="47"/>
  <c r="E38" i="47"/>
  <c r="F38" i="50"/>
  <c r="F34" i="50"/>
  <c r="F35" i="50"/>
  <c r="F66" i="50"/>
  <c r="F67" i="50"/>
  <c r="F68" i="50"/>
  <c r="F69" i="50"/>
  <c r="G65" i="50"/>
  <c r="F38" i="47"/>
  <c r="G38" i="50"/>
  <c r="G34" i="50"/>
  <c r="G35" i="50"/>
  <c r="G66" i="50"/>
  <c r="G67" i="50"/>
  <c r="G68" i="50"/>
  <c r="G69" i="50"/>
  <c r="H65" i="50"/>
  <c r="G38" i="47"/>
  <c r="H38" i="50"/>
  <c r="H34" i="50"/>
  <c r="H35" i="50"/>
  <c r="H66" i="50"/>
  <c r="H67" i="50"/>
  <c r="H68" i="50"/>
  <c r="H69" i="50"/>
  <c r="I65" i="50"/>
  <c r="H38" i="47"/>
  <c r="I38" i="50"/>
  <c r="I34" i="50"/>
  <c r="I35" i="50"/>
  <c r="I66" i="50"/>
  <c r="I67" i="50"/>
  <c r="I68" i="50"/>
  <c r="I69" i="50"/>
  <c r="J65" i="50"/>
  <c r="I38" i="47"/>
  <c r="J38" i="50"/>
  <c r="J34" i="50"/>
  <c r="J35" i="50"/>
  <c r="J66" i="50"/>
  <c r="J67" i="50"/>
  <c r="J68" i="50"/>
  <c r="J69" i="50"/>
  <c r="K65" i="50"/>
  <c r="J38" i="47"/>
  <c r="K38" i="50"/>
  <c r="K34" i="50"/>
  <c r="K35" i="50"/>
  <c r="K66" i="50"/>
  <c r="K67" i="50"/>
  <c r="K68" i="50"/>
  <c r="K69" i="50"/>
  <c r="L65" i="50"/>
  <c r="K38" i="47"/>
  <c r="L38" i="50"/>
  <c r="L34" i="50"/>
  <c r="L35" i="50"/>
  <c r="L66" i="50"/>
  <c r="L67" i="50"/>
  <c r="L68" i="50"/>
  <c r="L69" i="50"/>
  <c r="M65" i="50"/>
  <c r="L38" i="47"/>
  <c r="M38" i="50"/>
  <c r="M34" i="50"/>
  <c r="M35" i="50"/>
  <c r="M66" i="50"/>
  <c r="M67" i="50"/>
  <c r="M68" i="50"/>
  <c r="M69" i="50"/>
  <c r="N65" i="50"/>
  <c r="M38" i="47"/>
  <c r="N38" i="50"/>
  <c r="N34" i="50"/>
  <c r="N35" i="50"/>
  <c r="N66" i="50"/>
  <c r="N67" i="50"/>
  <c r="N68" i="50"/>
  <c r="N69" i="50"/>
  <c r="O65" i="50"/>
  <c r="N38" i="47"/>
  <c r="O38" i="50"/>
  <c r="O34" i="50"/>
  <c r="O35" i="50"/>
  <c r="O66" i="50"/>
  <c r="O67" i="50"/>
  <c r="O68" i="50"/>
  <c r="O69" i="50"/>
  <c r="P65" i="50"/>
  <c r="P38" i="50"/>
  <c r="P34" i="50"/>
  <c r="P35" i="50"/>
  <c r="P66" i="50"/>
  <c r="P67" i="50"/>
  <c r="P68" i="50"/>
  <c r="P69" i="50"/>
  <c r="P70" i="50"/>
  <c r="P41" i="64"/>
  <c r="P39" i="50"/>
  <c r="P43" i="50"/>
  <c r="P40" i="64"/>
  <c r="P43" i="64"/>
  <c r="P45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C85" i="48"/>
  <c r="E125" i="59"/>
  <c r="F78" i="49"/>
  <c r="F139" i="49"/>
  <c r="F141" i="49"/>
  <c r="C47" i="48"/>
  <c r="C86" i="48"/>
  <c r="E126" i="59"/>
  <c r="E127" i="59"/>
  <c r="C40" i="48"/>
  <c r="C41" i="48"/>
  <c r="C42" i="48"/>
  <c r="C75" i="48"/>
  <c r="C79" i="48"/>
  <c r="C80" i="48"/>
  <c r="C81" i="48"/>
  <c r="E120" i="59"/>
  <c r="F5" i="49"/>
  <c r="F66" i="49"/>
  <c r="F68" i="49"/>
  <c r="C43" i="48"/>
  <c r="C82" i="48"/>
  <c r="E121" i="59"/>
  <c r="E122" i="59"/>
  <c r="C30" i="48"/>
  <c r="C53" i="48"/>
  <c r="C54" i="48"/>
  <c r="C56" i="48"/>
  <c r="C60" i="48"/>
  <c r="C61" i="48"/>
  <c r="C63" i="48"/>
  <c r="C67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43" i="64"/>
  <c r="D45" i="64"/>
  <c r="D67" i="64"/>
  <c r="D125" i="59"/>
  <c r="D126" i="59"/>
  <c r="D127" i="59"/>
  <c r="D120" i="59"/>
  <c r="D121" i="59"/>
  <c r="D122" i="59"/>
  <c r="D116" i="59"/>
  <c r="D129" i="59"/>
  <c r="D208" i="59"/>
  <c r="C35" i="64"/>
  <c r="C19" i="67"/>
  <c r="C20" i="67"/>
  <c r="C39" i="64"/>
  <c r="C43" i="64"/>
  <c r="C45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8" i="49"/>
  <c r="D43" i="48"/>
  <c r="D82" i="48"/>
  <c r="F121" i="59"/>
  <c r="F122" i="59"/>
  <c r="D30" i="48"/>
  <c r="D53" i="48"/>
  <c r="D54" i="48"/>
  <c r="D56" i="48"/>
  <c r="D60" i="48"/>
  <c r="D61" i="48"/>
  <c r="D62" i="48"/>
  <c r="D63" i="48"/>
  <c r="D67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43" i="64"/>
  <c r="E45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8" i="49"/>
  <c r="E43" i="48"/>
  <c r="E82" i="48"/>
  <c r="G121" i="59"/>
  <c r="G122" i="59"/>
  <c r="E30" i="48"/>
  <c r="E53" i="48"/>
  <c r="E54" i="48"/>
  <c r="E56" i="48"/>
  <c r="E60" i="48"/>
  <c r="E61" i="48"/>
  <c r="E62" i="48"/>
  <c r="E63" i="48"/>
  <c r="E67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43" i="64"/>
  <c r="F45" i="64"/>
  <c r="F67" i="64"/>
  <c r="F70" i="64"/>
  <c r="G69" i="64"/>
  <c r="F35" i="48"/>
  <c r="F37" i="48"/>
  <c r="F46" i="48"/>
  <c r="F74" i="48"/>
  <c r="F76" i="48"/>
  <c r="F85" i="48"/>
  <c r="H125" i="59"/>
  <c r="D81" i="49"/>
  <c r="I81" i="49"/>
  <c r="I139" i="49"/>
  <c r="I141" i="49"/>
  <c r="F47" i="48"/>
  <c r="F86" i="48"/>
  <c r="H126" i="59"/>
  <c r="H127" i="59"/>
  <c r="F36" i="48"/>
  <c r="F40" i="48"/>
  <c r="F41" i="48"/>
  <c r="F42" i="48"/>
  <c r="F75" i="48"/>
  <c r="F79" i="48"/>
  <c r="F80" i="48"/>
  <c r="F81" i="48"/>
  <c r="H120" i="59"/>
  <c r="D8" i="49"/>
  <c r="I8" i="49"/>
  <c r="I66" i="49"/>
  <c r="I68" i="49"/>
  <c r="F43" i="48"/>
  <c r="F82" i="48"/>
  <c r="H121" i="59"/>
  <c r="H122" i="59"/>
  <c r="F30" i="48"/>
  <c r="F53" i="48"/>
  <c r="F54" i="48"/>
  <c r="F56" i="48"/>
  <c r="F60" i="48"/>
  <c r="F61" i="48"/>
  <c r="F62" i="48"/>
  <c r="F63" i="48"/>
  <c r="F67" i="48"/>
  <c r="F69" i="48"/>
  <c r="H116" i="59"/>
  <c r="H129" i="59"/>
  <c r="F95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43" i="64"/>
  <c r="G45" i="64"/>
  <c r="G67" i="64"/>
  <c r="G70" i="64"/>
  <c r="H69" i="64"/>
  <c r="G35" i="48"/>
  <c r="G37" i="48"/>
  <c r="G46" i="48"/>
  <c r="G74" i="48"/>
  <c r="G76" i="48"/>
  <c r="G85" i="48"/>
  <c r="I125" i="59"/>
  <c r="D82" i="49"/>
  <c r="J82" i="49"/>
  <c r="J139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8" i="49"/>
  <c r="G43" i="48"/>
  <c r="G82" i="48"/>
  <c r="I121" i="59"/>
  <c r="I122" i="59"/>
  <c r="G30" i="48"/>
  <c r="G53" i="48"/>
  <c r="G54" i="48"/>
  <c r="G56" i="48"/>
  <c r="G60" i="48"/>
  <c r="G61" i="48"/>
  <c r="G62" i="48"/>
  <c r="G63" i="48"/>
  <c r="G67" i="48"/>
  <c r="G69" i="48"/>
  <c r="I116" i="59"/>
  <c r="I129" i="59"/>
  <c r="G95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43" i="64"/>
  <c r="H45" i="64"/>
  <c r="H67" i="64"/>
  <c r="H70" i="64"/>
  <c r="I69" i="64"/>
  <c r="H35" i="48"/>
  <c r="H37" i="48"/>
  <c r="H46" i="48"/>
  <c r="H74" i="48"/>
  <c r="H76" i="48"/>
  <c r="H85" i="48"/>
  <c r="J125" i="59"/>
  <c r="D83" i="49"/>
  <c r="K83" i="49"/>
  <c r="K139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8" i="49"/>
  <c r="H43" i="48"/>
  <c r="H82" i="48"/>
  <c r="J121" i="59"/>
  <c r="J122" i="59"/>
  <c r="H30" i="48"/>
  <c r="H53" i="48"/>
  <c r="H54" i="48"/>
  <c r="H56" i="48"/>
  <c r="H60" i="48"/>
  <c r="H61" i="48"/>
  <c r="H62" i="48"/>
  <c r="H63" i="48"/>
  <c r="H67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43" i="64"/>
  <c r="I45" i="64"/>
  <c r="I67" i="64"/>
  <c r="I70" i="64"/>
  <c r="J69" i="64"/>
  <c r="I35" i="48"/>
  <c r="I37" i="48"/>
  <c r="I46" i="48"/>
  <c r="I74" i="48"/>
  <c r="I76" i="48"/>
  <c r="I85" i="48"/>
  <c r="K125" i="59"/>
  <c r="D84" i="49"/>
  <c r="L84" i="49"/>
  <c r="L139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8" i="49"/>
  <c r="I43" i="48"/>
  <c r="I82" i="48"/>
  <c r="K121" i="59"/>
  <c r="K122" i="59"/>
  <c r="I30" i="48"/>
  <c r="I53" i="48"/>
  <c r="I54" i="48"/>
  <c r="I56" i="48"/>
  <c r="I60" i="48"/>
  <c r="I61" i="48"/>
  <c r="I62" i="48"/>
  <c r="I63" i="48"/>
  <c r="I67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43" i="64"/>
  <c r="J45" i="64"/>
  <c r="J67" i="64"/>
  <c r="J70" i="64"/>
  <c r="K69" i="64"/>
  <c r="J35" i="48"/>
  <c r="J37" i="48"/>
  <c r="J46" i="48"/>
  <c r="J74" i="48"/>
  <c r="J76" i="48"/>
  <c r="J85" i="48"/>
  <c r="L125" i="59"/>
  <c r="D85" i="49"/>
  <c r="M85" i="49"/>
  <c r="M139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8" i="49"/>
  <c r="J43" i="48"/>
  <c r="J82" i="48"/>
  <c r="L121" i="59"/>
  <c r="L122" i="59"/>
  <c r="J30" i="48"/>
  <c r="J53" i="48"/>
  <c r="J54" i="48"/>
  <c r="J56" i="48"/>
  <c r="J60" i="48"/>
  <c r="J61" i="48"/>
  <c r="J62" i="48"/>
  <c r="J63" i="48"/>
  <c r="J67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43" i="64"/>
  <c r="K45" i="64"/>
  <c r="K67" i="64"/>
  <c r="K70" i="64"/>
  <c r="L69" i="64"/>
  <c r="K35" i="48"/>
  <c r="K37" i="48"/>
  <c r="K46" i="48"/>
  <c r="K74" i="48"/>
  <c r="K76" i="48"/>
  <c r="K85" i="48"/>
  <c r="M125" i="59"/>
  <c r="D86" i="49"/>
  <c r="N86" i="49"/>
  <c r="N139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8" i="49"/>
  <c r="K43" i="48"/>
  <c r="K82" i="48"/>
  <c r="M121" i="59"/>
  <c r="M122" i="59"/>
  <c r="K30" i="48"/>
  <c r="K53" i="48"/>
  <c r="K54" i="48"/>
  <c r="K56" i="48"/>
  <c r="K60" i="48"/>
  <c r="K61" i="48"/>
  <c r="K62" i="48"/>
  <c r="K63" i="48"/>
  <c r="K67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43" i="64"/>
  <c r="L45" i="64"/>
  <c r="L67" i="64"/>
  <c r="L70" i="64"/>
  <c r="M69" i="64"/>
  <c r="L35" i="48"/>
  <c r="L37" i="48"/>
  <c r="L46" i="48"/>
  <c r="L74" i="48"/>
  <c r="L76" i="48"/>
  <c r="L85" i="48"/>
  <c r="N125" i="59"/>
  <c r="D87" i="49"/>
  <c r="O87" i="49"/>
  <c r="O139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8" i="49"/>
  <c r="L43" i="48"/>
  <c r="L82" i="48"/>
  <c r="N121" i="59"/>
  <c r="N122" i="59"/>
  <c r="L30" i="48"/>
  <c r="L53" i="48"/>
  <c r="L54" i="48"/>
  <c r="L56" i="48"/>
  <c r="L60" i="48"/>
  <c r="L61" i="48"/>
  <c r="L62" i="48"/>
  <c r="L63" i="48"/>
  <c r="L67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43" i="64"/>
  <c r="M45" i="64"/>
  <c r="M67" i="64"/>
  <c r="M70" i="64"/>
  <c r="N69" i="64"/>
  <c r="M35" i="48"/>
  <c r="M37" i="48"/>
  <c r="M46" i="48"/>
  <c r="M74" i="48"/>
  <c r="M76" i="48"/>
  <c r="M85" i="48"/>
  <c r="O125" i="59"/>
  <c r="D88" i="49"/>
  <c r="P88" i="49"/>
  <c r="P139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8" i="49"/>
  <c r="M43" i="48"/>
  <c r="M82" i="48"/>
  <c r="O121" i="59"/>
  <c r="O122" i="59"/>
  <c r="M30" i="48"/>
  <c r="M53" i="48"/>
  <c r="M54" i="48"/>
  <c r="M56" i="48"/>
  <c r="M60" i="48"/>
  <c r="M61" i="48"/>
  <c r="M62" i="48"/>
  <c r="M63" i="48"/>
  <c r="M67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43" i="64"/>
  <c r="N45" i="64"/>
  <c r="N67" i="64"/>
  <c r="N70" i="64"/>
  <c r="O69" i="64"/>
  <c r="N35" i="48"/>
  <c r="N37" i="48"/>
  <c r="N46" i="48"/>
  <c r="N74" i="48"/>
  <c r="N76" i="48"/>
  <c r="N85" i="48"/>
  <c r="P125" i="59"/>
  <c r="D89" i="49"/>
  <c r="Q89" i="49"/>
  <c r="Q139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8" i="49"/>
  <c r="N43" i="48"/>
  <c r="N82" i="48"/>
  <c r="P121" i="59"/>
  <c r="P122" i="59"/>
  <c r="N30" i="48"/>
  <c r="N53" i="48"/>
  <c r="N54" i="48"/>
  <c r="N56" i="48"/>
  <c r="N60" i="48"/>
  <c r="N61" i="48"/>
  <c r="N62" i="48"/>
  <c r="N63" i="48"/>
  <c r="N67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43" i="64"/>
  <c r="O45" i="64"/>
  <c r="O67" i="64"/>
  <c r="O70" i="64"/>
  <c r="P69" i="64"/>
  <c r="P70" i="64"/>
  <c r="Q69" i="64"/>
  <c r="S79" i="49"/>
  <c r="P35" i="48"/>
  <c r="P37" i="48"/>
  <c r="D91" i="49"/>
  <c r="S91" i="49"/>
  <c r="S139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53" i="48"/>
  <c r="P54" i="48"/>
  <c r="P56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35" i="50"/>
  <c r="Q66" i="50"/>
  <c r="Q67" i="50"/>
  <c r="Q68" i="50"/>
  <c r="Q69" i="50"/>
  <c r="Q70" i="50"/>
  <c r="Q41" i="64"/>
  <c r="Q39" i="50"/>
  <c r="Q43" i="50"/>
  <c r="Q40" i="64"/>
  <c r="Q43" i="64"/>
  <c r="Q45" i="64"/>
  <c r="Q67" i="64"/>
  <c r="Q70" i="64"/>
  <c r="R69" i="64"/>
  <c r="T80" i="49"/>
  <c r="Q35" i="48"/>
  <c r="Q37" i="48"/>
  <c r="D92" i="49"/>
  <c r="T92" i="49"/>
  <c r="T139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53" i="48"/>
  <c r="Q54" i="48"/>
  <c r="Q56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35" i="50"/>
  <c r="R66" i="50"/>
  <c r="R67" i="50"/>
  <c r="R68" i="50"/>
  <c r="R69" i="50"/>
  <c r="R70" i="50"/>
  <c r="R41" i="64"/>
  <c r="R39" i="50"/>
  <c r="R43" i="50"/>
  <c r="R40" i="64"/>
  <c r="R43" i="64"/>
  <c r="R45" i="64"/>
  <c r="R67" i="64"/>
  <c r="R70" i="64"/>
  <c r="S69" i="64"/>
  <c r="U81" i="49"/>
  <c r="R35" i="48"/>
  <c r="R37" i="48"/>
  <c r="D93" i="49"/>
  <c r="U93" i="49"/>
  <c r="U139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53" i="48"/>
  <c r="R54" i="48"/>
  <c r="R56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35" i="50"/>
  <c r="S66" i="50"/>
  <c r="S67" i="50"/>
  <c r="S68" i="50"/>
  <c r="S69" i="50"/>
  <c r="S70" i="50"/>
  <c r="S41" i="64"/>
  <c r="S39" i="50"/>
  <c r="S43" i="50"/>
  <c r="S40" i="64"/>
  <c r="S43" i="64"/>
  <c r="S45" i="64"/>
  <c r="S67" i="64"/>
  <c r="S70" i="64"/>
  <c r="T69" i="64"/>
  <c r="V82" i="49"/>
  <c r="S35" i="48"/>
  <c r="S37" i="48"/>
  <c r="D94" i="49"/>
  <c r="V94" i="49"/>
  <c r="V139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53" i="48"/>
  <c r="S54" i="48"/>
  <c r="S56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35" i="50"/>
  <c r="T66" i="50"/>
  <c r="T67" i="50"/>
  <c r="T68" i="50"/>
  <c r="T69" i="50"/>
  <c r="T70" i="50"/>
  <c r="T41" i="64"/>
  <c r="T39" i="50"/>
  <c r="T43" i="50"/>
  <c r="T40" i="64"/>
  <c r="T43" i="64"/>
  <c r="T45" i="64"/>
  <c r="T67" i="64"/>
  <c r="T70" i="64"/>
  <c r="U69" i="64"/>
  <c r="W83" i="49"/>
  <c r="T35" i="48"/>
  <c r="T37" i="48"/>
  <c r="D95" i="49"/>
  <c r="W95" i="49"/>
  <c r="W139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53" i="48"/>
  <c r="T54" i="48"/>
  <c r="T56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35" i="50"/>
  <c r="U66" i="50"/>
  <c r="U67" i="50"/>
  <c r="U68" i="50"/>
  <c r="U69" i="50"/>
  <c r="U70" i="50"/>
  <c r="U41" i="64"/>
  <c r="U39" i="50"/>
  <c r="U43" i="50"/>
  <c r="U40" i="64"/>
  <c r="U43" i="64"/>
  <c r="U45" i="64"/>
  <c r="U67" i="64"/>
  <c r="U70" i="64"/>
  <c r="V69" i="64"/>
  <c r="X84" i="49"/>
  <c r="U35" i="48"/>
  <c r="U37" i="48"/>
  <c r="D96" i="49"/>
  <c r="X96" i="49"/>
  <c r="X139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53" i="48"/>
  <c r="U54" i="48"/>
  <c r="U56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35" i="50"/>
  <c r="V66" i="50"/>
  <c r="V67" i="50"/>
  <c r="V68" i="50"/>
  <c r="V69" i="50"/>
  <c r="V70" i="50"/>
  <c r="V41" i="64"/>
  <c r="V39" i="50"/>
  <c r="V43" i="50"/>
  <c r="V40" i="64"/>
  <c r="V43" i="64"/>
  <c r="V45" i="64"/>
  <c r="V67" i="64"/>
  <c r="V70" i="64"/>
  <c r="W69" i="64"/>
  <c r="Y85" i="49"/>
  <c r="V35" i="48"/>
  <c r="V37" i="48"/>
  <c r="D97" i="49"/>
  <c r="Y97" i="49"/>
  <c r="Y139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53" i="48"/>
  <c r="V54" i="48"/>
  <c r="V56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35" i="50"/>
  <c r="W66" i="50"/>
  <c r="W67" i="50"/>
  <c r="W68" i="50"/>
  <c r="W69" i="50"/>
  <c r="W70" i="50"/>
  <c r="W41" i="64"/>
  <c r="W39" i="50"/>
  <c r="W43" i="50"/>
  <c r="W40" i="64"/>
  <c r="W43" i="64"/>
  <c r="W45" i="64"/>
  <c r="W67" i="64"/>
  <c r="W70" i="64"/>
  <c r="X69" i="64"/>
  <c r="Z86" i="49"/>
  <c r="W35" i="48"/>
  <c r="W37" i="48"/>
  <c r="D98" i="49"/>
  <c r="Z98" i="49"/>
  <c r="Z139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53" i="48"/>
  <c r="W54" i="48"/>
  <c r="W56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35" i="50"/>
  <c r="X66" i="50"/>
  <c r="X67" i="50"/>
  <c r="X68" i="50"/>
  <c r="X69" i="50"/>
  <c r="X70" i="50"/>
  <c r="X41" i="64"/>
  <c r="X39" i="50"/>
  <c r="X43" i="50"/>
  <c r="X40" i="64"/>
  <c r="X43" i="64"/>
  <c r="X45" i="64"/>
  <c r="X67" i="64"/>
  <c r="X70" i="64"/>
  <c r="Y69" i="64"/>
  <c r="AA87" i="49"/>
  <c r="X35" i="48"/>
  <c r="X37" i="48"/>
  <c r="D99" i="49"/>
  <c r="AA99" i="49"/>
  <c r="AA139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53" i="48"/>
  <c r="X54" i="48"/>
  <c r="X56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35" i="50"/>
  <c r="Y66" i="50"/>
  <c r="Y67" i="50"/>
  <c r="Y68" i="50"/>
  <c r="Y69" i="50"/>
  <c r="Y70" i="50"/>
  <c r="Y41" i="64"/>
  <c r="Y39" i="50"/>
  <c r="Y43" i="50"/>
  <c r="Y40" i="64"/>
  <c r="Y43" i="64"/>
  <c r="Y45" i="64"/>
  <c r="Y67" i="64"/>
  <c r="Y70" i="64"/>
  <c r="Z69" i="64"/>
  <c r="AB88" i="49"/>
  <c r="Y35" i="48"/>
  <c r="Y37" i="48"/>
  <c r="D100" i="49"/>
  <c r="AB100" i="49"/>
  <c r="AB139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53" i="48"/>
  <c r="Y54" i="48"/>
  <c r="Y56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35" i="50"/>
  <c r="Z66" i="50"/>
  <c r="Z67" i="50"/>
  <c r="Z68" i="50"/>
  <c r="Z69" i="50"/>
  <c r="Z70" i="50"/>
  <c r="Z41" i="64"/>
  <c r="Z39" i="50"/>
  <c r="Z43" i="50"/>
  <c r="Z40" i="64"/>
  <c r="Z43" i="64"/>
  <c r="Z45" i="64"/>
  <c r="Z67" i="64"/>
  <c r="Z70" i="64"/>
  <c r="AA69" i="64"/>
  <c r="AC89" i="49"/>
  <c r="Z35" i="48"/>
  <c r="Z37" i="48"/>
  <c r="D101" i="49"/>
  <c r="AC101" i="49"/>
  <c r="AC139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53" i="48"/>
  <c r="Z54" i="48"/>
  <c r="Z56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35" i="50"/>
  <c r="AA66" i="50"/>
  <c r="AA67" i="50"/>
  <c r="AA68" i="50"/>
  <c r="AA69" i="50"/>
  <c r="AA70" i="50"/>
  <c r="AA41" i="64"/>
  <c r="AA39" i="50"/>
  <c r="AA43" i="50"/>
  <c r="AA40" i="64"/>
  <c r="AA43" i="64"/>
  <c r="AA45" i="64"/>
  <c r="AA67" i="64"/>
  <c r="AA70" i="64"/>
  <c r="AA11" i="111"/>
  <c r="E31" i="111" a="1"/>
  <c r="E31" i="111"/>
  <c r="Q11" i="111"/>
  <c r="D31" i="111" a="1"/>
  <c r="D31" i="111"/>
  <c r="E29" i="111"/>
  <c r="E30" i="111"/>
  <c r="V15" i="111"/>
  <c r="AB69" i="64"/>
  <c r="AD78" i="49"/>
  <c r="AD90" i="49"/>
  <c r="AA35" i="48"/>
  <c r="AA37" i="48"/>
  <c r="D102" i="49"/>
  <c r="AD102" i="49"/>
  <c r="AD139" i="49"/>
  <c r="AD141" i="49"/>
  <c r="AA47" i="48"/>
  <c r="AA86" i="48"/>
  <c r="AC126" i="59"/>
  <c r="AA46" i="48"/>
  <c r="AA74" i="48"/>
  <c r="AA76" i="48"/>
  <c r="AA85" i="48"/>
  <c r="AC125" i="59"/>
  <c r="AC127" i="59"/>
  <c r="AD5" i="49"/>
  <c r="AD17" i="49"/>
  <c r="AA36" i="48"/>
  <c r="D29" i="49"/>
  <c r="AD29" i="49"/>
  <c r="AD66" i="49"/>
  <c r="AD68" i="49"/>
  <c r="AA43" i="48"/>
  <c r="AA82" i="48"/>
  <c r="AC121" i="59"/>
  <c r="AA40" i="48"/>
  <c r="AA41" i="48"/>
  <c r="AA42" i="48"/>
  <c r="AA75" i="48"/>
  <c r="AA79" i="48"/>
  <c r="AA80" i="48"/>
  <c r="AA81" i="48"/>
  <c r="AC120" i="59"/>
  <c r="AC122" i="59"/>
  <c r="AA30" i="48"/>
  <c r="AA53" i="48"/>
  <c r="AA54" i="48"/>
  <c r="AA56" i="48"/>
  <c r="AA60" i="48"/>
  <c r="E130" i="46"/>
  <c r="AA61" i="48"/>
  <c r="AA62" i="48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79" i="49"/>
  <c r="AE91" i="49"/>
  <c r="AB35" i="48"/>
  <c r="AB37" i="48"/>
  <c r="D103" i="49"/>
  <c r="AE103" i="49"/>
  <c r="AE139" i="49"/>
  <c r="AE141" i="49"/>
  <c r="AB47" i="48"/>
  <c r="AB86" i="48"/>
  <c r="AD126" i="59"/>
  <c r="AB46" i="48"/>
  <c r="AB74" i="48"/>
  <c r="AB76" i="48"/>
  <c r="AB85" i="48"/>
  <c r="AD125" i="59"/>
  <c r="AD127" i="59"/>
  <c r="AE6" i="49"/>
  <c r="AE18" i="49"/>
  <c r="AB36" i="48"/>
  <c r="D30" i="49"/>
  <c r="AE30" i="49"/>
  <c r="AE66" i="49"/>
  <c r="AE68" i="49"/>
  <c r="AB43" i="48"/>
  <c r="AB82" i="48"/>
  <c r="AD121" i="59"/>
  <c r="AB40" i="48"/>
  <c r="AB41" i="48"/>
  <c r="AB42" i="48"/>
  <c r="AB75" i="48"/>
  <c r="AB79" i="48"/>
  <c r="AB80" i="48"/>
  <c r="AB81" i="48"/>
  <c r="AD120" i="59"/>
  <c r="AD122" i="59"/>
  <c r="AB30" i="48"/>
  <c r="AB53" i="48"/>
  <c r="AB54" i="48"/>
  <c r="AB56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D42" i="47"/>
  <c r="E42" i="47"/>
  <c r="G42" i="47"/>
  <c r="H42" i="47"/>
  <c r="I42" i="47"/>
  <c r="J42" i="47"/>
  <c r="K42" i="47"/>
  <c r="L42" i="47"/>
  <c r="M42" i="47"/>
  <c r="N42" i="47"/>
  <c r="D10" i="47"/>
  <c r="C46" i="47"/>
  <c r="D46" i="47"/>
  <c r="AD69" i="64"/>
  <c r="E46" i="47"/>
  <c r="AC35" i="48"/>
  <c r="AC37" i="48"/>
  <c r="AC46" i="48"/>
  <c r="AC74" i="48"/>
  <c r="AC76" i="48"/>
  <c r="AC85" i="48"/>
  <c r="AE125" i="59"/>
  <c r="AF92" i="49"/>
  <c r="D104" i="49"/>
  <c r="AF104" i="49"/>
  <c r="AF80" i="49"/>
  <c r="AF139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8" i="49"/>
  <c r="AC43" i="48"/>
  <c r="AC82" i="48"/>
  <c r="AE121" i="59"/>
  <c r="AE122" i="59"/>
  <c r="AC30" i="48"/>
  <c r="AC53" i="48"/>
  <c r="AC54" i="48"/>
  <c r="AC56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4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AD35" i="48"/>
  <c r="AD37" i="48"/>
  <c r="AD46" i="48"/>
  <c r="AD74" i="48"/>
  <c r="AD76" i="48"/>
  <c r="AD85" i="48"/>
  <c r="AF125" i="59"/>
  <c r="AG93" i="49"/>
  <c r="D105" i="49"/>
  <c r="AG105" i="49"/>
  <c r="AG81" i="49"/>
  <c r="AG139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8" i="49"/>
  <c r="AD43" i="48"/>
  <c r="AD82" i="48"/>
  <c r="AF121" i="59"/>
  <c r="AF122" i="59"/>
  <c r="AD30" i="48"/>
  <c r="AD53" i="48"/>
  <c r="AD54" i="48"/>
  <c r="AD56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4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35" i="48"/>
  <c r="AE37" i="48"/>
  <c r="AE46" i="48"/>
  <c r="AE74" i="48"/>
  <c r="AE76" i="48"/>
  <c r="AE85" i="48"/>
  <c r="AG125" i="59"/>
  <c r="AH94" i="49"/>
  <c r="D106" i="49"/>
  <c r="AH106" i="49"/>
  <c r="AH82" i="49"/>
  <c r="AH139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8" i="49"/>
  <c r="AE43" i="48"/>
  <c r="AE82" i="48"/>
  <c r="AG121" i="59"/>
  <c r="AG122" i="59"/>
  <c r="AE30" i="48"/>
  <c r="AE53" i="48"/>
  <c r="AE54" i="48"/>
  <c r="AE56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4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B8" i="47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C38" i="64"/>
  <c r="C48" i="64"/>
  <c r="C50" i="64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35" i="48"/>
  <c r="AN37" i="48"/>
  <c r="B70" i="46"/>
  <c r="B120" i="46"/>
  <c r="B170" i="46"/>
  <c r="AN46" i="48"/>
  <c r="C50" i="47"/>
  <c r="E50" i="47"/>
  <c r="G50" i="47"/>
  <c r="H50" i="47"/>
  <c r="I50" i="47"/>
  <c r="J50" i="47"/>
  <c r="K50" i="47"/>
  <c r="L50" i="47"/>
  <c r="M50" i="47"/>
  <c r="N50" i="47"/>
  <c r="AN74" i="48"/>
  <c r="AN76" i="48"/>
  <c r="B95" i="46"/>
  <c r="B145" i="46"/>
  <c r="B195" i="46"/>
  <c r="AN85" i="48"/>
  <c r="AP125" i="59"/>
  <c r="AO89" i="49"/>
  <c r="C8" i="47"/>
  <c r="AO101" i="49"/>
  <c r="D8" i="47"/>
  <c r="N46" i="47"/>
  <c r="AL35" i="48"/>
  <c r="AL37" i="48"/>
  <c r="D113" i="49"/>
  <c r="AO113" i="49"/>
  <c r="AO139" i="49"/>
  <c r="D87" i="46"/>
  <c r="D89" i="46"/>
  <c r="D90" i="46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D114" i="46"/>
  <c r="AO67" i="49"/>
  <c r="AO68" i="49"/>
  <c r="AN43" i="48"/>
  <c r="AP121" i="59"/>
  <c r="AP122" i="59"/>
  <c r="B155" i="46"/>
  <c r="E155" i="46"/>
  <c r="E156" i="46"/>
  <c r="E57" i="46"/>
  <c r="E107" i="46"/>
  <c r="E157" i="46"/>
  <c r="E58" i="46"/>
  <c r="E108" i="46"/>
  <c r="E158" i="46"/>
  <c r="AN30" i="48"/>
  <c r="B179" i="46"/>
  <c r="AN53" i="48"/>
  <c r="AN54" i="48"/>
  <c r="AN56" i="48"/>
  <c r="E79" i="46"/>
  <c r="E129" i="46"/>
  <c r="AN60" i="48"/>
  <c r="AN61" i="48"/>
  <c r="E81" i="46"/>
  <c r="E131" i="46"/>
  <c r="AN62" i="48"/>
  <c r="E82" i="46"/>
  <c r="E132" i="46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67" i="49"/>
  <c r="AF140" i="4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E70" i="46"/>
  <c r="E71" i="46"/>
  <c r="E72" i="46"/>
  <c r="E74" i="46"/>
  <c r="AD27" i="50"/>
  <c r="AE27" i="50"/>
  <c r="AF27" i="50"/>
  <c r="AG65" i="50"/>
  <c r="H46" i="47"/>
  <c r="AG38" i="50"/>
  <c r="AG34" i="50"/>
  <c r="AG27" i="50"/>
  <c r="AG35" i="50"/>
  <c r="AG66" i="50"/>
  <c r="AG67" i="50"/>
  <c r="AG68" i="50"/>
  <c r="AG69" i="50"/>
  <c r="AH65" i="50"/>
  <c r="I46" i="47"/>
  <c r="AH38" i="50"/>
  <c r="AH34" i="50"/>
  <c r="AH27" i="50"/>
  <c r="AH35" i="50"/>
  <c r="AH66" i="50"/>
  <c r="AH67" i="50"/>
  <c r="AH68" i="50"/>
  <c r="AH69" i="50"/>
  <c r="AI65" i="50"/>
  <c r="J46" i="47"/>
  <c r="AI38" i="50"/>
  <c r="AI34" i="50"/>
  <c r="AI27" i="50"/>
  <c r="AI35" i="50"/>
  <c r="AI66" i="50"/>
  <c r="AI67" i="50"/>
  <c r="AI68" i="50"/>
  <c r="AI69" i="50"/>
  <c r="AJ65" i="50"/>
  <c r="K46" i="47"/>
  <c r="AJ38" i="50"/>
  <c r="AJ34" i="50"/>
  <c r="AJ27" i="50"/>
  <c r="AJ35" i="50"/>
  <c r="AJ66" i="50"/>
  <c r="AJ67" i="50"/>
  <c r="AJ68" i="50"/>
  <c r="AJ69" i="50"/>
  <c r="AK65" i="50"/>
  <c r="L46" i="47"/>
  <c r="AK38" i="50"/>
  <c r="AK34" i="50"/>
  <c r="AK27" i="50"/>
  <c r="AK35" i="50"/>
  <c r="AK66" i="50"/>
  <c r="AK67" i="50"/>
  <c r="AK68" i="50"/>
  <c r="AK69" i="50"/>
  <c r="AL65" i="50"/>
  <c r="M46" i="47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37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53" i="48"/>
  <c r="AO54" i="48"/>
  <c r="AO56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67" i="49"/>
  <c r="AG140" i="4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37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53" i="48"/>
  <c r="AP54" i="48"/>
  <c r="AP56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67" i="49"/>
  <c r="AH140" i="4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37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53" i="48"/>
  <c r="AQ54" i="48"/>
  <c r="AQ56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7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53" i="48"/>
  <c r="AF54" i="48"/>
  <c r="AF56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37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53" i="48"/>
  <c r="AR54" i="48"/>
  <c r="AR56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7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53" i="48"/>
  <c r="AG54" i="48"/>
  <c r="AG56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37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53" i="48"/>
  <c r="AS54" i="48"/>
  <c r="AS56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7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53" i="48"/>
  <c r="AH54" i="48"/>
  <c r="AH56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37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53" i="48"/>
  <c r="AT54" i="48"/>
  <c r="AT56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7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53" i="48"/>
  <c r="AI54" i="48"/>
  <c r="AI56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37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53" i="48"/>
  <c r="AU54" i="48"/>
  <c r="AU56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7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53" i="48"/>
  <c r="AJ54" i="48"/>
  <c r="AJ56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37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53" i="48"/>
  <c r="AV54" i="48"/>
  <c r="AV56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7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53" i="48"/>
  <c r="AK54" i="48"/>
  <c r="AK56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37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53" i="48"/>
  <c r="AW54" i="48"/>
  <c r="AW56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53" i="48"/>
  <c r="AL54" i="48"/>
  <c r="AL56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37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53" i="48"/>
  <c r="AX54" i="48"/>
  <c r="AX56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7" i="48"/>
  <c r="AM36" i="48"/>
  <c r="AM40" i="48"/>
  <c r="AM41" i="48"/>
  <c r="AM42" i="48"/>
  <c r="AM43" i="48"/>
  <c r="AM46" i="48"/>
  <c r="AM47" i="48"/>
  <c r="AM53" i="48"/>
  <c r="AM54" i="48"/>
  <c r="AM56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35" i="48"/>
  <c r="AY37" i="48"/>
  <c r="B220" i="46"/>
  <c r="AY46" i="48"/>
  <c r="D54" i="47"/>
  <c r="E54" i="47"/>
  <c r="G54" i="47"/>
  <c r="H54" i="47"/>
  <c r="I54" i="47"/>
  <c r="J54" i="47"/>
  <c r="K54" i="47"/>
  <c r="L54" i="47"/>
  <c r="M54" i="47"/>
  <c r="N54" i="47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B205" i="46"/>
  <c r="E205" i="46"/>
  <c r="E206" i="46"/>
  <c r="E207" i="46"/>
  <c r="E208" i="46"/>
  <c r="AY30" i="48"/>
  <c r="AY53" i="48"/>
  <c r="AY54" i="48"/>
  <c r="AY56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37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53" i="48"/>
  <c r="AZ54" i="48"/>
  <c r="AZ56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37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53" i="48"/>
  <c r="BA54" i="48"/>
  <c r="BA56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37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53" i="48"/>
  <c r="BB54" i="48"/>
  <c r="BB56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37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53" i="48"/>
  <c r="BC54" i="48"/>
  <c r="BC56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37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53" i="48"/>
  <c r="BD54" i="48"/>
  <c r="BD56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37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53" i="48"/>
  <c r="BE54" i="48"/>
  <c r="BE56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37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53" i="48"/>
  <c r="BF54" i="48"/>
  <c r="BF56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37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53" i="48"/>
  <c r="BG54" i="48"/>
  <c r="BG56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37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53" i="48"/>
  <c r="BH54" i="48"/>
  <c r="BH56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37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53" i="48"/>
  <c r="BI54" i="48"/>
  <c r="BI56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37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53" i="48"/>
  <c r="BJ54" i="48"/>
  <c r="BJ56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D67" i="49"/>
  <c r="AD140" i="4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E67" i="49"/>
  <c r="AE140" i="4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V140" i="49"/>
  <c r="D64" i="46"/>
  <c r="V67" i="49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K67" i="49"/>
  <c r="K140" i="49"/>
  <c r="B40" i="4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W140" i="49"/>
  <c r="W67" i="49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L67" i="49"/>
  <c r="L140" i="49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X140" i="49"/>
  <c r="X67" i="49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M67" i="49"/>
  <c r="M140" i="49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Y140" i="49"/>
  <c r="Y67" i="49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N67" i="49"/>
  <c r="N140" i="49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Z140" i="49"/>
  <c r="Z67" i="49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O67" i="49"/>
  <c r="O140" i="49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A140" i="49"/>
  <c r="AA67" i="49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P67" i="49"/>
  <c r="P140" i="49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B140" i="49"/>
  <c r="AB67" i="49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Q67" i="49"/>
  <c r="Q140" i="49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C140" i="49"/>
  <c r="AC67" i="49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R67" i="49"/>
  <c r="R140" i="49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S67" i="49"/>
  <c r="S140" i="49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T67" i="49"/>
  <c r="T140" i="49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U67" i="49"/>
  <c r="U140" i="49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J67" i="49"/>
  <c r="J140" i="49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F140" i="49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G140" i="49"/>
  <c r="G67" i="49"/>
  <c r="H140" i="49"/>
  <c r="H67" i="49"/>
  <c r="Z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0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38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I24" i="51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7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93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6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1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6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38" i="51"/>
  <c r="K29" i="51"/>
  <c r="K39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2" i="51"/>
  <c r="J42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4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7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<sst xmlns="http://schemas.openxmlformats.org/spreadsheetml/2006/main" count="7616" uniqueCount="1278">
  <si>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</si>
  <si>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</si>
  <si>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</si>
  <si>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</si>
  <si>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</si>
  <si>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</si>
  <si>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</si>
  <si>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</si>
  <si>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</si>
  <si>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</si>
  <si>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</si>
  <si>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</si>
  <si>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</si>
  <si>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</si>
  <si>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</si>
  <si>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</si>
  <si>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</si>
  <si>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</si>
  <si>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</si>
  <si>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</si>
  <si>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</si>
  <si>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</si>
  <si>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</si>
  <si>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</si>
  <si>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</si>
  <si>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</si>
  <si>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</si>
  <si>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</si>
  <si>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</si>
  <si>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</si>
  <si>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</si>
  <si>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</si>
  <si>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</si>
  <si>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</si>
  <si>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</si>
  <si>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</si>
  <si>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</si>
  <si>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</si>
  <si>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</si>
  <si>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</si>
  <si>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</si>
  <si>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</si>
  <si>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</si>
  <si>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</si>
  <si>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</si>
  <si>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</si>
  <si>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</si>
  <si>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</si>
  <si>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</si>
  <si>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</si>
  <si>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</si>
  <si>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</si>
  <si>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</si>
  <si>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</si>
  <si>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</si>
  <si>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</si>
  <si>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</si>
  <si>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</si>
  <si>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</si>
  <si>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</si>
  <si>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</si>
  <si>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</si>
  <si>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</si>
  <si>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</si>
  <si>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</si>
  <si>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</si>
  <si>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</si>
  <si>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</si>
  <si>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</si>
  <si>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</si>
  <si>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</si>
  <si>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</si>
  <si>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</si>
  <si>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</si>
  <si>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</si>
  <si>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</si>
  <si>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</si>
  <si>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</si>
  <si>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</si>
  <si>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</si>
  <si>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</si>
  <si>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</si>
  <si>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</si>
  <si>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</si>
  <si>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</si>
  <si>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</si>
  <si>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</si>
  <si>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</si>
  <si>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</si>
  <si>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</si>
  <si>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</si>
  <si>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</si>
  <si>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</si>
  <si>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</si>
  <si>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</si>
  <si>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</si>
  <si>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</si>
  <si>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</si>
  <si>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</si>
  <si>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</si>
  <si>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</si>
  <si>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</si>
  <si>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</si>
  <si>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</si>
  <si>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</si>
  <si>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</si>
  <si>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</si>
  <si>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</si>
  <si>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</si>
  <si>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</si>
  <si>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</si>
  <si>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</si>
  <si>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</si>
  <si>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</si>
  <si>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</si>
  <si>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</si>
  <si>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</si>
  <si>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</si>
  <si>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</si>
  <si>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</si>
  <si>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</si>
  <si>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</si>
  <si>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</si>
  <si>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</si>
  <si>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</si>
  <si>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</si>
  <si>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</si>
  <si>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</si>
  <si>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</si>
  <si>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</si>
  <si>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</si>
  <si>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</si>
  <si>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</si>
  <si>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</si>
  <si>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</si>
  <si>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</si>
  <si>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</si>
  <si>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</si>
  <si>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</si>
  <si>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</si>
  <si>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</si>
  <si>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</si>
  <si>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</si>
  <si>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</si>
  <si>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</si>
  <si>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</si>
  <si>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</si>
  <si>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</si>
  <si>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</si>
  <si>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</si>
  <si>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</si>
  <si>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</si>
  <si>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</si>
  <si>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</si>
  <si>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</si>
  <si>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</si>
  <si>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</si>
  <si>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</si>
  <si>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</si>
  <si>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</si>
  <si>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</si>
  <si>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</si>
  <si>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</si>
  <si>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</si>
  <si>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</si>
  <si>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</si>
  <si>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</si>
  <si>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</si>
  <si>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</si>
  <si>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</si>
  <si>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</si>
  <si>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</si>
  <si>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</si>
  <si>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</si>
  <si>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</si>
  <si>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</si>
  <si>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</si>
  <si>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</si>
  <si>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</si>
  <si>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</si>
  <si>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</si>
  <si>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</si>
  <si>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</si>
  <si>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</si>
  <si>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</si>
  <si>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</si>
  <si>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</si>
  <si>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</si>
  <si>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</si>
  <si>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</si>
  <si>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</si>
  <si>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</si>
  <si>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</si>
  <si>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</si>
  <si>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</si>
  <si>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</si>
  <si>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</si>
  <si>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</si>
  <si>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</si>
  <si>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</si>
  <si>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</si>
  <si>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</si>
  <si>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</si>
  <si>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</si>
  <si>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</si>
  <si>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</si>
  <si>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</si>
  <si>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</si>
  <si>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</si>
  <si>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</si>
  <si>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</si>
  <si>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</si>
  <si>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</si>
  <si>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</si>
  <si>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</si>
  <si>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</si>
  <si>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</si>
  <si>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</si>
  <si>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</si>
  <si>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</si>
  <si>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</si>
  <si>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</si>
  <si>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</si>
  <si>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</si>
  <si>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</si>
  <si>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</si>
  <si>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</si>
  <si>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</si>
  <si>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</si>
  <si>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</si>
  <si>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</si>
  <si>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</si>
  <si>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</si>
  <si>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</si>
  <si>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</si>
  <si>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</si>
  <si>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</si>
  <si>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</si>
  <si>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</si>
  <si>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</si>
  <si>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</si>
  <si>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</si>
  <si>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</si>
  <si>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</si>
  <si>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</si>
  <si>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</si>
  <si>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</si>
  <si>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</si>
  <si>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</si>
  <si>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</si>
  <si>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</si>
  <si>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</si>
  <si>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</si>
  <si>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</si>
  <si>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</si>
  <si>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</si>
  <si>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</si>
  <si>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</si>
  <si>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</si>
  <si>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</si>
  <si>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</si>
  <si>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</si>
  <si>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</si>
  <si>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</si>
  <si>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</si>
  <si>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</si>
  <si>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</si>
  <si>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</si>
  <si>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</si>
  <si>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</si>
  <si>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</si>
  <si>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</si>
  <si>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</si>
  <si>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</si>
  <si>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</si>
  <si>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</si>
  <si>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</si>
  <si>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</si>
  <si>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</si>
  <si>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</si>
  <si>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</si>
  <si>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</si>
  <si>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</si>
  <si>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</si>
  <si>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</si>
  <si>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</si>
  <si>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</si>
  <si>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</si>
  <si>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</si>
  <si>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</si>
  <si>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</si>
  <si>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</si>
  <si>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</si>
  <si>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</si>
  <si>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</si>
  <si>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</si>
  <si>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</si>
  <si>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</si>
  <si>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</si>
  <si>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</si>
  <si>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</si>
  <si>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</si>
  <si>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</si>
  <si>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</si>
  <si>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</si>
  <si>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</si>
  <si>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</si>
  <si>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</si>
  <si>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</si>
  <si>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</si>
  <si>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</si>
  <si>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</si>
  <si>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</si>
  <si>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</si>
  <si>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</si>
  <si>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</si>
  <si>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</si>
  <si>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</si>
  <si>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</si>
  <si>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</si>
  <si>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</si>
  <si>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</si>
  <si>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</si>
  <si>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</si>
  <si>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</si>
  <si>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</si>
  <si>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</si>
  <si>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</si>
  <si>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</si>
  <si>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</si>
  <si>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</si>
  <si>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</si>
  <si>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</si>
  <si>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</si>
  <si>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</si>
  <si>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</si>
  <si>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</si>
  <si>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</si>
  <si>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</si>
  <si>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</si>
  <si>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</si>
  <si>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</si>
  <si>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</si>
  <si>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</si>
  <si>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</si>
  <si>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</si>
  <si>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</si>
  <si>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</si>
  <si>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</si>
  <si>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</si>
  <si>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</si>
  <si>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</si>
  <si>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</si>
  <si>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</si>
  <si>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</si>
  <si>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</si>
  <si>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</si>
  <si>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</si>
  <si>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</si>
  <si>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</si>
  <si>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</si>
  <si>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</si>
  <si>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</si>
  <si>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</si>
  <si>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</si>
  <si>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</si>
  <si>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</si>
  <si>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</si>
  <si>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</si>
  <si>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</si>
  <si>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</si>
  <si>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</si>
  <si>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</si>
  <si>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</si>
  <si>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</si>
  <si>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</si>
  <si>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</si>
  <si>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</si>
  <si>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</si>
  <si>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</si>
  <si>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</si>
  <si>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</si>
  <si>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</si>
  <si>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</si>
  <si>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</si>
  <si>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</si>
  <si>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</si>
  <si>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</si>
  <si>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</si>
  <si>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</si>
  <si>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</si>
  <si>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</si>
  <si>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</si>
  <si>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</si>
  <si>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</si>
  <si>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</si>
  <si>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</si>
  <si>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</si>
  <si>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</si>
  <si>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</si>
  <si>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</si>
  <si>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</si>
  <si>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</si>
  <si>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</si>
  <si>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</si>
  <si>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</si>
  <si>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</si>
  <si>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</si>
  <si>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</si>
  <si>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</si>
  <si>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</si>
  <si>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</si>
  <si>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</si>
  <si>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</si>
  <si>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</si>
  <si>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</si>
  <si>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</si>
  <si>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</si>
  <si>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</si>
  <si>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</si>
  <si>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</si>
  <si>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</si>
  <si>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</si>
  <si>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</si>
  <si>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</si>
  <si>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</si>
  <si>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</si>
  <si>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</si>
  <si>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</si>
  <si>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</si>
  <si>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</si>
  <si>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</si>
  <si>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</si>
  <si>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</si>
  <si>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</si>
  <si>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</si>
  <si>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</si>
  <si>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</si>
  <si>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</si>
  <si>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</si>
  <si>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</si>
  <si>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</si>
  <si>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</si>
  <si>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</si>
  <si>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</si>
  <si>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</si>
  <si>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</si>
  <si>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</si>
  <si>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</si>
  <si>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</si>
  <si>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</si>
  <si>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</si>
  <si>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</si>
  <si>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</si>
  <si>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</si>
  <si>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</si>
  <si>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</si>
  <si>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</si>
  <si>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</si>
  <si>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</si>
  <si>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</si>
  <si>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</si>
  <si>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</si>
  <si>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</si>
  <si>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</si>
  <si>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</si>
  <si>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</si>
  <si>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</si>
  <si>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</si>
  <si>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</si>
  <si>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</si>
  <si>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</si>
  <si>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</si>
  <si>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</si>
  <si>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</si>
  <si>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</si>
  <si>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</si>
  <si>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</si>
  <si>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</si>
  <si>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</si>
  <si>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</si>
  <si>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</si>
  <si>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</si>
  <si>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</si>
  <si>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</si>
  <si>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</si>
  <si>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</si>
  <si>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</si>
  <si>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</si>
  <si>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</si>
  <si>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</si>
  <si>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</si>
  <si>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</si>
  <si>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</si>
  <si>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</si>
  <si>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</si>
  <si>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</si>
  <si>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</si>
  <si>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</si>
  <si>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</si>
  <si>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</si>
  <si>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</si>
  <si>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</si>
  <si>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</si>
  <si>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</si>
  <si>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</si>
  <si>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</si>
  <si>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</si>
  <si>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</si>
  <si>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</si>
  <si>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</si>
  <si>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</si>
  <si>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</si>
  <si>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</si>
  <si>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</si>
  <si>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</si>
  <si>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</si>
  <si>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</si>
  <si>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</si>
  <si>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</si>
  <si>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</si>
  <si>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</si>
  <si>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</si>
  <si>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</si>
  <si>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</si>
  <si>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</si>
  <si>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</si>
  <si>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</si>
  <si>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</si>
  <si>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</si>
  <si>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</si>
  <si>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</si>
  <si>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</si>
  <si>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</si>
  <si>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</si>
  <si>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</si>
  <si>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</si>
  <si>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</si>
  <si>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</si>
  <si>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</si>
  <si>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</si>
  <si>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</si>
  <si>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</si>
  <si>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</si>
  <si>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</si>
  <si>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</si>
  <si>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</si>
  <si>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</si>
  <si>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</si>
  <si>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</si>
  <si>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</si>
  <si>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</si>
  <si>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</si>
  <si>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</si>
  <si>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</si>
  <si>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</si>
  <si>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</si>
  <si>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</si>
  <si>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</si>
  <si>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</si>
  <si>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</si>
  <si>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</si>
  <si>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</si>
  <si>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</si>
  <si>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</si>
  <si>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</si>
  <si>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</si>
  <si>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</si>
  <si>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</si>
  <si>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</si>
  <si>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</si>
  <si>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</si>
  <si>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</si>
  <si>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</si>
  <si>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</si>
  <si>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</si>
  <si>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</si>
  <si>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</si>
  <si>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</si>
  <si>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</si>
  <si>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</si>
  <si>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</si>
  <si>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</si>
  <si>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</si>
  <si>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</si>
  <si>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</si>
  <si>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</si>
  <si>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</si>
  <si>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</si>
  <si>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</si>
  <si>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</si>
  <si>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</si>
  <si>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</si>
  <si>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</si>
  <si>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</si>
  <si>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</si>
  <si>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</si>
  <si>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</si>
  <si>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</si>
  <si>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</si>
  <si>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</si>
  <si>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</si>
  <si>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</si>
  <si>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</si>
  <si>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</si>
  <si>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</si>
  <si>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</si>
  <si>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</si>
  <si>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</si>
  <si>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</si>
  <si>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</si>
  <si>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</si>
  <si>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</si>
  <si>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</si>
  <si>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</si>
  <si>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</si>
  <si>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</si>
  <si>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</si>
  <si>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</si>
  <si>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</si>
  <si>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</si>
  <si>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</si>
  <si>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</si>
  <si>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</si>
  <si>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</si>
  <si>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</si>
  <si>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</si>
  <si>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</si>
  <si>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</si>
  <si>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</si>
  <si>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</si>
  <si>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</si>
  <si>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</si>
  <si>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</si>
  <si>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</si>
  <si>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</si>
  <si>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</si>
  <si>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</si>
  <si>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</si>
  <si>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</si>
  <si>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</si>
  <si>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</si>
  <si>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</si>
  <si>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</si>
  <si>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</si>
  <si>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</si>
  <si>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</si>
  <si>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</si>
  <si>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</si>
  <si>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</si>
  <si>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</si>
  <si>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</si>
  <si>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</si>
  <si>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</si>
  <si>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</si>
  <si>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</si>
  <si>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</si>
  <si>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</si>
  <si>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</si>
  <si>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</si>
  <si>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</si>
  <si>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</si>
  <si>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</si>
  <si>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</si>
  <si>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</si>
  <si>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</si>
  <si>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</si>
  <si>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</si>
  <si>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</si>
  <si>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</si>
  <si>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</si>
  <si>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</si>
  <si>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</si>
  <si>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</si>
  <si>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</si>
  <si>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</si>
  <si>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</si>
  <si>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</si>
  <si>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</si>
  <si>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</si>
  <si>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</si>
  <si>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</si>
  <si>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</si>
  <si>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</si>
  <si>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</si>
  <si>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</si>
  <si>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</si>
  <si>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</si>
  <si>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</si>
  <si>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</si>
  <si>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</si>
  <si>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</si>
  <si>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</si>
  <si>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</si>
  <si>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</si>
  <si>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</si>
  <si>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</si>
  <si>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</si>
  <si>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</si>
  <si>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</si>
  <si>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</si>
  <si>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</si>
  <si>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</si>
  <si>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</si>
  <si>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</si>
  <si>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</si>
  <si>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</si>
  <si>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</si>
  <si>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</si>
  <si>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</si>
  <si>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</si>
  <si>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</si>
  <si>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</si>
  <si>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</si>
  <si>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</si>
  <si>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</si>
  <si>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</si>
  <si>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</si>
  <si>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</si>
  <si>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</si>
  <si>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</si>
  <si>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</si>
  <si>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</si>
  <si>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</si>
  <si>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</si>
  <si>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</si>
  <si>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</si>
  <si>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</si>
  <si>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</si>
  <si>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</si>
  <si>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</si>
  <si>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</si>
  <si>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</si>
  <si>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</si>
  <si>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</si>
  <si>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</si>
  <si>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</si>
  <si>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</si>
  <si>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</si>
  <si>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</si>
  <si>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</si>
  <si>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</si>
  <si>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</si>
  <si>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</si>
  <si>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</si>
  <si>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</si>
  <si>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</si>
  <si>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</si>
  <si>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</si>
  <si>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</si>
  <si>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</si>
  <si>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</si>
  <si>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</si>
  <si>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</si>
  <si>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</si>
  <si>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</si>
  <si>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</si>
  <si>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</si>
  <si>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</si>
  <si>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</si>
  <si>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</si>
  <si>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</si>
  <si>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</si>
  <si>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</si>
  <si>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</si>
  <si>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</si>
  <si>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</si>
  <si>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</si>
  <si>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</si>
  <si>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</si>
  <si>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</si>
  <si>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</si>
  <si>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</si>
  <si>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</si>
  <si>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</si>
  <si>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</si>
  <si>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</si>
  <si>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</si>
  <si>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</si>
  <si>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</si>
  <si>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</si>
  <si>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</si>
  <si>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</si>
  <si>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</si>
  <si>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</si>
  <si>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</si>
  <si>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</si>
  <si>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</si>
  <si>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</si>
  <si>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</si>
  <si>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</si>
  <si>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</si>
  <si>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</si>
  <si>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</si>
  <si>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</si>
  <si>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</si>
  <si>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</si>
  <si>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</si>
  <si>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</si>
  <si>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</si>
  <si>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</si>
  <si>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</si>
  <si>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</si>
  <si>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</si>
  <si>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</si>
  <si>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</si>
  <si>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</si>
  <si>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</si>
  <si>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</si>
  <si>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</si>
  <si>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</si>
  <si>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</si>
  <si>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</si>
  <si>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</si>
  <si>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</si>
  <si>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</si>
  <si>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</si>
  <si>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</si>
  <si>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</si>
  <si>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</si>
  <si>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</si>
  <si>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</si>
  <si>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</si>
  <si>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</si>
  <si>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</si>
  <si>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</si>
  <si>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</si>
  <si>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</si>
  <si>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</si>
  <si>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</si>
  <si>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</si>
  <si>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</si>
  <si>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</si>
  <si>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</si>
  <si>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</si>
  <si>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</si>
  <si>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</si>
  <si>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</si>
  <si>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</si>
  <si>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</si>
  <si>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</si>
  <si>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</si>
  <si>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</si>
  <si>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</si>
  <si>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</si>
  <si>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</si>
  <si>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</si>
  <si>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</si>
  <si>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</si>
  <si>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</si>
  <si>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</si>
  <si>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</si>
  <si>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</si>
  <si>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</si>
  <si>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</si>
  <si>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</si>
  <si>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</si>
  <si>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</si>
  <si>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</si>
  <si>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</si>
  <si>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</si>
  <si>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</si>
  <si>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</si>
  <si>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</si>
  <si>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</si>
  <si>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</si>
  <si>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</si>
  <si>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</si>
  <si>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</si>
  <si>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</si>
  <si>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</si>
  <si>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</si>
  <si>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</si>
  <si>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</si>
  <si>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</si>
  <si>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</si>
  <si>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</si>
  <si>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</si>
  <si>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</si>
  <si>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</si>
  <si>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</si>
  <si>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</si>
  <si>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</si>
  <si>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</si>
  <si>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</si>
  <si>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</si>
  <si>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</si>
  <si>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</si>
  <si>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</si>
  <si>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</si>
  <si>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</si>
  <si>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</si>
  <si>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</si>
  <si>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</si>
  <si>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</si>
  <si>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</si>
  <si>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</si>
  <si>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</si>
  <si>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</si>
  <si>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</si>
  <si>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</si>
  <si>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</si>
  <si>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</si>
  <si>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</si>
  <si>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</si>
  <si>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</si>
  <si>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</si>
  <si>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</si>
  <si>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</si>
  <si>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</si>
  <si>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</si>
  <si>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</si>
  <si>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</si>
  <si>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</si>
  <si>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</si>
  <si>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</si>
  <si>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</si>
  <si>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</si>
  <si>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</si>
  <si>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</si>
  <si>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</si>
  <si>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</si>
  <si>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</si>
  <si>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</si>
  <si>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</si>
  <si>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</si>
  <si>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</si>
  <si>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</si>
  <si>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</si>
  <si>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</si>
  <si>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</si>
  <si>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</si>
  <si>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</si>
  <si>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</si>
  <si>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</si>
  <si>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</si>
  <si>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</si>
  <si>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</si>
  <si>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</si>
  <si>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</si>
  <si>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</si>
  <si>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</si>
  <si>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</si>
  <si>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</si>
  <si>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</si>
  <si>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</si>
  <si>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</si>
  <si>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</si>
  <si>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</si>
  <si>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</si>
  <si>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</si>
  <si>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</si>
  <si>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</si>
  <si>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</si>
  <si>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</si>
  <si>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</si>
  <si>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</si>
  <si>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</si>
  <si>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</si>
  <si>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</si>
  <si>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</si>
  <si>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</si>
  <si>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</si>
  <si>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</si>
  <si>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</si>
  <si>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</si>
  <si>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</si>
  <si>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</si>
  <si>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</si>
  <si>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</si>
  <si>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</si>
  <si>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</si>
  <si>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</si>
  <si>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</si>
  <si>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</si>
  <si>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</si>
  <si>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</si>
  <si>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</si>
  <si>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</si>
  <si>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</si>
  <si>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</si>
  <si>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</si>
  <si>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</si>
  <si>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</si>
  <si>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</si>
  <si>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</si>
  <si>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</si>
  <si>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</si>
  <si>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</si>
  <si>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</si>
  <si>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</si>
  <si>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</si>
  <si>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</si>
  <si>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</si>
  <si>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</si>
  <si>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</si>
  <si>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</si>
  <si>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</si>
  <si>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</si>
  <si>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</si>
  <si>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</si>
  <si>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</si>
  <si>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</si>
  <si>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</si>
  <si>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</si>
  <si>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</si>
  <si>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</si>
  <si>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</si>
  <si>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</si>
  <si>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</si>
  <si>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</si>
  <si>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</si>
  <si>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</si>
  <si>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</si>
  <si>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</si>
  <si>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</si>
  <si>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</si>
  <si>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</si>
  <si>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</si>
  <si>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</si>
  <si>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</si>
  <si>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</si>
  <si>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</si>
  <si>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</si>
  <si>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</si>
  <si>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</si>
  <si>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</si>
  <si>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</si>
  <si>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</si>
  <si>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</si>
  <si>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</si>
  <si>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</si>
  <si>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</si>
  <si>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</si>
  <si>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</si>
  <si>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</si>
  <si>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</si>
  <si>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</si>
  <si>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</si>
  <si>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</si>
  <si>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</si>
  <si>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</si>
  <si>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</si>
  <si>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</si>
  <si>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</si>
  <si>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</si>
  <si>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</si>
  <si>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</si>
  <si>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</si>
  <si>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</si>
  <si>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</si>
  <si>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</si>
  <si>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</si>
  <si>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</si>
  <si>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</si>
  <si>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</si>
  <si>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</si>
  <si>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</si>
  <si>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</si>
  <si>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</si>
  <si>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</si>
  <si>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</si>
  <si>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</si>
  <si>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</si>
  <si>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</si>
  <si>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</si>
  <si>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</si>
  <si>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</si>
  <si>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</si>
  <si>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</si>
  <si>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</si>
  <si>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</si>
  <si>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</si>
  <si>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</si>
  <si>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</si>
  <si>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</si>
  <si>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</si>
  <si>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</si>
  <si>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</si>
  <si>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</si>
  <si>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</si>
  <si>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</si>
  <si>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</si>
  <si>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</si>
  <si>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</si>
  <si>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</si>
  <si>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</si>
  <si>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</si>
  <si>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</si>
  <si>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</si>
  <si>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</si>
  <si>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</si>
  <si>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</si>
  <si>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</si>
  <si>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</si>
  <si>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</si>
  <si>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</si>
  <si>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</si>
  <si>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</si>
  <si>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</si>
  <si>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</si>
  <si>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</si>
  <si>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</si>
  <si>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</si>
  <si>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</si>
  <si>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</si>
  <si>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</si>
  <si>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</si>
  <si>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</si>
  <si>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</si>
  <si>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</si>
  <si>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</si>
  <si>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</si>
  <si>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</si>
  <si>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</si>
  <si>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</si>
  <si>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</si>
  <si>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</si>
  <si>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</si>
  <si>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</si>
  <si>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</si>
  <si>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</si>
  <si>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</si>
  <si>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</si>
  <si>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</si>
  <si>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</si>
  <si>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</si>
  <si>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</si>
  <si>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</si>
  <si>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</si>
  <si>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</si>
  <si>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</si>
  <si>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</si>
  <si>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</si>
  <si>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</si>
  <si>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</si>
  <si>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</si>
  <si>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</si>
  <si>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</si>
  <si>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</si>
  <si>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</si>
  <si>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</si>
  <si>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</si>
  <si>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</si>
  <si>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</si>
  <si>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</si>
  <si>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</si>
  <si>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</si>
  <si>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</si>
  <si>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</si>
  <si>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</si>
  <si>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</si>
  <si>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</si>
  <si>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</si>
  <si>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</si>
  <si>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</si>
  <si>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</si>
  <si>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</si>
  <si>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</si>
  <si>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</si>
  <si>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</si>
  <si>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</si>
  <si>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</si>
  <si>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</si>
  <si>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</si>
  <si>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</si>
  <si>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</si>
  <si>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</si>
  <si>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</si>
  <si>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</si>
  <si>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</si>
  <si>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</si>
  <si>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</si>
  <si>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</si>
  <si>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</si>
  <si>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</si>
  <si>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</si>
  <si>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</si>
  <si>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</si>
  <si>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</si>
  <si>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</si>
  <si>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</si>
  <si>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</si>
  <si>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</si>
  <si>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</si>
  <si>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</si>
  <si>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</si>
  <si>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</si>
  <si>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</si>
  <si>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</si>
  <si>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</si>
  <si>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</si>
  <si>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</si>
  <si>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</si>
  <si>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</si>
  <si>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</si>
  <si>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</si>
  <si>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</si>
  <si>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</si>
  <si>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</si>
  <si>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</si>
  <si>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</si>
  <si>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</si>
  <si>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</si>
  <si>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</si>
  <si>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</si>
  <si>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</si>
  <si>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</si>
  <si>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</si>
  <si>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</si>
  <si>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</si>
  <si>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</si>
  <si>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</si>
  <si>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</si>
  <si>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</si>
  <si>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</si>
  <si>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</si>
  <si>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</si>
  <si>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</si>
  <si>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</si>
  <si>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</si>
  <si>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</si>
  <si>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</si>
  <si>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</si>
  <si>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</si>
  <si>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</si>
  <si>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</si>
  <si>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</si>
  <si>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</si>
  <si>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</si>
  <si>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</si>
  <si>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</si>
  <si>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</si>
  <si>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</si>
  <si>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</si>
  <si>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</si>
  <si>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</si>
  <si>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</si>
  <si>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</si>
  <si>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</si>
  <si>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</si>
  <si>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</si>
  <si>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</si>
  <si>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</si>
  <si>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</si>
  <si>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</si>
  <si>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</si>
  <si>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</si>
  <si>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</si>
  <si>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</si>
  <si>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</si>
  <si>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</si>
  <si>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</si>
  <si>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</si>
  <si>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</si>
  <si>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</si>
  <si>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</si>
  <si>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</si>
  <si>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</si>
  <si>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</si>
  <si>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</si>
  <si>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</si>
  <si>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</si>
  <si>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</si>
  <si>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</si>
  <si>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</si>
  <si>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</si>
  <si>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</si>
  <si>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</si>
  <si>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</si>
  <si>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</si>
  <si>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</si>
  <si>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</si>
  <si>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</si>
  <si>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</si>
  <si>
    <t>unidades diarias / año</t>
  </si>
  <si>
    <t>Target Mkt AÑ1</t>
  </si>
  <si>
    <t>Domicilio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</si>
</sst>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08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175" fontId="1" fillId="0" borderId="0" xfId="1" applyNumberFormat="1" applyFont="1" applyProtection="1">
      <protection locked="0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  <c:pt idx="37">
                  <c:v>-4533389.0734999962</c:v>
                </c:pt>
                <c:pt idx="38">
                  <c:v>8070528.1770000085</c:v>
                </c:pt>
                <c:pt idx="39">
                  <c:v>12270813.058000013</c:v>
                </c:pt>
                <c:pt idx="40">
                  <c:v>12270813.058000013</c:v>
                </c:pt>
                <c:pt idx="41">
                  <c:v>12270813.058000013</c:v>
                </c:pt>
                <c:pt idx="42">
                  <c:v>12270813.058000013</c:v>
                </c:pt>
                <c:pt idx="43">
                  <c:v>12270813.058000013</c:v>
                </c:pt>
                <c:pt idx="44">
                  <c:v>12270813.058000013</c:v>
                </c:pt>
                <c:pt idx="45">
                  <c:v>12270813.058000013</c:v>
                </c:pt>
                <c:pt idx="46">
                  <c:v>12270813.058000013</c:v>
                </c:pt>
                <c:pt idx="47">
                  <c:v>12270813.058000013</c:v>
                </c:pt>
                <c:pt idx="48">
                  <c:v>-333104.19249999151</c:v>
                </c:pt>
                <c:pt idx="49">
                  <c:v>-6967713.8352000043</c:v>
                </c:pt>
                <c:pt idx="50">
                  <c:v>5026246.3908450045</c:v>
                </c:pt>
                <c:pt idx="51">
                  <c:v>9011105.4184700064</c:v>
                </c:pt>
                <c:pt idx="52">
                  <c:v>9011105.4184700064</c:v>
                </c:pt>
                <c:pt idx="53">
                  <c:v>9011105.4184700064</c:v>
                </c:pt>
                <c:pt idx="54">
                  <c:v>9011105.4184700064</c:v>
                </c:pt>
                <c:pt idx="55">
                  <c:v>9011105.4184700064</c:v>
                </c:pt>
                <c:pt idx="56">
                  <c:v>9011105.4184700064</c:v>
                </c:pt>
                <c:pt idx="57">
                  <c:v>9011105.4184700064</c:v>
                </c:pt>
                <c:pt idx="58">
                  <c:v>9011105.4184700064</c:v>
                </c:pt>
                <c:pt idx="59">
                  <c:v>9011105.4184700064</c:v>
                </c:pt>
                <c:pt idx="60">
                  <c:v>-2962702.4399799965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  <c:pt idx="37">
                  <c:v>-4356139.0734999962</c:v>
                </c:pt>
                <c:pt idx="38">
                  <c:v>8247778.1770000085</c:v>
                </c:pt>
                <c:pt idx="39">
                  <c:v>12448063.058000013</c:v>
                </c:pt>
                <c:pt idx="40">
                  <c:v>12448063.058000013</c:v>
                </c:pt>
                <c:pt idx="41">
                  <c:v>12448063.058000013</c:v>
                </c:pt>
                <c:pt idx="42">
                  <c:v>12448063.058000013</c:v>
                </c:pt>
                <c:pt idx="43">
                  <c:v>12448063.058000013</c:v>
                </c:pt>
                <c:pt idx="44">
                  <c:v>12448063.058000013</c:v>
                </c:pt>
                <c:pt idx="45">
                  <c:v>12448063.058000013</c:v>
                </c:pt>
                <c:pt idx="46">
                  <c:v>12448063.058000013</c:v>
                </c:pt>
                <c:pt idx="47">
                  <c:v>12448063.058000013</c:v>
                </c:pt>
                <c:pt idx="48">
                  <c:v>-155854.19249999151</c:v>
                </c:pt>
                <c:pt idx="49">
                  <c:v>-6790463.8352000043</c:v>
                </c:pt>
                <c:pt idx="50">
                  <c:v>5203496.3908450045</c:v>
                </c:pt>
                <c:pt idx="51">
                  <c:v>9188355.4184700064</c:v>
                </c:pt>
                <c:pt idx="52">
                  <c:v>9188355.4184700064</c:v>
                </c:pt>
                <c:pt idx="53">
                  <c:v>9188355.4184700064</c:v>
                </c:pt>
                <c:pt idx="54">
                  <c:v>9188355.4184700064</c:v>
                </c:pt>
                <c:pt idx="55">
                  <c:v>9188355.4184700064</c:v>
                </c:pt>
                <c:pt idx="56">
                  <c:v>9188355.4184700064</c:v>
                </c:pt>
                <c:pt idx="57">
                  <c:v>9188355.4184700064</c:v>
                </c:pt>
                <c:pt idx="58">
                  <c:v>9188355.4184700064</c:v>
                </c:pt>
                <c:pt idx="59">
                  <c:v>9188355.4184700064</c:v>
                </c:pt>
                <c:pt idx="60">
                  <c:v>-2785452.4399799965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  <c:pt idx="37">
                  <c:v>-4533389.0734999962</c:v>
                </c:pt>
                <c:pt idx="38">
                  <c:v>8070528.1770000085</c:v>
                </c:pt>
                <c:pt idx="39">
                  <c:v>12270813.058000013</c:v>
                </c:pt>
                <c:pt idx="40">
                  <c:v>12270813.058000013</c:v>
                </c:pt>
                <c:pt idx="41">
                  <c:v>12270813.058000013</c:v>
                </c:pt>
                <c:pt idx="42">
                  <c:v>12270813.058000013</c:v>
                </c:pt>
                <c:pt idx="43">
                  <c:v>12270813.058000013</c:v>
                </c:pt>
                <c:pt idx="44">
                  <c:v>12270813.058000013</c:v>
                </c:pt>
                <c:pt idx="45">
                  <c:v>12270813.058000013</c:v>
                </c:pt>
                <c:pt idx="46">
                  <c:v>12270813.058000013</c:v>
                </c:pt>
                <c:pt idx="47">
                  <c:v>12270813.058000013</c:v>
                </c:pt>
                <c:pt idx="48">
                  <c:v>-333104.19249999151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  <c:pt idx="37">
                  <c:v>-252086560.15683347</c:v>
                </c:pt>
                <c:pt idx="38">
                  <c:v>-244016031.97983345</c:v>
                </c:pt>
                <c:pt idx="39">
                  <c:v>-231745218.92183346</c:v>
                </c:pt>
                <c:pt idx="40">
                  <c:v>-219474405.86383343</c:v>
                </c:pt>
                <c:pt idx="41">
                  <c:v>-207203592.8058334</c:v>
                </c:pt>
                <c:pt idx="42">
                  <c:v>-194932779.74783337</c:v>
                </c:pt>
                <c:pt idx="43">
                  <c:v>-182661966.68983334</c:v>
                </c:pt>
                <c:pt idx="44">
                  <c:v>-170391153.63183331</c:v>
                </c:pt>
                <c:pt idx="45">
                  <c:v>-158120340.57383329</c:v>
                </c:pt>
                <c:pt idx="46">
                  <c:v>-145849527.51583326</c:v>
                </c:pt>
                <c:pt idx="47">
                  <c:v>-133578714.45783325</c:v>
                </c:pt>
                <c:pt idx="48">
                  <c:v>-133911818.65033324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  <c:pt idx="37">
                  <c:v>-4356139.0734999962</c:v>
                </c:pt>
                <c:pt idx="38">
                  <c:v>8247778.1770000085</c:v>
                </c:pt>
                <c:pt idx="39">
                  <c:v>12448063.058000013</c:v>
                </c:pt>
                <c:pt idx="40">
                  <c:v>12448063.058000013</c:v>
                </c:pt>
                <c:pt idx="41">
                  <c:v>12448063.058000013</c:v>
                </c:pt>
                <c:pt idx="42">
                  <c:v>12448063.058000013</c:v>
                </c:pt>
                <c:pt idx="43">
                  <c:v>12448063.058000013</c:v>
                </c:pt>
                <c:pt idx="44">
                  <c:v>12448063.058000013</c:v>
                </c:pt>
                <c:pt idx="45">
                  <c:v>12448063.058000013</c:v>
                </c:pt>
                <c:pt idx="46">
                  <c:v>12448063.058000013</c:v>
                </c:pt>
                <c:pt idx="47">
                  <c:v>12448063.058000013</c:v>
                </c:pt>
                <c:pt idx="48">
                  <c:v>-155854.19249999151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  <c:pt idx="37">
                  <c:v>-256701726.82350013</c:v>
                </c:pt>
                <c:pt idx="38">
                  <c:v>-248453948.64650011</c:v>
                </c:pt>
                <c:pt idx="39">
                  <c:v>-236005885.58850008</c:v>
                </c:pt>
                <c:pt idx="40">
                  <c:v>-223557822.53050005</c:v>
                </c:pt>
                <c:pt idx="41">
                  <c:v>-211109759.47250003</c:v>
                </c:pt>
                <c:pt idx="42">
                  <c:v>-198661696.4145</c:v>
                </c:pt>
                <c:pt idx="43">
                  <c:v>-186213633.35649997</c:v>
                </c:pt>
                <c:pt idx="44">
                  <c:v>-173765570.29849994</c:v>
                </c:pt>
                <c:pt idx="45">
                  <c:v>-161317507.24049991</c:v>
                </c:pt>
                <c:pt idx="46">
                  <c:v>-148869444.18249989</c:v>
                </c:pt>
                <c:pt idx="47">
                  <c:v>-136421381.12449986</c:v>
                </c:pt>
                <c:pt idx="48">
                  <c:v>-136577235.31699985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69112400</c:v>
                </c:pt>
                <c:pt idx="1">
                  <c:v>69112400</c:v>
                </c:pt>
                <c:pt idx="2">
                  <c:v>69112400</c:v>
                </c:pt>
                <c:pt idx="3">
                  <c:v>69112400</c:v>
                </c:pt>
                <c:pt idx="4">
                  <c:v>38937200</c:v>
                </c:pt>
                <c:pt idx="5">
                  <c:v>25595200</c:v>
                </c:pt>
                <c:pt idx="6">
                  <c:v>12352599.999999998</c:v>
                </c:pt>
                <c:pt idx="7">
                  <c:v>0</c:v>
                </c:pt>
                <c:pt idx="8">
                  <c:v>74344700</c:v>
                </c:pt>
                <c:pt idx="9">
                  <c:v>62072100</c:v>
                </c:pt>
                <c:pt idx="10">
                  <c:v>49799500</c:v>
                </c:pt>
                <c:pt idx="11">
                  <c:v>37526900</c:v>
                </c:pt>
                <c:pt idx="12">
                  <c:v>24980200</c:v>
                </c:pt>
                <c:pt idx="13">
                  <c:v>10698000</c:v>
                </c:pt>
                <c:pt idx="14">
                  <c:v>0</c:v>
                </c:pt>
                <c:pt idx="15">
                  <c:v>80121055</c:v>
                </c:pt>
                <c:pt idx="16">
                  <c:v>71616960</c:v>
                </c:pt>
                <c:pt idx="17">
                  <c:v>63112865</c:v>
                </c:pt>
                <c:pt idx="18">
                  <c:v>54608770</c:v>
                </c:pt>
                <c:pt idx="19">
                  <c:v>46104675</c:v>
                </c:pt>
                <c:pt idx="20">
                  <c:v>37600580</c:v>
                </c:pt>
                <c:pt idx="21">
                  <c:v>29096485</c:v>
                </c:pt>
                <c:pt idx="22">
                  <c:v>20592390</c:v>
                </c:pt>
                <c:pt idx="23">
                  <c:v>12088295</c:v>
                </c:pt>
                <c:pt idx="24">
                  <c:v>0</c:v>
                </c:pt>
                <c:pt idx="25">
                  <c:v>-9971365.2999999989</c:v>
                </c:pt>
                <c:pt idx="26">
                  <c:v>-11496227.549999999</c:v>
                </c:pt>
                <c:pt idx="27">
                  <c:v>-10200055.1</c:v>
                </c:pt>
                <c:pt idx="28">
                  <c:v>-8903882.6500000004</c:v>
                </c:pt>
                <c:pt idx="29">
                  <c:v>-7607710.2000000011</c:v>
                </c:pt>
                <c:pt idx="30">
                  <c:v>-6311537.7500000019</c:v>
                </c:pt>
                <c:pt idx="31">
                  <c:v>-5015365.3000000026</c:v>
                </c:pt>
                <c:pt idx="32">
                  <c:v>-3719192.8500000034</c:v>
                </c:pt>
                <c:pt idx="33">
                  <c:v>-2423020.4000000041</c:v>
                </c:pt>
                <c:pt idx="34">
                  <c:v>-1126847.9500000048</c:v>
                </c:pt>
                <c:pt idx="35">
                  <c:v>169324.49999999441</c:v>
                </c:pt>
                <c:pt idx="36">
                  <c:v>-6990737.7500000019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-13357916.666666668</c:v>
                </c:pt>
                <c:pt idx="6">
                  <c:v>-13418516.666666668</c:v>
                </c:pt>
                <c:pt idx="7">
                  <c:v>-12449850</c:v>
                </c:pt>
                <c:pt idx="8">
                  <c:v>-12449850</c:v>
                </c:pt>
                <c:pt idx="9">
                  <c:v>-12449850</c:v>
                </c:pt>
                <c:pt idx="10">
                  <c:v>-12449850</c:v>
                </c:pt>
                <c:pt idx="11">
                  <c:v>-12449850</c:v>
                </c:pt>
                <c:pt idx="12">
                  <c:v>-12723950</c:v>
                </c:pt>
                <c:pt idx="13">
                  <c:v>-14459450</c:v>
                </c:pt>
                <c:pt idx="14">
                  <c:v>-10875250</c:v>
                </c:pt>
                <c:pt idx="15">
                  <c:v>-9681345</c:v>
                </c:pt>
                <c:pt idx="16">
                  <c:v>-8681345</c:v>
                </c:pt>
                <c:pt idx="17">
                  <c:v>-8681345</c:v>
                </c:pt>
                <c:pt idx="18">
                  <c:v>-8681345</c:v>
                </c:pt>
                <c:pt idx="19">
                  <c:v>-8681345</c:v>
                </c:pt>
                <c:pt idx="20">
                  <c:v>-8681345</c:v>
                </c:pt>
                <c:pt idx="21">
                  <c:v>-8681345</c:v>
                </c:pt>
                <c:pt idx="22">
                  <c:v>-8681345</c:v>
                </c:pt>
                <c:pt idx="23">
                  <c:v>-8681345</c:v>
                </c:pt>
                <c:pt idx="24">
                  <c:v>-12265545</c:v>
                </c:pt>
                <c:pt idx="25">
                  <c:v>-10148615.299999999</c:v>
                </c:pt>
                <c:pt idx="26">
                  <c:v>-1702112.25</c:v>
                </c:pt>
                <c:pt idx="27">
                  <c:v>1118922.4499999993</c:v>
                </c:pt>
                <c:pt idx="28">
                  <c:v>1118922.4499999993</c:v>
                </c:pt>
                <c:pt idx="29">
                  <c:v>1118922.4499999993</c:v>
                </c:pt>
                <c:pt idx="30">
                  <c:v>1118922.4499999993</c:v>
                </c:pt>
                <c:pt idx="31">
                  <c:v>1118922.4499999993</c:v>
                </c:pt>
                <c:pt idx="32">
                  <c:v>1118922.4499999993</c:v>
                </c:pt>
                <c:pt idx="33">
                  <c:v>1118922.4499999993</c:v>
                </c:pt>
                <c:pt idx="34">
                  <c:v>1118922.4499999993</c:v>
                </c:pt>
                <c:pt idx="35">
                  <c:v>1118922.4499999993</c:v>
                </c:pt>
                <c:pt idx="36">
                  <c:v>-7337312.2499999963</c:v>
                </c:pt>
                <c:pt idx="37">
                  <c:v>-4533389.0734999962</c:v>
                </c:pt>
                <c:pt idx="38">
                  <c:v>8070528.1770000085</c:v>
                </c:pt>
                <c:pt idx="39">
                  <c:v>12270813.058000013</c:v>
                </c:pt>
                <c:pt idx="40">
                  <c:v>12270813.058000013</c:v>
                </c:pt>
                <c:pt idx="41">
                  <c:v>12270813.058000013</c:v>
                </c:pt>
                <c:pt idx="42">
                  <c:v>12270813.058000013</c:v>
                </c:pt>
                <c:pt idx="43">
                  <c:v>12270813.058000013</c:v>
                </c:pt>
                <c:pt idx="44">
                  <c:v>12270813.058000013</c:v>
                </c:pt>
                <c:pt idx="45">
                  <c:v>12270813.058000013</c:v>
                </c:pt>
                <c:pt idx="46">
                  <c:v>12270813.058000013</c:v>
                </c:pt>
                <c:pt idx="47">
                  <c:v>12270813.058000013</c:v>
                </c:pt>
                <c:pt idx="48">
                  <c:v>-333104.19249999151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-19953450</c:v>
                </c:pt>
                <c:pt idx="5">
                  <c:v>-33311366.666666668</c:v>
                </c:pt>
                <c:pt idx="6">
                  <c:v>-46729883.333333336</c:v>
                </c:pt>
                <c:pt idx="7">
                  <c:v>-59179733.333333336</c:v>
                </c:pt>
                <c:pt idx="8">
                  <c:v>-71629583.333333343</c:v>
                </c:pt>
                <c:pt idx="9">
                  <c:v>-84079433.333333343</c:v>
                </c:pt>
                <c:pt idx="10">
                  <c:v>-96529283.333333343</c:v>
                </c:pt>
                <c:pt idx="11">
                  <c:v>-108979133.33333334</c:v>
                </c:pt>
                <c:pt idx="12">
                  <c:v>-121703083.33333334</c:v>
                </c:pt>
                <c:pt idx="13">
                  <c:v>-136162533.33333334</c:v>
                </c:pt>
                <c:pt idx="14">
                  <c:v>-147037783.33333334</c:v>
                </c:pt>
                <c:pt idx="15">
                  <c:v>-156719128.33333334</c:v>
                </c:pt>
                <c:pt idx="16">
                  <c:v>-165400473.33333334</c:v>
                </c:pt>
                <c:pt idx="17">
                  <c:v>-174081818.33333334</c:v>
                </c:pt>
                <c:pt idx="18">
                  <c:v>-182763163.33333334</c:v>
                </c:pt>
                <c:pt idx="19">
                  <c:v>-191444508.33333334</c:v>
                </c:pt>
                <c:pt idx="20">
                  <c:v>-200125853.33333334</c:v>
                </c:pt>
                <c:pt idx="21">
                  <c:v>-208807198.33333334</c:v>
                </c:pt>
                <c:pt idx="22">
                  <c:v>-217488543.33333334</c:v>
                </c:pt>
                <c:pt idx="23">
                  <c:v>-226169888.33333334</c:v>
                </c:pt>
                <c:pt idx="24">
                  <c:v>-238435433.33333334</c:v>
                </c:pt>
                <c:pt idx="25">
                  <c:v>-248584048.63333336</c:v>
                </c:pt>
                <c:pt idx="26">
                  <c:v>-250286160.88333336</c:v>
                </c:pt>
                <c:pt idx="27">
                  <c:v>-249167238.43333337</c:v>
                </c:pt>
                <c:pt idx="28">
                  <c:v>-248048315.98333338</c:v>
                </c:pt>
                <c:pt idx="29">
                  <c:v>-246929393.53333339</c:v>
                </c:pt>
                <c:pt idx="30">
                  <c:v>-245810471.0833334</c:v>
                </c:pt>
                <c:pt idx="31">
                  <c:v>-244691548.63333341</c:v>
                </c:pt>
                <c:pt idx="32">
                  <c:v>-243572626.18333343</c:v>
                </c:pt>
                <c:pt idx="33">
                  <c:v>-242453703.73333344</c:v>
                </c:pt>
                <c:pt idx="34">
                  <c:v>-241334781.28333345</c:v>
                </c:pt>
                <c:pt idx="35">
                  <c:v>-240215858.83333346</c:v>
                </c:pt>
                <c:pt idx="36">
                  <c:v>-247553171.08333346</c:v>
                </c:pt>
                <c:pt idx="37">
                  <c:v>-252086560.15683347</c:v>
                </c:pt>
                <c:pt idx="38">
                  <c:v>-244016031.97983345</c:v>
                </c:pt>
                <c:pt idx="39">
                  <c:v>-231745218.92183346</c:v>
                </c:pt>
                <c:pt idx="40">
                  <c:v>-219474405.86383343</c:v>
                </c:pt>
                <c:pt idx="41">
                  <c:v>-207203592.8058334</c:v>
                </c:pt>
                <c:pt idx="42">
                  <c:v>-194932779.74783337</c:v>
                </c:pt>
                <c:pt idx="43">
                  <c:v>-182661966.68983334</c:v>
                </c:pt>
                <c:pt idx="44">
                  <c:v>-170391153.63183331</c:v>
                </c:pt>
                <c:pt idx="45">
                  <c:v>-158120340.57383329</c:v>
                </c:pt>
                <c:pt idx="46">
                  <c:v>-145849527.51583326</c:v>
                </c:pt>
                <c:pt idx="47">
                  <c:v>-133578714.45783325</c:v>
                </c:pt>
                <c:pt idx="48">
                  <c:v>-133911818.65033324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-13342000.000000002</c:v>
                </c:pt>
                <c:pt idx="6">
                  <c:v>-13242600.000000002</c:v>
                </c:pt>
                <c:pt idx="7">
                  <c:v>-12352600</c:v>
                </c:pt>
                <c:pt idx="8">
                  <c:v>-12272600</c:v>
                </c:pt>
                <c:pt idx="9">
                  <c:v>-12272600</c:v>
                </c:pt>
                <c:pt idx="10">
                  <c:v>-12272600</c:v>
                </c:pt>
                <c:pt idx="11">
                  <c:v>-12272600</c:v>
                </c:pt>
                <c:pt idx="12">
                  <c:v>-12546700</c:v>
                </c:pt>
                <c:pt idx="13">
                  <c:v>-14282200</c:v>
                </c:pt>
                <c:pt idx="14">
                  <c:v>-10698000</c:v>
                </c:pt>
                <c:pt idx="15">
                  <c:v>-9504095</c:v>
                </c:pt>
                <c:pt idx="16">
                  <c:v>-8504095</c:v>
                </c:pt>
                <c:pt idx="17">
                  <c:v>-8504095</c:v>
                </c:pt>
                <c:pt idx="18">
                  <c:v>-8504095</c:v>
                </c:pt>
                <c:pt idx="19">
                  <c:v>-8504095</c:v>
                </c:pt>
                <c:pt idx="20">
                  <c:v>-8504095</c:v>
                </c:pt>
                <c:pt idx="21">
                  <c:v>-8504095</c:v>
                </c:pt>
                <c:pt idx="22">
                  <c:v>-8504095</c:v>
                </c:pt>
                <c:pt idx="23">
                  <c:v>-8504095</c:v>
                </c:pt>
                <c:pt idx="24">
                  <c:v>-12088295</c:v>
                </c:pt>
                <c:pt idx="25">
                  <c:v>-9971365.2999999989</c:v>
                </c:pt>
                <c:pt idx="26">
                  <c:v>-1524862.25</c:v>
                </c:pt>
                <c:pt idx="27">
                  <c:v>1296172.4499999993</c:v>
                </c:pt>
                <c:pt idx="28">
                  <c:v>1296172.4499999993</c:v>
                </c:pt>
                <c:pt idx="29">
                  <c:v>1296172.4499999993</c:v>
                </c:pt>
                <c:pt idx="30">
                  <c:v>1296172.4499999993</c:v>
                </c:pt>
                <c:pt idx="31">
                  <c:v>1296172.4499999993</c:v>
                </c:pt>
                <c:pt idx="32">
                  <c:v>1296172.4499999993</c:v>
                </c:pt>
                <c:pt idx="33">
                  <c:v>1296172.4499999993</c:v>
                </c:pt>
                <c:pt idx="34">
                  <c:v>1296172.4499999993</c:v>
                </c:pt>
                <c:pt idx="35">
                  <c:v>1296172.4499999993</c:v>
                </c:pt>
                <c:pt idx="36">
                  <c:v>-7160062.2499999963</c:v>
                </c:pt>
                <c:pt idx="37">
                  <c:v>-4356139.0734999962</c:v>
                </c:pt>
                <c:pt idx="38">
                  <c:v>8247778.1770000085</c:v>
                </c:pt>
                <c:pt idx="39">
                  <c:v>12448063.058000013</c:v>
                </c:pt>
                <c:pt idx="40">
                  <c:v>12448063.058000013</c:v>
                </c:pt>
                <c:pt idx="41">
                  <c:v>12448063.058000013</c:v>
                </c:pt>
                <c:pt idx="42">
                  <c:v>12448063.058000013</c:v>
                </c:pt>
                <c:pt idx="43">
                  <c:v>12448063.058000013</c:v>
                </c:pt>
                <c:pt idx="44">
                  <c:v>12448063.058000013</c:v>
                </c:pt>
                <c:pt idx="45">
                  <c:v>12448063.058000013</c:v>
                </c:pt>
                <c:pt idx="46">
                  <c:v>12448063.058000013</c:v>
                </c:pt>
                <c:pt idx="47">
                  <c:v>12448063.058000013</c:v>
                </c:pt>
                <c:pt idx="48">
                  <c:v>-155854.19249999151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-30175200</c:v>
                </c:pt>
                <c:pt idx="5">
                  <c:v>-43517200</c:v>
                </c:pt>
                <c:pt idx="6">
                  <c:v>-56759800</c:v>
                </c:pt>
                <c:pt idx="7">
                  <c:v>-69112400</c:v>
                </c:pt>
                <c:pt idx="8">
                  <c:v>-81385000</c:v>
                </c:pt>
                <c:pt idx="9">
                  <c:v>-93657600</c:v>
                </c:pt>
                <c:pt idx="10">
                  <c:v>-105930200</c:v>
                </c:pt>
                <c:pt idx="11">
                  <c:v>-118202800</c:v>
                </c:pt>
                <c:pt idx="12">
                  <c:v>-130749500</c:v>
                </c:pt>
                <c:pt idx="13">
                  <c:v>-145031700</c:v>
                </c:pt>
                <c:pt idx="14">
                  <c:v>-155729700</c:v>
                </c:pt>
                <c:pt idx="15">
                  <c:v>-165233795</c:v>
                </c:pt>
                <c:pt idx="16">
                  <c:v>-173737890</c:v>
                </c:pt>
                <c:pt idx="17">
                  <c:v>-182241985</c:v>
                </c:pt>
                <c:pt idx="18">
                  <c:v>-190746080</c:v>
                </c:pt>
                <c:pt idx="19">
                  <c:v>-199250175</c:v>
                </c:pt>
                <c:pt idx="20">
                  <c:v>-207754270</c:v>
                </c:pt>
                <c:pt idx="21">
                  <c:v>-216258365</c:v>
                </c:pt>
                <c:pt idx="22">
                  <c:v>-224762460</c:v>
                </c:pt>
                <c:pt idx="23">
                  <c:v>-233266555</c:v>
                </c:pt>
                <c:pt idx="24">
                  <c:v>-245354850</c:v>
                </c:pt>
                <c:pt idx="25">
                  <c:v>-255326215.30000001</c:v>
                </c:pt>
                <c:pt idx="26">
                  <c:v>-256851077.55000001</c:v>
                </c:pt>
                <c:pt idx="27">
                  <c:v>-255554905.10000002</c:v>
                </c:pt>
                <c:pt idx="28">
                  <c:v>-254258732.65000004</c:v>
                </c:pt>
                <c:pt idx="29">
                  <c:v>-252962560.20000005</c:v>
                </c:pt>
                <c:pt idx="30">
                  <c:v>-251666387.75000006</c:v>
                </c:pt>
                <c:pt idx="31">
                  <c:v>-250370215.30000007</c:v>
                </c:pt>
                <c:pt idx="32">
                  <c:v>-249074042.85000008</c:v>
                </c:pt>
                <c:pt idx="33">
                  <c:v>-247777870.4000001</c:v>
                </c:pt>
                <c:pt idx="34">
                  <c:v>-246481697.95000011</c:v>
                </c:pt>
                <c:pt idx="35">
                  <c:v>-245185525.50000012</c:v>
                </c:pt>
                <c:pt idx="36">
                  <c:v>-252345587.75000012</c:v>
                </c:pt>
                <c:pt idx="37">
                  <c:v>-256701726.82350013</c:v>
                </c:pt>
                <c:pt idx="38">
                  <c:v>-248453948.64650011</c:v>
                </c:pt>
                <c:pt idx="39">
                  <c:v>-236005885.58850008</c:v>
                </c:pt>
                <c:pt idx="40">
                  <c:v>-223557822.53050005</c:v>
                </c:pt>
                <c:pt idx="41">
                  <c:v>-211109759.47250003</c:v>
                </c:pt>
                <c:pt idx="42">
                  <c:v>-198661696.4145</c:v>
                </c:pt>
                <c:pt idx="43">
                  <c:v>-186213633.35649997</c:v>
                </c:pt>
                <c:pt idx="44">
                  <c:v>-173765570.29849994</c:v>
                </c:pt>
                <c:pt idx="45">
                  <c:v>-161317507.24049991</c:v>
                </c:pt>
                <c:pt idx="46">
                  <c:v>-148869444.18249989</c:v>
                </c:pt>
                <c:pt idx="47">
                  <c:v>-136421381.12449986</c:v>
                </c:pt>
                <c:pt idx="48">
                  <c:v>-136577235.31699985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69112400</c:v>
                </c:pt>
                <c:pt idx="1">
                  <c:v>69112400</c:v>
                </c:pt>
                <c:pt idx="2">
                  <c:v>69112400</c:v>
                </c:pt>
                <c:pt idx="3">
                  <c:v>69112400</c:v>
                </c:pt>
                <c:pt idx="4">
                  <c:v>38937200</c:v>
                </c:pt>
                <c:pt idx="5">
                  <c:v>25595200</c:v>
                </c:pt>
                <c:pt idx="6">
                  <c:v>12352599.999999998</c:v>
                </c:pt>
                <c:pt idx="7">
                  <c:v>0</c:v>
                </c:pt>
                <c:pt idx="8">
                  <c:v>74344700</c:v>
                </c:pt>
                <c:pt idx="9">
                  <c:v>62072100</c:v>
                </c:pt>
                <c:pt idx="10">
                  <c:v>49799500</c:v>
                </c:pt>
                <c:pt idx="11">
                  <c:v>37526900</c:v>
                </c:pt>
                <c:pt idx="12">
                  <c:v>24980200</c:v>
                </c:pt>
                <c:pt idx="13">
                  <c:v>10698000</c:v>
                </c:pt>
                <c:pt idx="14">
                  <c:v>0</c:v>
                </c:pt>
                <c:pt idx="15">
                  <c:v>80121055</c:v>
                </c:pt>
                <c:pt idx="16">
                  <c:v>71616960</c:v>
                </c:pt>
                <c:pt idx="17">
                  <c:v>63112865</c:v>
                </c:pt>
                <c:pt idx="18">
                  <c:v>54608770</c:v>
                </c:pt>
                <c:pt idx="19">
                  <c:v>46104675</c:v>
                </c:pt>
                <c:pt idx="20">
                  <c:v>37600580</c:v>
                </c:pt>
                <c:pt idx="21">
                  <c:v>29096485</c:v>
                </c:pt>
                <c:pt idx="22">
                  <c:v>20592390</c:v>
                </c:pt>
                <c:pt idx="23">
                  <c:v>12088295</c:v>
                </c:pt>
                <c:pt idx="24">
                  <c:v>0</c:v>
                </c:pt>
                <c:pt idx="25">
                  <c:v>-9971365.2999999989</c:v>
                </c:pt>
                <c:pt idx="26">
                  <c:v>-11496227.549999999</c:v>
                </c:pt>
                <c:pt idx="27">
                  <c:v>-10200055.1</c:v>
                </c:pt>
                <c:pt idx="28">
                  <c:v>-8903882.6500000004</c:v>
                </c:pt>
                <c:pt idx="29">
                  <c:v>-7607710.2000000011</c:v>
                </c:pt>
                <c:pt idx="30">
                  <c:v>-6311537.7500000019</c:v>
                </c:pt>
                <c:pt idx="31">
                  <c:v>-5015365.3000000026</c:v>
                </c:pt>
                <c:pt idx="32">
                  <c:v>-3719192.8500000034</c:v>
                </c:pt>
                <c:pt idx="33">
                  <c:v>-2423020.4000000041</c:v>
                </c:pt>
                <c:pt idx="34">
                  <c:v>-1126847.9500000048</c:v>
                </c:pt>
                <c:pt idx="35">
                  <c:v>169324.49999999441</c:v>
                </c:pt>
                <c:pt idx="36">
                  <c:v>-6990737.7500000019</c:v>
                </c:pt>
                <c:pt idx="37">
                  <c:v>-11346876.823499998</c:v>
                </c:pt>
                <c:pt idx="38">
                  <c:v>-3099098.6464999896</c:v>
                </c:pt>
                <c:pt idx="39">
                  <c:v>9348964.4115000237</c:v>
                </c:pt>
                <c:pt idx="40">
                  <c:v>21797027.469500035</c:v>
                </c:pt>
                <c:pt idx="41">
                  <c:v>34245090.527500048</c:v>
                </c:pt>
                <c:pt idx="42">
                  <c:v>46693153.585500062</c:v>
                </c:pt>
                <c:pt idx="43">
                  <c:v>59141216.643500075</c:v>
                </c:pt>
                <c:pt idx="44">
                  <c:v>71589279.701500088</c:v>
                </c:pt>
                <c:pt idx="45">
                  <c:v>84037342.759500101</c:v>
                </c:pt>
                <c:pt idx="46">
                  <c:v>96485405.817500114</c:v>
                </c:pt>
                <c:pt idx="47">
                  <c:v>108933468.87550013</c:v>
                </c:pt>
                <c:pt idx="48">
                  <c:v>108777614.68300013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9009000</c:v>
                </c:pt>
                <c:pt idx="4">
                  <c:v>13542000</c:v>
                </c:pt>
                <c:pt idx="5">
                  <c:v>18369000</c:v>
                </c:pt>
                <c:pt idx="6">
                  <c:v>18369000</c:v>
                </c:pt>
                <c:pt idx="7">
                  <c:v>18369000</c:v>
                </c:pt>
                <c:pt idx="8">
                  <c:v>18369000</c:v>
                </c:pt>
                <c:pt idx="9">
                  <c:v>18369000</c:v>
                </c:pt>
                <c:pt idx="10">
                  <c:v>18369000</c:v>
                </c:pt>
                <c:pt idx="11">
                  <c:v>17480500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616</c:v>
                </c:pt>
                <c:pt idx="5">
                  <c:v>726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2109800</c:v>
                </c:pt>
                <c:pt idx="4">
                  <c:v>3708000</c:v>
                </c:pt>
                <c:pt idx="5">
                  <c:v>5647400</c:v>
                </c:pt>
                <c:pt idx="6">
                  <c:v>5647400</c:v>
                </c:pt>
                <c:pt idx="7">
                  <c:v>5647400</c:v>
                </c:pt>
                <c:pt idx="8">
                  <c:v>5647400</c:v>
                </c:pt>
                <c:pt idx="9">
                  <c:v>5647400</c:v>
                </c:pt>
                <c:pt idx="10">
                  <c:v>5647400</c:v>
                </c:pt>
                <c:pt idx="11">
                  <c:v>5373300</c:v>
                </c:pt>
                <c:pt idx="12">
                  <c:v>5977800</c:v>
                </c:pt>
                <c:pt idx="13">
                  <c:v>9562000</c:v>
                </c:pt>
                <c:pt idx="14">
                  <c:v>10755905</c:v>
                </c:pt>
                <c:pt idx="15">
                  <c:v>10755905</c:v>
                </c:pt>
                <c:pt idx="16">
                  <c:v>10755905</c:v>
                </c:pt>
                <c:pt idx="17">
                  <c:v>10755905</c:v>
                </c:pt>
                <c:pt idx="18">
                  <c:v>10755905</c:v>
                </c:pt>
                <c:pt idx="19">
                  <c:v>10755905</c:v>
                </c:pt>
                <c:pt idx="20">
                  <c:v>10755905</c:v>
                </c:pt>
                <c:pt idx="21">
                  <c:v>10755905</c:v>
                </c:pt>
                <c:pt idx="22">
                  <c:v>10755905</c:v>
                </c:pt>
                <c:pt idx="23">
                  <c:v>7171705</c:v>
                </c:pt>
                <c:pt idx="24">
                  <c:v>14091434.700000001</c:v>
                </c:pt>
                <c:pt idx="25">
                  <c:v>22537937.75</c:v>
                </c:pt>
                <c:pt idx="26">
                  <c:v>25358972.449999999</c:v>
                </c:pt>
                <c:pt idx="27">
                  <c:v>25358972.449999999</c:v>
                </c:pt>
                <c:pt idx="28">
                  <c:v>25358972.449999999</c:v>
                </c:pt>
                <c:pt idx="29">
                  <c:v>25358972.449999999</c:v>
                </c:pt>
                <c:pt idx="30">
                  <c:v>25358972.449999999</c:v>
                </c:pt>
                <c:pt idx="31">
                  <c:v>25358972.449999999</c:v>
                </c:pt>
                <c:pt idx="32">
                  <c:v>25358972.449999999</c:v>
                </c:pt>
                <c:pt idx="33">
                  <c:v>25358972.449999999</c:v>
                </c:pt>
                <c:pt idx="34">
                  <c:v>25358972.449999999</c:v>
                </c:pt>
                <c:pt idx="35">
                  <c:v>16902737.750000004</c:v>
                </c:pt>
                <c:pt idx="36">
                  <c:v>21003736.926500004</c:v>
                </c:pt>
                <c:pt idx="37">
                  <c:v>33607654.177000009</c:v>
                </c:pt>
                <c:pt idx="38">
                  <c:v>37807939.058000013</c:v>
                </c:pt>
                <c:pt idx="39">
                  <c:v>37807939.058000013</c:v>
                </c:pt>
                <c:pt idx="40">
                  <c:v>37807939.058000013</c:v>
                </c:pt>
                <c:pt idx="41">
                  <c:v>37807939.058000013</c:v>
                </c:pt>
                <c:pt idx="42">
                  <c:v>37807939.058000013</c:v>
                </c:pt>
                <c:pt idx="43">
                  <c:v>37807939.058000013</c:v>
                </c:pt>
                <c:pt idx="44">
                  <c:v>37807939.058000013</c:v>
                </c:pt>
                <c:pt idx="45">
                  <c:v>37807939.058000013</c:v>
                </c:pt>
                <c:pt idx="46">
                  <c:v>37807939.058000013</c:v>
                </c:pt>
                <c:pt idx="47">
                  <c:v>25204021.807500005</c:v>
                </c:pt>
                <c:pt idx="48">
                  <c:v>19975433.4848</c:v>
                </c:pt>
                <c:pt idx="49">
                  <c:v>31969393.710845008</c:v>
                </c:pt>
                <c:pt idx="50">
                  <c:v>35954252.73847001</c:v>
                </c:pt>
                <c:pt idx="51">
                  <c:v>35954252.73847001</c:v>
                </c:pt>
                <c:pt idx="52">
                  <c:v>35954252.73847001</c:v>
                </c:pt>
                <c:pt idx="53">
                  <c:v>35954252.73847001</c:v>
                </c:pt>
                <c:pt idx="54">
                  <c:v>35954252.73847001</c:v>
                </c:pt>
                <c:pt idx="55">
                  <c:v>35954252.73847001</c:v>
                </c:pt>
                <c:pt idx="56">
                  <c:v>35954252.73847001</c:v>
                </c:pt>
                <c:pt idx="57">
                  <c:v>35954252.73847001</c:v>
                </c:pt>
                <c:pt idx="58">
                  <c:v>35954252.73847001</c:v>
                </c:pt>
                <c:pt idx="59">
                  <c:v>23980444.880020004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5852000</c:v>
                </c:pt>
                <c:pt idx="4">
                  <c:v>6897000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4274500</c:v>
                </c:pt>
                <c:pt idx="4">
                  <c:v>5932000</c:v>
                </c:pt>
                <c:pt idx="5">
                  <c:v>7480000</c:v>
                </c:pt>
                <c:pt idx="6">
                  <c:v>7480000</c:v>
                </c:pt>
                <c:pt idx="7">
                  <c:v>7480000</c:v>
                </c:pt>
                <c:pt idx="8">
                  <c:v>7480000</c:v>
                </c:pt>
                <c:pt idx="9">
                  <c:v>7480000</c:v>
                </c:pt>
                <c:pt idx="10">
                  <c:v>7480000</c:v>
                </c:pt>
                <c:pt idx="11">
                  <c:v>7117500</c:v>
                </c:pt>
                <c:pt idx="12">
                  <c:v>7663875</c:v>
                </c:pt>
                <c:pt idx="13">
                  <c:v>12358500</c:v>
                </c:pt>
                <c:pt idx="14">
                  <c:v>13900905</c:v>
                </c:pt>
                <c:pt idx="15">
                  <c:v>13900905</c:v>
                </c:pt>
                <c:pt idx="16">
                  <c:v>13900905</c:v>
                </c:pt>
                <c:pt idx="17">
                  <c:v>13900905</c:v>
                </c:pt>
                <c:pt idx="18">
                  <c:v>13900905</c:v>
                </c:pt>
                <c:pt idx="19">
                  <c:v>13900905</c:v>
                </c:pt>
                <c:pt idx="20">
                  <c:v>13900905</c:v>
                </c:pt>
                <c:pt idx="21">
                  <c:v>13900905</c:v>
                </c:pt>
                <c:pt idx="22">
                  <c:v>13900905</c:v>
                </c:pt>
                <c:pt idx="23">
                  <c:v>9267805</c:v>
                </c:pt>
                <c:pt idx="24">
                  <c:v>17176934.700000003</c:v>
                </c:pt>
                <c:pt idx="25">
                  <c:v>27474737.75</c:v>
                </c:pt>
                <c:pt idx="26">
                  <c:v>30912872.449999999</c:v>
                </c:pt>
                <c:pt idx="27">
                  <c:v>30912872.449999999</c:v>
                </c:pt>
                <c:pt idx="28">
                  <c:v>30912872.449999999</c:v>
                </c:pt>
                <c:pt idx="29">
                  <c:v>30912872.449999999</c:v>
                </c:pt>
                <c:pt idx="30">
                  <c:v>30912872.449999999</c:v>
                </c:pt>
                <c:pt idx="31">
                  <c:v>30912872.449999999</c:v>
                </c:pt>
                <c:pt idx="32">
                  <c:v>30912872.449999999</c:v>
                </c:pt>
                <c:pt idx="33">
                  <c:v>30912872.449999999</c:v>
                </c:pt>
                <c:pt idx="34">
                  <c:v>30912872.449999999</c:v>
                </c:pt>
                <c:pt idx="35">
                  <c:v>20605337.750000004</c:v>
                </c:pt>
                <c:pt idx="36">
                  <c:v>18896900.796500001</c:v>
                </c:pt>
                <c:pt idx="37">
                  <c:v>30234673.761500001</c:v>
                </c:pt>
                <c:pt idx="38">
                  <c:v>34013931.41650001</c:v>
                </c:pt>
                <c:pt idx="39">
                  <c:v>34013931.41650001</c:v>
                </c:pt>
                <c:pt idx="40">
                  <c:v>34013931.41650001</c:v>
                </c:pt>
                <c:pt idx="41">
                  <c:v>34013931.41650001</c:v>
                </c:pt>
                <c:pt idx="42">
                  <c:v>34013931.41650001</c:v>
                </c:pt>
                <c:pt idx="43">
                  <c:v>34013931.41650001</c:v>
                </c:pt>
                <c:pt idx="44">
                  <c:v>34013931.41650001</c:v>
                </c:pt>
                <c:pt idx="45">
                  <c:v>34013931.41650001</c:v>
                </c:pt>
                <c:pt idx="46">
                  <c:v>34013931.41650001</c:v>
                </c:pt>
                <c:pt idx="47">
                  <c:v>22676158.451500006</c:v>
                </c:pt>
                <c:pt idx="48">
                  <c:v>20822650.016855001</c:v>
                </c:pt>
                <c:pt idx="49">
                  <c:v>33324366.962230008</c:v>
                </c:pt>
                <c:pt idx="50">
                  <c:v>37482211.905950002</c:v>
                </c:pt>
                <c:pt idx="51">
                  <c:v>37482211.905950002</c:v>
                </c:pt>
                <c:pt idx="52">
                  <c:v>37482211.905950002</c:v>
                </c:pt>
                <c:pt idx="53">
                  <c:v>37482211.905950002</c:v>
                </c:pt>
                <c:pt idx="54">
                  <c:v>37482211.905950002</c:v>
                </c:pt>
                <c:pt idx="55">
                  <c:v>37482211.905950002</c:v>
                </c:pt>
                <c:pt idx="56">
                  <c:v>37482211.905950002</c:v>
                </c:pt>
                <c:pt idx="57">
                  <c:v>37482211.905950002</c:v>
                </c:pt>
                <c:pt idx="58">
                  <c:v>37482211.905950002</c:v>
                </c:pt>
                <c:pt idx="59">
                  <c:v>24997535.308705002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3066000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2065000</c:v>
                </c:pt>
                <c:pt idx="4">
                  <c:v>2866000</c:v>
                </c:pt>
                <c:pt idx="5">
                  <c:v>3614500</c:v>
                </c:pt>
                <c:pt idx="6">
                  <c:v>3614500</c:v>
                </c:pt>
                <c:pt idx="7">
                  <c:v>3614500</c:v>
                </c:pt>
                <c:pt idx="8">
                  <c:v>3614500</c:v>
                </c:pt>
                <c:pt idx="9">
                  <c:v>3614500</c:v>
                </c:pt>
                <c:pt idx="10">
                  <c:v>3614500</c:v>
                </c:pt>
                <c:pt idx="11">
                  <c:v>3436500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11696870.850000001</c:v>
                </c:pt>
                <c:pt idx="25">
                  <c:v>18703086.400000002</c:v>
                </c:pt>
                <c:pt idx="26">
                  <c:v>21048414.050000001</c:v>
                </c:pt>
                <c:pt idx="27">
                  <c:v>21048414.050000001</c:v>
                </c:pt>
                <c:pt idx="28">
                  <c:v>21048414.050000001</c:v>
                </c:pt>
                <c:pt idx="29">
                  <c:v>21048414.050000001</c:v>
                </c:pt>
                <c:pt idx="30">
                  <c:v>21048414.050000001</c:v>
                </c:pt>
                <c:pt idx="31">
                  <c:v>21048414.050000001</c:v>
                </c:pt>
                <c:pt idx="32">
                  <c:v>21048414.050000001</c:v>
                </c:pt>
                <c:pt idx="33">
                  <c:v>21048414.050000001</c:v>
                </c:pt>
                <c:pt idx="34">
                  <c:v>21048414.050000001</c:v>
                </c:pt>
                <c:pt idx="35">
                  <c:v>14027314.800000003</c:v>
                </c:pt>
                <c:pt idx="36">
                  <c:v>12887452.360000001</c:v>
                </c:pt>
                <c:pt idx="37">
                  <c:v>20618086.211500004</c:v>
                </c:pt>
                <c:pt idx="38">
                  <c:v>23194964.162000008</c:v>
                </c:pt>
                <c:pt idx="39">
                  <c:v>23194964.162000008</c:v>
                </c:pt>
                <c:pt idx="40">
                  <c:v>23194964.162000008</c:v>
                </c:pt>
                <c:pt idx="41">
                  <c:v>23194964.162000008</c:v>
                </c:pt>
                <c:pt idx="42">
                  <c:v>23194964.162000008</c:v>
                </c:pt>
                <c:pt idx="43">
                  <c:v>23194964.162000008</c:v>
                </c:pt>
                <c:pt idx="44">
                  <c:v>23194964.162000008</c:v>
                </c:pt>
                <c:pt idx="45">
                  <c:v>23194964.162000008</c:v>
                </c:pt>
                <c:pt idx="46">
                  <c:v>23194964.162000008</c:v>
                </c:pt>
                <c:pt idx="47">
                  <c:v>15464330.310500007</c:v>
                </c:pt>
                <c:pt idx="48">
                  <c:v>14201163.972340003</c:v>
                </c:pt>
                <c:pt idx="49">
                  <c:v>22726581.221380003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385000</c:v>
                </c:pt>
                <c:pt idx="4">
                  <c:v>455000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8624000</c:v>
                </c:pt>
                <c:pt idx="4">
                  <c:v>10164000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workbookViewId="0"/>
    <sheetView workbookViewId="1"/>
    <sheetView workbookViewId="2"/>
    <sheetView workbookViewId="3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1152</v>
      </c>
      <c r="C1" s="325"/>
    </row>
    <row r="2" spans="1:5" ht="19" x14ac:dyDescent="0.25">
      <c r="A2" s="326" t="s">
        <v>1151</v>
      </c>
      <c r="C2" s="326" t="s">
        <v>1150</v>
      </c>
      <c r="D2" s="326" t="s">
        <v>1211</v>
      </c>
    </row>
    <row r="3" spans="1:5" ht="3" customHeight="1" x14ac:dyDescent="0.2"/>
    <row r="4" spans="1:5" ht="15" x14ac:dyDescent="0.2">
      <c r="A4" s="327" t="s">
        <v>1132</v>
      </c>
      <c r="C4" s="327" t="s">
        <v>1088</v>
      </c>
      <c r="D4" s="327" t="s">
        <v>1116</v>
      </c>
    </row>
    <row r="5" spans="1:5" ht="15" x14ac:dyDescent="0.2">
      <c r="A5" s="328" t="s">
        <v>1137</v>
      </c>
      <c r="C5" s="327" t="s">
        <v>1089</v>
      </c>
      <c r="D5" s="327" t="s">
        <v>1122</v>
      </c>
    </row>
    <row r="6" spans="1:5" ht="15" x14ac:dyDescent="0.2">
      <c r="A6" s="327" t="s">
        <v>1135</v>
      </c>
      <c r="C6" s="327" t="s">
        <v>1090</v>
      </c>
      <c r="D6" s="327" t="s">
        <v>1127</v>
      </c>
    </row>
    <row r="7" spans="1:5" ht="15" x14ac:dyDescent="0.2">
      <c r="A7" s="327" t="s">
        <v>1133</v>
      </c>
      <c r="C7" s="327" t="s">
        <v>1091</v>
      </c>
      <c r="D7" s="327" t="s">
        <v>1123</v>
      </c>
    </row>
    <row r="8" spans="1:5" ht="15" x14ac:dyDescent="0.2">
      <c r="A8" s="327" t="s">
        <v>1134</v>
      </c>
      <c r="C8" s="327" t="s">
        <v>1092</v>
      </c>
      <c r="D8" s="327" t="s">
        <v>1117</v>
      </c>
    </row>
    <row r="9" spans="1:5" ht="15" x14ac:dyDescent="0.2">
      <c r="A9" s="327" t="s">
        <v>1090</v>
      </c>
      <c r="C9" s="327" t="s">
        <v>1093</v>
      </c>
      <c r="D9" s="327" t="s">
        <v>1130</v>
      </c>
    </row>
    <row r="10" spans="1:5" ht="15" x14ac:dyDescent="0.2">
      <c r="A10" s="327" t="s">
        <v>1088</v>
      </c>
      <c r="C10" s="327" t="s">
        <v>1094</v>
      </c>
      <c r="D10" s="327" t="s">
        <v>1121</v>
      </c>
    </row>
    <row r="11" spans="1:5" ht="15" x14ac:dyDescent="0.2">
      <c r="A11" s="328" t="s">
        <v>1139</v>
      </c>
      <c r="C11" s="327" t="s">
        <v>1095</v>
      </c>
      <c r="D11" s="327" t="s">
        <v>1094</v>
      </c>
    </row>
    <row r="12" spans="1:5" ht="15" x14ac:dyDescent="0.2">
      <c r="A12" s="328" t="s">
        <v>1146</v>
      </c>
      <c r="C12" s="327" t="s">
        <v>1096</v>
      </c>
      <c r="D12" s="327" t="s">
        <v>1115</v>
      </c>
      <c r="E12" s="324" t="s">
        <v>753</v>
      </c>
    </row>
    <row r="13" spans="1:5" ht="15" x14ac:dyDescent="0.2">
      <c r="A13" s="328" t="s">
        <v>1124</v>
      </c>
      <c r="C13" s="327" t="s">
        <v>1097</v>
      </c>
      <c r="D13" s="327" t="s">
        <v>1108</v>
      </c>
      <c r="E13" s="324" t="s">
        <v>753</v>
      </c>
    </row>
    <row r="14" spans="1:5" ht="15" x14ac:dyDescent="0.2">
      <c r="A14" s="328" t="s">
        <v>1120</v>
      </c>
      <c r="C14" s="328" t="s">
        <v>1098</v>
      </c>
      <c r="D14" s="327" t="s">
        <v>1143</v>
      </c>
    </row>
    <row r="15" spans="1:5" ht="15" x14ac:dyDescent="0.2">
      <c r="A15" s="327" t="s">
        <v>1123</v>
      </c>
      <c r="C15" s="328" t="s">
        <v>1099</v>
      </c>
      <c r="D15" s="327" t="s">
        <v>1097</v>
      </c>
    </row>
    <row r="16" spans="1:5" ht="15" x14ac:dyDescent="0.2">
      <c r="A16" s="327" t="s">
        <v>1121</v>
      </c>
      <c r="C16" s="328" t="s">
        <v>1100</v>
      </c>
    </row>
    <row r="17" spans="1:3" ht="15" x14ac:dyDescent="0.2">
      <c r="A17" s="327" t="s">
        <v>1122</v>
      </c>
      <c r="C17" s="327" t="s">
        <v>1101</v>
      </c>
    </row>
    <row r="18" spans="1:3" ht="15" x14ac:dyDescent="0.2">
      <c r="A18" s="327" t="s">
        <v>1112</v>
      </c>
      <c r="C18" s="328" t="s">
        <v>1102</v>
      </c>
    </row>
    <row r="19" spans="1:3" ht="15" x14ac:dyDescent="0.2">
      <c r="A19" s="328" t="s">
        <v>1109</v>
      </c>
      <c r="C19" s="328" t="s">
        <v>1103</v>
      </c>
    </row>
    <row r="20" spans="1:3" ht="15" x14ac:dyDescent="0.2">
      <c r="A20" s="328" t="s">
        <v>1111</v>
      </c>
      <c r="C20" s="327" t="s">
        <v>1104</v>
      </c>
    </row>
    <row r="21" spans="1:3" ht="15" x14ac:dyDescent="0.2">
      <c r="A21" s="328" t="s">
        <v>1110</v>
      </c>
      <c r="C21" s="327" t="s">
        <v>1105</v>
      </c>
    </row>
    <row r="22" spans="1:3" ht="15" x14ac:dyDescent="0.2">
      <c r="A22" s="327" t="s">
        <v>1115</v>
      </c>
      <c r="C22" s="328" t="s">
        <v>1106</v>
      </c>
    </row>
    <row r="23" spans="1:3" ht="15" x14ac:dyDescent="0.2">
      <c r="A23" s="327" t="s">
        <v>1114</v>
      </c>
      <c r="C23" s="328" t="s">
        <v>1107</v>
      </c>
    </row>
    <row r="24" spans="1:3" ht="15" x14ac:dyDescent="0.2">
      <c r="A24" s="327" t="s">
        <v>1113</v>
      </c>
      <c r="C24" s="327" t="s">
        <v>1108</v>
      </c>
    </row>
    <row r="25" spans="1:3" ht="15" x14ac:dyDescent="0.2">
      <c r="A25" s="327" t="s">
        <v>1118</v>
      </c>
      <c r="C25" s="328" t="s">
        <v>1109</v>
      </c>
    </row>
    <row r="26" spans="1:3" ht="15" x14ac:dyDescent="0.2">
      <c r="A26" s="327" t="s">
        <v>1119</v>
      </c>
      <c r="C26" s="328" t="s">
        <v>1110</v>
      </c>
    </row>
    <row r="27" spans="1:3" ht="15" x14ac:dyDescent="0.2">
      <c r="A27" s="327" t="s">
        <v>1104</v>
      </c>
      <c r="C27" s="328" t="s">
        <v>1111</v>
      </c>
    </row>
    <row r="28" spans="1:3" ht="15" x14ac:dyDescent="0.2">
      <c r="A28" s="328" t="s">
        <v>1107</v>
      </c>
      <c r="C28" s="327" t="s">
        <v>1112</v>
      </c>
    </row>
    <row r="29" spans="1:3" ht="15" x14ac:dyDescent="0.2">
      <c r="A29" s="328" t="s">
        <v>1103</v>
      </c>
      <c r="C29" s="327" t="s">
        <v>1113</v>
      </c>
    </row>
    <row r="30" spans="1:3" ht="15" x14ac:dyDescent="0.2">
      <c r="A30" s="328" t="s">
        <v>1106</v>
      </c>
      <c r="C30" s="327" t="s">
        <v>1114</v>
      </c>
    </row>
    <row r="31" spans="1:3" ht="15" x14ac:dyDescent="0.2">
      <c r="A31" s="327" t="s">
        <v>1108</v>
      </c>
      <c r="C31" s="327" t="s">
        <v>1115</v>
      </c>
    </row>
    <row r="32" spans="1:3" ht="15" x14ac:dyDescent="0.2">
      <c r="A32" s="327" t="s">
        <v>1105</v>
      </c>
      <c r="C32" s="327" t="s">
        <v>1116</v>
      </c>
    </row>
    <row r="33" spans="1:3" ht="15" x14ac:dyDescent="0.2">
      <c r="A33" s="328" t="s">
        <v>1098</v>
      </c>
      <c r="C33" s="327" t="s">
        <v>1117</v>
      </c>
    </row>
    <row r="34" spans="1:3" ht="15" x14ac:dyDescent="0.2">
      <c r="A34" s="327" t="s">
        <v>1101</v>
      </c>
      <c r="C34" s="327" t="s">
        <v>1118</v>
      </c>
    </row>
    <row r="35" spans="1:3" ht="15" x14ac:dyDescent="0.2">
      <c r="A35" s="328" t="s">
        <v>1099</v>
      </c>
      <c r="C35" s="327" t="s">
        <v>1119</v>
      </c>
    </row>
    <row r="36" spans="1:3" ht="15" x14ac:dyDescent="0.2">
      <c r="A36" s="328" t="s">
        <v>1100</v>
      </c>
      <c r="C36" s="328" t="s">
        <v>1120</v>
      </c>
    </row>
    <row r="37" spans="1:3" ht="15" x14ac:dyDescent="0.2">
      <c r="A37" s="327" t="s">
        <v>1095</v>
      </c>
      <c r="C37" s="327" t="s">
        <v>1121</v>
      </c>
    </row>
    <row r="38" spans="1:3" ht="15" x14ac:dyDescent="0.2">
      <c r="A38" s="327" t="s">
        <v>1094</v>
      </c>
      <c r="C38" s="327" t="s">
        <v>1122</v>
      </c>
    </row>
    <row r="39" spans="1:3" ht="15" x14ac:dyDescent="0.2">
      <c r="A39" s="327" t="s">
        <v>1092</v>
      </c>
      <c r="C39" s="327" t="s">
        <v>1123</v>
      </c>
    </row>
    <row r="40" spans="1:3" ht="15" x14ac:dyDescent="0.2">
      <c r="A40" s="327" t="s">
        <v>1093</v>
      </c>
      <c r="C40" s="328" t="s">
        <v>1124</v>
      </c>
    </row>
    <row r="41" spans="1:3" ht="15" x14ac:dyDescent="0.2">
      <c r="A41" s="327" t="s">
        <v>1091</v>
      </c>
      <c r="C41" s="328" t="s">
        <v>1125</v>
      </c>
    </row>
    <row r="42" spans="1:3" ht="15" x14ac:dyDescent="0.2">
      <c r="A42" s="327" t="s">
        <v>1097</v>
      </c>
      <c r="C42" s="327" t="s">
        <v>1126</v>
      </c>
    </row>
    <row r="43" spans="1:3" ht="15" x14ac:dyDescent="0.2">
      <c r="A43" s="327" t="s">
        <v>1096</v>
      </c>
      <c r="C43" s="327" t="s">
        <v>1127</v>
      </c>
    </row>
    <row r="44" spans="1:3" ht="15" x14ac:dyDescent="0.2">
      <c r="A44" s="327" t="s">
        <v>1089</v>
      </c>
      <c r="C44" s="328" t="s">
        <v>1128</v>
      </c>
    </row>
    <row r="45" spans="1:3" ht="15" x14ac:dyDescent="0.2">
      <c r="A45" s="328" t="s">
        <v>1136</v>
      </c>
      <c r="C45" s="327" t="s">
        <v>1129</v>
      </c>
    </row>
    <row r="46" spans="1:3" ht="15" x14ac:dyDescent="0.2">
      <c r="A46" s="327" t="s">
        <v>1142</v>
      </c>
      <c r="C46" s="327" t="s">
        <v>1130</v>
      </c>
    </row>
    <row r="47" spans="1:3" ht="15" x14ac:dyDescent="0.2">
      <c r="A47" s="327" t="s">
        <v>1140</v>
      </c>
      <c r="C47" s="328" t="s">
        <v>1131</v>
      </c>
    </row>
    <row r="48" spans="1:3" ht="15" x14ac:dyDescent="0.2">
      <c r="A48" s="327" t="s">
        <v>1141</v>
      </c>
      <c r="C48" s="327" t="s">
        <v>1132</v>
      </c>
    </row>
    <row r="49" spans="1:3" ht="15" x14ac:dyDescent="0.2">
      <c r="A49" s="327" t="s">
        <v>1138</v>
      </c>
      <c r="C49" s="327" t="s">
        <v>1133</v>
      </c>
    </row>
    <row r="50" spans="1:3" ht="15" x14ac:dyDescent="0.2">
      <c r="A50" s="328" t="s">
        <v>1125</v>
      </c>
      <c r="C50" s="327" t="s">
        <v>1134</v>
      </c>
    </row>
    <row r="51" spans="1:3" ht="15" x14ac:dyDescent="0.2">
      <c r="A51" s="328" t="s">
        <v>1131</v>
      </c>
      <c r="C51" s="327" t="s">
        <v>1135</v>
      </c>
    </row>
    <row r="52" spans="1:3" ht="15" x14ac:dyDescent="0.2">
      <c r="A52" s="328" t="s">
        <v>1102</v>
      </c>
      <c r="C52" s="328" t="s">
        <v>1136</v>
      </c>
    </row>
    <row r="53" spans="1:3" ht="15" x14ac:dyDescent="0.2">
      <c r="A53" s="328" t="s">
        <v>1128</v>
      </c>
      <c r="C53" s="328" t="s">
        <v>1137</v>
      </c>
    </row>
    <row r="54" spans="1:3" ht="15" x14ac:dyDescent="0.2">
      <c r="A54" s="327" t="s">
        <v>1117</v>
      </c>
      <c r="C54" s="327" t="s">
        <v>1138</v>
      </c>
    </row>
    <row r="55" spans="1:3" ht="15" x14ac:dyDescent="0.2">
      <c r="A55" s="327" t="s">
        <v>1130</v>
      </c>
      <c r="C55" s="328" t="s">
        <v>1139</v>
      </c>
    </row>
    <row r="56" spans="1:3" ht="15" x14ac:dyDescent="0.2">
      <c r="A56" s="327" t="s">
        <v>1126</v>
      </c>
      <c r="C56" s="327" t="s">
        <v>1140</v>
      </c>
    </row>
    <row r="57" spans="1:3" ht="15" x14ac:dyDescent="0.2">
      <c r="A57" s="327" t="s">
        <v>1129</v>
      </c>
      <c r="C57" s="327" t="s">
        <v>1141</v>
      </c>
    </row>
    <row r="58" spans="1:3" ht="15" x14ac:dyDescent="0.2">
      <c r="A58" s="327" t="s">
        <v>1127</v>
      </c>
      <c r="C58" s="327" t="s">
        <v>1142</v>
      </c>
    </row>
    <row r="59" spans="1:3" ht="15" x14ac:dyDescent="0.2">
      <c r="A59" s="327" t="s">
        <v>1116</v>
      </c>
      <c r="C59" s="327" t="s">
        <v>1143</v>
      </c>
    </row>
    <row r="60" spans="1:3" ht="15" x14ac:dyDescent="0.2">
      <c r="A60" s="328" t="s">
        <v>1148</v>
      </c>
      <c r="C60" s="327" t="s">
        <v>1144</v>
      </c>
    </row>
    <row r="61" spans="1:3" ht="15" x14ac:dyDescent="0.2">
      <c r="A61" s="328" t="s">
        <v>1149</v>
      </c>
      <c r="C61" s="327" t="s">
        <v>1145</v>
      </c>
    </row>
    <row r="62" spans="1:3" ht="15" x14ac:dyDescent="0.2">
      <c r="A62" s="327" t="s">
        <v>1147</v>
      </c>
      <c r="C62" s="328" t="s">
        <v>1146</v>
      </c>
    </row>
    <row r="63" spans="1:3" ht="15" x14ac:dyDescent="0.2">
      <c r="A63" s="327" t="s">
        <v>1143</v>
      </c>
      <c r="C63" s="327" t="s">
        <v>1147</v>
      </c>
    </row>
    <row r="64" spans="1:3" ht="15" x14ac:dyDescent="0.2">
      <c r="A64" s="327" t="s">
        <v>1145</v>
      </c>
      <c r="C64" s="328" t="s">
        <v>1148</v>
      </c>
    </row>
    <row r="65" spans="1:3" ht="15" x14ac:dyDescent="0.2">
      <c r="A65" s="327" t="s">
        <v>1144</v>
      </c>
      <c r="C65" s="328" t="s">
        <v>1149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919</v>
      </c>
      <c r="E2" s="6" t="s">
        <v>832</v>
      </c>
      <c r="F2" s="6" t="s">
        <v>892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922</v>
      </c>
      <c r="D9" s="6" t="s">
        <v>919</v>
      </c>
      <c r="E9" s="6" t="s">
        <v>832</v>
      </c>
      <c r="F9" s="6" t="s">
        <v>892</v>
      </c>
    </row>
    <row r="10" spans="2:6" x14ac:dyDescent="0.15">
      <c r="D10" s="6"/>
      <c r="E10" s="6"/>
    </row>
    <row r="11" spans="2:6" x14ac:dyDescent="0.15">
      <c r="B11" t="s">
        <v>920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921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933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925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919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1020</v>
      </c>
      <c r="D22" s="6" t="s">
        <v>1021</v>
      </c>
      <c r="E22" s="6" t="s">
        <v>1022</v>
      </c>
      <c r="F22" s="6" t="s">
        <v>1026</v>
      </c>
    </row>
    <row r="23" spans="2:7" x14ac:dyDescent="0.15">
      <c r="B23" s="21" t="s">
        <v>841</v>
      </c>
      <c r="C23" s="9"/>
      <c r="D23" s="9"/>
      <c r="F23"/>
    </row>
    <row r="24" spans="2:7" x14ac:dyDescent="0.15">
      <c r="B24" t="s">
        <v>926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927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928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929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930</v>
      </c>
      <c r="D29" s="252">
        <f>NPV(D27,C19:G19)</f>
        <v>785408.06015043741</v>
      </c>
      <c r="F29"/>
    </row>
    <row r="30" spans="2:7" x14ac:dyDescent="0.15">
      <c r="B30" t="s">
        <v>931</v>
      </c>
      <c r="E30" s="252">
        <f>NPV(E27,D19:G19)</f>
        <v>2486810.2746222913</v>
      </c>
      <c r="F30"/>
    </row>
    <row r="31" spans="2:7" x14ac:dyDescent="0.15">
      <c r="B31" t="s">
        <v>932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1025</v>
      </c>
      <c r="C34" s="6"/>
      <c r="D34" s="6">
        <f>+C20</f>
        <v>150000</v>
      </c>
      <c r="E34" s="6">
        <f>+D20</f>
        <v>250000</v>
      </c>
      <c r="F34" s="6" t="s">
        <v>1024</v>
      </c>
      <c r="G34" s="6" t="s">
        <v>1027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1047</v>
      </c>
      <c r="D36" s="295"/>
      <c r="E36" s="295"/>
      <c r="G36" s="6"/>
    </row>
    <row r="37" spans="2:7" x14ac:dyDescent="0.15">
      <c r="B37" t="s">
        <v>910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1023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1023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1024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764</v>
      </c>
      <c r="D1" s="33" t="s">
        <v>766</v>
      </c>
      <c r="E1" s="33" t="s">
        <v>768</v>
      </c>
      <c r="F1" s="33" t="s">
        <v>767</v>
      </c>
      <c r="H1" s="34" t="s">
        <v>769</v>
      </c>
      <c r="I1" s="34" t="s">
        <v>993</v>
      </c>
      <c r="J1" s="34" t="s">
        <v>994</v>
      </c>
      <c r="K1" s="34" t="s">
        <v>313</v>
      </c>
    </row>
    <row r="2" spans="1:11" x14ac:dyDescent="0.15">
      <c r="C2" s="33" t="s">
        <v>765</v>
      </c>
    </row>
    <row r="3" spans="1:11" x14ac:dyDescent="0.15">
      <c r="A3" s="271">
        <v>1</v>
      </c>
      <c r="B3" s="271">
        <v>1</v>
      </c>
      <c r="C3" s="185" t="s">
        <v>759</v>
      </c>
      <c r="D3" s="185" t="s">
        <v>599</v>
      </c>
      <c r="E3" s="185" t="s">
        <v>656</v>
      </c>
      <c r="F3" s="185" t="s">
        <v>747</v>
      </c>
      <c r="G3" s="272">
        <v>1</v>
      </c>
      <c r="H3" s="261" t="s">
        <v>992</v>
      </c>
      <c r="I3" s="10"/>
      <c r="J3" s="10"/>
    </row>
    <row r="4" spans="1:11" x14ac:dyDescent="0.15">
      <c r="A4" s="271" t="s">
        <v>996</v>
      </c>
      <c r="B4" s="271">
        <v>1</v>
      </c>
      <c r="C4" s="185" t="s">
        <v>759</v>
      </c>
      <c r="D4" s="185" t="s">
        <v>995</v>
      </c>
      <c r="E4" s="185" t="s">
        <v>741</v>
      </c>
      <c r="F4" s="185" t="s">
        <v>747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759</v>
      </c>
      <c r="D5" s="185" t="s">
        <v>600</v>
      </c>
      <c r="E5" s="185" t="s">
        <v>740</v>
      </c>
      <c r="F5" s="185" t="s">
        <v>750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759</v>
      </c>
      <c r="D6" s="185" t="s">
        <v>598</v>
      </c>
      <c r="E6" s="185" t="s">
        <v>739</v>
      </c>
      <c r="F6" s="185" t="s">
        <v>748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760</v>
      </c>
      <c r="D7" s="185" t="s">
        <v>594</v>
      </c>
      <c r="E7" s="185" t="s">
        <v>608</v>
      </c>
      <c r="F7" s="185" t="s">
        <v>747</v>
      </c>
      <c r="G7" s="272">
        <v>1</v>
      </c>
      <c r="H7" s="10"/>
      <c r="I7" s="10" t="s">
        <v>992</v>
      </c>
      <c r="J7" s="10" t="s">
        <v>992</v>
      </c>
    </row>
    <row r="8" spans="1:11" x14ac:dyDescent="0.15">
      <c r="A8" s="271">
        <v>0</v>
      </c>
      <c r="B8" s="271">
        <v>2</v>
      </c>
      <c r="C8" s="185" t="s">
        <v>760</v>
      </c>
      <c r="D8" s="185" t="s">
        <v>596</v>
      </c>
      <c r="E8" s="185" t="s">
        <v>605</v>
      </c>
      <c r="F8" s="185" t="s">
        <v>747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760</v>
      </c>
      <c r="D9" s="185" t="s">
        <v>609</v>
      </c>
      <c r="E9" s="185" t="s">
        <v>610</v>
      </c>
      <c r="F9" s="185" t="s">
        <v>747</v>
      </c>
      <c r="G9" s="272">
        <v>1</v>
      </c>
      <c r="H9" s="261" t="s">
        <v>992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760</v>
      </c>
      <c r="D10" s="185" t="s">
        <v>597</v>
      </c>
      <c r="E10" s="185" t="s">
        <v>603</v>
      </c>
      <c r="F10" s="185" t="s">
        <v>747</v>
      </c>
      <c r="G10" s="272">
        <v>1</v>
      </c>
      <c r="H10" s="10"/>
      <c r="I10" s="10"/>
      <c r="J10" s="10"/>
    </row>
    <row r="11" spans="1:11" x14ac:dyDescent="0.15">
      <c r="A11" s="271" t="s">
        <v>996</v>
      </c>
      <c r="B11" s="271">
        <v>2</v>
      </c>
      <c r="C11" s="185" t="s">
        <v>760</v>
      </c>
      <c r="D11" s="185" t="s">
        <v>593</v>
      </c>
      <c r="E11" s="185" t="s">
        <v>607</v>
      </c>
      <c r="F11" s="185" t="s">
        <v>750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760</v>
      </c>
      <c r="D12" s="185" t="s">
        <v>595</v>
      </c>
      <c r="E12" s="185" t="s">
        <v>602</v>
      </c>
      <c r="F12" s="185" t="s">
        <v>748</v>
      </c>
      <c r="G12" s="272">
        <v>3</v>
      </c>
      <c r="H12" s="10"/>
      <c r="I12" s="10"/>
      <c r="J12" s="10"/>
    </row>
    <row r="13" spans="1:11" x14ac:dyDescent="0.15">
      <c r="A13" s="271" t="s">
        <v>997</v>
      </c>
      <c r="B13" s="271">
        <v>2</v>
      </c>
      <c r="C13" s="185" t="s">
        <v>760</v>
      </c>
      <c r="D13" s="185" t="s">
        <v>745</v>
      </c>
      <c r="E13" s="185" t="s">
        <v>746</v>
      </c>
      <c r="F13" s="185" t="s">
        <v>752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329</v>
      </c>
      <c r="D14" s="185" t="s">
        <v>611</v>
      </c>
      <c r="E14" s="185" t="s">
        <v>606</v>
      </c>
      <c r="F14" s="185" t="s">
        <v>747</v>
      </c>
      <c r="G14" s="272">
        <v>1</v>
      </c>
      <c r="H14" s="10"/>
      <c r="I14" s="10" t="s">
        <v>992</v>
      </c>
      <c r="J14" s="10" t="s">
        <v>992</v>
      </c>
    </row>
    <row r="15" spans="1:11" x14ac:dyDescent="0.15">
      <c r="A15" s="271">
        <v>0</v>
      </c>
      <c r="B15" s="271">
        <v>3</v>
      </c>
      <c r="C15" s="185" t="s">
        <v>329</v>
      </c>
      <c r="D15" s="185" t="s">
        <v>612</v>
      </c>
      <c r="E15" s="185" t="s">
        <v>604</v>
      </c>
      <c r="F15" s="185" t="s">
        <v>747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329</v>
      </c>
      <c r="D16" s="185" t="s">
        <v>756</v>
      </c>
      <c r="E16" s="185" t="s">
        <v>757</v>
      </c>
      <c r="F16" s="185" t="s">
        <v>750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758</v>
      </c>
      <c r="D17" s="185" t="s">
        <v>582</v>
      </c>
      <c r="E17" s="185" t="s">
        <v>660</v>
      </c>
      <c r="F17" s="185" t="s">
        <v>747</v>
      </c>
      <c r="G17" s="272">
        <v>1</v>
      </c>
      <c r="H17" s="10" t="s">
        <v>992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758</v>
      </c>
      <c r="D18" s="185" t="s">
        <v>601</v>
      </c>
      <c r="E18" s="185" t="s">
        <v>704</v>
      </c>
      <c r="F18" s="185" t="s">
        <v>747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758</v>
      </c>
      <c r="D19" s="185" t="s">
        <v>583</v>
      </c>
      <c r="E19" s="185" t="s">
        <v>658</v>
      </c>
      <c r="F19" s="185" t="s">
        <v>747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758</v>
      </c>
      <c r="D20" s="185" t="s">
        <v>584</v>
      </c>
      <c r="E20" s="185" t="s">
        <v>659</v>
      </c>
      <c r="F20" s="185" t="s">
        <v>747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758</v>
      </c>
      <c r="D21" s="185" t="s">
        <v>654</v>
      </c>
      <c r="E21" s="185" t="s">
        <v>655</v>
      </c>
      <c r="F21" s="185" t="s">
        <v>750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758</v>
      </c>
      <c r="D22" s="185" t="s">
        <v>705</v>
      </c>
      <c r="E22" s="185" t="s">
        <v>710</v>
      </c>
      <c r="F22" s="185" t="s">
        <v>748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763</v>
      </c>
      <c r="D23" s="185" t="s">
        <v>706</v>
      </c>
      <c r="E23" s="185" t="s">
        <v>709</v>
      </c>
      <c r="F23" s="185" t="s">
        <v>747</v>
      </c>
      <c r="G23" s="272">
        <v>1</v>
      </c>
      <c r="H23" s="10" t="s">
        <v>992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763</v>
      </c>
      <c r="D24" s="185" t="s">
        <v>707</v>
      </c>
      <c r="E24" s="185" t="s">
        <v>708</v>
      </c>
      <c r="F24" s="185" t="s">
        <v>750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763</v>
      </c>
      <c r="D25" s="185" t="s">
        <v>731</v>
      </c>
      <c r="E25" s="185" t="s">
        <v>732</v>
      </c>
      <c r="F25" s="185" t="s">
        <v>748</v>
      </c>
      <c r="G25" s="272">
        <v>3</v>
      </c>
      <c r="H25" s="10"/>
      <c r="I25" s="10"/>
      <c r="J25" s="10"/>
    </row>
    <row r="26" spans="1:10" x14ac:dyDescent="0.15">
      <c r="A26" s="271" t="s">
        <v>997</v>
      </c>
      <c r="B26" s="271">
        <v>5</v>
      </c>
      <c r="C26" s="185" t="s">
        <v>763</v>
      </c>
      <c r="D26" s="185" t="s">
        <v>743</v>
      </c>
      <c r="E26" s="185" t="s">
        <v>744</v>
      </c>
      <c r="F26" s="185" t="s">
        <v>753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761</v>
      </c>
      <c r="D27" s="185" t="s">
        <v>589</v>
      </c>
      <c r="E27" s="185" t="s">
        <v>736</v>
      </c>
      <c r="F27" s="185" t="s">
        <v>751</v>
      </c>
      <c r="G27" s="272">
        <v>1</v>
      </c>
      <c r="H27" s="10"/>
      <c r="I27" s="10"/>
      <c r="J27" s="10"/>
    </row>
    <row r="28" spans="1:10" x14ac:dyDescent="0.15">
      <c r="A28" s="271" t="s">
        <v>999</v>
      </c>
      <c r="B28" s="271">
        <v>6</v>
      </c>
      <c r="C28" s="185" t="s">
        <v>761</v>
      </c>
      <c r="D28" s="185" t="s">
        <v>591</v>
      </c>
      <c r="E28" s="185" t="s">
        <v>736</v>
      </c>
      <c r="F28" s="185" t="s">
        <v>747</v>
      </c>
      <c r="G28" s="272">
        <v>1</v>
      </c>
      <c r="H28" s="10" t="s">
        <v>992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761</v>
      </c>
      <c r="D29" s="185" t="s">
        <v>742</v>
      </c>
      <c r="E29" s="185" t="s">
        <v>610</v>
      </c>
      <c r="F29" s="185" t="s">
        <v>747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761</v>
      </c>
      <c r="D30" s="185" t="s">
        <v>592</v>
      </c>
      <c r="E30" s="185" t="s">
        <v>738</v>
      </c>
      <c r="F30" s="185" t="s">
        <v>750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761</v>
      </c>
      <c r="D31" s="185" t="s">
        <v>590</v>
      </c>
      <c r="E31" s="185" t="s">
        <v>737</v>
      </c>
      <c r="F31" s="185" t="s">
        <v>748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579</v>
      </c>
      <c r="E32" s="185" t="s">
        <v>819</v>
      </c>
      <c r="F32" s="185" t="s">
        <v>747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580</v>
      </c>
      <c r="E33" s="185" t="s">
        <v>733</v>
      </c>
      <c r="F33" s="185" t="s">
        <v>747</v>
      </c>
      <c r="G33" s="272">
        <v>1</v>
      </c>
      <c r="H33" s="10"/>
      <c r="I33" s="10"/>
      <c r="J33" s="10" t="s">
        <v>992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581</v>
      </c>
      <c r="E34" s="185" t="s">
        <v>734</v>
      </c>
      <c r="F34" s="185" t="s">
        <v>750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756</v>
      </c>
      <c r="E35" s="185" t="s">
        <v>757</v>
      </c>
      <c r="F35" s="185" t="s">
        <v>750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754</v>
      </c>
      <c r="E36" s="185" t="s">
        <v>755</v>
      </c>
      <c r="F36" s="185" t="s">
        <v>749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762</v>
      </c>
      <c r="D37" s="185" t="s">
        <v>585</v>
      </c>
      <c r="E37" s="185" t="s">
        <v>729</v>
      </c>
      <c r="F37" s="185" t="s">
        <v>747</v>
      </c>
      <c r="G37" s="272">
        <v>1</v>
      </c>
      <c r="H37" s="10"/>
      <c r="I37" s="10"/>
      <c r="J37" s="10" t="s">
        <v>992</v>
      </c>
    </row>
    <row r="38" spans="1:10" x14ac:dyDescent="0.15">
      <c r="A38" s="271">
        <v>0</v>
      </c>
      <c r="B38" s="271">
        <v>8</v>
      </c>
      <c r="C38" s="185" t="s">
        <v>762</v>
      </c>
      <c r="D38" s="185" t="s">
        <v>586</v>
      </c>
      <c r="E38" s="185" t="s">
        <v>818</v>
      </c>
      <c r="F38" s="185" t="s">
        <v>747</v>
      </c>
      <c r="G38" s="272">
        <v>1</v>
      </c>
      <c r="H38" s="10"/>
      <c r="I38" s="10" t="s">
        <v>992</v>
      </c>
      <c r="J38" s="10" t="s">
        <v>992</v>
      </c>
    </row>
    <row r="39" spans="1:10" x14ac:dyDescent="0.15">
      <c r="A39" s="271">
        <v>5</v>
      </c>
      <c r="B39" s="271">
        <v>8</v>
      </c>
      <c r="C39" s="185" t="s">
        <v>762</v>
      </c>
      <c r="D39" s="185" t="s">
        <v>587</v>
      </c>
      <c r="E39" s="185" t="s">
        <v>730</v>
      </c>
      <c r="F39" s="185" t="s">
        <v>747</v>
      </c>
      <c r="G39" s="272">
        <v>1</v>
      </c>
      <c r="H39" s="10" t="s">
        <v>992</v>
      </c>
      <c r="I39" s="10" t="s">
        <v>992</v>
      </c>
      <c r="J39" s="10"/>
    </row>
    <row r="40" spans="1:10" x14ac:dyDescent="0.15">
      <c r="A40" s="271">
        <v>0</v>
      </c>
      <c r="B40" s="271">
        <v>8</v>
      </c>
      <c r="C40" s="185" t="s">
        <v>762</v>
      </c>
      <c r="D40" s="185" t="s">
        <v>770</v>
      </c>
      <c r="E40" s="185" t="s">
        <v>771</v>
      </c>
      <c r="F40" s="185" t="s">
        <v>747</v>
      </c>
      <c r="G40" s="272">
        <v>1</v>
      </c>
      <c r="H40" s="10"/>
      <c r="I40" s="10" t="s">
        <v>992</v>
      </c>
      <c r="J40" s="10"/>
    </row>
    <row r="41" spans="1:10" x14ac:dyDescent="0.15">
      <c r="A41" s="271">
        <v>0</v>
      </c>
      <c r="B41" s="271">
        <v>8</v>
      </c>
      <c r="C41" s="185" t="s">
        <v>762</v>
      </c>
      <c r="D41" s="185" t="s">
        <v>772</v>
      </c>
      <c r="E41" s="185" t="s">
        <v>773</v>
      </c>
      <c r="F41" s="185" t="s">
        <v>747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762</v>
      </c>
      <c r="D42" s="185" t="s">
        <v>934</v>
      </c>
      <c r="E42" s="185" t="s">
        <v>935</v>
      </c>
      <c r="F42" s="185" t="s">
        <v>750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762</v>
      </c>
      <c r="D43" s="185" t="s">
        <v>984</v>
      </c>
      <c r="E43" s="185" t="s">
        <v>970</v>
      </c>
      <c r="F43" s="185" t="s">
        <v>748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762</v>
      </c>
      <c r="D44" s="185" t="s">
        <v>588</v>
      </c>
      <c r="E44" s="185" t="s">
        <v>735</v>
      </c>
      <c r="F44" s="185" t="s">
        <v>749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578</v>
      </c>
      <c r="E45" s="185" t="s">
        <v>657</v>
      </c>
      <c r="F45" s="185" t="s">
        <v>747</v>
      </c>
      <c r="G45" s="171">
        <v>1</v>
      </c>
      <c r="H45" s="10"/>
      <c r="I45" s="10" t="s">
        <v>992</v>
      </c>
      <c r="J45" s="10"/>
    </row>
    <row r="46" spans="1:10" x14ac:dyDescent="0.15">
      <c r="B46" s="180">
        <v>1</v>
      </c>
      <c r="C46" s="185" t="s">
        <v>759</v>
      </c>
      <c r="G46" s="272"/>
    </row>
    <row r="47" spans="1:10" x14ac:dyDescent="0.15">
      <c r="E47" s="185" t="s">
        <v>998</v>
      </c>
    </row>
    <row r="48" spans="1:10" x14ac:dyDescent="0.15">
      <c r="E48" s="185"/>
    </row>
    <row r="49" spans="3:6" x14ac:dyDescent="0.15">
      <c r="C49" s="273" t="s">
        <v>765</v>
      </c>
      <c r="D49" s="273" t="s">
        <v>1000</v>
      </c>
      <c r="E49" s="273" t="s">
        <v>768</v>
      </c>
      <c r="F49" s="273" t="s">
        <v>767</v>
      </c>
    </row>
    <row r="51" spans="3:6" x14ac:dyDescent="0.15">
      <c r="C51" s="185" t="s">
        <v>759</v>
      </c>
      <c r="D51" s="185" t="s">
        <v>599</v>
      </c>
      <c r="E51" s="185" t="s">
        <v>656</v>
      </c>
      <c r="F51" s="185" t="s">
        <v>747</v>
      </c>
    </row>
    <row r="52" spans="3:6" x14ac:dyDescent="0.15">
      <c r="C52" s="185" t="s">
        <v>759</v>
      </c>
      <c r="D52" s="185" t="s">
        <v>995</v>
      </c>
      <c r="E52" s="185" t="s">
        <v>741</v>
      </c>
      <c r="F52" s="185" t="s">
        <v>747</v>
      </c>
    </row>
    <row r="53" spans="3:6" x14ac:dyDescent="0.15">
      <c r="C53" s="185" t="s">
        <v>759</v>
      </c>
      <c r="D53" s="185" t="s">
        <v>600</v>
      </c>
      <c r="E53" s="185" t="s">
        <v>740</v>
      </c>
      <c r="F53" s="185" t="s">
        <v>750</v>
      </c>
    </row>
    <row r="54" spans="3:6" x14ac:dyDescent="0.15">
      <c r="C54" s="185" t="s">
        <v>759</v>
      </c>
      <c r="D54" s="185" t="s">
        <v>598</v>
      </c>
      <c r="E54" s="185" t="s">
        <v>739</v>
      </c>
      <c r="F54" s="185" t="s">
        <v>748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760</v>
      </c>
      <c r="D56" s="185" t="s">
        <v>594</v>
      </c>
      <c r="E56" s="185" t="s">
        <v>608</v>
      </c>
      <c r="F56" s="185" t="s">
        <v>747</v>
      </c>
    </row>
    <row r="57" spans="3:6" x14ac:dyDescent="0.15">
      <c r="C57" s="185" t="s">
        <v>760</v>
      </c>
      <c r="D57" s="185" t="s">
        <v>596</v>
      </c>
      <c r="E57" s="185" t="s">
        <v>605</v>
      </c>
      <c r="F57" s="185" t="s">
        <v>747</v>
      </c>
    </row>
    <row r="58" spans="3:6" x14ac:dyDescent="0.15">
      <c r="C58" s="185" t="s">
        <v>760</v>
      </c>
      <c r="D58" s="185" t="s">
        <v>609</v>
      </c>
      <c r="E58" s="185" t="s">
        <v>610</v>
      </c>
      <c r="F58" s="185" t="s">
        <v>747</v>
      </c>
    </row>
    <row r="59" spans="3:6" x14ac:dyDescent="0.15">
      <c r="C59" s="185" t="s">
        <v>760</v>
      </c>
      <c r="D59" s="185" t="s">
        <v>597</v>
      </c>
      <c r="E59" s="185" t="s">
        <v>603</v>
      </c>
      <c r="F59" s="185" t="s">
        <v>747</v>
      </c>
    </row>
    <row r="60" spans="3:6" x14ac:dyDescent="0.15">
      <c r="C60" s="185" t="s">
        <v>760</v>
      </c>
      <c r="D60" s="185" t="s">
        <v>593</v>
      </c>
      <c r="E60" s="185" t="s">
        <v>607</v>
      </c>
      <c r="F60" s="185" t="s">
        <v>750</v>
      </c>
    </row>
    <row r="61" spans="3:6" x14ac:dyDescent="0.15">
      <c r="C61" s="185" t="s">
        <v>760</v>
      </c>
      <c r="D61" s="185" t="s">
        <v>595</v>
      </c>
      <c r="E61" s="185" t="s">
        <v>602</v>
      </c>
      <c r="F61" s="185" t="s">
        <v>748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329</v>
      </c>
      <c r="D63" s="185" t="s">
        <v>611</v>
      </c>
      <c r="E63" s="185" t="s">
        <v>606</v>
      </c>
      <c r="F63" s="185" t="s">
        <v>747</v>
      </c>
    </row>
    <row r="64" spans="3:6" x14ac:dyDescent="0.15">
      <c r="C64" s="185" t="s">
        <v>329</v>
      </c>
      <c r="D64" s="185" t="s">
        <v>612</v>
      </c>
      <c r="E64" s="185" t="s">
        <v>604</v>
      </c>
      <c r="F64" s="185" t="s">
        <v>747</v>
      </c>
    </row>
    <row r="65" spans="3:6" x14ac:dyDescent="0.15">
      <c r="C65" s="185" t="s">
        <v>329</v>
      </c>
      <c r="D65" s="185" t="s">
        <v>756</v>
      </c>
      <c r="E65" s="185" t="s">
        <v>757</v>
      </c>
      <c r="F65" s="185" t="s">
        <v>750</v>
      </c>
    </row>
    <row r="66" spans="3:6" x14ac:dyDescent="0.15">
      <c r="C66" s="185" t="s">
        <v>760</v>
      </c>
      <c r="D66" s="185" t="s">
        <v>595</v>
      </c>
      <c r="E66" s="185" t="s">
        <v>602</v>
      </c>
      <c r="F66" s="185" t="s">
        <v>748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758</v>
      </c>
      <c r="D68" s="185" t="s">
        <v>582</v>
      </c>
      <c r="E68" s="185" t="s">
        <v>660</v>
      </c>
      <c r="F68" s="185" t="s">
        <v>747</v>
      </c>
    </row>
    <row r="69" spans="3:6" x14ac:dyDescent="0.15">
      <c r="C69" s="185" t="s">
        <v>758</v>
      </c>
      <c r="D69" s="185" t="s">
        <v>601</v>
      </c>
      <c r="E69" s="185" t="s">
        <v>704</v>
      </c>
      <c r="F69" s="185" t="s">
        <v>747</v>
      </c>
    </row>
    <row r="70" spans="3:6" x14ac:dyDescent="0.15">
      <c r="C70" s="185" t="s">
        <v>758</v>
      </c>
      <c r="D70" s="185" t="s">
        <v>583</v>
      </c>
      <c r="E70" s="185" t="s">
        <v>658</v>
      </c>
      <c r="F70" s="185" t="s">
        <v>747</v>
      </c>
    </row>
    <row r="71" spans="3:6" x14ac:dyDescent="0.15">
      <c r="C71" s="185" t="s">
        <v>758</v>
      </c>
      <c r="D71" s="185" t="s">
        <v>584</v>
      </c>
      <c r="E71" s="185" t="s">
        <v>659</v>
      </c>
      <c r="F71" s="185" t="s">
        <v>747</v>
      </c>
    </row>
    <row r="72" spans="3:6" x14ac:dyDescent="0.15">
      <c r="C72" s="185" t="s">
        <v>758</v>
      </c>
      <c r="D72" s="185" t="s">
        <v>654</v>
      </c>
      <c r="E72" s="185" t="s">
        <v>655</v>
      </c>
      <c r="F72" s="185" t="s">
        <v>750</v>
      </c>
    </row>
    <row r="73" spans="3:6" x14ac:dyDescent="0.15">
      <c r="C73" s="185" t="s">
        <v>758</v>
      </c>
      <c r="D73" s="185" t="s">
        <v>1072</v>
      </c>
      <c r="E73" s="185" t="s">
        <v>1073</v>
      </c>
      <c r="F73" s="185" t="s">
        <v>748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763</v>
      </c>
      <c r="D75" s="185" t="s">
        <v>706</v>
      </c>
      <c r="E75" s="185" t="s">
        <v>709</v>
      </c>
      <c r="F75" s="185" t="s">
        <v>747</v>
      </c>
    </row>
    <row r="76" spans="3:6" x14ac:dyDescent="0.15">
      <c r="C76" s="185" t="s">
        <v>763</v>
      </c>
      <c r="D76" s="185" t="s">
        <v>707</v>
      </c>
      <c r="E76" s="185" t="s">
        <v>708</v>
      </c>
      <c r="F76" s="185" t="s">
        <v>750</v>
      </c>
    </row>
    <row r="77" spans="3:6" x14ac:dyDescent="0.15">
      <c r="C77" s="185" t="s">
        <v>763</v>
      </c>
      <c r="D77" s="185" t="s">
        <v>705</v>
      </c>
      <c r="E77" s="185" t="s">
        <v>710</v>
      </c>
      <c r="F77" s="185" t="s">
        <v>748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761</v>
      </c>
      <c r="D79" s="185" t="s">
        <v>589</v>
      </c>
      <c r="E79" s="185" t="s">
        <v>736</v>
      </c>
      <c r="F79" s="185" t="s">
        <v>751</v>
      </c>
    </row>
    <row r="80" spans="3:6" x14ac:dyDescent="0.15">
      <c r="C80" s="185" t="s">
        <v>761</v>
      </c>
      <c r="D80" s="185" t="s">
        <v>1074</v>
      </c>
      <c r="E80" s="185" t="s">
        <v>736</v>
      </c>
      <c r="F80" s="185" t="s">
        <v>747</v>
      </c>
    </row>
    <row r="81" spans="3:6" x14ac:dyDescent="0.15">
      <c r="C81" s="185" t="s">
        <v>761</v>
      </c>
      <c r="D81" s="185" t="s">
        <v>592</v>
      </c>
      <c r="E81" s="185" t="s">
        <v>738</v>
      </c>
      <c r="F81" s="185" t="s">
        <v>750</v>
      </c>
    </row>
    <row r="82" spans="3:6" x14ac:dyDescent="0.15">
      <c r="C82" s="185" t="s">
        <v>761</v>
      </c>
      <c r="D82" s="185" t="s">
        <v>590</v>
      </c>
      <c r="E82" s="185" t="s">
        <v>737</v>
      </c>
      <c r="F82" s="185" t="s">
        <v>748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578</v>
      </c>
      <c r="E84" s="185" t="s">
        <v>657</v>
      </c>
      <c r="F84" s="185" t="s">
        <v>747</v>
      </c>
    </row>
    <row r="85" spans="3:6" x14ac:dyDescent="0.15">
      <c r="C85" s="185" t="s">
        <v>272</v>
      </c>
      <c r="D85" s="185" t="s">
        <v>579</v>
      </c>
      <c r="E85" s="185" t="s">
        <v>819</v>
      </c>
      <c r="F85" s="185" t="s">
        <v>747</v>
      </c>
    </row>
    <row r="86" spans="3:6" x14ac:dyDescent="0.15">
      <c r="C86" s="185" t="s">
        <v>272</v>
      </c>
      <c r="D86" s="185" t="s">
        <v>580</v>
      </c>
      <c r="E86" s="185" t="s">
        <v>733</v>
      </c>
      <c r="F86" s="185" t="s">
        <v>747</v>
      </c>
    </row>
    <row r="87" spans="3:6" x14ac:dyDescent="0.15">
      <c r="C87" s="185" t="s">
        <v>272</v>
      </c>
      <c r="D87" s="185" t="s">
        <v>581</v>
      </c>
      <c r="E87" s="185" t="s">
        <v>734</v>
      </c>
      <c r="F87" s="185" t="s">
        <v>750</v>
      </c>
    </row>
    <row r="88" spans="3:6" x14ac:dyDescent="0.15">
      <c r="C88" s="185" t="s">
        <v>272</v>
      </c>
      <c r="D88" s="185" t="s">
        <v>756</v>
      </c>
      <c r="E88" s="185" t="s">
        <v>757</v>
      </c>
      <c r="F88" s="185" t="s">
        <v>750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762</v>
      </c>
      <c r="D90" s="185" t="s">
        <v>585</v>
      </c>
      <c r="E90" s="185" t="s">
        <v>729</v>
      </c>
      <c r="F90" s="185" t="s">
        <v>747</v>
      </c>
    </row>
    <row r="91" spans="3:6" x14ac:dyDescent="0.15">
      <c r="C91" s="185" t="s">
        <v>762</v>
      </c>
      <c r="D91" s="185" t="s">
        <v>586</v>
      </c>
      <c r="E91" s="185" t="s">
        <v>818</v>
      </c>
      <c r="F91" s="185" t="s">
        <v>747</v>
      </c>
    </row>
    <row r="92" spans="3:6" x14ac:dyDescent="0.15">
      <c r="C92" s="185" t="s">
        <v>762</v>
      </c>
      <c r="D92" s="185" t="s">
        <v>587</v>
      </c>
      <c r="E92" s="185" t="s">
        <v>730</v>
      </c>
      <c r="F92" s="185" t="s">
        <v>747</v>
      </c>
    </row>
    <row r="93" spans="3:6" x14ac:dyDescent="0.15">
      <c r="C93" s="185" t="s">
        <v>762</v>
      </c>
      <c r="D93" s="185" t="s">
        <v>770</v>
      </c>
      <c r="E93" s="185" t="s">
        <v>771</v>
      </c>
      <c r="F93" s="185" t="s">
        <v>747</v>
      </c>
    </row>
    <row r="94" spans="3:6" x14ac:dyDescent="0.15">
      <c r="C94" s="185" t="s">
        <v>762</v>
      </c>
      <c r="D94" s="185" t="s">
        <v>772</v>
      </c>
      <c r="E94" s="185" t="s">
        <v>773</v>
      </c>
      <c r="F94" s="185" t="s">
        <v>747</v>
      </c>
    </row>
    <row r="95" spans="3:6" x14ac:dyDescent="0.15">
      <c r="C95" s="185" t="s">
        <v>762</v>
      </c>
      <c r="D95" s="185" t="s">
        <v>934</v>
      </c>
      <c r="E95" s="185" t="s">
        <v>935</v>
      </c>
      <c r="F95" s="185" t="s">
        <v>750</v>
      </c>
    </row>
    <row r="96" spans="3:6" x14ac:dyDescent="0.15">
      <c r="C96" s="185" t="s">
        <v>762</v>
      </c>
      <c r="D96" s="185" t="s">
        <v>984</v>
      </c>
      <c r="E96" s="185" t="s">
        <v>970</v>
      </c>
      <c r="F96" s="185" t="s">
        <v>750</v>
      </c>
    </row>
    <row r="97" spans="3:6" x14ac:dyDescent="0.15">
      <c r="C97" s="185" t="s">
        <v>762</v>
      </c>
      <c r="D97" s="185" t="s">
        <v>1071</v>
      </c>
      <c r="E97" s="185" t="s">
        <v>732</v>
      </c>
      <c r="F97" s="185" t="s">
        <v>748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801</v>
      </c>
      <c r="C2" s="10" t="s">
        <v>785</v>
      </c>
      <c r="D2" s="10" t="s">
        <v>786</v>
      </c>
      <c r="E2" s="34"/>
      <c r="F2" s="389" t="s">
        <v>795</v>
      </c>
      <c r="G2" s="389"/>
      <c r="H2" s="389"/>
      <c r="J2" s="389" t="s">
        <v>444</v>
      </c>
      <c r="K2" s="389"/>
      <c r="L2" s="389"/>
      <c r="M2" s="389"/>
      <c r="N2" s="389"/>
      <c r="O2" s="389"/>
    </row>
    <row r="3" spans="2:15" x14ac:dyDescent="0.15">
      <c r="E3" s="33"/>
      <c r="F3" s="14"/>
      <c r="G3" s="10" t="s">
        <v>785</v>
      </c>
      <c r="H3" s="10" t="s">
        <v>786</v>
      </c>
      <c r="K3" s="10" t="s">
        <v>785</v>
      </c>
      <c r="L3" s="10" t="s">
        <v>786</v>
      </c>
      <c r="M3" s="10"/>
      <c r="N3" s="10" t="s">
        <v>1060</v>
      </c>
      <c r="O3" s="10" t="s">
        <v>1061</v>
      </c>
    </row>
    <row r="4" spans="2:15" x14ac:dyDescent="0.15">
      <c r="B4" s="33" t="s">
        <v>800</v>
      </c>
      <c r="C4" s="9">
        <v>15000</v>
      </c>
      <c r="D4" s="9">
        <v>25000</v>
      </c>
      <c r="E4" s="33"/>
      <c r="G4" s="34"/>
      <c r="H4" s="33"/>
      <c r="J4" s="135" t="s">
        <v>445</v>
      </c>
    </row>
    <row r="5" spans="2:15" x14ac:dyDescent="0.15">
      <c r="B5" s="47" t="s">
        <v>787</v>
      </c>
      <c r="C5" s="9">
        <v>3500</v>
      </c>
      <c r="D5" s="9">
        <v>5000</v>
      </c>
      <c r="E5" s="66"/>
      <c r="F5" s="33" t="s">
        <v>776</v>
      </c>
      <c r="G5" s="9">
        <v>0</v>
      </c>
      <c r="H5" s="9">
        <f>+G8</f>
        <v>12500</v>
      </c>
      <c r="J5" s="135" t="s">
        <v>446</v>
      </c>
    </row>
    <row r="6" spans="2:15" x14ac:dyDescent="0.15">
      <c r="B6" s="33" t="s">
        <v>779</v>
      </c>
      <c r="C6" s="9">
        <f>+C4-C5</f>
        <v>11500</v>
      </c>
      <c r="D6" s="9">
        <f>+D4-D5</f>
        <v>20000</v>
      </c>
      <c r="E6" s="66"/>
      <c r="F6" s="33" t="s">
        <v>800</v>
      </c>
      <c r="G6" s="9">
        <f>+C4</f>
        <v>15000</v>
      </c>
      <c r="H6" s="9">
        <f>+D4</f>
        <v>25000</v>
      </c>
      <c r="J6" s="127" t="s">
        <v>442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1069</v>
      </c>
    </row>
    <row r="7" spans="2:15" x14ac:dyDescent="0.15">
      <c r="C7" s="9"/>
      <c r="D7" s="9"/>
      <c r="F7" s="33" t="s">
        <v>777</v>
      </c>
      <c r="G7" s="9">
        <v>2500</v>
      </c>
      <c r="H7" s="9">
        <v>9000</v>
      </c>
      <c r="J7" s="127" t="s">
        <v>447</v>
      </c>
      <c r="K7" s="9">
        <f>+G8</f>
        <v>12500</v>
      </c>
      <c r="L7" s="66">
        <f>+H8</f>
        <v>28500</v>
      </c>
      <c r="M7" s="66"/>
      <c r="N7" t="s">
        <v>795</v>
      </c>
      <c r="O7" s="33" t="s">
        <v>1064</v>
      </c>
    </row>
    <row r="8" spans="2:15" x14ac:dyDescent="0.15">
      <c r="B8" s="47" t="s">
        <v>780</v>
      </c>
      <c r="C8" s="9">
        <v>1500</v>
      </c>
      <c r="D8" s="9">
        <v>2000</v>
      </c>
      <c r="E8" s="66"/>
      <c r="F8" s="33" t="s">
        <v>778</v>
      </c>
      <c r="G8" s="9">
        <f>+G5+G6-G7</f>
        <v>12500</v>
      </c>
      <c r="H8" s="9">
        <f>+H5+H6-H7</f>
        <v>28500</v>
      </c>
      <c r="J8" s="127" t="s">
        <v>448</v>
      </c>
      <c r="K8" s="9">
        <f>+G33</f>
        <v>500</v>
      </c>
      <c r="L8" s="66">
        <f>+H30</f>
        <v>1500</v>
      </c>
      <c r="M8" s="66"/>
      <c r="N8" t="s">
        <v>448</v>
      </c>
      <c r="O8" s="33" t="s">
        <v>1065</v>
      </c>
    </row>
    <row r="9" spans="2:15" x14ac:dyDescent="0.15">
      <c r="B9" s="47" t="s">
        <v>781</v>
      </c>
      <c r="C9" s="9">
        <v>1000</v>
      </c>
      <c r="D9" s="9">
        <v>1000</v>
      </c>
      <c r="G9" s="9"/>
      <c r="H9" s="9"/>
      <c r="J9" s="135" t="s">
        <v>449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782</v>
      </c>
      <c r="C10" s="9">
        <v>2500</v>
      </c>
      <c r="D10" s="9">
        <v>2500</v>
      </c>
      <c r="F10" s="33" t="s">
        <v>1033</v>
      </c>
      <c r="G10" s="9">
        <f>+G7</f>
        <v>2500</v>
      </c>
      <c r="H10" s="9">
        <f>+H7</f>
        <v>9000</v>
      </c>
      <c r="J10" s="136" t="s">
        <v>443</v>
      </c>
    </row>
    <row r="11" spans="2:15" x14ac:dyDescent="0.15">
      <c r="B11" s="47" t="s">
        <v>783</v>
      </c>
      <c r="C11" s="9">
        <v>1500</v>
      </c>
      <c r="D11" s="9">
        <v>2500</v>
      </c>
      <c r="E11" s="66"/>
      <c r="F11" s="33" t="s">
        <v>1034</v>
      </c>
      <c r="G11" s="9">
        <f>+G8-G5</f>
        <v>12500</v>
      </c>
      <c r="H11" s="9">
        <f>+H8-H5</f>
        <v>16000</v>
      </c>
      <c r="J11" s="135" t="s">
        <v>450</v>
      </c>
    </row>
    <row r="12" spans="2:15" x14ac:dyDescent="0.15">
      <c r="B12" s="47" t="s">
        <v>1045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1068</v>
      </c>
    </row>
    <row r="13" spans="2:15" x14ac:dyDescent="0.15">
      <c r="B13" s="47" t="s">
        <v>167</v>
      </c>
      <c r="C13" s="9">
        <v>500</v>
      </c>
      <c r="D13" s="9">
        <v>500</v>
      </c>
      <c r="F13" s="389" t="s">
        <v>1046</v>
      </c>
      <c r="G13" s="389"/>
      <c r="H13" s="389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1068</v>
      </c>
    </row>
    <row r="14" spans="2:15" x14ac:dyDescent="0.15">
      <c r="B14" s="44" t="s">
        <v>784</v>
      </c>
      <c r="C14" s="66">
        <f>+C13+C12</f>
        <v>7000</v>
      </c>
      <c r="D14" s="66">
        <f>+D13+D12</f>
        <v>8500</v>
      </c>
      <c r="E14" s="9"/>
      <c r="F14" s="14"/>
      <c r="G14" s="10" t="s">
        <v>785</v>
      </c>
      <c r="H14" s="14" t="s">
        <v>786</v>
      </c>
      <c r="J14" s="135" t="s">
        <v>451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776</v>
      </c>
      <c r="G16" s="9">
        <v>0</v>
      </c>
      <c r="H16" s="66">
        <f>+G19</f>
        <v>1000</v>
      </c>
      <c r="J16" s="135" t="s">
        <v>452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788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797</v>
      </c>
      <c r="G18" s="9">
        <f>+G17*0.75</f>
        <v>3000</v>
      </c>
      <c r="H18" s="9">
        <f>+H17*0.8</f>
        <v>4800</v>
      </c>
      <c r="J18" s="135" t="s">
        <v>1028</v>
      </c>
    </row>
    <row r="19" spans="2:15" x14ac:dyDescent="0.15">
      <c r="B19" s="14" t="s">
        <v>774</v>
      </c>
      <c r="E19" s="9"/>
      <c r="F19" s="33" t="s">
        <v>778</v>
      </c>
      <c r="G19" s="9">
        <f>+G16+G17-G18</f>
        <v>1000</v>
      </c>
      <c r="H19" s="66">
        <f>+H16+H17-H18</f>
        <v>2200</v>
      </c>
      <c r="J19" s="135" t="s">
        <v>453</v>
      </c>
    </row>
    <row r="20" spans="2:15" x14ac:dyDescent="0.15">
      <c r="B20" s="136" t="s">
        <v>460</v>
      </c>
      <c r="C20" s="66">
        <f>+C15</f>
        <v>4500</v>
      </c>
      <c r="D20" s="66">
        <f>+D15</f>
        <v>11500</v>
      </c>
      <c r="E20" s="9"/>
      <c r="J20" s="127" t="s">
        <v>360</v>
      </c>
      <c r="K20" s="9">
        <f>+G19+G42</f>
        <v>2625</v>
      </c>
      <c r="L20" s="66">
        <f>+H19+H42</f>
        <v>5825</v>
      </c>
      <c r="M20" s="66"/>
      <c r="N20" s="33" t="s">
        <v>1063</v>
      </c>
      <c r="O20" s="33" t="s">
        <v>1066</v>
      </c>
    </row>
    <row r="21" spans="2:15" x14ac:dyDescent="0.15">
      <c r="E21" s="9"/>
      <c r="F21" s="33" t="s">
        <v>1036</v>
      </c>
      <c r="G21" s="66">
        <f>+G18*-1</f>
        <v>-3000</v>
      </c>
      <c r="H21" s="66">
        <f>+H18*-1</f>
        <v>-4800</v>
      </c>
      <c r="J21" s="135" t="s">
        <v>454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804</v>
      </c>
      <c r="E22" s="9"/>
      <c r="F22" s="33" t="s">
        <v>1035</v>
      </c>
      <c r="G22" s="66">
        <f>+G19-G16</f>
        <v>1000</v>
      </c>
      <c r="H22" s="66">
        <f>+H19-H16</f>
        <v>1200</v>
      </c>
      <c r="J22" s="136" t="s">
        <v>443</v>
      </c>
    </row>
    <row r="23" spans="2:15" x14ac:dyDescent="0.15">
      <c r="B23" s="127" t="s">
        <v>475</v>
      </c>
      <c r="C23" s="9">
        <f>+C13</f>
        <v>500</v>
      </c>
      <c r="D23" s="9">
        <f>+D13</f>
        <v>500</v>
      </c>
      <c r="E23" s="9"/>
      <c r="J23" s="135" t="s">
        <v>455</v>
      </c>
    </row>
    <row r="24" spans="2:15" x14ac:dyDescent="0.15">
      <c r="B24" s="127" t="s">
        <v>462</v>
      </c>
      <c r="C24" s="70">
        <f>+G11*-1</f>
        <v>-12500</v>
      </c>
      <c r="D24" s="70">
        <f>+H11*-1</f>
        <v>-16000</v>
      </c>
      <c r="F24" s="389" t="s">
        <v>448</v>
      </c>
      <c r="G24" s="389"/>
      <c r="H24" s="389"/>
      <c r="J24" s="127" t="s">
        <v>456</v>
      </c>
      <c r="K24" s="9">
        <v>0</v>
      </c>
      <c r="L24" s="9">
        <v>0</v>
      </c>
      <c r="M24" s="9"/>
      <c r="N24" t="s">
        <v>1062</v>
      </c>
      <c r="O24" s="33" t="s">
        <v>1067</v>
      </c>
    </row>
    <row r="25" spans="2:15" x14ac:dyDescent="0.15">
      <c r="B25" s="127" t="s">
        <v>463</v>
      </c>
      <c r="C25" s="9">
        <f>+G33*-1</f>
        <v>-500</v>
      </c>
      <c r="D25" s="9">
        <f>+H33*-1</f>
        <v>-1000</v>
      </c>
      <c r="E25" s="66"/>
      <c r="F25" s="14"/>
      <c r="G25" s="10" t="s">
        <v>785</v>
      </c>
      <c r="H25" s="10" t="s">
        <v>786</v>
      </c>
      <c r="J25" s="135" t="s">
        <v>457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791</v>
      </c>
      <c r="C26" s="9">
        <f>+G22</f>
        <v>1000</v>
      </c>
      <c r="D26" s="9">
        <f>+H22</f>
        <v>1200</v>
      </c>
      <c r="G26" s="34"/>
      <c r="H26" s="33"/>
      <c r="J26" s="136" t="s">
        <v>443</v>
      </c>
    </row>
    <row r="27" spans="2:15" x14ac:dyDescent="0.15">
      <c r="B27" s="127" t="s">
        <v>792</v>
      </c>
      <c r="C27" s="9">
        <f>+G45</f>
        <v>1625</v>
      </c>
      <c r="D27" s="9">
        <f>+H45</f>
        <v>2000</v>
      </c>
      <c r="F27" s="33" t="s">
        <v>776</v>
      </c>
      <c r="G27" s="9">
        <v>0</v>
      </c>
      <c r="H27" s="66">
        <f>+G30</f>
        <v>500</v>
      </c>
      <c r="J27" s="135" t="s">
        <v>1052</v>
      </c>
    </row>
    <row r="28" spans="2:15" x14ac:dyDescent="0.15">
      <c r="B28" s="136" t="s">
        <v>805</v>
      </c>
      <c r="C28" s="9">
        <f>SUM(C23:C27)</f>
        <v>-9875</v>
      </c>
      <c r="D28" s="9">
        <f>SUM(D23:D27)</f>
        <v>-13300</v>
      </c>
      <c r="F28" s="33" t="s">
        <v>788</v>
      </c>
      <c r="G28" s="9">
        <v>4000</v>
      </c>
      <c r="H28" s="66">
        <v>6000</v>
      </c>
      <c r="J28" s="127" t="s">
        <v>1030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1069</v>
      </c>
    </row>
    <row r="29" spans="2:15" x14ac:dyDescent="0.15">
      <c r="B29" s="137"/>
      <c r="F29" s="33" t="s">
        <v>798</v>
      </c>
      <c r="G29" s="9">
        <f>+C5</f>
        <v>3500</v>
      </c>
      <c r="H29" s="9">
        <f>+D5</f>
        <v>5000</v>
      </c>
      <c r="J29" s="127" t="s">
        <v>949</v>
      </c>
      <c r="L29" s="66">
        <f>+K30</f>
        <v>4500</v>
      </c>
      <c r="M29" s="66"/>
      <c r="N29" s="44" t="s">
        <v>801</v>
      </c>
      <c r="O29" s="33" t="s">
        <v>1069</v>
      </c>
    </row>
    <row r="30" spans="2:15" x14ac:dyDescent="0.15">
      <c r="B30" s="136" t="s">
        <v>1014</v>
      </c>
      <c r="C30" s="66">
        <f>+C20+C28</f>
        <v>-5375</v>
      </c>
      <c r="D30" s="66">
        <f>+D20+D28</f>
        <v>-1800</v>
      </c>
      <c r="F30" s="33" t="s">
        <v>778</v>
      </c>
      <c r="G30" s="9">
        <f>+G27+G28-G29</f>
        <v>500</v>
      </c>
      <c r="H30" s="66">
        <f>+H27+H28-H29</f>
        <v>1500</v>
      </c>
      <c r="J30" s="162" t="s">
        <v>460</v>
      </c>
      <c r="K30" s="9">
        <f>+C15</f>
        <v>4500</v>
      </c>
      <c r="L30" s="66">
        <f>+D15</f>
        <v>11500</v>
      </c>
      <c r="M30" s="66"/>
      <c r="N30" s="44" t="s">
        <v>801</v>
      </c>
      <c r="O30" s="33" t="s">
        <v>1069</v>
      </c>
    </row>
    <row r="31" spans="2:15" x14ac:dyDescent="0.15">
      <c r="J31" s="135" t="s">
        <v>1031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803</v>
      </c>
      <c r="F32" s="33" t="s">
        <v>1036</v>
      </c>
      <c r="G32" s="66">
        <v>0</v>
      </c>
      <c r="H32" s="66">
        <v>0</v>
      </c>
    </row>
    <row r="33" spans="2:14" x14ac:dyDescent="0.15">
      <c r="B33" s="136" t="s">
        <v>465</v>
      </c>
      <c r="C33" s="9">
        <f>+G57*-1</f>
        <v>-30000</v>
      </c>
      <c r="D33" s="9">
        <v>0</v>
      </c>
      <c r="F33" s="33" t="s">
        <v>1037</v>
      </c>
      <c r="G33" s="66">
        <f>+G30-G27</f>
        <v>500</v>
      </c>
      <c r="H33" s="66">
        <f>+H30-H27</f>
        <v>1000</v>
      </c>
      <c r="J33" s="135" t="s">
        <v>1032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802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796</v>
      </c>
      <c r="H36" s="10"/>
    </row>
    <row r="37" spans="2:14" x14ac:dyDescent="0.15">
      <c r="B37" s="135" t="s">
        <v>775</v>
      </c>
      <c r="C37" s="9"/>
      <c r="D37" s="9"/>
      <c r="F37" s="14"/>
      <c r="G37" s="10" t="s">
        <v>785</v>
      </c>
      <c r="H37" s="10" t="s">
        <v>786</v>
      </c>
    </row>
    <row r="38" spans="2:14" x14ac:dyDescent="0.15">
      <c r="B38" s="136" t="s">
        <v>1030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1015</v>
      </c>
      <c r="C39" s="9">
        <f>+C38</f>
        <v>50000</v>
      </c>
      <c r="D39" s="9">
        <f>+D38</f>
        <v>0</v>
      </c>
      <c r="F39" s="33" t="s">
        <v>776</v>
      </c>
      <c r="G39" s="9">
        <v>0</v>
      </c>
      <c r="H39" s="66">
        <f>+G42</f>
        <v>1625</v>
      </c>
    </row>
    <row r="40" spans="2:14" x14ac:dyDescent="0.15">
      <c r="F40" s="33" t="s">
        <v>790</v>
      </c>
      <c r="G40" s="9">
        <f>+C12</f>
        <v>6500</v>
      </c>
      <c r="H40" s="9">
        <f>+D12</f>
        <v>8000</v>
      </c>
    </row>
    <row r="41" spans="2:14" x14ac:dyDescent="0.15">
      <c r="F41" s="33" t="s">
        <v>789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466</v>
      </c>
      <c r="C42" s="9">
        <f>+C39+C35+C30</f>
        <v>14625</v>
      </c>
      <c r="D42" s="9">
        <f>+D39+D35+D30</f>
        <v>-1800</v>
      </c>
      <c r="F42" s="33" t="s">
        <v>778</v>
      </c>
      <c r="G42" s="9">
        <f>+G39+G40-G41</f>
        <v>1625</v>
      </c>
      <c r="H42" s="66">
        <f>+H39+H40-H41</f>
        <v>3625</v>
      </c>
      <c r="J42" s="14" t="s">
        <v>950</v>
      </c>
    </row>
    <row r="43" spans="2:14" x14ac:dyDescent="0.15">
      <c r="B43" s="137"/>
      <c r="C43" s="9"/>
      <c r="D43" s="9"/>
    </row>
    <row r="44" spans="2:14" x14ac:dyDescent="0.15">
      <c r="B44" s="136" t="s">
        <v>468</v>
      </c>
      <c r="C44" s="9">
        <v>0</v>
      </c>
      <c r="D44" s="9">
        <f>+C45</f>
        <v>14625</v>
      </c>
      <c r="F44" s="33" t="s">
        <v>1033</v>
      </c>
      <c r="G44" s="66">
        <f>+G41*-1</f>
        <v>-4875</v>
      </c>
      <c r="H44" s="66">
        <f>+H41*-1</f>
        <v>-6000</v>
      </c>
      <c r="J44" s="33" t="s">
        <v>951</v>
      </c>
    </row>
    <row r="45" spans="2:14" x14ac:dyDescent="0.15">
      <c r="B45" s="136" t="s">
        <v>467</v>
      </c>
      <c r="C45" s="9">
        <f>+C44+C42</f>
        <v>14625</v>
      </c>
      <c r="D45" s="9">
        <f>+D44+D42</f>
        <v>12825</v>
      </c>
      <c r="F45" s="33" t="s">
        <v>1038</v>
      </c>
      <c r="G45" s="66">
        <f>+G42-G39</f>
        <v>1625</v>
      </c>
      <c r="H45" s="66">
        <f>+H42-H39</f>
        <v>2000</v>
      </c>
      <c r="J45" s="47" t="s">
        <v>953</v>
      </c>
      <c r="K45" s="102">
        <f>+K16/K21</f>
        <v>21.761904761904763</v>
      </c>
      <c r="L45" s="102">
        <f>+L16/L21</f>
        <v>12.330472103004292</v>
      </c>
      <c r="M45" s="102"/>
      <c r="N45" s="33" t="s">
        <v>956</v>
      </c>
    </row>
    <row r="46" spans="2:14" x14ac:dyDescent="0.15">
      <c r="F46" s="33"/>
      <c r="G46" s="66"/>
      <c r="H46" s="66"/>
      <c r="J46" s="47" t="s">
        <v>954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957</v>
      </c>
    </row>
    <row r="47" spans="2:14" x14ac:dyDescent="0.15">
      <c r="F47" s="14" t="s">
        <v>799</v>
      </c>
      <c r="G47" s="388" t="s">
        <v>442</v>
      </c>
      <c r="H47" s="388"/>
      <c r="J47" s="47" t="s">
        <v>955</v>
      </c>
      <c r="N47" s="33" t="s">
        <v>958</v>
      </c>
    </row>
    <row r="48" spans="2:14" x14ac:dyDescent="0.15">
      <c r="B48" s="10" t="s">
        <v>801</v>
      </c>
      <c r="C48" s="10" t="s">
        <v>785</v>
      </c>
      <c r="D48" s="10" t="s">
        <v>786</v>
      </c>
      <c r="G48" s="10" t="s">
        <v>785</v>
      </c>
      <c r="H48" s="10" t="s">
        <v>786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959</v>
      </c>
    </row>
    <row r="50" spans="2:14" x14ac:dyDescent="0.15">
      <c r="B50" s="33" t="s">
        <v>800</v>
      </c>
      <c r="C50" s="9">
        <v>15000</v>
      </c>
      <c r="D50" s="9">
        <v>25000</v>
      </c>
      <c r="F50" s="33" t="s">
        <v>793</v>
      </c>
      <c r="G50" s="9">
        <f>+G21</f>
        <v>-3000</v>
      </c>
      <c r="H50" s="9">
        <f>+H21</f>
        <v>-4800</v>
      </c>
      <c r="J50" s="47" t="s">
        <v>960</v>
      </c>
      <c r="N50" s="33" t="s">
        <v>961</v>
      </c>
    </row>
    <row r="51" spans="2:14" x14ac:dyDescent="0.15">
      <c r="B51" s="47" t="s">
        <v>787</v>
      </c>
      <c r="C51" s="9">
        <v>3500</v>
      </c>
      <c r="D51" s="9">
        <v>5000</v>
      </c>
      <c r="F51" s="33" t="s">
        <v>448</v>
      </c>
      <c r="G51" s="9">
        <f>+G32</f>
        <v>0</v>
      </c>
      <c r="H51" s="9">
        <f>+H32</f>
        <v>0</v>
      </c>
      <c r="J51" s="47" t="s">
        <v>962</v>
      </c>
      <c r="N51" s="33" t="s">
        <v>963</v>
      </c>
    </row>
    <row r="52" spans="2:14" x14ac:dyDescent="0.15">
      <c r="B52" s="33" t="s">
        <v>779</v>
      </c>
      <c r="C52" s="9">
        <f>+C50-C51</f>
        <v>11500</v>
      </c>
      <c r="D52" s="9">
        <f>+D50-D51</f>
        <v>20000</v>
      </c>
      <c r="F52" s="33" t="s">
        <v>794</v>
      </c>
      <c r="G52" s="9">
        <f>+G44</f>
        <v>-4875</v>
      </c>
      <c r="H52" s="9">
        <f>+H44</f>
        <v>-6000</v>
      </c>
      <c r="J52" s="47" t="s">
        <v>964</v>
      </c>
      <c r="N52" s="33" t="s">
        <v>965</v>
      </c>
    </row>
    <row r="53" spans="2:14" x14ac:dyDescent="0.15">
      <c r="B53" s="47" t="s">
        <v>784</v>
      </c>
      <c r="C53" s="66">
        <f>+C14</f>
        <v>7000</v>
      </c>
      <c r="D53" s="66">
        <f>+D14</f>
        <v>8500</v>
      </c>
      <c r="F53" s="33" t="s">
        <v>1016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460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785</v>
      </c>
      <c r="H54" s="10" t="s">
        <v>786</v>
      </c>
      <c r="J54" s="33" t="s">
        <v>952</v>
      </c>
    </row>
    <row r="55" spans="2:14" x14ac:dyDescent="0.15">
      <c r="B55" s="47"/>
      <c r="C55" s="9"/>
      <c r="D55" s="9"/>
      <c r="F55" s="73"/>
      <c r="G55" s="6"/>
      <c r="H55" s="6"/>
      <c r="J55" s="47" t="s">
        <v>966</v>
      </c>
      <c r="N55" s="33" t="s">
        <v>967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968</v>
      </c>
      <c r="N56" s="33" t="s">
        <v>969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972</v>
      </c>
      <c r="J2" s="48" t="s">
        <v>975</v>
      </c>
    </row>
    <row r="4" spans="2:10" x14ac:dyDescent="0.15">
      <c r="B4" s="14" t="s">
        <v>951</v>
      </c>
    </row>
    <row r="5" spans="2:10" x14ac:dyDescent="0.15">
      <c r="B5" s="47" t="s">
        <v>953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980</v>
      </c>
    </row>
    <row r="6" spans="2:10" x14ac:dyDescent="0.15">
      <c r="B6" s="47" t="s">
        <v>982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987</v>
      </c>
    </row>
    <row r="7" spans="2:10" x14ac:dyDescent="0.15">
      <c r="C7" s="75"/>
    </row>
    <row r="8" spans="2:10" x14ac:dyDescent="0.15">
      <c r="B8" s="14" t="s">
        <v>973</v>
      </c>
      <c r="C8" s="75"/>
    </row>
    <row r="9" spans="2:10" x14ac:dyDescent="0.15">
      <c r="B9" s="47" t="s">
        <v>988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989</v>
      </c>
    </row>
    <row r="10" spans="2:10" x14ac:dyDescent="0.15">
      <c r="B10" s="47" t="s">
        <v>962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979</v>
      </c>
    </row>
    <row r="11" spans="2:10" x14ac:dyDescent="0.15">
      <c r="B11" s="47" t="s">
        <v>964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978</v>
      </c>
    </row>
    <row r="12" spans="2:10" x14ac:dyDescent="0.15">
      <c r="C12" s="75"/>
    </row>
    <row r="13" spans="2:10" x14ac:dyDescent="0.15">
      <c r="B13" s="14" t="s">
        <v>952</v>
      </c>
      <c r="C13" s="75"/>
    </row>
    <row r="14" spans="2:10" x14ac:dyDescent="0.15">
      <c r="B14" s="47" t="s">
        <v>966</v>
      </c>
      <c r="C14" s="75" t="s">
        <v>288</v>
      </c>
      <c r="D14" s="258">
        <f>D113/(D20+D28+D33)</f>
        <v>-0.8100281428284597</v>
      </c>
      <c r="E14" s="258">
        <f t="shared" ref="E14:H14" si="0">E113/(E20+E28+E33)</f>
        <v>-0.30958519098168091</v>
      </c>
      <c r="F14" s="258">
        <f t="shared" si="0"/>
        <v>-1.1691461677776824E-2</v>
      </c>
      <c r="G14" s="258">
        <f t="shared" si="0"/>
        <v>9.4957089208257253E-2</v>
      </c>
      <c r="H14" s="258">
        <f t="shared" si="0"/>
        <v>6.1026326123005271E-2</v>
      </c>
      <c r="J14" s="48" t="s">
        <v>976</v>
      </c>
    </row>
    <row r="15" spans="2:10" x14ac:dyDescent="0.15">
      <c r="B15" s="47" t="s">
        <v>974</v>
      </c>
      <c r="C15" s="75" t="s">
        <v>288</v>
      </c>
      <c r="D15" s="258">
        <f ca="1">D113/(+D180/2)</f>
        <v>-7.153404908020538</v>
      </c>
      <c r="E15" s="258">
        <f ca="1">E113/((D180+E180)/2)</f>
        <v>-5.7017659830296976</v>
      </c>
      <c r="F15" s="258">
        <f ca="1">F113/((E180+F180)/2)</f>
        <v>-3.8625516425416988</v>
      </c>
      <c r="G15" s="258">
        <f ca="1">G113/((F180+G180)/2)</f>
        <v>2.080491625744588</v>
      </c>
      <c r="H15" s="258">
        <f ca="1">H113/((G180+H180)/2)</f>
        <v>0.50953129403679176</v>
      </c>
      <c r="J15" s="48" t="s">
        <v>977</v>
      </c>
    </row>
    <row r="17" spans="1:55" ht="12.75" customHeight="1" x14ac:dyDescent="0.2">
      <c r="A17" s="220"/>
      <c r="B17" s="255" t="s">
        <v>981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479</v>
      </c>
      <c r="BC19" s="65"/>
    </row>
    <row r="20" spans="1:55" s="33" customFormat="1" x14ac:dyDescent="0.15">
      <c r="B20" s="47" t="s">
        <v>479</v>
      </c>
      <c r="C20" s="70">
        <f>'FIN-P&amp;L_CWS'!D10</f>
        <v>0</v>
      </c>
      <c r="D20" s="70">
        <f>'FIN-P&amp;L_CWS'!E10</f>
        <v>144558000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105170000</v>
      </c>
      <c r="E21" s="70">
        <f>'FIN-P&amp;L_CWS'!F11</f>
        <v>257545860</v>
      </c>
      <c r="F21" s="70">
        <f>'FIN-P&amp;L_CWS'!G11</f>
        <v>498100084.00000012</v>
      </c>
      <c r="G21" s="70">
        <f>'FIN-P&amp;L_CWS'!H11</f>
        <v>776678467.99800014</v>
      </c>
      <c r="H21" s="70">
        <f>'FIN-P&amp;L_CWS'!I11</f>
        <v>849058728.92704499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330</v>
      </c>
      <c r="C22" s="70">
        <f>'FIN-P&amp;L_CWS'!D12</f>
        <v>0</v>
      </c>
      <c r="D22" s="70">
        <f>'FIN-P&amp;L_CWS'!E12</f>
        <v>39388000</v>
      </c>
      <c r="E22" s="70">
        <f>'FIN-P&amp;L_CWS'!F12</f>
        <v>104978700</v>
      </c>
      <c r="F22" s="70">
        <f>'FIN-P&amp;L_CWS'!G12</f>
        <v>250023371.99999997</v>
      </c>
      <c r="G22" s="70">
        <f>'FIN-P&amp;L_CWS'!H12</f>
        <v>368530929.77800018</v>
      </c>
      <c r="H22" s="70">
        <f>'FIN-P&amp;L_CWS'!I12</f>
        <v>342703647.64849508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0.2724719489754977</v>
      </c>
      <c r="E23" s="46">
        <f>'FIN-P&amp;L_CWS'!F13</f>
        <v>0.28957679446600804</v>
      </c>
      <c r="F23" s="46">
        <f>'FIN-P&amp;L_CWS'!G13</f>
        <v>0.33420068572211692</v>
      </c>
      <c r="G23" s="46">
        <f>'FIN-P&amp;L_CWS'!H13</f>
        <v>0.32180222280195064</v>
      </c>
      <c r="H23" s="46">
        <f>'FIN-P&amp;L_CWS'!I13</f>
        <v>0.28756038484218133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349</v>
      </c>
      <c r="BC25" s="65"/>
    </row>
    <row r="26" spans="1:55" s="33" customFormat="1" x14ac:dyDescent="0.15">
      <c r="B26" s="47" t="s">
        <v>349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350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354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353</v>
      </c>
      <c r="C31" s="70">
        <f>'FIN-P&amp;L_CWS'!D21</f>
        <v>0</v>
      </c>
      <c r="D31" s="70">
        <f>'FIN-P&amp;L_CWS'!E21</f>
        <v>5687500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352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355</v>
      </c>
      <c r="C33" s="70">
        <f>'FIN-P&amp;L_CWS'!D23</f>
        <v>0</v>
      </c>
      <c r="D33" s="70">
        <f>'FIN-P&amp;L_CWS'!E23</f>
        <v>5687500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356</v>
      </c>
      <c r="C35" s="70">
        <f>'FIN-P&amp;L_CWS'!D25</f>
        <v>0</v>
      </c>
      <c r="D35" s="70">
        <f>'FIN-P&amp;L_CWS'!E25</f>
        <v>45075500</v>
      </c>
      <c r="E35" s="70">
        <f>'FIN-P&amp;L_CWS'!F25</f>
        <v>119514650</v>
      </c>
      <c r="F35" s="70">
        <f>'FIN-P&amp;L_CWS'!G25</f>
        <v>281762862.24999994</v>
      </c>
      <c r="G35" s="70">
        <f>'FIN-P&amp;L_CWS'!H25</f>
        <v>420086864.43300021</v>
      </c>
      <c r="H35" s="70">
        <f>'FIN-P&amp;L_CWS'!I25</f>
        <v>399513546.72189516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476</v>
      </c>
    </row>
    <row r="38" spans="1:55" x14ac:dyDescent="0.15">
      <c r="B38" s="44"/>
    </row>
    <row r="39" spans="1:55" s="50" customFormat="1" x14ac:dyDescent="0.15">
      <c r="A39" s="74"/>
      <c r="B39" s="128" t="s">
        <v>392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393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419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439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440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408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409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410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412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413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480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374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500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380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484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485</v>
      </c>
      <c r="BC69" s="167"/>
    </row>
    <row r="70" spans="1:55" x14ac:dyDescent="0.15">
      <c r="B70" s="47" t="s">
        <v>381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481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486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482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985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460</v>
      </c>
      <c r="C113" s="70">
        <f>'FIN-P&amp;L_CWS'!D103</f>
        <v>0</v>
      </c>
      <c r="D113" s="70">
        <f>'FIN-P&amp;L_CWS'!E103</f>
        <v>-121703083.33333334</v>
      </c>
      <c r="E113" s="70">
        <f>'FIN-P&amp;L_CWS'!F103</f>
        <v>-116732350</v>
      </c>
      <c r="F113" s="70">
        <f>'FIN-P&amp;L_CWS'!G103</f>
        <v>-9117737.7500000019</v>
      </c>
      <c r="G113" s="70">
        <f>'FIN-P&amp;L_CWS'!H103</f>
        <v>113641352.43300013</v>
      </c>
      <c r="H113" s="70">
        <f>'FIN-P&amp;L_CWS'!I103</f>
        <v>76195778.88189508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983</v>
      </c>
      <c r="C114" s="70">
        <f>'FIN-P&amp;L_CWS'!D104</f>
        <v>0</v>
      </c>
      <c r="D114" s="70">
        <f>'FIN-P&amp;L_CWS'!E104</f>
        <v>-121703083.33333334</v>
      </c>
      <c r="E114" s="70">
        <f>'FIN-P&amp;L_CWS'!F104</f>
        <v>-238435433.33333334</v>
      </c>
      <c r="F114" s="70">
        <f>'FIN-P&amp;L_CWS'!G104</f>
        <v>-247553171.08333334</v>
      </c>
      <c r="G114" s="70">
        <f>'FIN-P&amp;L_CWS'!H104</f>
        <v>-133911818.65033321</v>
      </c>
      <c r="H114" s="70">
        <f>'FIN-P&amp;L_CWS'!I104</f>
        <v>-57716039.768438131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820</v>
      </c>
    </row>
    <row r="118" spans="2:54" x14ac:dyDescent="0.15">
      <c r="B118" s="136" t="s">
        <v>443</v>
      </c>
    </row>
    <row r="119" spans="2:54" x14ac:dyDescent="0.15">
      <c r="B119" s="135" t="s">
        <v>821</v>
      </c>
    </row>
    <row r="120" spans="2:54" x14ac:dyDescent="0.15">
      <c r="B120" s="136" t="s">
        <v>460</v>
      </c>
      <c r="C120" s="121">
        <f>'FIN-CASHFLOW_CWS'!C5</f>
        <v>0</v>
      </c>
      <c r="D120" s="121">
        <f>'FIN-CASHFLOW_CWS'!D5</f>
        <v>-121703083.33333334</v>
      </c>
      <c r="E120" s="121">
        <f>'FIN-CASHFLOW_CWS'!E5</f>
        <v>-116732350</v>
      </c>
      <c r="F120" s="121">
        <f>'FIN-CASHFLOW_CWS'!F5</f>
        <v>-9117737.7500000019</v>
      </c>
      <c r="G120" s="121">
        <f>'FIN-CASHFLOW_CWS'!G5</f>
        <v>113641352.43300013</v>
      </c>
      <c r="H120" s="121">
        <f>'FIN-CASHFLOW_CWS'!H5</f>
        <v>76195778.88189508</v>
      </c>
      <c r="I120" s="121"/>
    </row>
    <row r="121" spans="2:54" x14ac:dyDescent="0.15">
      <c r="B121" s="136" t="s">
        <v>443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971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475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462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463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464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805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823</v>
      </c>
      <c r="C130" s="121">
        <f>'FIN-CASHFLOW_CWS'!C15</f>
        <v>0</v>
      </c>
      <c r="D130" s="121">
        <f>'FIN-CASHFLOW_CWS'!D15</f>
        <v>-120114500.00000001</v>
      </c>
      <c r="E130" s="121">
        <f>'FIN-CASHFLOW_CWS'!E15</f>
        <v>-114605350</v>
      </c>
      <c r="F130" s="121">
        <f>'FIN-CASHFLOW_CWS'!F15</f>
        <v>-6990737.7500000019</v>
      </c>
      <c r="G130" s="121">
        <f>'FIN-CASHFLOW_CWS'!G15</f>
        <v>115768352.43300013</v>
      </c>
      <c r="H130" s="121">
        <f>'FIN-CASHFLOW_CWS'!H15</f>
        <v>78322778.88189508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824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465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825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826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458</v>
      </c>
      <c r="C138" s="121">
        <f ca="1">'FIN-CASHFLOW_CWS'!C23</f>
        <v>69112400</v>
      </c>
      <c r="D138" s="121">
        <f ca="1">'FIN-CASHFLOW_CWS'!D23</f>
        <v>86617300</v>
      </c>
      <c r="E138" s="121">
        <f ca="1">'FIN-CASHFLOW_CWS'!E23</f>
        <v>89625150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466</v>
      </c>
      <c r="C140" s="121">
        <f ca="1">'FIN-CASHFLOW_CWS'!C25</f>
        <v>69112400</v>
      </c>
      <c r="D140" s="121">
        <f ca="1">'FIN-CASHFLOW_CWS'!D25</f>
        <v>-44132200.000000015</v>
      </c>
      <c r="E140" s="121">
        <f ca="1">'FIN-CASHFLOW_CWS'!E25</f>
        <v>-24980200</v>
      </c>
      <c r="F140" s="121">
        <f ca="1">'FIN-CASHFLOW_CWS'!F25</f>
        <v>-6990737.7500000019</v>
      </c>
      <c r="G140" s="121">
        <f ca="1">'FIN-CASHFLOW_CWS'!G25</f>
        <v>115768352.43300013</v>
      </c>
      <c r="H140" s="121">
        <f ca="1">'FIN-CASHFLOW_CWS'!H25</f>
        <v>78322778.88189508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468</v>
      </c>
      <c r="C142" s="121">
        <f>'FIN-CASHFLOW_CWS'!C27</f>
        <v>0</v>
      </c>
      <c r="D142" s="121">
        <f ca="1">'FIN-CASHFLOW_CWS'!D27</f>
        <v>69112400</v>
      </c>
      <c r="E142" s="121">
        <f ca="1">'FIN-CASHFLOW_CWS'!E27</f>
        <v>24980199.999999985</v>
      </c>
      <c r="F142" s="121">
        <f ca="1">'FIN-CASHFLOW_CWS'!F27</f>
        <v>0</v>
      </c>
      <c r="G142" s="121">
        <f ca="1">'FIN-CASHFLOW_CWS'!G27</f>
        <v>-6990737.7500000019</v>
      </c>
      <c r="H142" s="121">
        <f ca="1">'FIN-CASHFLOW_CWS'!H27</f>
        <v>108777614.68300013</v>
      </c>
      <c r="I142" s="121"/>
    </row>
    <row r="143" spans="2:9" x14ac:dyDescent="0.15">
      <c r="B143" s="136" t="s">
        <v>467</v>
      </c>
      <c r="C143" s="121">
        <f ca="1">'FIN-CASHFLOW_CWS'!C28</f>
        <v>69112400</v>
      </c>
      <c r="D143" s="121">
        <f ca="1">'FIN-CASHFLOW_CWS'!D28</f>
        <v>24980199.999999985</v>
      </c>
      <c r="E143" s="121">
        <f ca="1">'FIN-CASHFLOW_CWS'!E28</f>
        <v>0</v>
      </c>
      <c r="F143" s="121">
        <f ca="1">'FIN-CASHFLOW_CWS'!F28</f>
        <v>-6990737.7500000019</v>
      </c>
      <c r="G143" s="121">
        <f ca="1">'FIN-CASHFLOW_CWS'!G28</f>
        <v>108777614.68300013</v>
      </c>
      <c r="H143" s="121">
        <f ca="1">'FIN-CASHFLOW_CWS'!H28</f>
        <v>187100393.56489521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444</v>
      </c>
    </row>
    <row r="146" spans="2:9" x14ac:dyDescent="0.15">
      <c r="B146" s="134"/>
    </row>
    <row r="147" spans="2:9" x14ac:dyDescent="0.15">
      <c r="B147" s="135" t="s">
        <v>445</v>
      </c>
    </row>
    <row r="148" spans="2:9" x14ac:dyDescent="0.15">
      <c r="B148" s="135"/>
    </row>
    <row r="149" spans="2:9" x14ac:dyDescent="0.15">
      <c r="B149" s="135" t="s">
        <v>446</v>
      </c>
    </row>
    <row r="150" spans="2:9" x14ac:dyDescent="0.15">
      <c r="B150" s="136" t="s">
        <v>442</v>
      </c>
      <c r="C150" s="121">
        <f ca="1">'FIN-BALANCE_CWS'!D7</f>
        <v>69112400</v>
      </c>
      <c r="D150" s="121">
        <f ca="1">'FIN-BALANCE_CWS'!E7</f>
        <v>24980200</v>
      </c>
      <c r="E150" s="121">
        <f ca="1">'FIN-BALANCE_CWS'!F7</f>
        <v>0</v>
      </c>
      <c r="F150" s="121">
        <f ca="1">'FIN-BALANCE_CWS'!G7</f>
        <v>-6990737.7500000019</v>
      </c>
      <c r="G150" s="121">
        <f ca="1">'FIN-BALANCE_CWS'!H7</f>
        <v>108777614.68300013</v>
      </c>
      <c r="H150" s="121">
        <f ca="1">'FIN-BALANCE_CWS'!I7</f>
        <v>187100393.56489512</v>
      </c>
      <c r="I150" s="121"/>
    </row>
    <row r="151" spans="2:9" x14ac:dyDescent="0.15">
      <c r="B151" s="136" t="s">
        <v>447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448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449</v>
      </c>
      <c r="C153" s="121">
        <f ca="1">'FIN-BALANCE_CWS'!D10</f>
        <v>69112400</v>
      </c>
      <c r="D153" s="121">
        <f ca="1">'FIN-BALANCE_CWS'!E10</f>
        <v>24980200</v>
      </c>
      <c r="E153" s="121">
        <f ca="1">'FIN-BALANCE_CWS'!F10</f>
        <v>0</v>
      </c>
      <c r="F153" s="121">
        <f ca="1">'FIN-BALANCE_CWS'!G10</f>
        <v>-6990737.7500000019</v>
      </c>
      <c r="G153" s="121">
        <f ca="1">'FIN-BALANCE_CWS'!H10</f>
        <v>108777614.68300013</v>
      </c>
      <c r="H153" s="121">
        <f ca="1">'FIN-BALANCE_CWS'!I10</f>
        <v>187100393.56489512</v>
      </c>
      <c r="I153" s="121"/>
    </row>
    <row r="154" spans="2:9" x14ac:dyDescent="0.15">
      <c r="B154" s="136" t="s">
        <v>443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451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452</v>
      </c>
      <c r="C160" s="121">
        <f ca="1">'FIN-BALANCE_CWS'!D17</f>
        <v>69112400</v>
      </c>
      <c r="D160" s="121">
        <f ca="1">'FIN-BALANCE_CWS'!E17</f>
        <v>34026616.666666664</v>
      </c>
      <c r="E160" s="121">
        <f ca="1">'FIN-BALANCE_CWS'!F17</f>
        <v>6919416.666666667</v>
      </c>
      <c r="F160" s="121">
        <f ca="1">'FIN-BALANCE_CWS'!G17</f>
        <v>-2198321.0833333349</v>
      </c>
      <c r="G160" s="121">
        <f ca="1">'FIN-BALANCE_CWS'!H17</f>
        <v>111443031.3496668</v>
      </c>
      <c r="H160" s="121">
        <f ca="1">'FIN-BALANCE_CWS'!I17</f>
        <v>187638810.23156178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1028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360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454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457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1029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1030</v>
      </c>
      <c r="C177" s="121">
        <f ca="1">'FIN-BALANCE_CWS'!D34</f>
        <v>69112400</v>
      </c>
      <c r="D177" s="121">
        <f ca="1">'FIN-BALANCE_CWS'!E34</f>
        <v>155729700</v>
      </c>
      <c r="E177" s="121">
        <f ca="1">'FIN-BALANCE_CWS'!F34</f>
        <v>245354850</v>
      </c>
      <c r="F177" s="121">
        <f ca="1">'FIN-BALANCE_CWS'!G34</f>
        <v>245354850</v>
      </c>
      <c r="G177" s="121">
        <f ca="1">'FIN-BALANCE_CWS'!H34</f>
        <v>245354850</v>
      </c>
      <c r="H177" s="121">
        <f ca="1">'FIN-BALANCE_CWS'!I34</f>
        <v>245354850</v>
      </c>
      <c r="I177" s="121"/>
    </row>
    <row r="178" spans="2:9" x14ac:dyDescent="0.15">
      <c r="B178" s="136" t="s">
        <v>459</v>
      </c>
      <c r="C178" s="121">
        <f>'FIN-BALANCE_CWS'!D35</f>
        <v>0</v>
      </c>
      <c r="D178" s="121">
        <f>'FIN-BALANCE_CWS'!E35</f>
        <v>-108979133.33333334</v>
      </c>
      <c r="E178" s="121">
        <f>'FIN-BALANCE_CWS'!F35</f>
        <v>-226169888.33333334</v>
      </c>
      <c r="F178" s="121">
        <f>'FIN-BALANCE_CWS'!G35</f>
        <v>-240215858.83333346</v>
      </c>
      <c r="G178" s="121">
        <f>'FIN-BALANCE_CWS'!H35</f>
        <v>-133578714.45783325</v>
      </c>
      <c r="H178" s="121">
        <f>'FIN-BALANCE_CWS'!I35</f>
        <v>-54753337.328458145</v>
      </c>
      <c r="I178" s="121"/>
    </row>
    <row r="179" spans="2:9" x14ac:dyDescent="0.15">
      <c r="B179" s="137" t="s">
        <v>460</v>
      </c>
      <c r="C179" s="121">
        <f>'FIN-BALANCE_CWS'!D36</f>
        <v>0</v>
      </c>
      <c r="D179" s="121">
        <f>'FIN-BALANCE_CWS'!E36</f>
        <v>-12723950</v>
      </c>
      <c r="E179" s="121">
        <f>'FIN-BALANCE_CWS'!F36</f>
        <v>-12265545</v>
      </c>
      <c r="F179" s="121">
        <f>'FIN-BALANCE_CWS'!G36</f>
        <v>-7337312.2499999963</v>
      </c>
      <c r="G179" s="121">
        <f>'FIN-BALANCE_CWS'!H36</f>
        <v>-333104.19249999151</v>
      </c>
      <c r="H179" s="121">
        <f>'FIN-BALANCE_CWS'!I36</f>
        <v>-2962702.4399799965</v>
      </c>
      <c r="I179" s="121"/>
    </row>
    <row r="180" spans="2:9" x14ac:dyDescent="0.15">
      <c r="B180" s="135" t="s">
        <v>1031</v>
      </c>
      <c r="C180" s="121">
        <f ca="1">'FIN-BALANCE_CWS'!D37</f>
        <v>69112400</v>
      </c>
      <c r="D180" s="121">
        <f ca="1">'FIN-BALANCE_CWS'!E37</f>
        <v>34026616.666666657</v>
      </c>
      <c r="E180" s="121">
        <f ca="1">'FIN-BALANCE_CWS'!F37</f>
        <v>6919416.6666666567</v>
      </c>
      <c r="F180" s="121">
        <f ca="1">'FIN-BALANCE_CWS'!G37</f>
        <v>-2198321.0833334588</v>
      </c>
      <c r="G180" s="121">
        <f ca="1">'FIN-BALANCE_CWS'!H37</f>
        <v>111443031.34966676</v>
      </c>
      <c r="H180" s="121">
        <f ca="1">'FIN-BALANCE_CWS'!I37</f>
        <v>187638810.23156187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1032</v>
      </c>
      <c r="C182" s="121">
        <f ca="1">'FIN-BALANCE_CWS'!D39</f>
        <v>69112400</v>
      </c>
      <c r="D182" s="121">
        <f ca="1">'FIN-BALANCE_CWS'!E39</f>
        <v>34026616.666666657</v>
      </c>
      <c r="E182" s="121">
        <f ca="1">'FIN-BALANCE_CWS'!F39</f>
        <v>6919416.6666666567</v>
      </c>
      <c r="F182" s="121">
        <f ca="1">'FIN-BALANCE_CWS'!G39</f>
        <v>-2198321.0833334588</v>
      </c>
      <c r="G182" s="121">
        <f ca="1">'FIN-BALANCE_CWS'!H39</f>
        <v>111443031.34966676</v>
      </c>
      <c r="H182" s="121">
        <f ca="1">'FIN-BALANCE_CWS'!I39</f>
        <v>187638810.23156187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1039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943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1040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813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1081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568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1051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522</v>
      </c>
      <c r="C12" s="233"/>
      <c r="H12" s="233"/>
      <c r="N12" s="233"/>
      <c r="S12" s="233"/>
      <c r="V12" s="233"/>
    </row>
    <row r="13" spans="1:37" x14ac:dyDescent="0.15">
      <c r="B13" s="47" t="s">
        <v>569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1041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811</v>
      </c>
      <c r="C17" s="233"/>
      <c r="H17" s="233"/>
      <c r="N17" s="233"/>
      <c r="S17" s="233"/>
      <c r="V17" s="233"/>
    </row>
    <row r="18" spans="2:23" x14ac:dyDescent="0.15">
      <c r="B18" s="16" t="s">
        <v>814</v>
      </c>
      <c r="C18" s="233"/>
      <c r="H18" s="233"/>
      <c r="N18" s="233"/>
      <c r="S18" s="233"/>
      <c r="V18" s="233"/>
    </row>
    <row r="19" spans="2:23" x14ac:dyDescent="0.15">
      <c r="B19" s="16" t="s">
        <v>812</v>
      </c>
      <c r="C19" s="233"/>
      <c r="H19" s="233"/>
      <c r="N19" s="233"/>
      <c r="S19" s="233"/>
      <c r="V19" s="233"/>
    </row>
    <row r="20" spans="2:23" x14ac:dyDescent="0.15">
      <c r="B20" s="47" t="s">
        <v>536</v>
      </c>
      <c r="C20" s="233"/>
      <c r="H20" s="233"/>
      <c r="N20" s="233"/>
      <c r="S20" s="233"/>
      <c r="V20" s="233"/>
    </row>
    <row r="21" spans="2:23" x14ac:dyDescent="0.15">
      <c r="B21" s="47" t="s">
        <v>806</v>
      </c>
      <c r="C21" s="233"/>
      <c r="H21" s="233"/>
      <c r="N21" s="233"/>
      <c r="S21" s="233"/>
      <c r="V21" s="233"/>
    </row>
    <row r="22" spans="2:23" x14ac:dyDescent="0.15">
      <c r="B22" s="47" t="s">
        <v>807</v>
      </c>
      <c r="C22" s="233"/>
      <c r="H22" s="233"/>
      <c r="N22" s="233"/>
      <c r="S22" s="233"/>
      <c r="V22" s="233"/>
    </row>
    <row r="23" spans="2:23" x14ac:dyDescent="0.15">
      <c r="B23" s="47" t="s">
        <v>808</v>
      </c>
      <c r="C23" s="233"/>
      <c r="H23" s="233"/>
      <c r="N23" s="233"/>
      <c r="S23" s="233"/>
      <c r="V23" s="233"/>
    </row>
    <row r="24" spans="2:23" x14ac:dyDescent="0.15">
      <c r="B24" s="47" t="s">
        <v>809</v>
      </c>
      <c r="C24" s="233"/>
      <c r="H24" s="233"/>
      <c r="N24" s="233"/>
      <c r="S24" s="233"/>
      <c r="V24" s="233"/>
    </row>
    <row r="25" spans="2:23" x14ac:dyDescent="0.15">
      <c r="B25" s="47" t="s">
        <v>810</v>
      </c>
      <c r="C25" s="233"/>
      <c r="H25" s="233"/>
      <c r="N25" s="233"/>
      <c r="S25" s="233"/>
      <c r="V25" s="233"/>
    </row>
    <row r="26" spans="2:23" ht="18" x14ac:dyDescent="0.2">
      <c r="B26" s="14" t="s">
        <v>815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560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519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520</v>
      </c>
      <c r="C29" s="233"/>
      <c r="H29" s="233"/>
      <c r="N29" s="233"/>
      <c r="S29" s="232"/>
      <c r="V29" s="233"/>
    </row>
    <row r="30" spans="2:23" x14ac:dyDescent="0.15">
      <c r="B30" s="47" t="s">
        <v>521</v>
      </c>
      <c r="C30" s="233"/>
      <c r="H30" s="233"/>
      <c r="N30" s="233"/>
      <c r="S30" s="232"/>
      <c r="V30" s="233"/>
    </row>
    <row r="31" spans="2:23" x14ac:dyDescent="0.15">
      <c r="B31" s="14" t="s">
        <v>816</v>
      </c>
      <c r="C31" s="233"/>
      <c r="H31" s="233"/>
      <c r="N31" s="233"/>
      <c r="S31" s="232"/>
      <c r="V31" s="233"/>
    </row>
    <row r="32" spans="2:23" x14ac:dyDescent="0.15">
      <c r="B32" s="47" t="s">
        <v>545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691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692</v>
      </c>
      <c r="C34" s="233"/>
      <c r="H34" s="233"/>
      <c r="N34" s="233"/>
      <c r="S34" s="232"/>
      <c r="V34" s="233"/>
    </row>
    <row r="35" spans="2:22" x14ac:dyDescent="0.15">
      <c r="B35" s="47" t="s">
        <v>693</v>
      </c>
      <c r="C35" s="233"/>
      <c r="H35" s="233"/>
      <c r="N35" s="233"/>
      <c r="S35" s="233"/>
      <c r="V35" s="232"/>
    </row>
    <row r="36" spans="2:22" x14ac:dyDescent="0.15">
      <c r="B36" s="47" t="s">
        <v>694</v>
      </c>
      <c r="C36" s="233"/>
      <c r="H36" s="233"/>
      <c r="N36" s="233"/>
      <c r="S36" s="233"/>
      <c r="V36" s="232"/>
    </row>
    <row r="37" spans="2:22" x14ac:dyDescent="0.15">
      <c r="B37" s="16" t="s">
        <v>817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530</v>
      </c>
      <c r="C39" s="232"/>
      <c r="H39" s="233"/>
      <c r="N39" s="233"/>
      <c r="S39" s="233"/>
      <c r="V39" s="233"/>
    </row>
    <row r="40" spans="2:22" x14ac:dyDescent="0.15">
      <c r="B40" s="106" t="s">
        <v>326</v>
      </c>
      <c r="C40" s="232"/>
      <c r="H40" s="233"/>
      <c r="N40" s="233"/>
      <c r="S40" s="233"/>
      <c r="V40" s="233"/>
    </row>
    <row r="41" spans="2:22" x14ac:dyDescent="0.15">
      <c r="B41" s="106" t="s">
        <v>327</v>
      </c>
      <c r="C41" s="232"/>
      <c r="H41" s="233"/>
      <c r="N41" s="233"/>
      <c r="S41" s="233"/>
      <c r="V41" s="233"/>
    </row>
    <row r="42" spans="2:22" x14ac:dyDescent="0.15">
      <c r="B42" s="106" t="s">
        <v>543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531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542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728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567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562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557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532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533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534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535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540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557</v>
      </c>
      <c r="C61" s="233"/>
      <c r="H61" s="233"/>
      <c r="N61" s="233"/>
      <c r="S61" s="233"/>
      <c r="V61" s="233"/>
    </row>
    <row r="62" spans="2:22" x14ac:dyDescent="0.15">
      <c r="B62" s="106" t="s">
        <v>537</v>
      </c>
      <c r="C62" s="233"/>
      <c r="H62" s="233"/>
      <c r="N62" s="233"/>
      <c r="S62" s="233"/>
      <c r="V62" s="233"/>
    </row>
    <row r="63" spans="2:22" x14ac:dyDescent="0.15">
      <c r="B63" s="106" t="s">
        <v>523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541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557</v>
      </c>
      <c r="C66" s="233"/>
      <c r="H66" s="233"/>
      <c r="N66" s="233"/>
      <c r="S66" s="233"/>
      <c r="V66" s="233"/>
    </row>
    <row r="67" spans="2:22" x14ac:dyDescent="0.15">
      <c r="B67" s="106" t="s">
        <v>537</v>
      </c>
      <c r="C67" s="233"/>
      <c r="H67" s="233"/>
      <c r="N67" s="233"/>
      <c r="S67" s="233"/>
      <c r="V67" s="233"/>
    </row>
    <row r="68" spans="2:22" x14ac:dyDescent="0.15">
      <c r="B68" s="106" t="s">
        <v>523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538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511</v>
      </c>
      <c r="C72" s="233"/>
      <c r="H72" s="233"/>
      <c r="N72" s="233"/>
      <c r="S72" s="233"/>
      <c r="V72" s="233"/>
    </row>
    <row r="73" spans="2:22" x14ac:dyDescent="0.15">
      <c r="B73" s="47" t="s">
        <v>539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1086</v>
      </c>
      <c r="C76" s="233"/>
      <c r="H76" s="233"/>
      <c r="N76" s="233"/>
      <c r="S76" s="233"/>
      <c r="V76" s="233"/>
    </row>
    <row r="77" spans="2:22" x14ac:dyDescent="0.15">
      <c r="B77" s="47" t="s">
        <v>1087</v>
      </c>
      <c r="C77" s="233"/>
      <c r="H77" s="233"/>
      <c r="N77" s="233"/>
      <c r="S77" s="233"/>
      <c r="V77" s="233"/>
    </row>
    <row r="78" spans="2:22" x14ac:dyDescent="0.15">
      <c r="B78" s="16" t="s">
        <v>397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530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724</v>
      </c>
      <c r="C82" s="233"/>
      <c r="H82" s="233"/>
      <c r="N82" s="233"/>
      <c r="S82" s="233"/>
      <c r="V82" s="233"/>
    </row>
    <row r="83" spans="2:22" x14ac:dyDescent="0.15">
      <c r="B83" s="106" t="s">
        <v>510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507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508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509</v>
      </c>
      <c r="C86" s="233"/>
      <c r="H86" s="233"/>
      <c r="N86" s="233"/>
      <c r="S86" s="233"/>
      <c r="V86" s="233"/>
    </row>
    <row r="87" spans="2:22" x14ac:dyDescent="0.15">
      <c r="B87" s="106" t="s">
        <v>517</v>
      </c>
      <c r="C87" s="233"/>
      <c r="H87" s="233"/>
      <c r="N87" s="233"/>
      <c r="S87" s="233"/>
      <c r="V87" s="233"/>
    </row>
    <row r="88" spans="2:22" x14ac:dyDescent="0.15">
      <c r="B88" s="106" t="s">
        <v>518</v>
      </c>
      <c r="C88" s="233"/>
      <c r="H88" s="233"/>
      <c r="N88" s="233"/>
      <c r="S88" s="233"/>
      <c r="V88" s="233"/>
    </row>
    <row r="89" spans="2:22" x14ac:dyDescent="0.15">
      <c r="B89" s="106" t="s">
        <v>414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415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725</v>
      </c>
      <c r="C92" s="233"/>
      <c r="H92" s="233"/>
      <c r="N92" s="233"/>
      <c r="S92" s="233"/>
      <c r="V92" s="233"/>
    </row>
    <row r="93" spans="2:22" x14ac:dyDescent="0.15">
      <c r="B93" s="106" t="s">
        <v>510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507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508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509</v>
      </c>
      <c r="C96" s="233"/>
      <c r="H96" s="233"/>
      <c r="N96" s="233"/>
      <c r="S96" s="233"/>
      <c r="V96" s="233"/>
    </row>
    <row r="97" spans="2:22" x14ac:dyDescent="0.15">
      <c r="B97" s="106" t="s">
        <v>517</v>
      </c>
      <c r="C97" s="233"/>
      <c r="H97" s="233"/>
      <c r="N97" s="233"/>
      <c r="S97" s="233"/>
      <c r="V97" s="233"/>
    </row>
    <row r="98" spans="2:22" x14ac:dyDescent="0.15">
      <c r="B98" s="106" t="s">
        <v>518</v>
      </c>
      <c r="C98" s="233"/>
      <c r="H98" s="233"/>
      <c r="N98" s="233"/>
      <c r="S98" s="233"/>
      <c r="V98" s="233"/>
    </row>
    <row r="99" spans="2:22" x14ac:dyDescent="0.15">
      <c r="B99" s="106" t="s">
        <v>563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559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544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564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420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565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550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558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512</v>
      </c>
      <c r="C116" s="233"/>
      <c r="H116" s="233"/>
      <c r="N116" s="233"/>
      <c r="S116" s="233"/>
      <c r="V116" s="233"/>
    </row>
    <row r="117" spans="2:25" x14ac:dyDescent="0.15">
      <c r="B117" s="47" t="s">
        <v>513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566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375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549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550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515</v>
      </c>
      <c r="C124" s="233"/>
      <c r="H124" s="233"/>
      <c r="N124" s="233"/>
      <c r="S124" s="233"/>
      <c r="V124" s="233"/>
    </row>
    <row r="125" spans="2:25" x14ac:dyDescent="0.15">
      <c r="B125" s="47" t="s">
        <v>560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519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520</v>
      </c>
      <c r="C127" s="233"/>
      <c r="H127" s="233"/>
      <c r="N127" s="233"/>
      <c r="S127" s="232"/>
      <c r="V127" s="233"/>
    </row>
    <row r="128" spans="2:25" x14ac:dyDescent="0.15">
      <c r="B128" s="47" t="s">
        <v>521</v>
      </c>
      <c r="C128" s="233"/>
      <c r="H128" s="233"/>
      <c r="N128" s="233"/>
      <c r="S128" s="232"/>
      <c r="V128" s="233"/>
    </row>
    <row r="129" spans="2:22" x14ac:dyDescent="0.15">
      <c r="B129" s="47" t="s">
        <v>545</v>
      </c>
      <c r="C129" s="233"/>
      <c r="H129" s="233"/>
      <c r="N129" s="233"/>
      <c r="S129" s="233"/>
      <c r="V129" s="233"/>
    </row>
    <row r="130" spans="2:22" x14ac:dyDescent="0.15">
      <c r="B130" s="47" t="s">
        <v>691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692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693</v>
      </c>
      <c r="C132" s="233"/>
      <c r="H132" s="233"/>
      <c r="N132" s="233"/>
      <c r="S132" s="232"/>
      <c r="V132" s="233"/>
    </row>
    <row r="133" spans="2:22" x14ac:dyDescent="0.15">
      <c r="B133" s="47" t="s">
        <v>694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548</v>
      </c>
      <c r="C136" s="233"/>
      <c r="H136" s="233"/>
      <c r="N136" s="233"/>
      <c r="S136" s="233"/>
      <c r="V136" s="233"/>
    </row>
    <row r="137" spans="2:22" x14ac:dyDescent="0.15">
      <c r="B137" s="47" t="s">
        <v>547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514</v>
      </c>
      <c r="C138" s="233"/>
      <c r="H138" s="232"/>
      <c r="N138" s="233"/>
      <c r="S138" s="233"/>
      <c r="V138" s="233"/>
    </row>
    <row r="139" spans="2:22" x14ac:dyDescent="0.15">
      <c r="B139" s="47" t="s">
        <v>516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546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551</v>
      </c>
      <c r="C143" s="233"/>
      <c r="H143" s="233"/>
      <c r="N143" s="233"/>
      <c r="S143" s="233"/>
      <c r="V143" s="233"/>
    </row>
    <row r="144" spans="2:22" x14ac:dyDescent="0.15">
      <c r="B144" s="106" t="s">
        <v>553</v>
      </c>
      <c r="C144" s="232"/>
      <c r="H144" s="233"/>
      <c r="N144" s="233"/>
      <c r="S144" s="233"/>
      <c r="V144" s="233"/>
    </row>
    <row r="145" spans="2:22" x14ac:dyDescent="0.15">
      <c r="B145" s="106" t="s">
        <v>554</v>
      </c>
      <c r="C145" s="232"/>
      <c r="H145" s="233"/>
      <c r="N145" s="233"/>
      <c r="S145" s="233"/>
      <c r="V145" s="233"/>
    </row>
    <row r="146" spans="2:22" x14ac:dyDescent="0.15">
      <c r="B146" s="106" t="s">
        <v>555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552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561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556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abSelected="1" topLeftCell="B1" workbookViewId="1">
      <selection activeCell="E10" sqref="E10"/>
    </sheetView>
    <sheetView topLeftCell="B1" workbookViewId="2"/>
    <sheetView topLeftCell="B1" workbookViewId="3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1083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577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477</v>
      </c>
      <c r="D7" s="50">
        <f>D111</f>
        <v>0</v>
      </c>
      <c r="E7" s="50">
        <f>SUM(E111:P111)</f>
        <v>8965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141720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479</v>
      </c>
      <c r="J9" s="37"/>
      <c r="K9" s="37"/>
      <c r="BM9" s="65"/>
    </row>
    <row r="10" spans="1:65" s="33" customFormat="1" outlineLevel="1" x14ac:dyDescent="0.15">
      <c r="B10" s="47" t="s">
        <v>479</v>
      </c>
      <c r="D10" s="70">
        <f>D114</f>
        <v>0</v>
      </c>
      <c r="E10" s="70">
        <f>SUM(E114:P114)</f>
        <v>144558000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3592177790.3515406</v>
      </c>
      <c r="K10" s="144">
        <f>J10-BM114</f>
        <v>0</v>
      </c>
      <c r="L10" s="70" t="s">
        <v>609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105170000</v>
      </c>
      <c r="F11" s="70">
        <f>SUM(Q115:AB115)</f>
        <v>257545860</v>
      </c>
      <c r="G11" s="70">
        <f>SUM(AC115:AN115)</f>
        <v>498100084.00000012</v>
      </c>
      <c r="H11" s="70">
        <f>SUM(AO115:AZ115)</f>
        <v>776678467.99800014</v>
      </c>
      <c r="I11" s="70">
        <f>SUM(BA115:BL115)</f>
        <v>849058728.92704499</v>
      </c>
      <c r="J11" s="65">
        <f>SUM(D11:I11)</f>
        <v>2486553140.925045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330</v>
      </c>
      <c r="D12" s="70">
        <f>D116</f>
        <v>0</v>
      </c>
      <c r="E12" s="70">
        <f>SUM(E116:P116)</f>
        <v>39388000</v>
      </c>
      <c r="F12" s="70">
        <f>SUM(Q116:AB116)</f>
        <v>104978700</v>
      </c>
      <c r="G12" s="70">
        <f>SUM(AC116:AN116)</f>
        <v>250023371.99999997</v>
      </c>
      <c r="H12" s="70">
        <f>SUM(AO116:AZ116)</f>
        <v>368530929.77800018</v>
      </c>
      <c r="I12" s="70">
        <f>SUM(BA116:BL116)</f>
        <v>342703647.64849508</v>
      </c>
      <c r="J12" s="65">
        <f>SUM(D12:I12)</f>
        <v>1105624649.4264951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0.2724719489754977</v>
      </c>
      <c r="F13" s="46">
        <f>F12/F10</f>
        <v>0.28957679446600804</v>
      </c>
      <c r="G13" s="46">
        <f>G12/G10</f>
        <v>0.33420068572211692</v>
      </c>
      <c r="H13" s="46">
        <f>H12/H10</f>
        <v>0.32180222280195064</v>
      </c>
      <c r="I13" s="46">
        <f>I12/I10</f>
        <v>0.28756038484218133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350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354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353</v>
      </c>
      <c r="D21" s="70">
        <f>D125</f>
        <v>0</v>
      </c>
      <c r="E21" s="70">
        <f>SUM(E125:P125)</f>
        <v>5687500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160328773.97839999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352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355</v>
      </c>
      <c r="D23" s="70">
        <f>D127</f>
        <v>0</v>
      </c>
      <c r="E23" s="70">
        <f>SUM(E127:P127)</f>
        <v>5687500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160328773.97839999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356</v>
      </c>
      <c r="D25" s="104">
        <f>D129</f>
        <v>0</v>
      </c>
      <c r="E25" s="104">
        <f>SUM(E129:P129)</f>
        <v>45075500</v>
      </c>
      <c r="F25" s="104">
        <f>SUM(Q129:AB129)</f>
        <v>119514650</v>
      </c>
      <c r="G25" s="104">
        <f>SUM(AC129:AN129)</f>
        <v>281762862.24999994</v>
      </c>
      <c r="H25" s="104">
        <f>SUM(AO129:AZ129)</f>
        <v>420086864.43300021</v>
      </c>
      <c r="I25" s="104">
        <f>SUM(BA129:BL129)</f>
        <v>399513546.72189516</v>
      </c>
      <c r="J25" s="38">
        <f>SUM(D25:I25)</f>
        <v>1265953423.4048953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476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392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393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419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439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440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408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409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410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412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413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480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374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706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499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1247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483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380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484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485</v>
      </c>
      <c r="J59" s="35"/>
      <c r="K59" s="35"/>
      <c r="BM59" s="167"/>
    </row>
    <row r="60" spans="1:65" x14ac:dyDescent="0.15">
      <c r="B60" s="47" t="s">
        <v>381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486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599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482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985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1045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460</v>
      </c>
      <c r="D103" s="130">
        <f>D208</f>
        <v>0</v>
      </c>
      <c r="E103" s="130">
        <f>SUM(E208:P208)</f>
        <v>-121703083.33333334</v>
      </c>
      <c r="F103" s="130">
        <f>SUM(Q208:AB208)</f>
        <v>-116732350</v>
      </c>
      <c r="G103" s="130">
        <f>SUM(AC208:AN208)</f>
        <v>-9117737.7500000019</v>
      </c>
      <c r="H103" s="130">
        <f>SUM(AO208:AZ208)</f>
        <v>113641352.43300013</v>
      </c>
      <c r="I103" s="130">
        <f>SUM(BA208:BL208)</f>
        <v>76195778.88189508</v>
      </c>
      <c r="J103" s="38">
        <f>SUM(D103:I103)</f>
        <v>-57716039.768438131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983</v>
      </c>
      <c r="D104" s="130">
        <f>D103</f>
        <v>0</v>
      </c>
      <c r="E104" s="130">
        <f>E103+D104</f>
        <v>-121703083.33333334</v>
      </c>
      <c r="F104" s="130">
        <f>F103+E104</f>
        <v>-238435433.33333334</v>
      </c>
      <c r="G104" s="130">
        <f>G103+F104</f>
        <v>-247553171.08333334</v>
      </c>
      <c r="H104" s="130">
        <f>H103+G104</f>
        <v>-133911818.65033321</v>
      </c>
      <c r="I104" s="130">
        <f>I103+H104</f>
        <v>-57716039.768438131</v>
      </c>
      <c r="J104" s="38">
        <f>SUM(D104:I104)</f>
        <v>-799319546.16877127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9" t="s">
        <v>35</v>
      </c>
      <c r="F107" s="389"/>
      <c r="G107" s="389"/>
      <c r="H107" s="389"/>
      <c r="I107" s="389"/>
      <c r="J107" s="389"/>
      <c r="K107" s="389"/>
      <c r="L107" s="389"/>
      <c r="M107" s="389"/>
      <c r="N107" s="389"/>
      <c r="O107" s="389"/>
      <c r="P107" s="389"/>
      <c r="Q107" s="389" t="s">
        <v>36</v>
      </c>
      <c r="R107" s="389"/>
      <c r="S107" s="389"/>
      <c r="T107" s="389"/>
      <c r="U107" s="389"/>
      <c r="V107" s="389"/>
      <c r="W107" s="389"/>
      <c r="X107" s="389"/>
      <c r="Y107" s="389"/>
      <c r="Z107" s="389"/>
      <c r="AA107" s="389"/>
      <c r="AB107" s="389"/>
      <c r="AC107" s="389" t="s">
        <v>37</v>
      </c>
      <c r="AD107" s="389"/>
      <c r="AE107" s="389"/>
      <c r="AF107" s="389"/>
      <c r="AG107" s="389"/>
      <c r="AH107" s="389"/>
      <c r="AI107" s="389"/>
      <c r="AJ107" s="389"/>
      <c r="AK107" s="389"/>
      <c r="AL107" s="389"/>
      <c r="AM107" s="389"/>
      <c r="AN107" s="389"/>
      <c r="AO107" s="389" t="s">
        <v>38</v>
      </c>
      <c r="AP107" s="389"/>
      <c r="AQ107" s="389"/>
      <c r="AR107" s="389"/>
      <c r="AS107" s="389"/>
      <c r="AT107" s="389"/>
      <c r="AU107" s="389"/>
      <c r="AV107" s="389"/>
      <c r="AW107" s="389"/>
      <c r="AX107" s="389"/>
      <c r="AY107" s="389"/>
      <c r="AZ107" s="389"/>
      <c r="BA107" s="389" t="s">
        <v>39</v>
      </c>
      <c r="BB107" s="389"/>
      <c r="BC107" s="389"/>
      <c r="BD107" s="389"/>
      <c r="BE107" s="389"/>
      <c r="BF107" s="389"/>
      <c r="BG107" s="389"/>
      <c r="BH107" s="389"/>
      <c r="BI107" s="389"/>
      <c r="BJ107" s="389"/>
      <c r="BK107" s="389"/>
      <c r="BL107" s="38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477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855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141720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479</v>
      </c>
      <c r="BM113" s="65"/>
    </row>
    <row r="114" spans="2:65" s="33" customFormat="1" outlineLevel="1" x14ac:dyDescent="0.15">
      <c r="B114" s="47" t="s">
        <v>479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8624000</v>
      </c>
      <c r="I114" s="70">
        <f>'REV-REVCALC_CWS'!G17 + 'REV-REVCALC_CWS'!G56</f>
        <v>13002000</v>
      </c>
      <c r="J114" s="70">
        <f>'REV-REVCALC_CWS'!H17 + 'REV-REVCALC_CWS'!H56</f>
        <v>17684000</v>
      </c>
      <c r="K114" s="70">
        <f>'REV-REVCALC_CWS'!I17 + 'REV-REVCALC_CWS'!I56</f>
        <v>17684000</v>
      </c>
      <c r="L114" s="70">
        <f>'REV-REVCALC_CWS'!J17 + 'REV-REVCALC_CWS'!J56</f>
        <v>17684000</v>
      </c>
      <c r="M114" s="70">
        <f>'REV-REVCALC_CWS'!K17 + 'REV-REVCALC_CWS'!K56</f>
        <v>17684000</v>
      </c>
      <c r="N114" s="70">
        <f>'REV-REVCALC_CWS'!L17 + 'REV-REVCALC_CWS'!L56</f>
        <v>17684000</v>
      </c>
      <c r="O114" s="70">
        <f>'REV-REVCALC_CWS'!M17 + 'REV-REVCALC_CWS'!M56</f>
        <v>17684000</v>
      </c>
      <c r="P114" s="70">
        <f>'REV-REVCALC_CWS'!N17 + 'REV-REVCALC_CWS'!N56</f>
        <v>16828000</v>
      </c>
      <c r="Q114" s="70">
        <f>'REV-REVCALC_CWS'!O17 + 'REV-REVCALC_CWS'!O56</f>
        <v>18130080</v>
      </c>
      <c r="R114" s="70">
        <f>'REV-REVCALC_CWS'!P17 + 'REV-REVCALC_CWS'!P56</f>
        <v>29007700</v>
      </c>
      <c r="S114" s="70">
        <f>'REV-REVCALC_CWS'!Q17 + 'REV-REVCALC_CWS'!Q56</f>
        <v>32626440</v>
      </c>
      <c r="T114" s="70">
        <f>'REV-REVCALC_CWS'!R17 + 'REV-REVCALC_CWS'!R56</f>
        <v>32626440</v>
      </c>
      <c r="U114" s="70">
        <f>'REV-REVCALC_CWS'!S17 + 'REV-REVCALC_CWS'!S56</f>
        <v>32626440</v>
      </c>
      <c r="V114" s="70">
        <f>'REV-REVCALC_CWS'!T17 + 'REV-REVCALC_CWS'!T56</f>
        <v>32626440</v>
      </c>
      <c r="W114" s="70">
        <f>'REV-REVCALC_CWS'!U17 + 'REV-REVCALC_CWS'!U56</f>
        <v>32626440</v>
      </c>
      <c r="X114" s="70">
        <f>'REV-REVCALC_CWS'!V17 + 'REV-REVCALC_CWS'!V56</f>
        <v>32626440</v>
      </c>
      <c r="Y114" s="70">
        <f>'REV-REVCALC_CWS'!W17 + 'REV-REVCALC_CWS'!W56</f>
        <v>32626440</v>
      </c>
      <c r="Z114" s="70">
        <f>'REV-REVCALC_CWS'!X17 + 'REV-REVCALC_CWS'!X56</f>
        <v>32626440</v>
      </c>
      <c r="AA114" s="70">
        <f>'REV-REVCALC_CWS'!Y17 + 'REV-REVCALC_CWS'!Y56</f>
        <v>32626440</v>
      </c>
      <c r="AB114" s="70">
        <f>'REV-REVCALC_CWS'!Z17 + 'REV-REVCALC_CWS'!Z56</f>
        <v>21748820</v>
      </c>
      <c r="AC114" s="70">
        <f>'REV-REVCALC_CWS'!AA17 + 'REV-REVCALC_CWS'!AA56</f>
        <v>37408462.600000001</v>
      </c>
      <c r="AD114" s="70">
        <f>'REV-REVCALC_CWS'!AB17 + 'REV-REVCALC_CWS'!AB56</f>
        <v>59846212.799999997</v>
      </c>
      <c r="AE114" s="70">
        <f>'REV-REVCALC_CWS'!AC17 + 'REV-REVCALC_CWS'!AC56</f>
        <v>67331569</v>
      </c>
      <c r="AF114" s="70">
        <f>'REV-REVCALC_CWS'!AD17 + 'REV-REVCALC_CWS'!AD56</f>
        <v>67331569</v>
      </c>
      <c r="AG114" s="70">
        <f>'REV-REVCALC_CWS'!AE17 + 'REV-REVCALC_CWS'!AE56</f>
        <v>67331569</v>
      </c>
      <c r="AH114" s="70">
        <f>'REV-REVCALC_CWS'!AF17 + 'REV-REVCALC_CWS'!AF56</f>
        <v>67331569</v>
      </c>
      <c r="AI114" s="70">
        <f>'REV-REVCALC_CWS'!AG17 + 'REV-REVCALC_CWS'!AG56</f>
        <v>67331569</v>
      </c>
      <c r="AJ114" s="70">
        <f>'REV-REVCALC_CWS'!AH17 + 'REV-REVCALC_CWS'!AH56</f>
        <v>67331569</v>
      </c>
      <c r="AK114" s="70">
        <f>'REV-REVCALC_CWS'!AI17 + 'REV-REVCALC_CWS'!AI56</f>
        <v>67331569</v>
      </c>
      <c r="AL114" s="70">
        <f>'REV-REVCALC_CWS'!AJ17 + 'REV-REVCALC_CWS'!AJ56</f>
        <v>67331569</v>
      </c>
      <c r="AM114" s="70">
        <f>'REV-REVCALC_CWS'!AK17 + 'REV-REVCALC_CWS'!AK56</f>
        <v>67331569</v>
      </c>
      <c r="AN114" s="70">
        <f>'REV-REVCALC_CWS'!AL17 + 'REV-REVCALC_CWS'!AL56</f>
        <v>44884659.600000009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3592177790.351542</v>
      </c>
    </row>
    <row r="115" spans="2:65" s="33" customFormat="1" outlineLevel="1" x14ac:dyDescent="0.15">
      <c r="B115" s="47" t="s">
        <v>304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6899200</v>
      </c>
      <c r="I115" s="70">
        <f>'REV-REVCALC_CWS'!G28 + 'REV-REVCALC_CWS'!G67</f>
        <v>9834000</v>
      </c>
      <c r="J115" s="70">
        <f>'REV-REVCALC_CWS'!H28 + 'REV-REVCALC_CWS'!H67</f>
        <v>12721600</v>
      </c>
      <c r="K115" s="70">
        <f>'REV-REVCALC_CWS'!I28 + 'REV-REVCALC_CWS'!I67</f>
        <v>12721600</v>
      </c>
      <c r="L115" s="70">
        <f>'REV-REVCALC_CWS'!J28 + 'REV-REVCALC_CWS'!J67</f>
        <v>12721600</v>
      </c>
      <c r="M115" s="70">
        <f>'REV-REVCALC_CWS'!K28 + 'REV-REVCALC_CWS'!K67</f>
        <v>12721600</v>
      </c>
      <c r="N115" s="70">
        <f>'REV-REVCALC_CWS'!L28 + 'REV-REVCALC_CWS'!L67</f>
        <v>12721600</v>
      </c>
      <c r="O115" s="70">
        <f>'REV-REVCALC_CWS'!M28 + 'REV-REVCALC_CWS'!M67</f>
        <v>12721600</v>
      </c>
      <c r="P115" s="70">
        <f>'REV-REVCALC_CWS'!N28 + 'REV-REVCALC_CWS'!N67</f>
        <v>12107200</v>
      </c>
      <c r="Q115" s="70">
        <f>'REV-REVCALC_CWS'!O28 + 'REV-REVCALC_CWS'!O67</f>
        <v>12879880</v>
      </c>
      <c r="R115" s="70">
        <f>'REV-REVCALC_CWS'!P28 + 'REV-REVCALC_CWS'!P67</f>
        <v>20609325</v>
      </c>
      <c r="S115" s="70">
        <f>'REV-REVCALC_CWS'!Q28 + 'REV-REVCALC_CWS'!Q67</f>
        <v>23178610</v>
      </c>
      <c r="T115" s="70">
        <f>'REV-REVCALC_CWS'!R28 + 'REV-REVCALC_CWS'!R67</f>
        <v>23178610</v>
      </c>
      <c r="U115" s="70">
        <f>'REV-REVCALC_CWS'!S28 + 'REV-REVCALC_CWS'!S67</f>
        <v>23178610</v>
      </c>
      <c r="V115" s="70">
        <f>'REV-REVCALC_CWS'!T28 + 'REV-REVCALC_CWS'!T67</f>
        <v>23178610</v>
      </c>
      <c r="W115" s="70">
        <f>'REV-REVCALC_CWS'!U28 + 'REV-REVCALC_CWS'!U67</f>
        <v>23178610</v>
      </c>
      <c r="X115" s="70">
        <f>'REV-REVCALC_CWS'!V28 + 'REV-REVCALC_CWS'!V67</f>
        <v>23178610</v>
      </c>
      <c r="Y115" s="70">
        <f>'REV-REVCALC_CWS'!W28 + 'REV-REVCALC_CWS'!W67</f>
        <v>23178610</v>
      </c>
      <c r="Z115" s="70">
        <f>'REV-REVCALC_CWS'!X28 + 'REV-REVCALC_CWS'!X67</f>
        <v>23178610</v>
      </c>
      <c r="AA115" s="70">
        <f>'REV-REVCALC_CWS'!Y28 + 'REV-REVCALC_CWS'!Y67</f>
        <v>23178610</v>
      </c>
      <c r="AB115" s="70">
        <f>'REV-REVCALC_CWS'!Z28 + 'REV-REVCALC_CWS'!Z67</f>
        <v>15449165</v>
      </c>
      <c r="AC115" s="70">
        <f>'REV-REVCALC_CWS'!AA28 + 'REV-REVCALC_CWS'!AA67</f>
        <v>24905576.650000002</v>
      </c>
      <c r="AD115" s="70">
        <f>'REV-REVCALC_CWS'!AB28 + 'REV-REVCALC_CWS'!AB67</f>
        <v>39847090.799999997</v>
      </c>
      <c r="AE115" s="70">
        <f>'REV-REVCALC_CWS'!AC28 + 'REV-REVCALC_CWS'!AC67</f>
        <v>44829122.050000004</v>
      </c>
      <c r="AF115" s="70">
        <f>'REV-REVCALC_CWS'!AD28 + 'REV-REVCALC_CWS'!AD67</f>
        <v>44829122.050000004</v>
      </c>
      <c r="AG115" s="70">
        <f>'REV-REVCALC_CWS'!AE28 + 'REV-REVCALC_CWS'!AE67</f>
        <v>44829122.050000004</v>
      </c>
      <c r="AH115" s="70">
        <f>'REV-REVCALC_CWS'!AF28 + 'REV-REVCALC_CWS'!AF67</f>
        <v>44829122.050000004</v>
      </c>
      <c r="AI115" s="70">
        <f>'REV-REVCALC_CWS'!AG28 + 'REV-REVCALC_CWS'!AG67</f>
        <v>44829122.050000004</v>
      </c>
      <c r="AJ115" s="70">
        <f>'REV-REVCALC_CWS'!AH28 + 'REV-REVCALC_CWS'!AH67</f>
        <v>44829122.050000004</v>
      </c>
      <c r="AK115" s="70">
        <f>'REV-REVCALC_CWS'!AI28 + 'REV-REVCALC_CWS'!AI67</f>
        <v>44829122.050000004</v>
      </c>
      <c r="AL115" s="70">
        <f>'REV-REVCALC_CWS'!AJ28 + 'REV-REVCALC_CWS'!AJ67</f>
        <v>44829122.050000004</v>
      </c>
      <c r="AM115" s="70">
        <f>'REV-REVCALC_CWS'!AK28 + 'REV-REVCALC_CWS'!AK67</f>
        <v>44829122.050000004</v>
      </c>
      <c r="AN115" s="70">
        <f>'REV-REVCALC_CWS'!AL28 + 'REV-REVCALC_CWS'!AL67</f>
        <v>29885318.100000001</v>
      </c>
      <c r="AO115" s="70">
        <f>'REV-REVCALC_CWS'!AM28 + 'REV-REVCALC_CWS'!AM67</f>
        <v>38828588.236500002</v>
      </c>
      <c r="AP115" s="70">
        <f>'REV-REVCALC_CWS'!AN28 + 'REV-REVCALC_CWS'!AN67</f>
        <v>62133743.923500009</v>
      </c>
      <c r="AQ115" s="70">
        <f>'REV-REVCALC_CWS'!AO28 + 'REV-REVCALC_CWS'!AO67</f>
        <v>69902129.152500004</v>
      </c>
      <c r="AR115" s="70">
        <f>'REV-REVCALC_CWS'!AP28 + 'REV-REVCALC_CWS'!AP67</f>
        <v>69902129.152500004</v>
      </c>
      <c r="AS115" s="70">
        <f>'REV-REVCALC_CWS'!AQ28 + 'REV-REVCALC_CWS'!AQ67</f>
        <v>69902129.152500004</v>
      </c>
      <c r="AT115" s="70">
        <f>'REV-REVCALC_CWS'!AR28 + 'REV-REVCALC_CWS'!AR67</f>
        <v>69902129.152500004</v>
      </c>
      <c r="AU115" s="70">
        <f>'REV-REVCALC_CWS'!AS28 + 'REV-REVCALC_CWS'!AS67</f>
        <v>69902129.152500004</v>
      </c>
      <c r="AV115" s="70">
        <f>'REV-REVCALC_CWS'!AT28 + 'REV-REVCALC_CWS'!AT67</f>
        <v>69902129.152500004</v>
      </c>
      <c r="AW115" s="70">
        <f>'REV-REVCALC_CWS'!AU28 + 'REV-REVCALC_CWS'!AU67</f>
        <v>69902129.152500004</v>
      </c>
      <c r="AX115" s="70">
        <f>'REV-REVCALC_CWS'!AV28 + 'REV-REVCALC_CWS'!AV67</f>
        <v>69902129.152500004</v>
      </c>
      <c r="AY115" s="70">
        <f>'REV-REVCALC_CWS'!AW28 + 'REV-REVCALC_CWS'!AW67</f>
        <v>69902129.152500004</v>
      </c>
      <c r="AZ115" s="70">
        <f>'REV-REVCALC_CWS'!AX28 + 'REV-REVCALC_CWS'!AX67</f>
        <v>46596973.465500005</v>
      </c>
      <c r="BA115" s="70">
        <f>'REV-REVCALC_CWS'!AY28 + 'REV-REVCALC_CWS'!AY67</f>
        <v>42447520.736375004</v>
      </c>
      <c r="BB115" s="70">
        <f>'REV-REVCALC_CWS'!AZ28 + 'REV-REVCALC_CWS'!AZ67</f>
        <v>67933343.339195013</v>
      </c>
      <c r="BC115" s="70">
        <f>'REV-REVCALC_CWS'!BA28 + 'REV-REVCALC_CWS'!BA67</f>
        <v>76413374.689770013</v>
      </c>
      <c r="BD115" s="70">
        <f>'REV-REVCALC_CWS'!BB28 + 'REV-REVCALC_CWS'!BB67</f>
        <v>76413374.689770013</v>
      </c>
      <c r="BE115" s="70">
        <f>'REV-REVCALC_CWS'!BC28 + 'REV-REVCALC_CWS'!BC67</f>
        <v>76413374.689770013</v>
      </c>
      <c r="BF115" s="70">
        <f>'REV-REVCALC_CWS'!BD28 + 'REV-REVCALC_CWS'!BD67</f>
        <v>76413374.689770013</v>
      </c>
      <c r="BG115" s="70">
        <f>'REV-REVCALC_CWS'!BE28 + 'REV-REVCALC_CWS'!BE67</f>
        <v>76413374.689770013</v>
      </c>
      <c r="BH115" s="70">
        <f>'REV-REVCALC_CWS'!BF28 + 'REV-REVCALC_CWS'!BF67</f>
        <v>76413374.689770013</v>
      </c>
      <c r="BI115" s="70">
        <f>'REV-REVCALC_CWS'!BG28 + 'REV-REVCALC_CWS'!BG67</f>
        <v>76413374.689770013</v>
      </c>
      <c r="BJ115" s="70">
        <f>'REV-REVCALC_CWS'!BH28 + 'REV-REVCALC_CWS'!BH67</f>
        <v>76413374.689770013</v>
      </c>
      <c r="BK115" s="70">
        <f>'REV-REVCALC_CWS'!BI28 + 'REV-REVCALC_CWS'!BI67</f>
        <v>76413374.689770013</v>
      </c>
      <c r="BL115" s="70">
        <f>'REV-REVCALC_CWS'!BJ28 + 'REV-REVCALC_CWS'!BJ67</f>
        <v>50957492.643545009</v>
      </c>
      <c r="BM115" s="167">
        <f>SUM(D115:BL115)</f>
        <v>2486553140.9250455</v>
      </c>
    </row>
    <row r="116" spans="2:65" s="33" customFormat="1" outlineLevel="1" x14ac:dyDescent="0.15">
      <c r="B116" s="47" t="s">
        <v>330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1724800</v>
      </c>
      <c r="I116" s="70">
        <f>'REV-REVCALC_CWS'!G30 + 'REV-REVCALC_CWS'!G69</f>
        <v>3168000</v>
      </c>
      <c r="J116" s="70">
        <f>'REV-REVCALC_CWS'!H30 + 'REV-REVCALC_CWS'!H69</f>
        <v>4962400</v>
      </c>
      <c r="K116" s="70">
        <f>'REV-REVCALC_CWS'!I30 + 'REV-REVCALC_CWS'!I69</f>
        <v>4962400</v>
      </c>
      <c r="L116" s="70">
        <f>'REV-REVCALC_CWS'!J30 + 'REV-REVCALC_CWS'!J69</f>
        <v>4962400</v>
      </c>
      <c r="M116" s="70">
        <f>'REV-REVCALC_CWS'!K30 + 'REV-REVCALC_CWS'!K69</f>
        <v>4962400</v>
      </c>
      <c r="N116" s="70">
        <f>'REV-REVCALC_CWS'!L30 + 'REV-REVCALC_CWS'!L69</f>
        <v>4962400</v>
      </c>
      <c r="O116" s="70">
        <f>'REV-REVCALC_CWS'!M30 + 'REV-REVCALC_CWS'!M69</f>
        <v>4962400</v>
      </c>
      <c r="P116" s="70">
        <f>'REV-REVCALC_CWS'!N30 + 'REV-REVCALC_CWS'!N69</f>
        <v>4720800</v>
      </c>
      <c r="Q116" s="70">
        <f>'REV-REVCALC_CWS'!O30 + 'REV-REVCALC_CWS'!O69</f>
        <v>5250200</v>
      </c>
      <c r="R116" s="70">
        <f>'REV-REVCALC_CWS'!P30 + 'REV-REVCALC_CWS'!P69</f>
        <v>8398375</v>
      </c>
      <c r="S116" s="70">
        <f>'REV-REVCALC_CWS'!Q30 + 'REV-REVCALC_CWS'!Q69</f>
        <v>9447830</v>
      </c>
      <c r="T116" s="70">
        <f>'REV-REVCALC_CWS'!R30 + 'REV-REVCALC_CWS'!R69</f>
        <v>9447830</v>
      </c>
      <c r="U116" s="70">
        <f>'REV-REVCALC_CWS'!S30 + 'REV-REVCALC_CWS'!S69</f>
        <v>9447830</v>
      </c>
      <c r="V116" s="70">
        <f>'REV-REVCALC_CWS'!T30 + 'REV-REVCALC_CWS'!T69</f>
        <v>9447830</v>
      </c>
      <c r="W116" s="70">
        <f>'REV-REVCALC_CWS'!U30 + 'REV-REVCALC_CWS'!U69</f>
        <v>9447830</v>
      </c>
      <c r="X116" s="70">
        <f>'REV-REVCALC_CWS'!V30 + 'REV-REVCALC_CWS'!V69</f>
        <v>9447830</v>
      </c>
      <c r="Y116" s="70">
        <f>'REV-REVCALC_CWS'!W30 + 'REV-REVCALC_CWS'!W69</f>
        <v>9447830</v>
      </c>
      <c r="Z116" s="70">
        <f>'REV-REVCALC_CWS'!X30 + 'REV-REVCALC_CWS'!X69</f>
        <v>9447830</v>
      </c>
      <c r="AA116" s="70">
        <f>'REV-REVCALC_CWS'!Y30 + 'REV-REVCALC_CWS'!Y69</f>
        <v>9447830</v>
      </c>
      <c r="AB116" s="70">
        <f>'REV-REVCALC_CWS'!Z30 + 'REV-REVCALC_CWS'!Z69</f>
        <v>6299655</v>
      </c>
      <c r="AC116" s="70">
        <f>'REV-REVCALC_CWS'!AA30 + 'REV-REVCALC_CWS'!AA69</f>
        <v>12502885.950000001</v>
      </c>
      <c r="AD116" s="70">
        <f>'REV-REVCALC_CWS'!AB30 + 'REV-REVCALC_CWS'!AB69</f>
        <v>19999122</v>
      </c>
      <c r="AE116" s="70">
        <f>'REV-REVCALC_CWS'!AC30 + 'REV-REVCALC_CWS'!AC69</f>
        <v>22502446.949999999</v>
      </c>
      <c r="AF116" s="70">
        <f>'REV-REVCALC_CWS'!AD30 + 'REV-REVCALC_CWS'!AD69</f>
        <v>22502446.949999999</v>
      </c>
      <c r="AG116" s="70">
        <f>'REV-REVCALC_CWS'!AE30 + 'REV-REVCALC_CWS'!AE69</f>
        <v>22502446.949999999</v>
      </c>
      <c r="AH116" s="70">
        <f>'REV-REVCALC_CWS'!AF30 + 'REV-REVCALC_CWS'!AF69</f>
        <v>22502446.949999999</v>
      </c>
      <c r="AI116" s="70">
        <f>'REV-REVCALC_CWS'!AG30 + 'REV-REVCALC_CWS'!AG69</f>
        <v>22502446.949999999</v>
      </c>
      <c r="AJ116" s="70">
        <f>'REV-REVCALC_CWS'!AH30 + 'REV-REVCALC_CWS'!AH69</f>
        <v>22502446.949999999</v>
      </c>
      <c r="AK116" s="70">
        <f>'REV-REVCALC_CWS'!AI30 + 'REV-REVCALC_CWS'!AI69</f>
        <v>22502446.949999999</v>
      </c>
      <c r="AL116" s="70">
        <f>'REV-REVCALC_CWS'!AJ30 + 'REV-REVCALC_CWS'!AJ69</f>
        <v>22502446.949999999</v>
      </c>
      <c r="AM116" s="70">
        <f>'REV-REVCALC_CWS'!AK30 + 'REV-REVCALC_CWS'!AK69</f>
        <v>22502446.949999999</v>
      </c>
      <c r="AN116" s="70">
        <f>'REV-REVCALC_CWS'!AL30 + 'REV-REVCALC_CWS'!AL69</f>
        <v>14999341.500000004</v>
      </c>
      <c r="AO116" s="70">
        <f>'REV-REVCALC_CWS'!AM30 + 'REV-REVCALC_CWS'!AM69</f>
        <v>18425021.411500003</v>
      </c>
      <c r="AP116" s="70">
        <f>'REV-REVCALC_CWS'!AN30 + 'REV-REVCALC_CWS'!AN69</f>
        <v>29482321.874500006</v>
      </c>
      <c r="AQ116" s="70">
        <f>'REV-REVCALC_CWS'!AO30 + 'REV-REVCALC_CWS'!AO69</f>
        <v>33168088.695500012</v>
      </c>
      <c r="AR116" s="70">
        <f>'REV-REVCALC_CWS'!AP30 + 'REV-REVCALC_CWS'!AP69</f>
        <v>33168088.695500012</v>
      </c>
      <c r="AS116" s="70">
        <f>'REV-REVCALC_CWS'!AQ30 + 'REV-REVCALC_CWS'!AQ69</f>
        <v>33168088.695500012</v>
      </c>
      <c r="AT116" s="70">
        <f>'REV-REVCALC_CWS'!AR30 + 'REV-REVCALC_CWS'!AR69</f>
        <v>33168088.695500012</v>
      </c>
      <c r="AU116" s="70">
        <f>'REV-REVCALC_CWS'!AS30 + 'REV-REVCALC_CWS'!AS69</f>
        <v>33168088.695500012</v>
      </c>
      <c r="AV116" s="70">
        <f>'REV-REVCALC_CWS'!AT30 + 'REV-REVCALC_CWS'!AT69</f>
        <v>33168088.695500012</v>
      </c>
      <c r="AW116" s="70">
        <f>'REV-REVCALC_CWS'!AU30 + 'REV-REVCALC_CWS'!AU69</f>
        <v>33168088.695500012</v>
      </c>
      <c r="AX116" s="70">
        <f>'REV-REVCALC_CWS'!AV30 + 'REV-REVCALC_CWS'!AV69</f>
        <v>33168088.695500012</v>
      </c>
      <c r="AY116" s="70">
        <f>'REV-REVCALC_CWS'!AW30 + 'REV-REVCALC_CWS'!AW69</f>
        <v>33168088.695500012</v>
      </c>
      <c r="AZ116" s="70">
        <f>'REV-REVCALC_CWS'!AX30 + 'REV-REVCALC_CWS'!AX69</f>
        <v>22110788.232500009</v>
      </c>
      <c r="BA116" s="70">
        <f>'REV-REVCALC_CWS'!AY30 + 'REV-REVCALC_CWS'!AY69</f>
        <v>17134283.133125</v>
      </c>
      <c r="BB116" s="70">
        <f>'REV-REVCALC_CWS'!AZ30 + 'REV-REVCALC_CWS'!AZ69</f>
        <v>27420931.556145009</v>
      </c>
      <c r="BC116" s="70">
        <f>'REV-REVCALC_CWS'!BA30 + 'REV-REVCALC_CWS'!BA69</f>
        <v>30842148.299470011</v>
      </c>
      <c r="BD116" s="70">
        <f>'REV-REVCALC_CWS'!BB30 + 'REV-REVCALC_CWS'!BB69</f>
        <v>30842148.299470011</v>
      </c>
      <c r="BE116" s="70">
        <f>'REV-REVCALC_CWS'!BC30 + 'REV-REVCALC_CWS'!BC69</f>
        <v>30842148.299470011</v>
      </c>
      <c r="BF116" s="70">
        <f>'REV-REVCALC_CWS'!BD30 + 'REV-REVCALC_CWS'!BD69</f>
        <v>30842148.299470011</v>
      </c>
      <c r="BG116" s="70">
        <f>'REV-REVCALC_CWS'!BE30 + 'REV-REVCALC_CWS'!BE69</f>
        <v>30842148.299470011</v>
      </c>
      <c r="BH116" s="70">
        <f>'REV-REVCALC_CWS'!BF30 + 'REV-REVCALC_CWS'!BF69</f>
        <v>30842148.299470011</v>
      </c>
      <c r="BI116" s="70">
        <f>'REV-REVCALC_CWS'!BG30 + 'REV-REVCALC_CWS'!BG69</f>
        <v>30842148.299470011</v>
      </c>
      <c r="BJ116" s="70">
        <f>'REV-REVCALC_CWS'!BH30 + 'REV-REVCALC_CWS'!BH69</f>
        <v>30842148.299470011</v>
      </c>
      <c r="BK116" s="70">
        <f>'REV-REVCALC_CWS'!BI30 + 'REV-REVCALC_CWS'!BI69</f>
        <v>30842148.299470011</v>
      </c>
      <c r="BL116" s="70">
        <f>'REV-REVCALC_CWS'!BJ30 + 'REV-REVCALC_CWS'!BJ69</f>
        <v>20569098.263995007</v>
      </c>
      <c r="BM116" s="167">
        <f>SUM(D116:BL116)</f>
        <v>1105624649.4264953</v>
      </c>
    </row>
    <row r="117" spans="2:65" s="33" customFormat="1" outlineLevel="1" x14ac:dyDescent="0.15">
      <c r="B117" s="47" t="s">
        <v>318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</v>
      </c>
      <c r="I117" s="46">
        <f>MEDIAN( 'REV-REVCALC_CWS'!G31, 'REV-REVCALC_CWS'!G70 )</f>
        <v>0.30000000000000004</v>
      </c>
      <c r="J117" s="46">
        <f>MEDIAN( 'REV-REVCALC_CWS'!H31, 'REV-REVCALC_CWS'!H70 )</f>
        <v>0.30000000000000004</v>
      </c>
      <c r="K117" s="46">
        <f>MEDIAN( 'REV-REVCALC_CWS'!I31, 'REV-REVCALC_CWS'!I70 )</f>
        <v>0.30000000000000004</v>
      </c>
      <c r="L117" s="46">
        <f>MEDIAN( 'REV-REVCALC_CWS'!J31, 'REV-REVCALC_CWS'!J70 )</f>
        <v>0.30000000000000004</v>
      </c>
      <c r="M117" s="46">
        <f>MEDIAN( 'REV-REVCALC_CWS'!K31, 'REV-REVCALC_CWS'!K70 )</f>
        <v>0.30000000000000004</v>
      </c>
      <c r="N117" s="46">
        <f>MEDIAN( 'REV-REVCALC_CWS'!L31, 'REV-REVCALC_CWS'!L70 )</f>
        <v>0.30000000000000004</v>
      </c>
      <c r="O117" s="46">
        <f>MEDIAN( 'REV-REVCALC_CWS'!M31, 'REV-REVCALC_CWS'!M70 )</f>
        <v>0.30000000000000004</v>
      </c>
      <c r="P117" s="46">
        <f>MEDIAN( 'REV-REVCALC_CWS'!N31, 'REV-REVCALC_CWS'!N70 )</f>
        <v>0.30000000000000004</v>
      </c>
      <c r="Q117" s="46">
        <f>MEDIAN( 'REV-REVCALC_CWS'!O31, 'REV-REVCALC_CWS'!O70 )</f>
        <v>0.306499575191164</v>
      </c>
      <c r="R117" s="46">
        <f>MEDIAN( 'REV-REVCALC_CWS'!P31, 'REV-REVCALC_CWS'!P70 )</f>
        <v>0.306499575191164</v>
      </c>
      <c r="S117" s="46">
        <f>MEDIAN( 'REV-REVCALC_CWS'!Q31, 'REV-REVCALC_CWS'!Q70 )</f>
        <v>0.306499575191164</v>
      </c>
      <c r="T117" s="46">
        <f>MEDIAN( 'REV-REVCALC_CWS'!R31, 'REV-REVCALC_CWS'!R70 )</f>
        <v>0.306499575191164</v>
      </c>
      <c r="U117" s="46">
        <f>MEDIAN( 'REV-REVCALC_CWS'!S31, 'REV-REVCALC_CWS'!S70 )</f>
        <v>0.306499575191164</v>
      </c>
      <c r="V117" s="46">
        <f>MEDIAN( 'REV-REVCALC_CWS'!T31, 'REV-REVCALC_CWS'!T70 )</f>
        <v>0.306499575191164</v>
      </c>
      <c r="W117" s="46">
        <f>MEDIAN( 'REV-REVCALC_CWS'!U31, 'REV-REVCALC_CWS'!U70 )</f>
        <v>0.306499575191164</v>
      </c>
      <c r="X117" s="46">
        <f>MEDIAN( 'REV-REVCALC_CWS'!V31, 'REV-REVCALC_CWS'!V70 )</f>
        <v>0.306499575191164</v>
      </c>
      <c r="Y117" s="46">
        <f>MEDIAN( 'REV-REVCALC_CWS'!W31, 'REV-REVCALC_CWS'!W70 )</f>
        <v>0.306499575191164</v>
      </c>
      <c r="Z117" s="46">
        <f>MEDIAN( 'REV-REVCALC_CWS'!X31, 'REV-REVCALC_CWS'!X70 )</f>
        <v>0.306499575191164</v>
      </c>
      <c r="AA117" s="46">
        <f>MEDIAN( 'REV-REVCALC_CWS'!Y31, 'REV-REVCALC_CWS'!Y70 )</f>
        <v>0.306499575191164</v>
      </c>
      <c r="AB117" s="46">
        <f>MEDIAN( 'REV-REVCALC_CWS'!Z31, 'REV-REVCALC_CWS'!Z70 )</f>
        <v>0.306499575191164</v>
      </c>
      <c r="AC117" s="46">
        <f>MEDIAN( 'REV-REVCALC_CWS'!AA31, 'REV-REVCALC_CWS'!AA70 )</f>
        <v>0.31257394452870035</v>
      </c>
      <c r="AD117" s="46">
        <f>MEDIAN( 'REV-REVCALC_CWS'!AB31, 'REV-REVCALC_CWS'!AB70 )</f>
        <v>0.31257394452870035</v>
      </c>
      <c r="AE117" s="46">
        <f>MEDIAN( 'REV-REVCALC_CWS'!AC31, 'REV-REVCALC_CWS'!AC70 )</f>
        <v>0.31257394452870035</v>
      </c>
      <c r="AF117" s="46">
        <f>MEDIAN( 'REV-REVCALC_CWS'!AD31, 'REV-REVCALC_CWS'!AD70 )</f>
        <v>0.31257394452870035</v>
      </c>
      <c r="AG117" s="46">
        <f>MEDIAN( 'REV-REVCALC_CWS'!AE31, 'REV-REVCALC_CWS'!AE70 )</f>
        <v>0.31257394452870035</v>
      </c>
      <c r="AH117" s="46">
        <f>MEDIAN( 'REV-REVCALC_CWS'!AF31, 'REV-REVCALC_CWS'!AF70 )</f>
        <v>0.31257394452870035</v>
      </c>
      <c r="AI117" s="46">
        <f>MEDIAN( 'REV-REVCALC_CWS'!AG31, 'REV-REVCALC_CWS'!AG70 )</f>
        <v>0.31257394452870035</v>
      </c>
      <c r="AJ117" s="46">
        <f>MEDIAN( 'REV-REVCALC_CWS'!AH31, 'REV-REVCALC_CWS'!AH70 )</f>
        <v>0.31257394452870035</v>
      </c>
      <c r="AK117" s="46">
        <f>MEDIAN( 'REV-REVCALC_CWS'!AI31, 'REV-REVCALC_CWS'!AI70 )</f>
        <v>0.31257394452870035</v>
      </c>
      <c r="AL117" s="46">
        <f>MEDIAN( 'REV-REVCALC_CWS'!AJ31, 'REV-REVCALC_CWS'!AJ70 )</f>
        <v>0.31257394452870035</v>
      </c>
      <c r="AM117" s="46">
        <f>MEDIAN( 'REV-REVCALC_CWS'!AK31, 'REV-REVCALC_CWS'!AK70 )</f>
        <v>0.31257394452870035</v>
      </c>
      <c r="AN117" s="46">
        <f>MEDIAN( 'REV-REVCALC_CWS'!AL31, 'REV-REVCALC_CWS'!AL70 )</f>
        <v>0.31257394452870046</v>
      </c>
      <c r="AO117" s="46">
        <f>MEDIAN( 'REV-REVCALC_CWS'!AM31, 'REV-REVCALC_CWS'!AM70 )</f>
        <v>0.33534948086794436</v>
      </c>
      <c r="AP117" s="46">
        <f>MEDIAN( 'REV-REVCALC_CWS'!AN31, 'REV-REVCALC_CWS'!AN70 )</f>
        <v>0.33534948086794431</v>
      </c>
      <c r="AQ117" s="46">
        <f>MEDIAN( 'REV-REVCALC_CWS'!AO31, 'REV-REVCALC_CWS'!AO70 )</f>
        <v>0.33534948086794436</v>
      </c>
      <c r="AR117" s="46">
        <f>MEDIAN( 'REV-REVCALC_CWS'!AP31, 'REV-REVCALC_CWS'!AP70 )</f>
        <v>0.33534948086794436</v>
      </c>
      <c r="AS117" s="46">
        <f>MEDIAN( 'REV-REVCALC_CWS'!AQ31, 'REV-REVCALC_CWS'!AQ70 )</f>
        <v>0.33534948086794436</v>
      </c>
      <c r="AT117" s="46">
        <f>MEDIAN( 'REV-REVCALC_CWS'!AR31, 'REV-REVCALC_CWS'!AR70 )</f>
        <v>0.33534948086794436</v>
      </c>
      <c r="AU117" s="46">
        <f>MEDIAN( 'REV-REVCALC_CWS'!AS31, 'REV-REVCALC_CWS'!AS70 )</f>
        <v>0.33534948086794436</v>
      </c>
      <c r="AV117" s="46">
        <f>MEDIAN( 'REV-REVCALC_CWS'!AT31, 'REV-REVCALC_CWS'!AT70 )</f>
        <v>0.33534948086794436</v>
      </c>
      <c r="AW117" s="46">
        <f>MEDIAN( 'REV-REVCALC_CWS'!AU31, 'REV-REVCALC_CWS'!AU70 )</f>
        <v>0.33534948086794436</v>
      </c>
      <c r="AX117" s="46">
        <f>MEDIAN( 'REV-REVCALC_CWS'!AV31, 'REV-REVCALC_CWS'!AV70 )</f>
        <v>0.33534948086794436</v>
      </c>
      <c r="AY117" s="46">
        <f>MEDIAN( 'REV-REVCALC_CWS'!AW31, 'REV-REVCALC_CWS'!AW70 )</f>
        <v>0.33534948086794436</v>
      </c>
      <c r="AZ117" s="46">
        <f>MEDIAN( 'REV-REVCALC_CWS'!AX31, 'REV-REVCALC_CWS'!AX70 )</f>
        <v>0.33534948086794436</v>
      </c>
      <c r="BA117" s="46">
        <f>MEDIAN( 'REV-REVCALC_CWS'!AY31, 'REV-REVCALC_CWS'!AY70 )</f>
        <v>0.30099006061123396</v>
      </c>
      <c r="BB117" s="46">
        <f>MEDIAN( 'REV-REVCALC_CWS'!AZ31, 'REV-REVCALC_CWS'!AZ70 )</f>
        <v>0.30099006061123401</v>
      </c>
      <c r="BC117" s="46">
        <f>MEDIAN( 'REV-REVCALC_CWS'!BA31, 'REV-REVCALC_CWS'!BA70 )</f>
        <v>0.30099006061123401</v>
      </c>
      <c r="BD117" s="46">
        <f>MEDIAN( 'REV-REVCALC_CWS'!BB31, 'REV-REVCALC_CWS'!BB70 )</f>
        <v>0.30099006061123401</v>
      </c>
      <c r="BE117" s="46">
        <f>MEDIAN( 'REV-REVCALC_CWS'!BC31, 'REV-REVCALC_CWS'!BC70 )</f>
        <v>0.30099006061123401</v>
      </c>
      <c r="BF117" s="46">
        <f>MEDIAN( 'REV-REVCALC_CWS'!BD31, 'REV-REVCALC_CWS'!BD70 )</f>
        <v>0.30099006061123401</v>
      </c>
      <c r="BG117" s="46">
        <f>MEDIAN( 'REV-REVCALC_CWS'!BE31, 'REV-REVCALC_CWS'!BE70 )</f>
        <v>0.30099006061123401</v>
      </c>
      <c r="BH117" s="46">
        <f>MEDIAN( 'REV-REVCALC_CWS'!BF31, 'REV-REVCALC_CWS'!BF70 )</f>
        <v>0.30099006061123401</v>
      </c>
      <c r="BI117" s="46">
        <f>MEDIAN( 'REV-REVCALC_CWS'!BG31, 'REV-REVCALC_CWS'!BG70 )</f>
        <v>0.30099006061123401</v>
      </c>
      <c r="BJ117" s="46">
        <f>MEDIAN( 'REV-REVCALC_CWS'!BH31, 'REV-REVCALC_CWS'!BH70 )</f>
        <v>0.30099006061123401</v>
      </c>
      <c r="BK117" s="46">
        <f>MEDIAN( 'REV-REVCALC_CWS'!BI31, 'REV-REVCALC_CWS'!BI70 )</f>
        <v>0.30099006061123401</v>
      </c>
      <c r="BL117" s="46">
        <f>MEDIAN( 'REV-REVCALC_CWS'!BJ31, 'REV-REVCALC_CWS'!BJ70 )</f>
        <v>0.30099006061123401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350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354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385000</v>
      </c>
      <c r="I125" s="70">
        <f>'REV-REVCALC_CWS'!G46 + 'REV-REVCALC_CWS'!G85</f>
        <v>540000</v>
      </c>
      <c r="J125" s="70">
        <f>'REV-REVCALC_CWS'!H46 + 'REV-REVCALC_CWS'!H85</f>
        <v>685000</v>
      </c>
      <c r="K125" s="70">
        <f>'REV-REVCALC_CWS'!I46 + 'REV-REVCALC_CWS'!I85</f>
        <v>685000</v>
      </c>
      <c r="L125" s="70">
        <f>'REV-REVCALC_CWS'!J46 + 'REV-REVCALC_CWS'!J85</f>
        <v>685000</v>
      </c>
      <c r="M125" s="70">
        <f>'REV-REVCALC_CWS'!K46 + 'REV-REVCALC_CWS'!K85</f>
        <v>685000</v>
      </c>
      <c r="N125" s="70">
        <f>'REV-REVCALC_CWS'!L46 + 'REV-REVCALC_CWS'!L85</f>
        <v>685000</v>
      </c>
      <c r="O125" s="70">
        <f>'REV-REVCALC_CWS'!M46 + 'REV-REVCALC_CWS'!M85</f>
        <v>685000</v>
      </c>
      <c r="P125" s="70">
        <f>'REV-REVCALC_CWS'!N46 + 'REV-REVCALC_CWS'!N85</f>
        <v>652500</v>
      </c>
      <c r="Q125" s="70">
        <f>'REV-REVCALC_CWS'!O46 + 'REV-REVCALC_CWS'!O85</f>
        <v>727600</v>
      </c>
      <c r="R125" s="70">
        <f>'REV-REVCALC_CWS'!P46 + 'REV-REVCALC_CWS'!P85</f>
        <v>1163625</v>
      </c>
      <c r="S125" s="70">
        <f>'REV-REVCALC_CWS'!Q46 + 'REV-REVCALC_CWS'!Q85</f>
        <v>1308075</v>
      </c>
      <c r="T125" s="70">
        <f>'REV-REVCALC_CWS'!R46 + 'REV-REVCALC_CWS'!R85</f>
        <v>1308075</v>
      </c>
      <c r="U125" s="70">
        <f>'REV-REVCALC_CWS'!S46 + 'REV-REVCALC_CWS'!S85</f>
        <v>1308075</v>
      </c>
      <c r="V125" s="70">
        <f>'REV-REVCALC_CWS'!T46 + 'REV-REVCALC_CWS'!T85</f>
        <v>1308075</v>
      </c>
      <c r="W125" s="70">
        <f>'REV-REVCALC_CWS'!U46 + 'REV-REVCALC_CWS'!U85</f>
        <v>1308075</v>
      </c>
      <c r="X125" s="70">
        <f>'REV-REVCALC_CWS'!V46 + 'REV-REVCALC_CWS'!V85</f>
        <v>1308075</v>
      </c>
      <c r="Y125" s="70">
        <f>'REV-REVCALC_CWS'!W46 + 'REV-REVCALC_CWS'!W85</f>
        <v>1308075</v>
      </c>
      <c r="Z125" s="70">
        <f>'REV-REVCALC_CWS'!X46 + 'REV-REVCALC_CWS'!X85</f>
        <v>1308075</v>
      </c>
      <c r="AA125" s="70">
        <f>'REV-REVCALC_CWS'!Y46 + 'REV-REVCALC_CWS'!Y85</f>
        <v>1308075</v>
      </c>
      <c r="AB125" s="70">
        <f>'REV-REVCALC_CWS'!Z46 + 'REV-REVCALC_CWS'!Z85</f>
        <v>872050</v>
      </c>
      <c r="AC125" s="70">
        <f>'REV-REVCALC_CWS'!AA46 + 'REV-REVCALC_CWS'!AA85</f>
        <v>1588548.75</v>
      </c>
      <c r="AD125" s="70">
        <f>'REV-REVCALC_CWS'!AB46 + 'REV-REVCALC_CWS'!AB85</f>
        <v>2538815.75</v>
      </c>
      <c r="AE125" s="70">
        <f>'REV-REVCALC_CWS'!AC46 + 'REV-REVCALC_CWS'!AC85</f>
        <v>2856525.5</v>
      </c>
      <c r="AF125" s="70">
        <f>'REV-REVCALC_CWS'!AD46 + 'REV-REVCALC_CWS'!AD85</f>
        <v>2856525.5</v>
      </c>
      <c r="AG125" s="70">
        <f>'REV-REVCALC_CWS'!AE46 + 'REV-REVCALC_CWS'!AE85</f>
        <v>2856525.5</v>
      </c>
      <c r="AH125" s="70">
        <f>'REV-REVCALC_CWS'!AF46 + 'REV-REVCALC_CWS'!AF85</f>
        <v>2856525.5</v>
      </c>
      <c r="AI125" s="70">
        <f>'REV-REVCALC_CWS'!AG46 + 'REV-REVCALC_CWS'!AG85</f>
        <v>2856525.5</v>
      </c>
      <c r="AJ125" s="70">
        <f>'REV-REVCALC_CWS'!AH46 + 'REV-REVCALC_CWS'!AH85</f>
        <v>2856525.5</v>
      </c>
      <c r="AK125" s="70">
        <f>'REV-REVCALC_CWS'!AI46 + 'REV-REVCALC_CWS'!AI85</f>
        <v>2856525.5</v>
      </c>
      <c r="AL125" s="70">
        <f>'REV-REVCALC_CWS'!AJ46 + 'REV-REVCALC_CWS'!AJ85</f>
        <v>2856525.5</v>
      </c>
      <c r="AM125" s="70">
        <f>'REV-REVCALC_CWS'!AK46 + 'REV-REVCALC_CWS'!AK85</f>
        <v>2856525.5</v>
      </c>
      <c r="AN125" s="70">
        <f>'REV-REVCALC_CWS'!AL46 + 'REV-REVCALC_CWS'!AL85</f>
        <v>1903396.25</v>
      </c>
      <c r="AO125" s="70">
        <f>'REV-REVCALC_CWS'!AM46 + 'REV-REVCALC_CWS'!AM85</f>
        <v>2578715.5150000001</v>
      </c>
      <c r="AP125" s="70">
        <f>'REV-REVCALC_CWS'!AN46 + 'REV-REVCALC_CWS'!AN85</f>
        <v>4125332.3025000002</v>
      </c>
      <c r="AQ125" s="70">
        <f>'REV-REVCALC_CWS'!AO46 + 'REV-REVCALC_CWS'!AO85</f>
        <v>4639850.3625000007</v>
      </c>
      <c r="AR125" s="70">
        <f>'REV-REVCALC_CWS'!AP46 + 'REV-REVCALC_CWS'!AP85</f>
        <v>4639850.3625000007</v>
      </c>
      <c r="AS125" s="70">
        <f>'REV-REVCALC_CWS'!AQ46 + 'REV-REVCALC_CWS'!AQ85</f>
        <v>4639850.3625000007</v>
      </c>
      <c r="AT125" s="70">
        <f>'REV-REVCALC_CWS'!AR46 + 'REV-REVCALC_CWS'!AR85</f>
        <v>4639850.3625000007</v>
      </c>
      <c r="AU125" s="70">
        <f>'REV-REVCALC_CWS'!AS46 + 'REV-REVCALC_CWS'!AS85</f>
        <v>4639850.3625000007</v>
      </c>
      <c r="AV125" s="70">
        <f>'REV-REVCALC_CWS'!AT46 + 'REV-REVCALC_CWS'!AT85</f>
        <v>4639850.3625000007</v>
      </c>
      <c r="AW125" s="70">
        <f>'REV-REVCALC_CWS'!AU46 + 'REV-REVCALC_CWS'!AU85</f>
        <v>4639850.3625000007</v>
      </c>
      <c r="AX125" s="70">
        <f>'REV-REVCALC_CWS'!AV46 + 'REV-REVCALC_CWS'!AV85</f>
        <v>4639850.3625000007</v>
      </c>
      <c r="AY125" s="70">
        <f>'REV-REVCALC_CWS'!AW46 + 'REV-REVCALC_CWS'!AW85</f>
        <v>4639850.3625000007</v>
      </c>
      <c r="AZ125" s="70">
        <f>'REV-REVCALC_CWS'!AX46 + 'REV-REVCALC_CWS'!AX85</f>
        <v>3093233.5750000002</v>
      </c>
      <c r="BA125" s="70">
        <f>'REV-REVCALC_CWS'!AY46 + 'REV-REVCALC_CWS'!AY85</f>
        <v>2841150.351675</v>
      </c>
      <c r="BB125" s="70">
        <f>'REV-REVCALC_CWS'!AZ46 + 'REV-REVCALC_CWS'!AZ85</f>
        <v>4548462.1546999998</v>
      </c>
      <c r="BC125" s="70">
        <f>'REV-REVCALC_CWS'!BA46 + 'REV-REVCALC_CWS'!BA85</f>
        <v>5112104.4390000002</v>
      </c>
      <c r="BD125" s="70">
        <f>'REV-REVCALC_CWS'!BB46 + 'REV-REVCALC_CWS'!BB85</f>
        <v>5112104.4390000002</v>
      </c>
      <c r="BE125" s="70">
        <f>'REV-REVCALC_CWS'!BC46 + 'REV-REVCALC_CWS'!BC85</f>
        <v>5112104.4390000002</v>
      </c>
      <c r="BF125" s="70">
        <f>'REV-REVCALC_CWS'!BD46 + 'REV-REVCALC_CWS'!BD85</f>
        <v>5112104.4390000002</v>
      </c>
      <c r="BG125" s="70">
        <f>'REV-REVCALC_CWS'!BE46 + 'REV-REVCALC_CWS'!BE85</f>
        <v>5112104.4390000002</v>
      </c>
      <c r="BH125" s="70">
        <f>'REV-REVCALC_CWS'!BF46 + 'REV-REVCALC_CWS'!BF85</f>
        <v>5112104.4390000002</v>
      </c>
      <c r="BI125" s="70">
        <f>'REV-REVCALC_CWS'!BG46 + 'REV-REVCALC_CWS'!BG85</f>
        <v>5112104.4390000002</v>
      </c>
      <c r="BJ125" s="70">
        <f>'REV-REVCALC_CWS'!BH46 + 'REV-REVCALC_CWS'!BH85</f>
        <v>5112104.4390000002</v>
      </c>
      <c r="BK125" s="70">
        <f>'REV-REVCALC_CWS'!BI46 + 'REV-REVCALC_CWS'!BI85</f>
        <v>5112104.4390000002</v>
      </c>
      <c r="BL125" s="70">
        <f>'REV-REVCALC_CWS'!BJ46 + 'REV-REVCALC_CWS'!BJ85</f>
        <v>3411346.6160249999</v>
      </c>
      <c r="BM125" s="167">
        <f>SUM(D125:BL125)</f>
        <v>160328773.97840002</v>
      </c>
    </row>
    <row r="126" spans="2:65" s="33" customFormat="1" outlineLevel="1" x14ac:dyDescent="0.15">
      <c r="B126" s="47" t="s">
        <v>352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355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385000</v>
      </c>
      <c r="I127" s="70">
        <f t="shared" si="9"/>
        <v>540000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160328773.97840002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356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2109800</v>
      </c>
      <c r="I129" s="104">
        <f t="shared" si="10"/>
        <v>3708000</v>
      </c>
      <c r="J129" s="104">
        <f t="shared" si="10"/>
        <v>5647400</v>
      </c>
      <c r="K129" s="104">
        <f t="shared" si="10"/>
        <v>5647400</v>
      </c>
      <c r="L129" s="104">
        <f t="shared" si="10"/>
        <v>5647400</v>
      </c>
      <c r="M129" s="104">
        <f t="shared" si="10"/>
        <v>5647400</v>
      </c>
      <c r="N129" s="104">
        <f t="shared" si="10"/>
        <v>5647400</v>
      </c>
      <c r="O129" s="104">
        <f t="shared" si="10"/>
        <v>5647400</v>
      </c>
      <c r="P129" s="104">
        <f t="shared" si="10"/>
        <v>5373300</v>
      </c>
      <c r="Q129" s="104">
        <f t="shared" si="10"/>
        <v>5977800</v>
      </c>
      <c r="R129" s="104">
        <f t="shared" si="10"/>
        <v>9562000</v>
      </c>
      <c r="S129" s="104">
        <f t="shared" si="10"/>
        <v>10755905</v>
      </c>
      <c r="T129" s="104">
        <f t="shared" si="10"/>
        <v>10755905</v>
      </c>
      <c r="U129" s="104">
        <f t="shared" si="10"/>
        <v>10755905</v>
      </c>
      <c r="V129" s="104">
        <f t="shared" si="10"/>
        <v>10755905</v>
      </c>
      <c r="W129" s="104">
        <f t="shared" si="10"/>
        <v>10755905</v>
      </c>
      <c r="X129" s="104">
        <f t="shared" si="10"/>
        <v>10755905</v>
      </c>
      <c r="Y129" s="104">
        <f t="shared" si="10"/>
        <v>10755905</v>
      </c>
      <c r="Z129" s="104">
        <f t="shared" si="10"/>
        <v>10755905</v>
      </c>
      <c r="AA129" s="104">
        <f t="shared" si="10"/>
        <v>10755905</v>
      </c>
      <c r="AB129" s="104">
        <f t="shared" si="10"/>
        <v>7171705</v>
      </c>
      <c r="AC129" s="104">
        <f t="shared" si="10"/>
        <v>14091434.700000001</v>
      </c>
      <c r="AD129" s="104">
        <f t="shared" si="10"/>
        <v>22537937.75</v>
      </c>
      <c r="AE129" s="104">
        <f t="shared" si="10"/>
        <v>25358972.449999999</v>
      </c>
      <c r="AF129" s="104">
        <f t="shared" si="10"/>
        <v>25358972.449999999</v>
      </c>
      <c r="AG129" s="104">
        <f t="shared" si="10"/>
        <v>25358972.449999999</v>
      </c>
      <c r="AH129" s="104">
        <f t="shared" si="10"/>
        <v>25358972.449999999</v>
      </c>
      <c r="AI129" s="104">
        <f t="shared" si="10"/>
        <v>25358972.449999999</v>
      </c>
      <c r="AJ129" s="104">
        <f t="shared" ref="AJ129:BL129" si="11">AJ127+AJ122+AJ116</f>
        <v>25358972.449999999</v>
      </c>
      <c r="AK129" s="104">
        <f t="shared" si="11"/>
        <v>25358972.449999999</v>
      </c>
      <c r="AL129" s="104">
        <f t="shared" si="11"/>
        <v>25358972.449999999</v>
      </c>
      <c r="AM129" s="104">
        <f t="shared" si="11"/>
        <v>25358972.449999999</v>
      </c>
      <c r="AN129" s="104">
        <f t="shared" si="11"/>
        <v>16902737.750000004</v>
      </c>
      <c r="AO129" s="104">
        <f t="shared" si="11"/>
        <v>21003736.926500004</v>
      </c>
      <c r="AP129" s="104">
        <f t="shared" si="11"/>
        <v>33607654.177000009</v>
      </c>
      <c r="AQ129" s="104">
        <f t="shared" si="11"/>
        <v>37807939.058000013</v>
      </c>
      <c r="AR129" s="104">
        <f t="shared" si="11"/>
        <v>37807939.058000013</v>
      </c>
      <c r="AS129" s="104">
        <f t="shared" si="11"/>
        <v>37807939.058000013</v>
      </c>
      <c r="AT129" s="104">
        <f t="shared" si="11"/>
        <v>37807939.058000013</v>
      </c>
      <c r="AU129" s="104">
        <f t="shared" si="11"/>
        <v>37807939.058000013</v>
      </c>
      <c r="AV129" s="104">
        <f t="shared" si="11"/>
        <v>37807939.058000013</v>
      </c>
      <c r="AW129" s="104">
        <f t="shared" si="11"/>
        <v>37807939.058000013</v>
      </c>
      <c r="AX129" s="104">
        <f t="shared" si="11"/>
        <v>37807939.058000013</v>
      </c>
      <c r="AY129" s="104">
        <f t="shared" si="11"/>
        <v>37807939.058000013</v>
      </c>
      <c r="AZ129" s="104">
        <f t="shared" si="11"/>
        <v>25204021.807500008</v>
      </c>
      <c r="BA129" s="104">
        <f t="shared" si="11"/>
        <v>19975433.4848</v>
      </c>
      <c r="BB129" s="104">
        <f t="shared" si="11"/>
        <v>31969393.710845008</v>
      </c>
      <c r="BC129" s="104">
        <f t="shared" si="11"/>
        <v>35954252.73847001</v>
      </c>
      <c r="BD129" s="104">
        <f t="shared" si="11"/>
        <v>35954252.73847001</v>
      </c>
      <c r="BE129" s="104">
        <f t="shared" si="11"/>
        <v>35954252.73847001</v>
      </c>
      <c r="BF129" s="104">
        <f t="shared" si="11"/>
        <v>35954252.73847001</v>
      </c>
      <c r="BG129" s="104">
        <f t="shared" si="11"/>
        <v>35954252.73847001</v>
      </c>
      <c r="BH129" s="104">
        <f t="shared" si="11"/>
        <v>35954252.73847001</v>
      </c>
      <c r="BI129" s="104">
        <f t="shared" si="11"/>
        <v>35954252.73847001</v>
      </c>
      <c r="BJ129" s="104">
        <f t="shared" si="11"/>
        <v>35954252.73847001</v>
      </c>
      <c r="BK129" s="104">
        <f t="shared" si="11"/>
        <v>35954252.73847001</v>
      </c>
      <c r="BL129" s="104">
        <f t="shared" si="11"/>
        <v>23980444.880020007</v>
      </c>
      <c r="BM129" s="167">
        <f>SUM(D129:BL129)</f>
        <v>1265953423.4048946</v>
      </c>
    </row>
    <row r="130" spans="1:65" s="33" customFormat="1" x14ac:dyDescent="0.15">
      <c r="BM130" s="65"/>
    </row>
    <row r="131" spans="1:65" x14ac:dyDescent="0.15">
      <c r="B131" s="16" t="s">
        <v>476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392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393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440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408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409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410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412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413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480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374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499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500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483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484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485</v>
      </c>
      <c r="J163" s="14"/>
      <c r="BM163" s="167"/>
    </row>
    <row r="164" spans="1:65" outlineLevel="1" x14ac:dyDescent="0.15">
      <c r="B164" s="47" t="s">
        <v>381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1184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486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482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985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460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-19953450</v>
      </c>
      <c r="I208" s="130">
        <f t="shared" si="23"/>
        <v>-13357916.666666668</v>
      </c>
      <c r="J208" s="104">
        <f t="shared" si="23"/>
        <v>-13418516.666666668</v>
      </c>
      <c r="K208" s="130">
        <f t="shared" si="23"/>
        <v>-12449850</v>
      </c>
      <c r="L208" s="130">
        <f t="shared" si="23"/>
        <v>-12449850</v>
      </c>
      <c r="M208" s="130">
        <f t="shared" si="23"/>
        <v>-12449850</v>
      </c>
      <c r="N208" s="130">
        <f t="shared" si="23"/>
        <v>-12449850</v>
      </c>
      <c r="O208" s="130">
        <f t="shared" si="23"/>
        <v>-12449850</v>
      </c>
      <c r="P208" s="130">
        <f t="shared" si="23"/>
        <v>-12723950</v>
      </c>
      <c r="Q208" s="130">
        <f t="shared" si="23"/>
        <v>-14459450</v>
      </c>
      <c r="R208" s="130">
        <f t="shared" si="23"/>
        <v>-10875250</v>
      </c>
      <c r="S208" s="130">
        <f t="shared" si="23"/>
        <v>-9681345</v>
      </c>
      <c r="T208" s="130">
        <f t="shared" si="23"/>
        <v>-8681345</v>
      </c>
      <c r="U208" s="130">
        <f t="shared" si="23"/>
        <v>-8681345</v>
      </c>
      <c r="V208" s="130">
        <f t="shared" si="23"/>
        <v>-8681345</v>
      </c>
      <c r="W208" s="130">
        <f t="shared" si="23"/>
        <v>-8681345</v>
      </c>
      <c r="X208" s="130">
        <f t="shared" si="23"/>
        <v>-8681345</v>
      </c>
      <c r="Y208" s="130">
        <f t="shared" si="23"/>
        <v>-8681345</v>
      </c>
      <c r="Z208" s="130">
        <f t="shared" si="23"/>
        <v>-8681345</v>
      </c>
      <c r="AA208" s="130">
        <f t="shared" si="23"/>
        <v>-8681345</v>
      </c>
      <c r="AB208" s="130">
        <f t="shared" si="23"/>
        <v>-12265545</v>
      </c>
      <c r="AC208" s="130">
        <f t="shared" si="23"/>
        <v>-10148615.299999999</v>
      </c>
      <c r="AD208" s="130">
        <f t="shared" si="23"/>
        <v>-1702112.25</v>
      </c>
      <c r="AE208" s="130">
        <f t="shared" si="23"/>
        <v>1118922.4499999993</v>
      </c>
      <c r="AF208" s="130">
        <f t="shared" si="23"/>
        <v>1118922.4499999993</v>
      </c>
      <c r="AG208" s="130">
        <f t="shared" si="23"/>
        <v>1118922.4499999993</v>
      </c>
      <c r="AH208" s="130">
        <f t="shared" si="23"/>
        <v>1118922.4499999993</v>
      </c>
      <c r="AI208" s="130">
        <f t="shared" si="23"/>
        <v>1118922.4499999993</v>
      </c>
      <c r="AJ208" s="130">
        <f t="shared" ref="AJ208:BL208" si="24">AJ129-AJ206</f>
        <v>1118922.4499999993</v>
      </c>
      <c r="AK208" s="130">
        <f t="shared" si="24"/>
        <v>1118922.4499999993</v>
      </c>
      <c r="AL208" s="130">
        <f t="shared" si="24"/>
        <v>1118922.4499999993</v>
      </c>
      <c r="AM208" s="130">
        <f t="shared" si="24"/>
        <v>1118922.4499999993</v>
      </c>
      <c r="AN208" s="130">
        <f t="shared" si="24"/>
        <v>-7337312.2499999963</v>
      </c>
      <c r="AO208" s="130">
        <f t="shared" si="24"/>
        <v>-4533389.0734999962</v>
      </c>
      <c r="AP208" s="130">
        <f t="shared" si="24"/>
        <v>8070528.1770000085</v>
      </c>
      <c r="AQ208" s="130">
        <f t="shared" si="24"/>
        <v>12270813.058000013</v>
      </c>
      <c r="AR208" s="130">
        <f t="shared" si="24"/>
        <v>12270813.058000013</v>
      </c>
      <c r="AS208" s="130">
        <f t="shared" si="24"/>
        <v>12270813.058000013</v>
      </c>
      <c r="AT208" s="130">
        <f t="shared" si="24"/>
        <v>12270813.058000013</v>
      </c>
      <c r="AU208" s="130">
        <f t="shared" si="24"/>
        <v>12270813.058000013</v>
      </c>
      <c r="AV208" s="130">
        <f t="shared" si="24"/>
        <v>12270813.058000013</v>
      </c>
      <c r="AW208" s="130">
        <f t="shared" si="24"/>
        <v>12270813.058000013</v>
      </c>
      <c r="AX208" s="130">
        <f t="shared" si="24"/>
        <v>12270813.058000013</v>
      </c>
      <c r="AY208" s="130">
        <f t="shared" si="24"/>
        <v>12270813.058000013</v>
      </c>
      <c r="AZ208" s="130">
        <f t="shared" si="24"/>
        <v>-333104.19249999151</v>
      </c>
      <c r="BA208" s="130">
        <f t="shared" si="24"/>
        <v>-6967713.8352000043</v>
      </c>
      <c r="BB208" s="130">
        <f t="shared" si="24"/>
        <v>5026246.3908450045</v>
      </c>
      <c r="BC208" s="130">
        <f t="shared" si="24"/>
        <v>9011105.4184700064</v>
      </c>
      <c r="BD208" s="130">
        <f t="shared" si="24"/>
        <v>9011105.4184700064</v>
      </c>
      <c r="BE208" s="130">
        <f t="shared" si="24"/>
        <v>9011105.4184700064</v>
      </c>
      <c r="BF208" s="130">
        <f t="shared" si="24"/>
        <v>9011105.4184700064</v>
      </c>
      <c r="BG208" s="130">
        <f t="shared" si="24"/>
        <v>9011105.4184700064</v>
      </c>
      <c r="BH208" s="130">
        <f t="shared" si="24"/>
        <v>9011105.4184700064</v>
      </c>
      <c r="BI208" s="130">
        <f t="shared" si="24"/>
        <v>9011105.4184700064</v>
      </c>
      <c r="BJ208" s="130">
        <f t="shared" si="24"/>
        <v>9011105.4184700064</v>
      </c>
      <c r="BK208" s="130">
        <f t="shared" si="24"/>
        <v>9011105.4184700064</v>
      </c>
      <c r="BL208" s="130">
        <f t="shared" si="24"/>
        <v>-2962702.4399799965</v>
      </c>
      <c r="BM208" s="167">
        <f>SUM(D208:BL208)</f>
        <v>-57716039.768438146</v>
      </c>
    </row>
    <row r="209" spans="2:65" x14ac:dyDescent="0.15">
      <c r="B209" s="14" t="s">
        <v>983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-19953450</v>
      </c>
      <c r="I209" s="130">
        <f t="shared" si="25"/>
        <v>-33311366.666666668</v>
      </c>
      <c r="J209" s="104">
        <f t="shared" si="25"/>
        <v>-46729883.333333336</v>
      </c>
      <c r="K209" s="130">
        <f t="shared" si="25"/>
        <v>-59179733.333333336</v>
      </c>
      <c r="L209" s="130">
        <f t="shared" si="25"/>
        <v>-71629583.333333343</v>
      </c>
      <c r="M209" s="130">
        <f t="shared" si="25"/>
        <v>-84079433.333333343</v>
      </c>
      <c r="N209" s="130">
        <f t="shared" si="25"/>
        <v>-96529283.333333343</v>
      </c>
      <c r="O209" s="130">
        <f t="shared" si="25"/>
        <v>-108979133.33333334</v>
      </c>
      <c r="P209" s="130">
        <f t="shared" si="25"/>
        <v>-121703083.33333334</v>
      </c>
      <c r="Q209" s="130">
        <f t="shared" si="25"/>
        <v>-136162533.33333334</v>
      </c>
      <c r="R209" s="130">
        <f t="shared" si="25"/>
        <v>-147037783.33333334</v>
      </c>
      <c r="S209" s="130">
        <f t="shared" si="25"/>
        <v>-156719128.33333334</v>
      </c>
      <c r="T209" s="130">
        <f t="shared" si="25"/>
        <v>-165400473.33333334</v>
      </c>
      <c r="U209" s="130">
        <f t="shared" si="25"/>
        <v>-174081818.33333334</v>
      </c>
      <c r="V209" s="130">
        <f t="shared" si="25"/>
        <v>-182763163.33333334</v>
      </c>
      <c r="W209" s="130">
        <f t="shared" si="25"/>
        <v>-191444508.33333334</v>
      </c>
      <c r="X209" s="130">
        <f t="shared" si="25"/>
        <v>-200125853.33333334</v>
      </c>
      <c r="Y209" s="130">
        <f t="shared" si="25"/>
        <v>-208807198.33333334</v>
      </c>
      <c r="Z209" s="130">
        <f t="shared" si="25"/>
        <v>-217488543.33333334</v>
      </c>
      <c r="AA209" s="130">
        <f t="shared" si="25"/>
        <v>-226169888.33333334</v>
      </c>
      <c r="AB209" s="130">
        <f t="shared" si="25"/>
        <v>-238435433.33333334</v>
      </c>
      <c r="AC209" s="130">
        <f t="shared" si="25"/>
        <v>-248584048.63333336</v>
      </c>
      <c r="AD209" s="130">
        <f t="shared" si="25"/>
        <v>-250286160.88333336</v>
      </c>
      <c r="AE209" s="130">
        <f t="shared" si="25"/>
        <v>-249167238.43333337</v>
      </c>
      <c r="AF209" s="130">
        <f t="shared" si="25"/>
        <v>-248048315.98333338</v>
      </c>
      <c r="AG209" s="130">
        <f t="shared" si="25"/>
        <v>-246929393.53333339</v>
      </c>
      <c r="AH209" s="130">
        <f t="shared" si="25"/>
        <v>-245810471.0833334</v>
      </c>
      <c r="AI209" s="130">
        <f t="shared" si="25"/>
        <v>-244691548.63333341</v>
      </c>
      <c r="AJ209" s="130">
        <f t="shared" si="25"/>
        <v>-243572626.18333343</v>
      </c>
      <c r="AK209" s="130">
        <f t="shared" ref="AK209:BL209" si="26">AK208+AJ209</f>
        <v>-242453703.73333344</v>
      </c>
      <c r="AL209" s="130">
        <f t="shared" si="26"/>
        <v>-241334781.28333345</v>
      </c>
      <c r="AM209" s="130">
        <f t="shared" si="26"/>
        <v>-240215858.83333346</v>
      </c>
      <c r="AN209" s="130">
        <f t="shared" si="26"/>
        <v>-247553171.08333346</v>
      </c>
      <c r="AO209" s="130">
        <f t="shared" si="26"/>
        <v>-252086560.15683347</v>
      </c>
      <c r="AP209" s="130">
        <f t="shared" si="26"/>
        <v>-244016031.97983345</v>
      </c>
      <c r="AQ209" s="130">
        <f t="shared" si="26"/>
        <v>-231745218.92183346</v>
      </c>
      <c r="AR209" s="130">
        <f t="shared" si="26"/>
        <v>-219474405.86383343</v>
      </c>
      <c r="AS209" s="130">
        <f t="shared" si="26"/>
        <v>-207203592.8058334</v>
      </c>
      <c r="AT209" s="130">
        <f t="shared" si="26"/>
        <v>-194932779.74783337</v>
      </c>
      <c r="AU209" s="130">
        <f t="shared" si="26"/>
        <v>-182661966.68983334</v>
      </c>
      <c r="AV209" s="130">
        <f t="shared" si="26"/>
        <v>-170391153.63183331</v>
      </c>
      <c r="AW209" s="130">
        <f t="shared" si="26"/>
        <v>-158120340.57383329</v>
      </c>
      <c r="AX209" s="130">
        <f t="shared" si="26"/>
        <v>-145849527.51583326</v>
      </c>
      <c r="AY209" s="130">
        <f t="shared" si="26"/>
        <v>-133578714.45783325</v>
      </c>
      <c r="AZ209" s="130">
        <f t="shared" si="26"/>
        <v>-133911818.65033324</v>
      </c>
      <c r="BA209" s="130">
        <f t="shared" si="26"/>
        <v>-140879532.48553324</v>
      </c>
      <c r="BB209" s="130">
        <f t="shared" si="26"/>
        <v>-135853286.09468824</v>
      </c>
      <c r="BC209" s="130">
        <f t="shared" si="26"/>
        <v>-126842180.67621823</v>
      </c>
      <c r="BD209" s="130">
        <f t="shared" si="26"/>
        <v>-117831075.25774822</v>
      </c>
      <c r="BE209" s="130">
        <f t="shared" si="26"/>
        <v>-108819969.83927821</v>
      </c>
      <c r="BF209" s="130">
        <f t="shared" si="26"/>
        <v>-99808864.420808196</v>
      </c>
      <c r="BG209" s="130">
        <f t="shared" si="26"/>
        <v>-90797759.002338186</v>
      </c>
      <c r="BH209" s="130">
        <f t="shared" si="26"/>
        <v>-81786653.583868176</v>
      </c>
      <c r="BI209" s="130">
        <f t="shared" si="26"/>
        <v>-72775548.165398166</v>
      </c>
      <c r="BJ209" s="130">
        <f t="shared" si="26"/>
        <v>-63764442.746928155</v>
      </c>
      <c r="BK209" s="130">
        <f t="shared" si="26"/>
        <v>-54753337.328458145</v>
      </c>
      <c r="BL209" s="130">
        <f t="shared" si="26"/>
        <v>-57716039.768438146</v>
      </c>
      <c r="BM209" s="167">
        <f>SUM(D209:BL209)</f>
        <v>-9260979393.6652031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820</v>
      </c>
    </row>
    <row r="3" spans="2:63" x14ac:dyDescent="0.15">
      <c r="B3" s="136" t="s">
        <v>443</v>
      </c>
    </row>
    <row r="4" spans="2:63" x14ac:dyDescent="0.15">
      <c r="B4" s="135" t="s">
        <v>821</v>
      </c>
    </row>
    <row r="5" spans="2:63" x14ac:dyDescent="0.15">
      <c r="B5" s="136" t="s">
        <v>460</v>
      </c>
      <c r="C5" s="121">
        <f>C35</f>
        <v>0</v>
      </c>
      <c r="D5" s="121">
        <f>SUM(D35:O35)</f>
        <v>-121703083.33333334</v>
      </c>
      <c r="E5" s="121">
        <f>SUM(P35:AA35)</f>
        <v>-116732350</v>
      </c>
      <c r="F5" s="121">
        <f>SUM(AB35:AM35)</f>
        <v>-9117737.7500000019</v>
      </c>
      <c r="G5" s="121">
        <f>SUM(AN35:AY35)</f>
        <v>113641352.43300013</v>
      </c>
      <c r="H5" s="121">
        <f>SUM(AZ35:BK35)</f>
        <v>76195778.88189508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822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475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462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463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464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805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1017</v>
      </c>
      <c r="C15" s="121">
        <f t="shared" ref="C15:H15" si="1">C5+C13</f>
        <v>0</v>
      </c>
      <c r="D15" s="121">
        <f t="shared" si="1"/>
        <v>-120114500.00000001</v>
      </c>
      <c r="E15" s="121">
        <f t="shared" si="1"/>
        <v>-114605350</v>
      </c>
      <c r="F15" s="121">
        <f t="shared" si="1"/>
        <v>-6990737.7500000019</v>
      </c>
      <c r="G15" s="121">
        <f t="shared" si="1"/>
        <v>115768352.43300013</v>
      </c>
      <c r="H15" s="121">
        <f t="shared" si="1"/>
        <v>78322778.88189508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824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465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1019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826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1030</v>
      </c>
      <c r="C23" s="121">
        <f ca="1">C53</f>
        <v>69112400</v>
      </c>
      <c r="D23" s="121">
        <f ca="1">SUM(D53:O53)</f>
        <v>86617300</v>
      </c>
      <c r="E23" s="121">
        <f ca="1">SUM(P53:AA53)</f>
        <v>89625150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466</v>
      </c>
      <c r="C25" s="121">
        <f ca="1">+C23+C20+C15</f>
        <v>69112400</v>
      </c>
      <c r="D25" s="121">
        <f ca="1">+D23+D20+D15</f>
        <v>-44132200.000000015</v>
      </c>
      <c r="E25" s="121">
        <f ca="1">+E23+E20+E15</f>
        <v>-24980200</v>
      </c>
      <c r="F25" s="121">
        <f t="shared" ref="F25:H25" ca="1" si="3">+F23+F20+F15</f>
        <v>-6990737.7500000019</v>
      </c>
      <c r="G25" s="121">
        <f t="shared" ca="1" si="3"/>
        <v>115768352.43300013</v>
      </c>
      <c r="H25" s="121">
        <f t="shared" ca="1" si="3"/>
        <v>78322778.88189508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468</v>
      </c>
      <c r="C27" s="121">
        <v>0</v>
      </c>
      <c r="D27" s="121">
        <f ca="1">+C28</f>
        <v>69112400</v>
      </c>
      <c r="E27" s="121">
        <f t="shared" ref="E27:H27" ca="1" si="4">+D28</f>
        <v>24980199.999999985</v>
      </c>
      <c r="F27" s="121">
        <f t="shared" ca="1" si="4"/>
        <v>0</v>
      </c>
      <c r="G27" s="121">
        <f t="shared" ca="1" si="4"/>
        <v>-6990737.7500000019</v>
      </c>
      <c r="H27" s="121">
        <f t="shared" ca="1" si="4"/>
        <v>108777614.68300013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467</v>
      </c>
      <c r="C28" s="121">
        <f ca="1">C25</f>
        <v>69112400</v>
      </c>
      <c r="D28" s="121">
        <f ca="1">+D27+D25</f>
        <v>24980199.999999985</v>
      </c>
      <c r="E28" s="121">
        <f t="shared" ref="E28:H28" ca="1" si="5">+E27+E25</f>
        <v>0</v>
      </c>
      <c r="F28" s="121">
        <f t="shared" ca="1" si="5"/>
        <v>-6990737.7500000019</v>
      </c>
      <c r="G28" s="121">
        <f t="shared" ca="1" si="5"/>
        <v>108777614.68300013</v>
      </c>
      <c r="H28" s="121">
        <f t="shared" ca="1" si="5"/>
        <v>187100393.56489521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89" t="s">
        <v>35</v>
      </c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 t="s">
        <v>36</v>
      </c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 t="s">
        <v>37</v>
      </c>
      <c r="AC30" s="389"/>
      <c r="AD30" s="389"/>
      <c r="AE30" s="389"/>
      <c r="AF30" s="389"/>
      <c r="AG30" s="389"/>
      <c r="AH30" s="389"/>
      <c r="AI30" s="389"/>
      <c r="AJ30" s="389"/>
      <c r="AK30" s="389"/>
      <c r="AL30" s="389"/>
      <c r="AM30" s="389"/>
      <c r="AN30" s="389" t="s">
        <v>38</v>
      </c>
      <c r="AO30" s="389"/>
      <c r="AP30" s="389"/>
      <c r="AQ30" s="389"/>
      <c r="AR30" s="389"/>
      <c r="AS30" s="389"/>
      <c r="AT30" s="389"/>
      <c r="AU30" s="389"/>
      <c r="AV30" s="389"/>
      <c r="AW30" s="389"/>
      <c r="AX30" s="389"/>
      <c r="AY30" s="389"/>
      <c r="AZ30" s="389" t="s">
        <v>39</v>
      </c>
      <c r="BA30" s="389"/>
      <c r="BB30" s="389"/>
      <c r="BC30" s="389"/>
      <c r="BD30" s="389"/>
      <c r="BE30" s="389"/>
      <c r="BF30" s="389"/>
      <c r="BG30" s="389"/>
      <c r="BH30" s="389"/>
      <c r="BI30" s="389"/>
      <c r="BJ30" s="389"/>
      <c r="BK30" s="38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820</v>
      </c>
      <c r="C32" s="75"/>
      <c r="D32" s="389" t="s">
        <v>35</v>
      </c>
      <c r="E32" s="389"/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 t="s">
        <v>36</v>
      </c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 t="s">
        <v>37</v>
      </c>
      <c r="AC32" s="389"/>
      <c r="AD32" s="389"/>
      <c r="AE32" s="389"/>
      <c r="AF32" s="389"/>
      <c r="AG32" s="389"/>
      <c r="AH32" s="389"/>
      <c r="AI32" s="389"/>
      <c r="AJ32" s="389"/>
      <c r="AK32" s="389"/>
      <c r="AL32" s="389"/>
      <c r="AM32" s="389"/>
      <c r="AN32" s="389" t="s">
        <v>38</v>
      </c>
      <c r="AO32" s="389"/>
      <c r="AP32" s="389"/>
      <c r="AQ32" s="389"/>
      <c r="AR32" s="389"/>
      <c r="AS32" s="389"/>
      <c r="AT32" s="389"/>
      <c r="AU32" s="389"/>
      <c r="AV32" s="389"/>
      <c r="AW32" s="389"/>
      <c r="AX32" s="389"/>
      <c r="AY32" s="389"/>
      <c r="AZ32" s="389" t="s">
        <v>39</v>
      </c>
      <c r="BA32" s="389"/>
      <c r="BB32" s="389"/>
      <c r="BC32" s="389"/>
      <c r="BD32" s="389"/>
      <c r="BE32" s="389"/>
      <c r="BF32" s="389"/>
      <c r="BG32" s="389"/>
      <c r="BH32" s="389"/>
      <c r="BI32" s="389"/>
      <c r="BJ32" s="389"/>
      <c r="BK32" s="389"/>
    </row>
    <row r="33" spans="2:63" x14ac:dyDescent="0.15">
      <c r="B33" s="136" t="s">
        <v>443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821</v>
      </c>
    </row>
    <row r="35" spans="2:63" x14ac:dyDescent="0.15">
      <c r="B35" s="136" t="s">
        <v>460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-19953450</v>
      </c>
      <c r="H35" s="121">
        <f>'FIN-P&amp;L_CWS'!I208</f>
        <v>-13357916.666666668</v>
      </c>
      <c r="I35" s="121">
        <f>'FIN-P&amp;L_CWS'!J208</f>
        <v>-13418516.666666668</v>
      </c>
      <c r="J35" s="121">
        <f>'FIN-P&amp;L_CWS'!K208</f>
        <v>-12449850</v>
      </c>
      <c r="K35" s="121">
        <f>'FIN-P&amp;L_CWS'!L208</f>
        <v>-12449850</v>
      </c>
      <c r="L35" s="121">
        <f>'FIN-P&amp;L_CWS'!M208</f>
        <v>-12449850</v>
      </c>
      <c r="M35" s="121">
        <f>'FIN-P&amp;L_CWS'!N208</f>
        <v>-12449850</v>
      </c>
      <c r="N35" s="121">
        <f>'FIN-P&amp;L_CWS'!O208</f>
        <v>-12449850</v>
      </c>
      <c r="O35" s="121">
        <f>'FIN-P&amp;L_CWS'!P208</f>
        <v>-12723950</v>
      </c>
      <c r="P35" s="121">
        <f>'FIN-P&amp;L_CWS'!Q208</f>
        <v>-14459450</v>
      </c>
      <c r="Q35" s="121">
        <f>'FIN-P&amp;L_CWS'!R208</f>
        <v>-10875250</v>
      </c>
      <c r="R35" s="121">
        <f>'FIN-P&amp;L_CWS'!S208</f>
        <v>-9681345</v>
      </c>
      <c r="S35" s="121">
        <f>'FIN-P&amp;L_CWS'!T208</f>
        <v>-8681345</v>
      </c>
      <c r="T35" s="121">
        <f>'FIN-P&amp;L_CWS'!U208</f>
        <v>-8681345</v>
      </c>
      <c r="U35" s="121">
        <f>'FIN-P&amp;L_CWS'!V208</f>
        <v>-8681345</v>
      </c>
      <c r="V35" s="121">
        <f>'FIN-P&amp;L_CWS'!W208</f>
        <v>-8681345</v>
      </c>
      <c r="W35" s="121">
        <f>'FIN-P&amp;L_CWS'!X208</f>
        <v>-8681345</v>
      </c>
      <c r="X35" s="121">
        <f>'FIN-P&amp;L_CWS'!Y208</f>
        <v>-8681345</v>
      </c>
      <c r="Y35" s="121">
        <f>'FIN-P&amp;L_CWS'!Z208</f>
        <v>-8681345</v>
      </c>
      <c r="Z35" s="121">
        <f>'FIN-P&amp;L_CWS'!AA208</f>
        <v>-8681345</v>
      </c>
      <c r="AA35" s="121">
        <f>'FIN-P&amp;L_CWS'!AB208</f>
        <v>-12265545</v>
      </c>
      <c r="AB35" s="121">
        <f>'FIN-P&amp;L_CWS'!AC208</f>
        <v>-10148615.299999999</v>
      </c>
      <c r="AC35" s="121">
        <f>'FIN-P&amp;L_CWS'!AD208</f>
        <v>-1702112.25</v>
      </c>
      <c r="AD35" s="121">
        <f>'FIN-P&amp;L_CWS'!AE208</f>
        <v>1118922.4499999993</v>
      </c>
      <c r="AE35" s="121">
        <f>'FIN-P&amp;L_CWS'!AF208</f>
        <v>1118922.4499999993</v>
      </c>
      <c r="AF35" s="121">
        <f>'FIN-P&amp;L_CWS'!AG208</f>
        <v>1118922.4499999993</v>
      </c>
      <c r="AG35" s="121">
        <f>'FIN-P&amp;L_CWS'!AH208</f>
        <v>1118922.4499999993</v>
      </c>
      <c r="AH35" s="121">
        <f>'FIN-P&amp;L_CWS'!AI208</f>
        <v>1118922.4499999993</v>
      </c>
      <c r="AI35" s="121">
        <f>'FIN-P&amp;L_CWS'!AJ208</f>
        <v>1118922.4499999993</v>
      </c>
      <c r="AJ35" s="121">
        <f>'FIN-P&amp;L_CWS'!AK208</f>
        <v>1118922.4499999993</v>
      </c>
      <c r="AK35" s="121">
        <f>'FIN-P&amp;L_CWS'!AL208</f>
        <v>1118922.4499999993</v>
      </c>
      <c r="AL35" s="121">
        <f>'FIN-P&amp;L_CWS'!AM208</f>
        <v>1118922.4499999993</v>
      </c>
      <c r="AM35" s="121">
        <f>'FIN-P&amp;L_CWS'!AN208</f>
        <v>-7337312.2499999963</v>
      </c>
      <c r="AN35" s="121">
        <f>'FIN-P&amp;L_CWS'!AO208</f>
        <v>-4533389.0734999962</v>
      </c>
      <c r="AO35" s="121">
        <f>'FIN-P&amp;L_CWS'!AP208</f>
        <v>8070528.1770000085</v>
      </c>
      <c r="AP35" s="121">
        <f>'FIN-P&amp;L_CWS'!AQ208</f>
        <v>12270813.058000013</v>
      </c>
      <c r="AQ35" s="121">
        <f>'FIN-P&amp;L_CWS'!AR208</f>
        <v>12270813.058000013</v>
      </c>
      <c r="AR35" s="121">
        <f>'FIN-P&amp;L_CWS'!AS208</f>
        <v>12270813.058000013</v>
      </c>
      <c r="AS35" s="121">
        <f>'FIN-P&amp;L_CWS'!AT208</f>
        <v>12270813.058000013</v>
      </c>
      <c r="AT35" s="121">
        <f>'FIN-P&amp;L_CWS'!AU208</f>
        <v>12270813.058000013</v>
      </c>
      <c r="AU35" s="121">
        <f>'FIN-P&amp;L_CWS'!AV208</f>
        <v>12270813.058000013</v>
      </c>
      <c r="AV35" s="121">
        <f>'FIN-P&amp;L_CWS'!AW208</f>
        <v>12270813.058000013</v>
      </c>
      <c r="AW35" s="121">
        <f>'FIN-P&amp;L_CWS'!AX208</f>
        <v>12270813.058000013</v>
      </c>
      <c r="AX35" s="121">
        <f>'FIN-P&amp;L_CWS'!AY208</f>
        <v>12270813.058000013</v>
      </c>
      <c r="AY35" s="121">
        <f>'FIN-P&amp;L_CWS'!AZ208</f>
        <v>-333104.19249999151</v>
      </c>
      <c r="AZ35" s="121">
        <f>'FIN-P&amp;L_CWS'!BA208</f>
        <v>-6967713.8352000043</v>
      </c>
      <c r="BA35" s="121">
        <f>'FIN-P&amp;L_CWS'!BB208</f>
        <v>5026246.3908450045</v>
      </c>
      <c r="BB35" s="121">
        <f>'FIN-P&amp;L_CWS'!BC208</f>
        <v>9011105.4184700064</v>
      </c>
      <c r="BC35" s="121">
        <f>'FIN-P&amp;L_CWS'!BD208</f>
        <v>9011105.4184700064</v>
      </c>
      <c r="BD35" s="121">
        <f>'FIN-P&amp;L_CWS'!BE208</f>
        <v>9011105.4184700064</v>
      </c>
      <c r="BE35" s="121">
        <f>'FIN-P&amp;L_CWS'!BF208</f>
        <v>9011105.4184700064</v>
      </c>
      <c r="BF35" s="121">
        <f>'FIN-P&amp;L_CWS'!BG208</f>
        <v>9011105.4184700064</v>
      </c>
      <c r="BG35" s="121">
        <f>'FIN-P&amp;L_CWS'!BH208</f>
        <v>9011105.4184700064</v>
      </c>
      <c r="BH35" s="121">
        <f>'FIN-P&amp;L_CWS'!BI208</f>
        <v>9011105.4184700064</v>
      </c>
      <c r="BI35" s="121">
        <f>'FIN-P&amp;L_CWS'!BJ208</f>
        <v>9011105.4184700064</v>
      </c>
      <c r="BJ35" s="121">
        <f>'FIN-P&amp;L_CWS'!BK208</f>
        <v>9011105.4184700064</v>
      </c>
      <c r="BK35" s="121">
        <f>'FIN-P&amp;L_CWS'!BL208</f>
        <v>-2962702.4399799965</v>
      </c>
    </row>
    <row r="36" spans="2:63" x14ac:dyDescent="0.15">
      <c r="B36" s="136" t="s">
        <v>443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822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475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463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464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805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1017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-19780200</v>
      </c>
      <c r="H45" s="121">
        <f t="shared" si="7"/>
        <v>-13182000.000000002</v>
      </c>
      <c r="I45" s="121">
        <f t="shared" si="7"/>
        <v>-13242600.000000002</v>
      </c>
      <c r="J45" s="121">
        <f t="shared" si="7"/>
        <v>-12272600</v>
      </c>
      <c r="K45" s="121">
        <f t="shared" si="7"/>
        <v>-12272600</v>
      </c>
      <c r="L45" s="121">
        <f t="shared" si="7"/>
        <v>-12272600</v>
      </c>
      <c r="M45" s="121">
        <f t="shared" si="7"/>
        <v>-12272600</v>
      </c>
      <c r="N45" s="121">
        <f t="shared" si="7"/>
        <v>-12272600</v>
      </c>
      <c r="O45" s="121">
        <f t="shared" si="7"/>
        <v>-12546700</v>
      </c>
      <c r="P45" s="121">
        <f t="shared" si="7"/>
        <v>-14282200</v>
      </c>
      <c r="Q45" s="121">
        <f t="shared" si="7"/>
        <v>-10698000</v>
      </c>
      <c r="R45" s="121">
        <f t="shared" si="7"/>
        <v>-9504095</v>
      </c>
      <c r="S45" s="121">
        <f t="shared" si="7"/>
        <v>-8504095</v>
      </c>
      <c r="T45" s="121">
        <f t="shared" si="7"/>
        <v>-8504095</v>
      </c>
      <c r="U45" s="121">
        <f t="shared" si="7"/>
        <v>-8504095</v>
      </c>
      <c r="V45" s="121">
        <f t="shared" si="7"/>
        <v>-8504095</v>
      </c>
      <c r="W45" s="121">
        <f t="shared" si="7"/>
        <v>-8504095</v>
      </c>
      <c r="X45" s="121">
        <f t="shared" si="7"/>
        <v>-8504095</v>
      </c>
      <c r="Y45" s="121">
        <f t="shared" si="7"/>
        <v>-8504095</v>
      </c>
      <c r="Z45" s="121">
        <f t="shared" si="7"/>
        <v>-8504095</v>
      </c>
      <c r="AA45" s="121">
        <f t="shared" si="7"/>
        <v>-12088295</v>
      </c>
      <c r="AB45" s="121">
        <f t="shared" si="7"/>
        <v>-9971365.2999999989</v>
      </c>
      <c r="AC45" s="121">
        <f t="shared" si="7"/>
        <v>-1524862.25</v>
      </c>
      <c r="AD45" s="121">
        <f t="shared" si="7"/>
        <v>1296172.4499999993</v>
      </c>
      <c r="AE45" s="121">
        <f t="shared" si="7"/>
        <v>1296172.4499999993</v>
      </c>
      <c r="AF45" s="121">
        <f t="shared" si="7"/>
        <v>1296172.4499999993</v>
      </c>
      <c r="AG45" s="121">
        <f t="shared" si="7"/>
        <v>1296172.4499999993</v>
      </c>
      <c r="AH45" s="121">
        <f t="shared" si="7"/>
        <v>1296172.4499999993</v>
      </c>
      <c r="AI45" s="121">
        <f t="shared" ref="AI45:BK45" si="8">AI35+AI43</f>
        <v>1296172.4499999993</v>
      </c>
      <c r="AJ45" s="121">
        <f t="shared" si="8"/>
        <v>1296172.4499999993</v>
      </c>
      <c r="AK45" s="121">
        <f t="shared" si="8"/>
        <v>1296172.4499999993</v>
      </c>
      <c r="AL45" s="121">
        <f t="shared" si="8"/>
        <v>1296172.4499999993</v>
      </c>
      <c r="AM45" s="121">
        <f t="shared" si="8"/>
        <v>-7160062.2499999963</v>
      </c>
      <c r="AN45" s="121">
        <f t="shared" si="8"/>
        <v>-4356139.0734999962</v>
      </c>
      <c r="AO45" s="121">
        <f t="shared" si="8"/>
        <v>8247778.1770000085</v>
      </c>
      <c r="AP45" s="121">
        <f t="shared" si="8"/>
        <v>12448063.058000013</v>
      </c>
      <c r="AQ45" s="121">
        <f t="shared" si="8"/>
        <v>12448063.058000013</v>
      </c>
      <c r="AR45" s="121">
        <f t="shared" si="8"/>
        <v>12448063.058000013</v>
      </c>
      <c r="AS45" s="121">
        <f t="shared" si="8"/>
        <v>12448063.058000013</v>
      </c>
      <c r="AT45" s="121">
        <f t="shared" si="8"/>
        <v>12448063.058000013</v>
      </c>
      <c r="AU45" s="121">
        <f t="shared" si="8"/>
        <v>12448063.058000013</v>
      </c>
      <c r="AV45" s="121">
        <f t="shared" si="8"/>
        <v>12448063.058000013</v>
      </c>
      <c r="AW45" s="121">
        <f t="shared" si="8"/>
        <v>12448063.058000013</v>
      </c>
      <c r="AX45" s="121">
        <f t="shared" si="8"/>
        <v>12448063.058000013</v>
      </c>
      <c r="AY45" s="121">
        <f t="shared" si="8"/>
        <v>-155854.19249999151</v>
      </c>
      <c r="AZ45" s="121">
        <f t="shared" si="8"/>
        <v>-6790463.8352000043</v>
      </c>
      <c r="BA45" s="121">
        <f t="shared" si="8"/>
        <v>5203496.3908450045</v>
      </c>
      <c r="BB45" s="121">
        <f t="shared" si="8"/>
        <v>9188355.4184700064</v>
      </c>
      <c r="BC45" s="121">
        <f t="shared" si="8"/>
        <v>9188355.4184700064</v>
      </c>
      <c r="BD45" s="121">
        <f t="shared" si="8"/>
        <v>9188355.4184700064</v>
      </c>
      <c r="BE45" s="121">
        <f t="shared" si="8"/>
        <v>9188355.4184700064</v>
      </c>
      <c r="BF45" s="121">
        <f t="shared" si="8"/>
        <v>9188355.4184700064</v>
      </c>
      <c r="BG45" s="121">
        <f t="shared" si="8"/>
        <v>9188355.4184700064</v>
      </c>
      <c r="BH45" s="121">
        <f t="shared" si="8"/>
        <v>9188355.4184700064</v>
      </c>
      <c r="BI45" s="121">
        <f t="shared" si="8"/>
        <v>9188355.4184700064</v>
      </c>
      <c r="BJ45" s="121">
        <f t="shared" si="8"/>
        <v>9188355.4184700064</v>
      </c>
      <c r="BK45" s="121">
        <f t="shared" si="8"/>
        <v>-2785452.4399799965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824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465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1018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826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1030</v>
      </c>
      <c r="C53" s="121">
        <f ca="1">'FIN-VALUE_CWS'!C15</f>
        <v>69112400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86617300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89625150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466</v>
      </c>
      <c r="C55" s="121">
        <f ca="1">+C45+C50+C53</f>
        <v>69112400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-30175200</v>
      </c>
      <c r="H55" s="121">
        <f t="shared" ca="1" si="10"/>
        <v>-13342000.000000002</v>
      </c>
      <c r="I55" s="121">
        <f t="shared" ca="1" si="10"/>
        <v>-13242600.000000002</v>
      </c>
      <c r="J55" s="121">
        <f t="shared" ca="1" si="10"/>
        <v>-12352600</v>
      </c>
      <c r="K55" s="121">
        <f t="shared" ca="1" si="10"/>
        <v>74344700</v>
      </c>
      <c r="L55" s="121">
        <f t="shared" ca="1" si="10"/>
        <v>-12272600</v>
      </c>
      <c r="M55" s="121">
        <f t="shared" ca="1" si="10"/>
        <v>-12272600</v>
      </c>
      <c r="N55" s="121">
        <f t="shared" ca="1" si="10"/>
        <v>-12272600</v>
      </c>
      <c r="O55" s="121">
        <f t="shared" ca="1" si="10"/>
        <v>-12546700</v>
      </c>
      <c r="P55" s="121">
        <f t="shared" ca="1" si="10"/>
        <v>-14282200</v>
      </c>
      <c r="Q55" s="121">
        <f t="shared" ca="1" si="10"/>
        <v>-10698000</v>
      </c>
      <c r="R55" s="121">
        <f t="shared" ca="1" si="10"/>
        <v>80121055</v>
      </c>
      <c r="S55" s="121">
        <f t="shared" ca="1" si="10"/>
        <v>-8504095</v>
      </c>
      <c r="T55" s="121">
        <f t="shared" ca="1" si="10"/>
        <v>-8504095</v>
      </c>
      <c r="U55" s="121">
        <f t="shared" ca="1" si="10"/>
        <v>-8504095</v>
      </c>
      <c r="V55" s="121">
        <f t="shared" ca="1" si="10"/>
        <v>-8504095</v>
      </c>
      <c r="W55" s="121">
        <f t="shared" ca="1" si="10"/>
        <v>-8504095</v>
      </c>
      <c r="X55" s="121">
        <f t="shared" ca="1" si="10"/>
        <v>-8504095</v>
      </c>
      <c r="Y55" s="121">
        <f t="shared" ca="1" si="10"/>
        <v>-8504095</v>
      </c>
      <c r="Z55" s="121">
        <f t="shared" ca="1" si="10"/>
        <v>-8504095</v>
      </c>
      <c r="AA55" s="121">
        <f t="shared" ca="1" si="10"/>
        <v>-12088295</v>
      </c>
      <c r="AB55" s="121">
        <f t="shared" ca="1" si="10"/>
        <v>-9971365.2999999989</v>
      </c>
      <c r="AC55" s="121">
        <f t="shared" ca="1" si="10"/>
        <v>-1524862.25</v>
      </c>
      <c r="AD55" s="121">
        <f t="shared" ca="1" si="10"/>
        <v>1296172.4499999993</v>
      </c>
      <c r="AE55" s="121">
        <f t="shared" ca="1" si="10"/>
        <v>1296172.4499999993</v>
      </c>
      <c r="AF55" s="121">
        <f t="shared" ca="1" si="10"/>
        <v>1296172.4499999993</v>
      </c>
      <c r="AG55" s="121">
        <f t="shared" ca="1" si="10"/>
        <v>1296172.4499999993</v>
      </c>
      <c r="AH55" s="121">
        <f t="shared" ca="1" si="10"/>
        <v>1296172.4499999993</v>
      </c>
      <c r="AI55" s="121">
        <f t="shared" ca="1" si="10"/>
        <v>1296172.4499999993</v>
      </c>
      <c r="AJ55" s="121">
        <f t="shared" ca="1" si="10"/>
        <v>1296172.4499999993</v>
      </c>
      <c r="AK55" s="121">
        <f t="shared" ca="1" si="10"/>
        <v>1296172.4499999993</v>
      </c>
      <c r="AL55" s="121">
        <f t="shared" ca="1" si="10"/>
        <v>1296172.4499999993</v>
      </c>
      <c r="AM55" s="121">
        <f t="shared" ca="1" si="10"/>
        <v>-7160062.2499999963</v>
      </c>
      <c r="AN55" s="121">
        <f t="shared" ca="1" si="10"/>
        <v>-4356139.0734999962</v>
      </c>
      <c r="AO55" s="121">
        <f t="shared" ca="1" si="10"/>
        <v>8247778.1770000085</v>
      </c>
      <c r="AP55" s="121">
        <f t="shared" ca="1" si="10"/>
        <v>12448063.058000013</v>
      </c>
      <c r="AQ55" s="121">
        <f t="shared" ca="1" si="10"/>
        <v>12448063.058000013</v>
      </c>
      <c r="AR55" s="121">
        <f t="shared" ca="1" si="10"/>
        <v>12448063.058000013</v>
      </c>
      <c r="AS55" s="121">
        <f t="shared" ca="1" si="10"/>
        <v>12448063.058000013</v>
      </c>
      <c r="AT55" s="121">
        <f t="shared" ca="1" si="10"/>
        <v>12448063.058000013</v>
      </c>
      <c r="AU55" s="121">
        <f t="shared" ca="1" si="10"/>
        <v>12448063.058000013</v>
      </c>
      <c r="AV55" s="121">
        <f t="shared" ca="1" si="10"/>
        <v>12448063.058000013</v>
      </c>
      <c r="AW55" s="121">
        <f t="shared" ca="1" si="10"/>
        <v>12448063.058000013</v>
      </c>
      <c r="AX55" s="121">
        <f t="shared" ca="1" si="10"/>
        <v>12448063.058000013</v>
      </c>
      <c r="AY55" s="121">
        <f t="shared" ca="1" si="10"/>
        <v>-155854.19249999151</v>
      </c>
      <c r="AZ55" s="121">
        <f t="shared" ca="1" si="10"/>
        <v>-6790463.8352000043</v>
      </c>
      <c r="BA55" s="121">
        <f t="shared" ca="1" si="10"/>
        <v>5203496.3908450045</v>
      </c>
      <c r="BB55" s="121">
        <f t="shared" ca="1" si="10"/>
        <v>9188355.4184700064</v>
      </c>
      <c r="BC55" s="121">
        <f t="shared" ca="1" si="10"/>
        <v>9188355.4184700064</v>
      </c>
      <c r="BD55" s="121">
        <f t="shared" ca="1" si="10"/>
        <v>9188355.4184700064</v>
      </c>
      <c r="BE55" s="121">
        <f t="shared" ca="1" si="10"/>
        <v>9188355.4184700064</v>
      </c>
      <c r="BF55" s="121">
        <f t="shared" ca="1" si="10"/>
        <v>9188355.4184700064</v>
      </c>
      <c r="BG55" s="121">
        <f t="shared" ca="1" si="10"/>
        <v>9188355.4184700064</v>
      </c>
      <c r="BH55" s="121">
        <f t="shared" ca="1" si="10"/>
        <v>9188355.4184700064</v>
      </c>
      <c r="BI55" s="121">
        <f t="shared" ca="1" si="10"/>
        <v>9188355.4184700064</v>
      </c>
      <c r="BJ55" s="121">
        <f t="shared" ca="1" si="10"/>
        <v>9188355.4184700064</v>
      </c>
      <c r="BK55" s="121">
        <f t="shared" ca="1" si="10"/>
        <v>-2785452.4399799965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468</v>
      </c>
      <c r="C57" s="121">
        <v>0</v>
      </c>
      <c r="D57" s="121">
        <f t="shared" ref="D57:AI57" ca="1" si="11">C58</f>
        <v>69112400</v>
      </c>
      <c r="E57" s="121">
        <f t="shared" ca="1" si="11"/>
        <v>69112400</v>
      </c>
      <c r="F57" s="121">
        <f t="shared" ca="1" si="11"/>
        <v>69112400</v>
      </c>
      <c r="G57" s="121">
        <f t="shared" ca="1" si="11"/>
        <v>69112400</v>
      </c>
      <c r="H57" s="121">
        <f t="shared" ca="1" si="11"/>
        <v>38937200</v>
      </c>
      <c r="I57" s="121">
        <f t="shared" ca="1" si="11"/>
        <v>25595200</v>
      </c>
      <c r="J57" s="121">
        <f t="shared" ca="1" si="11"/>
        <v>12352599.999999998</v>
      </c>
      <c r="K57" s="121">
        <f t="shared" ca="1" si="11"/>
        <v>0</v>
      </c>
      <c r="L57" s="121">
        <f t="shared" ca="1" si="11"/>
        <v>74344700</v>
      </c>
      <c r="M57" s="121">
        <f t="shared" ca="1" si="11"/>
        <v>62072100</v>
      </c>
      <c r="N57" s="121">
        <f t="shared" ca="1" si="11"/>
        <v>49799500</v>
      </c>
      <c r="O57" s="121">
        <f t="shared" ca="1" si="11"/>
        <v>37526900</v>
      </c>
      <c r="P57" s="121">
        <f t="shared" ca="1" si="11"/>
        <v>24980200</v>
      </c>
      <c r="Q57" s="121">
        <f t="shared" ca="1" si="11"/>
        <v>10698000</v>
      </c>
      <c r="R57" s="121">
        <f t="shared" ca="1" si="11"/>
        <v>0</v>
      </c>
      <c r="S57" s="121">
        <f t="shared" ca="1" si="11"/>
        <v>80121055</v>
      </c>
      <c r="T57" s="121">
        <f t="shared" ca="1" si="11"/>
        <v>71616960</v>
      </c>
      <c r="U57" s="121">
        <f t="shared" ca="1" si="11"/>
        <v>63112865</v>
      </c>
      <c r="V57" s="121">
        <f t="shared" ca="1" si="11"/>
        <v>54608770</v>
      </c>
      <c r="W57" s="121">
        <f t="shared" ca="1" si="11"/>
        <v>46104675</v>
      </c>
      <c r="X57" s="121">
        <f t="shared" ca="1" si="11"/>
        <v>37600580</v>
      </c>
      <c r="Y57" s="121">
        <f t="shared" ca="1" si="11"/>
        <v>29096485</v>
      </c>
      <c r="Z57" s="121">
        <f t="shared" ca="1" si="11"/>
        <v>20592390</v>
      </c>
      <c r="AA57" s="121">
        <f t="shared" ca="1" si="11"/>
        <v>12088295</v>
      </c>
      <c r="AB57" s="121">
        <f t="shared" ca="1" si="11"/>
        <v>0</v>
      </c>
      <c r="AC57" s="121">
        <f t="shared" ca="1" si="11"/>
        <v>-9971365.2999999989</v>
      </c>
      <c r="AD57" s="121">
        <f t="shared" ca="1" si="11"/>
        <v>-11496227.549999999</v>
      </c>
      <c r="AE57" s="121">
        <f t="shared" ca="1" si="11"/>
        <v>-10200055.1</v>
      </c>
      <c r="AF57" s="121">
        <f t="shared" ca="1" si="11"/>
        <v>-8903882.6500000004</v>
      </c>
      <c r="AG57" s="121">
        <f t="shared" ca="1" si="11"/>
        <v>-7607710.2000000011</v>
      </c>
      <c r="AH57" s="121">
        <f t="shared" ca="1" si="11"/>
        <v>-6311537.7500000019</v>
      </c>
      <c r="AI57" s="121">
        <f t="shared" ca="1" si="11"/>
        <v>-5015365.3000000026</v>
      </c>
      <c r="AJ57" s="121">
        <f t="shared" ref="AJ57:BK57" ca="1" si="12">AI58</f>
        <v>-3719192.8500000034</v>
      </c>
      <c r="AK57" s="121">
        <f t="shared" ca="1" si="12"/>
        <v>-2423020.4000000041</v>
      </c>
      <c r="AL57" s="121">
        <f t="shared" ca="1" si="12"/>
        <v>-1126847.9500000048</v>
      </c>
      <c r="AM57" s="121">
        <f t="shared" ca="1" si="12"/>
        <v>169324.49999999441</v>
      </c>
      <c r="AN57" s="121">
        <f t="shared" ca="1" si="12"/>
        <v>-6990737.7500000019</v>
      </c>
      <c r="AO57" s="121">
        <f t="shared" ca="1" si="12"/>
        <v>-11346876.823499998</v>
      </c>
      <c r="AP57" s="121">
        <f t="shared" ca="1" si="12"/>
        <v>-3099098.6464999896</v>
      </c>
      <c r="AQ57" s="121">
        <f t="shared" ca="1" si="12"/>
        <v>9348964.4115000237</v>
      </c>
      <c r="AR57" s="121">
        <f t="shared" ca="1" si="12"/>
        <v>21797027.469500035</v>
      </c>
      <c r="AS57" s="121">
        <f t="shared" ca="1" si="12"/>
        <v>34245090.527500048</v>
      </c>
      <c r="AT57" s="121">
        <f t="shared" ca="1" si="12"/>
        <v>46693153.585500062</v>
      </c>
      <c r="AU57" s="121">
        <f t="shared" ca="1" si="12"/>
        <v>59141216.643500075</v>
      </c>
      <c r="AV57" s="121">
        <f t="shared" ca="1" si="12"/>
        <v>71589279.701500088</v>
      </c>
      <c r="AW57" s="121">
        <f t="shared" ca="1" si="12"/>
        <v>84037342.759500101</v>
      </c>
      <c r="AX57" s="121">
        <f t="shared" ca="1" si="12"/>
        <v>96485405.817500114</v>
      </c>
      <c r="AY57" s="121">
        <f t="shared" ca="1" si="12"/>
        <v>108933468.87550013</v>
      </c>
      <c r="AZ57" s="121">
        <f t="shared" ca="1" si="12"/>
        <v>108777614.68300013</v>
      </c>
      <c r="BA57" s="121">
        <f t="shared" ca="1" si="12"/>
        <v>101987150.84780014</v>
      </c>
      <c r="BB57" s="121">
        <f t="shared" ca="1" si="12"/>
        <v>107190647.23864514</v>
      </c>
      <c r="BC57" s="121">
        <f t="shared" ca="1" si="12"/>
        <v>116379002.65711515</v>
      </c>
      <c r="BD57" s="121">
        <f t="shared" ca="1" si="12"/>
        <v>125567358.07558516</v>
      </c>
      <c r="BE57" s="121">
        <f t="shared" ca="1" si="12"/>
        <v>134755713.49405515</v>
      </c>
      <c r="BF57" s="121">
        <f t="shared" ca="1" si="12"/>
        <v>143944068.91252515</v>
      </c>
      <c r="BG57" s="121">
        <f t="shared" ca="1" si="12"/>
        <v>153132424.33099514</v>
      </c>
      <c r="BH57" s="121">
        <f t="shared" ca="1" si="12"/>
        <v>162320779.74946514</v>
      </c>
      <c r="BI57" s="121">
        <f t="shared" ca="1" si="12"/>
        <v>171509135.16793513</v>
      </c>
      <c r="BJ57" s="121">
        <f t="shared" ca="1" si="12"/>
        <v>180697490.58640513</v>
      </c>
      <c r="BK57" s="121">
        <f t="shared" ca="1" si="12"/>
        <v>189885846.00487512</v>
      </c>
      <c r="BL57" s="130"/>
    </row>
    <row r="58" spans="2:64" x14ac:dyDescent="0.15">
      <c r="B58" s="136" t="s">
        <v>467</v>
      </c>
      <c r="C58" s="121">
        <f ca="1">C55</f>
        <v>69112400</v>
      </c>
      <c r="D58" s="121">
        <f t="shared" ref="D58:AI58" ca="1" si="13">D57+D55</f>
        <v>69112400</v>
      </c>
      <c r="E58" s="121">
        <f t="shared" ca="1" si="13"/>
        <v>69112400</v>
      </c>
      <c r="F58" s="121">
        <f t="shared" ca="1" si="13"/>
        <v>69112400</v>
      </c>
      <c r="G58" s="121">
        <f t="shared" ca="1" si="13"/>
        <v>38937200</v>
      </c>
      <c r="H58" s="121">
        <f t="shared" ca="1" si="13"/>
        <v>25595200</v>
      </c>
      <c r="I58" s="121">
        <f t="shared" ca="1" si="13"/>
        <v>12352599.999999998</v>
      </c>
      <c r="J58" s="121">
        <f t="shared" ca="1" si="13"/>
        <v>0</v>
      </c>
      <c r="K58" s="121">
        <f t="shared" ca="1" si="13"/>
        <v>74344700</v>
      </c>
      <c r="L58" s="121">
        <f t="shared" ca="1" si="13"/>
        <v>62072100</v>
      </c>
      <c r="M58" s="121">
        <f t="shared" ca="1" si="13"/>
        <v>49799500</v>
      </c>
      <c r="N58" s="121">
        <f t="shared" ca="1" si="13"/>
        <v>37526900</v>
      </c>
      <c r="O58" s="121">
        <f t="shared" ca="1" si="13"/>
        <v>24980200</v>
      </c>
      <c r="P58" s="121">
        <f t="shared" ca="1" si="13"/>
        <v>10698000</v>
      </c>
      <c r="Q58" s="121">
        <f t="shared" ca="1" si="13"/>
        <v>0</v>
      </c>
      <c r="R58" s="121">
        <f t="shared" ca="1" si="13"/>
        <v>80121055</v>
      </c>
      <c r="S58" s="121">
        <f t="shared" ca="1" si="13"/>
        <v>71616960</v>
      </c>
      <c r="T58" s="121">
        <f t="shared" ca="1" si="13"/>
        <v>63112865</v>
      </c>
      <c r="U58" s="121">
        <f t="shared" ca="1" si="13"/>
        <v>54608770</v>
      </c>
      <c r="V58" s="121">
        <f t="shared" ca="1" si="13"/>
        <v>46104675</v>
      </c>
      <c r="W58" s="121">
        <f t="shared" ca="1" si="13"/>
        <v>37600580</v>
      </c>
      <c r="X58" s="121">
        <f t="shared" ca="1" si="13"/>
        <v>29096485</v>
      </c>
      <c r="Y58" s="121">
        <f t="shared" ca="1" si="13"/>
        <v>20592390</v>
      </c>
      <c r="Z58" s="121">
        <f t="shared" ca="1" si="13"/>
        <v>12088295</v>
      </c>
      <c r="AA58" s="121">
        <f t="shared" ca="1" si="13"/>
        <v>0</v>
      </c>
      <c r="AB58" s="121">
        <f t="shared" ca="1" si="13"/>
        <v>-9971365.2999999989</v>
      </c>
      <c r="AC58" s="121">
        <f t="shared" ca="1" si="13"/>
        <v>-11496227.549999999</v>
      </c>
      <c r="AD58" s="121">
        <f t="shared" ca="1" si="13"/>
        <v>-10200055.1</v>
      </c>
      <c r="AE58" s="121">
        <f t="shared" ca="1" si="13"/>
        <v>-8903882.6500000004</v>
      </c>
      <c r="AF58" s="121">
        <f t="shared" ca="1" si="13"/>
        <v>-7607710.2000000011</v>
      </c>
      <c r="AG58" s="121">
        <f t="shared" ca="1" si="13"/>
        <v>-6311537.7500000019</v>
      </c>
      <c r="AH58" s="121">
        <f t="shared" ca="1" si="13"/>
        <v>-5015365.3000000026</v>
      </c>
      <c r="AI58" s="121">
        <f t="shared" ca="1" si="13"/>
        <v>-3719192.8500000034</v>
      </c>
      <c r="AJ58" s="121">
        <f t="shared" ref="AJ58:BK58" ca="1" si="14">AJ57+AJ55</f>
        <v>-2423020.4000000041</v>
      </c>
      <c r="AK58" s="121">
        <f t="shared" ca="1" si="14"/>
        <v>-1126847.9500000048</v>
      </c>
      <c r="AL58" s="121">
        <f t="shared" ca="1" si="14"/>
        <v>169324.49999999441</v>
      </c>
      <c r="AM58" s="121">
        <f t="shared" ca="1" si="14"/>
        <v>-6990737.7500000019</v>
      </c>
      <c r="AN58" s="121">
        <f t="shared" ca="1" si="14"/>
        <v>-11346876.823499998</v>
      </c>
      <c r="AO58" s="121">
        <f t="shared" ca="1" si="14"/>
        <v>-3099098.6464999896</v>
      </c>
      <c r="AP58" s="121">
        <f t="shared" ca="1" si="14"/>
        <v>9348964.4115000237</v>
      </c>
      <c r="AQ58" s="121">
        <f t="shared" ca="1" si="14"/>
        <v>21797027.469500035</v>
      </c>
      <c r="AR58" s="121">
        <f t="shared" ca="1" si="14"/>
        <v>34245090.527500048</v>
      </c>
      <c r="AS58" s="121">
        <f t="shared" ca="1" si="14"/>
        <v>46693153.585500062</v>
      </c>
      <c r="AT58" s="121">
        <f t="shared" ca="1" si="14"/>
        <v>59141216.643500075</v>
      </c>
      <c r="AU58" s="121">
        <f t="shared" ca="1" si="14"/>
        <v>71589279.701500088</v>
      </c>
      <c r="AV58" s="121">
        <f t="shared" ca="1" si="14"/>
        <v>84037342.759500101</v>
      </c>
      <c r="AW58" s="121">
        <f t="shared" ca="1" si="14"/>
        <v>96485405.817500114</v>
      </c>
      <c r="AX58" s="121">
        <f t="shared" ca="1" si="14"/>
        <v>108933468.87550013</v>
      </c>
      <c r="AY58" s="121">
        <f t="shared" ca="1" si="14"/>
        <v>108777614.68300013</v>
      </c>
      <c r="AZ58" s="121">
        <f t="shared" ca="1" si="14"/>
        <v>101987150.84780014</v>
      </c>
      <c r="BA58" s="121">
        <f t="shared" ca="1" si="14"/>
        <v>107190647.23864514</v>
      </c>
      <c r="BB58" s="121">
        <f t="shared" ca="1" si="14"/>
        <v>116379002.65711515</v>
      </c>
      <c r="BC58" s="121">
        <f t="shared" ca="1" si="14"/>
        <v>125567358.07558516</v>
      </c>
      <c r="BD58" s="121">
        <f t="shared" ca="1" si="14"/>
        <v>134755713.49405515</v>
      </c>
      <c r="BE58" s="121">
        <f t="shared" ca="1" si="14"/>
        <v>143944068.91252515</v>
      </c>
      <c r="BF58" s="121">
        <f t="shared" ca="1" si="14"/>
        <v>153132424.33099514</v>
      </c>
      <c r="BG58" s="121">
        <f t="shared" ca="1" si="14"/>
        <v>162320779.74946514</v>
      </c>
      <c r="BH58" s="121">
        <f t="shared" ca="1" si="14"/>
        <v>171509135.16793513</v>
      </c>
      <c r="BI58" s="121">
        <f t="shared" ca="1" si="14"/>
        <v>180697490.58640513</v>
      </c>
      <c r="BJ58" s="121">
        <f t="shared" ca="1" si="14"/>
        <v>189885846.00487512</v>
      </c>
      <c r="BK58" s="121">
        <f t="shared" ca="1" si="14"/>
        <v>187100393.56489512</v>
      </c>
      <c r="BL58" s="130"/>
    </row>
    <row r="60" spans="2:64" x14ac:dyDescent="0.15">
      <c r="B60" s="138" t="s">
        <v>1044</v>
      </c>
      <c r="C60" s="130">
        <f ca="1">C53</f>
        <v>69112400</v>
      </c>
      <c r="D60" s="130">
        <f t="shared" ref="D60:AI60" ca="1" si="15">D53+C60</f>
        <v>69112400</v>
      </c>
      <c r="E60" s="130">
        <f t="shared" ca="1" si="15"/>
        <v>69112400</v>
      </c>
      <c r="F60" s="130">
        <f t="shared" ca="1" si="15"/>
        <v>69112400</v>
      </c>
      <c r="G60" s="130">
        <f t="shared" ca="1" si="15"/>
        <v>69112400</v>
      </c>
      <c r="H60" s="130">
        <f t="shared" ca="1" si="15"/>
        <v>69112400</v>
      </c>
      <c r="I60" s="130">
        <f t="shared" ca="1" si="15"/>
        <v>69112400</v>
      </c>
      <c r="J60" s="130">
        <f t="shared" ca="1" si="15"/>
        <v>69112400</v>
      </c>
      <c r="K60" s="130">
        <f t="shared" ca="1" si="15"/>
        <v>155729700</v>
      </c>
      <c r="L60" s="130">
        <f t="shared" ca="1" si="15"/>
        <v>155729700</v>
      </c>
      <c r="M60" s="130">
        <f t="shared" ca="1" si="15"/>
        <v>155729700</v>
      </c>
      <c r="N60" s="130">
        <f t="shared" ca="1" si="15"/>
        <v>155729700</v>
      </c>
      <c r="O60" s="130">
        <f t="shared" ca="1" si="15"/>
        <v>155729700</v>
      </c>
      <c r="P60" s="130">
        <f t="shared" ca="1" si="15"/>
        <v>155729700</v>
      </c>
      <c r="Q60" s="130">
        <f t="shared" ca="1" si="15"/>
        <v>155729700</v>
      </c>
      <c r="R60" s="130">
        <f t="shared" ca="1" si="15"/>
        <v>245354850</v>
      </c>
      <c r="S60" s="130">
        <f t="shared" ca="1" si="15"/>
        <v>245354850</v>
      </c>
      <c r="T60" s="130">
        <f t="shared" ca="1" si="15"/>
        <v>245354850</v>
      </c>
      <c r="U60" s="130">
        <f t="shared" ca="1" si="15"/>
        <v>245354850</v>
      </c>
      <c r="V60" s="130">
        <f t="shared" ca="1" si="15"/>
        <v>245354850</v>
      </c>
      <c r="W60" s="130">
        <f t="shared" ca="1" si="15"/>
        <v>245354850</v>
      </c>
      <c r="X60" s="130">
        <f t="shared" ca="1" si="15"/>
        <v>245354850</v>
      </c>
      <c r="Y60" s="130">
        <f t="shared" ca="1" si="15"/>
        <v>245354850</v>
      </c>
      <c r="Z60" s="130">
        <f t="shared" ca="1" si="15"/>
        <v>245354850</v>
      </c>
      <c r="AA60" s="130">
        <f t="shared" ca="1" si="15"/>
        <v>245354850</v>
      </c>
      <c r="AB60" s="130">
        <f t="shared" ca="1" si="15"/>
        <v>245354850</v>
      </c>
      <c r="AC60" s="130">
        <f t="shared" ca="1" si="15"/>
        <v>245354850</v>
      </c>
      <c r="AD60" s="130">
        <f t="shared" ca="1" si="15"/>
        <v>245354850</v>
      </c>
      <c r="AE60" s="130">
        <f t="shared" ca="1" si="15"/>
        <v>245354850</v>
      </c>
      <c r="AF60" s="130">
        <f t="shared" ca="1" si="15"/>
        <v>245354850</v>
      </c>
      <c r="AG60" s="130">
        <f t="shared" ca="1" si="15"/>
        <v>245354850</v>
      </c>
      <c r="AH60" s="130">
        <f t="shared" ca="1" si="15"/>
        <v>245354850</v>
      </c>
      <c r="AI60" s="130">
        <f t="shared" ca="1" si="15"/>
        <v>245354850</v>
      </c>
      <c r="AJ60" s="130">
        <f t="shared" ref="AJ60:BK60" ca="1" si="16">AJ53+AI60</f>
        <v>245354850</v>
      </c>
      <c r="AK60" s="130">
        <f t="shared" ca="1" si="16"/>
        <v>245354850</v>
      </c>
      <c r="AL60" s="130">
        <f t="shared" ca="1" si="16"/>
        <v>245354850</v>
      </c>
      <c r="AM60" s="130">
        <f t="shared" ca="1" si="16"/>
        <v>245354850</v>
      </c>
      <c r="AN60" s="130">
        <f t="shared" ca="1" si="16"/>
        <v>245354850</v>
      </c>
      <c r="AO60" s="130">
        <f t="shared" ca="1" si="16"/>
        <v>245354850</v>
      </c>
      <c r="AP60" s="130">
        <f t="shared" ca="1" si="16"/>
        <v>245354850</v>
      </c>
      <c r="AQ60" s="130">
        <f t="shared" ca="1" si="16"/>
        <v>245354850</v>
      </c>
      <c r="AR60" s="130">
        <f t="shared" ca="1" si="16"/>
        <v>245354850</v>
      </c>
      <c r="AS60" s="130">
        <f t="shared" ca="1" si="16"/>
        <v>245354850</v>
      </c>
      <c r="AT60" s="130">
        <f t="shared" ca="1" si="16"/>
        <v>245354850</v>
      </c>
      <c r="AU60" s="130">
        <f t="shared" ca="1" si="16"/>
        <v>245354850</v>
      </c>
      <c r="AV60" s="130">
        <f t="shared" ca="1" si="16"/>
        <v>245354850</v>
      </c>
      <c r="AW60" s="130">
        <f t="shared" ca="1" si="16"/>
        <v>245354850</v>
      </c>
      <c r="AX60" s="130">
        <f t="shared" ca="1" si="16"/>
        <v>245354850</v>
      </c>
      <c r="AY60" s="130">
        <f t="shared" ca="1" si="16"/>
        <v>245354850</v>
      </c>
      <c r="AZ60" s="130">
        <f t="shared" ca="1" si="16"/>
        <v>245354850</v>
      </c>
      <c r="BA60" s="130">
        <f t="shared" ca="1" si="16"/>
        <v>245354850</v>
      </c>
      <c r="BB60" s="130">
        <f t="shared" ca="1" si="16"/>
        <v>245354850</v>
      </c>
      <c r="BC60" s="130">
        <f t="shared" ca="1" si="16"/>
        <v>245354850</v>
      </c>
      <c r="BD60" s="130">
        <f t="shared" ca="1" si="16"/>
        <v>245354850</v>
      </c>
      <c r="BE60" s="130">
        <f t="shared" ca="1" si="16"/>
        <v>245354850</v>
      </c>
      <c r="BF60" s="130">
        <f t="shared" ca="1" si="16"/>
        <v>245354850</v>
      </c>
      <c r="BG60" s="130">
        <f t="shared" ca="1" si="16"/>
        <v>245354850</v>
      </c>
      <c r="BH60" s="130">
        <f t="shared" ca="1" si="16"/>
        <v>245354850</v>
      </c>
      <c r="BI60" s="130">
        <f t="shared" ca="1" si="16"/>
        <v>245354850</v>
      </c>
      <c r="BJ60" s="130">
        <f t="shared" ca="1" si="16"/>
        <v>245354850</v>
      </c>
      <c r="BK60" s="130">
        <f t="shared" ca="1" si="16"/>
        <v>245354850</v>
      </c>
    </row>
    <row r="62" spans="2:64" x14ac:dyDescent="0.15">
      <c r="B62" s="260" t="s">
        <v>986</v>
      </c>
    </row>
    <row r="63" spans="2:64" outlineLevel="1" x14ac:dyDescent="0.15">
      <c r="B63" s="260"/>
    </row>
    <row r="64" spans="2:64" outlineLevel="1" x14ac:dyDescent="0.15">
      <c r="B64" s="135" t="s">
        <v>826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466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-30175200</v>
      </c>
      <c r="H67" s="121">
        <f t="shared" si="17"/>
        <v>-13342000.000000002</v>
      </c>
      <c r="I67" s="121">
        <f t="shared" si="17"/>
        <v>-13242600.000000002</v>
      </c>
      <c r="J67" s="121">
        <f t="shared" si="17"/>
        <v>-12352600</v>
      </c>
      <c r="K67" s="121">
        <f t="shared" si="17"/>
        <v>-12272600</v>
      </c>
      <c r="L67" s="121">
        <f t="shared" si="17"/>
        <v>-12272600</v>
      </c>
      <c r="M67" s="121">
        <f t="shared" si="17"/>
        <v>-12272600</v>
      </c>
      <c r="N67" s="121">
        <f t="shared" si="17"/>
        <v>-12272600</v>
      </c>
      <c r="O67" s="121">
        <f t="shared" si="17"/>
        <v>-12546700</v>
      </c>
      <c r="P67" s="121">
        <f>P45+P50+P65</f>
        <v>-14282200</v>
      </c>
      <c r="Q67" s="121">
        <f t="shared" si="17"/>
        <v>-10698000</v>
      </c>
      <c r="R67" s="121">
        <f t="shared" si="17"/>
        <v>-9504095</v>
      </c>
      <c r="S67" s="121">
        <f t="shared" si="17"/>
        <v>-8504095</v>
      </c>
      <c r="T67" s="121">
        <f t="shared" si="17"/>
        <v>-8504095</v>
      </c>
      <c r="U67" s="121">
        <f t="shared" si="17"/>
        <v>-8504095</v>
      </c>
      <c r="V67" s="121">
        <f t="shared" si="17"/>
        <v>-8504095</v>
      </c>
      <c r="W67" s="121">
        <f t="shared" si="17"/>
        <v>-8504095</v>
      </c>
      <c r="X67" s="121">
        <f t="shared" si="17"/>
        <v>-8504095</v>
      </c>
      <c r="Y67" s="121">
        <f t="shared" si="17"/>
        <v>-8504095</v>
      </c>
      <c r="Z67" s="121">
        <f t="shared" si="17"/>
        <v>-8504095</v>
      </c>
      <c r="AA67" s="121">
        <f t="shared" si="17"/>
        <v>-12088295</v>
      </c>
      <c r="AB67" s="121">
        <f t="shared" si="17"/>
        <v>-9971365.2999999989</v>
      </c>
      <c r="AC67" s="121">
        <f t="shared" si="17"/>
        <v>-1524862.25</v>
      </c>
      <c r="AD67" s="121">
        <f t="shared" si="17"/>
        <v>1296172.4499999993</v>
      </c>
      <c r="AE67" s="121">
        <f t="shared" si="17"/>
        <v>1296172.4499999993</v>
      </c>
      <c r="AF67" s="121">
        <f t="shared" si="17"/>
        <v>1296172.4499999993</v>
      </c>
      <c r="AG67" s="121">
        <f t="shared" si="17"/>
        <v>1296172.4499999993</v>
      </c>
      <c r="AH67" s="121">
        <f t="shared" si="17"/>
        <v>1296172.4499999993</v>
      </c>
      <c r="AI67" s="121">
        <f t="shared" si="17"/>
        <v>1296172.4499999993</v>
      </c>
      <c r="AJ67" s="121">
        <f t="shared" si="17"/>
        <v>1296172.4499999993</v>
      </c>
      <c r="AK67" s="121">
        <f t="shared" si="17"/>
        <v>1296172.4499999993</v>
      </c>
      <c r="AL67" s="121">
        <f t="shared" si="17"/>
        <v>1296172.4499999993</v>
      </c>
      <c r="AM67" s="121">
        <f t="shared" si="17"/>
        <v>-7160062.2499999963</v>
      </c>
      <c r="AN67" s="121">
        <f t="shared" si="17"/>
        <v>-4356139.0734999962</v>
      </c>
      <c r="AO67" s="121">
        <f t="shared" si="17"/>
        <v>8247778.1770000085</v>
      </c>
      <c r="AP67" s="121">
        <f t="shared" si="17"/>
        <v>12448063.058000013</v>
      </c>
      <c r="AQ67" s="121">
        <f t="shared" si="17"/>
        <v>12448063.058000013</v>
      </c>
      <c r="AR67" s="121">
        <f t="shared" si="17"/>
        <v>12448063.058000013</v>
      </c>
      <c r="AS67" s="121">
        <f t="shared" si="17"/>
        <v>12448063.058000013</v>
      </c>
      <c r="AT67" s="121">
        <f t="shared" si="17"/>
        <v>12448063.058000013</v>
      </c>
      <c r="AU67" s="121">
        <f t="shared" si="17"/>
        <v>12448063.058000013</v>
      </c>
      <c r="AV67" s="121">
        <f t="shared" si="17"/>
        <v>12448063.058000013</v>
      </c>
      <c r="AW67" s="121">
        <f t="shared" si="17"/>
        <v>12448063.058000013</v>
      </c>
      <c r="AX67" s="121">
        <f t="shared" si="17"/>
        <v>12448063.058000013</v>
      </c>
      <c r="AY67" s="121">
        <f t="shared" si="17"/>
        <v>-155854.19249999151</v>
      </c>
      <c r="AZ67" s="121">
        <f t="shared" si="17"/>
        <v>-6790463.8352000043</v>
      </c>
      <c r="BA67" s="121">
        <f t="shared" si="17"/>
        <v>5203496.3908450045</v>
      </c>
      <c r="BB67" s="121">
        <f t="shared" si="17"/>
        <v>9188355.4184700064</v>
      </c>
      <c r="BC67" s="121">
        <f t="shared" si="17"/>
        <v>9188355.4184700064</v>
      </c>
      <c r="BD67" s="121">
        <f t="shared" si="17"/>
        <v>9188355.4184700064</v>
      </c>
      <c r="BE67" s="121">
        <f t="shared" si="17"/>
        <v>9188355.4184700064</v>
      </c>
      <c r="BF67" s="121">
        <f t="shared" si="17"/>
        <v>9188355.4184700064</v>
      </c>
      <c r="BG67" s="121">
        <f t="shared" si="17"/>
        <v>9188355.4184700064</v>
      </c>
      <c r="BH67" s="121">
        <f t="shared" si="17"/>
        <v>9188355.4184700064</v>
      </c>
      <c r="BI67" s="121">
        <f t="shared" si="17"/>
        <v>9188355.4184700064</v>
      </c>
      <c r="BJ67" s="121">
        <f t="shared" si="17"/>
        <v>9188355.4184700064</v>
      </c>
      <c r="BK67" s="121">
        <f t="shared" si="17"/>
        <v>-2785452.4399799965</v>
      </c>
      <c r="BL67" s="48">
        <f>SUM(C67:BK67)</f>
        <v>-58254456.435104772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468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-30175200</v>
      </c>
      <c r="I69" s="121">
        <f t="shared" si="18"/>
        <v>-43517200</v>
      </c>
      <c r="J69" s="121">
        <f t="shared" si="18"/>
        <v>-56759800</v>
      </c>
      <c r="K69" s="121">
        <f t="shared" si="18"/>
        <v>-69112400</v>
      </c>
      <c r="L69" s="121">
        <f t="shared" si="18"/>
        <v>-81385000</v>
      </c>
      <c r="M69" s="121">
        <f t="shared" si="18"/>
        <v>-93657600</v>
      </c>
      <c r="N69" s="121">
        <f t="shared" si="18"/>
        <v>-105930200</v>
      </c>
      <c r="O69" s="121">
        <f t="shared" si="18"/>
        <v>-118202800</v>
      </c>
      <c r="P69" s="121">
        <f t="shared" si="18"/>
        <v>-130749500</v>
      </c>
      <c r="Q69" s="121">
        <f t="shared" si="18"/>
        <v>-145031700</v>
      </c>
      <c r="R69" s="121">
        <f t="shared" si="18"/>
        <v>-155729700</v>
      </c>
      <c r="S69" s="121">
        <f t="shared" si="18"/>
        <v>-165233795</v>
      </c>
      <c r="T69" s="121">
        <f t="shared" si="18"/>
        <v>-173737890</v>
      </c>
      <c r="U69" s="121">
        <f t="shared" si="18"/>
        <v>-182241985</v>
      </c>
      <c r="V69" s="121">
        <f t="shared" si="18"/>
        <v>-190746080</v>
      </c>
      <c r="W69" s="121">
        <f t="shared" si="18"/>
        <v>-199250175</v>
      </c>
      <c r="X69" s="121">
        <f t="shared" si="18"/>
        <v>-207754270</v>
      </c>
      <c r="Y69" s="121">
        <f t="shared" si="18"/>
        <v>-216258365</v>
      </c>
      <c r="Z69" s="121">
        <f t="shared" si="18"/>
        <v>-224762460</v>
      </c>
      <c r="AA69" s="121">
        <f t="shared" si="18"/>
        <v>-233266555</v>
      </c>
      <c r="AB69" s="121">
        <f t="shared" si="18"/>
        <v>-245354850</v>
      </c>
      <c r="AC69" s="121">
        <f t="shared" si="18"/>
        <v>-255326215.30000001</v>
      </c>
      <c r="AD69" s="121">
        <f t="shared" si="18"/>
        <v>-256851077.55000001</v>
      </c>
      <c r="AE69" s="121">
        <f t="shared" si="18"/>
        <v>-255554905.10000002</v>
      </c>
      <c r="AF69" s="121">
        <f t="shared" si="18"/>
        <v>-254258732.65000004</v>
      </c>
      <c r="AG69" s="121">
        <f t="shared" si="18"/>
        <v>-252962560.20000005</v>
      </c>
      <c r="AH69" s="121">
        <f t="shared" si="18"/>
        <v>-251666387.75000006</v>
      </c>
      <c r="AI69" s="121">
        <f t="shared" si="18"/>
        <v>-250370215.30000007</v>
      </c>
      <c r="AJ69" s="121">
        <f t="shared" ref="AJ69:BK69" si="19">AI70</f>
        <v>-249074042.85000008</v>
      </c>
      <c r="AK69" s="121">
        <f t="shared" si="19"/>
        <v>-247777870.4000001</v>
      </c>
      <c r="AL69" s="121">
        <f t="shared" si="19"/>
        <v>-246481697.95000011</v>
      </c>
      <c r="AM69" s="121">
        <f t="shared" si="19"/>
        <v>-245185525.50000012</v>
      </c>
      <c r="AN69" s="121">
        <f t="shared" si="19"/>
        <v>-252345587.75000012</v>
      </c>
      <c r="AO69" s="121">
        <f t="shared" si="19"/>
        <v>-256701726.82350013</v>
      </c>
      <c r="AP69" s="121">
        <f t="shared" si="19"/>
        <v>-248453948.64650011</v>
      </c>
      <c r="AQ69" s="121">
        <f t="shared" si="19"/>
        <v>-236005885.58850008</v>
      </c>
      <c r="AR69" s="121">
        <f t="shared" si="19"/>
        <v>-223557822.53050005</v>
      </c>
      <c r="AS69" s="121">
        <f t="shared" si="19"/>
        <v>-211109759.47250003</v>
      </c>
      <c r="AT69" s="121">
        <f t="shared" si="19"/>
        <v>-198661696.4145</v>
      </c>
      <c r="AU69" s="121">
        <f t="shared" si="19"/>
        <v>-186213633.35649997</v>
      </c>
      <c r="AV69" s="121">
        <f t="shared" si="19"/>
        <v>-173765570.29849994</v>
      </c>
      <c r="AW69" s="121">
        <f t="shared" si="19"/>
        <v>-161317507.24049991</v>
      </c>
      <c r="AX69" s="121">
        <f t="shared" si="19"/>
        <v>-148869444.18249989</v>
      </c>
      <c r="AY69" s="121">
        <f t="shared" si="19"/>
        <v>-136421381.12449986</v>
      </c>
      <c r="AZ69" s="121">
        <f t="shared" si="19"/>
        <v>-136577235.31699985</v>
      </c>
      <c r="BA69" s="121">
        <f t="shared" si="19"/>
        <v>-143367699.15219986</v>
      </c>
      <c r="BB69" s="121">
        <f t="shared" si="19"/>
        <v>-138164202.76135486</v>
      </c>
      <c r="BC69" s="121">
        <f t="shared" si="19"/>
        <v>-128975847.34288485</v>
      </c>
      <c r="BD69" s="121">
        <f t="shared" si="19"/>
        <v>-119787491.92441484</v>
      </c>
      <c r="BE69" s="121">
        <f t="shared" si="19"/>
        <v>-110599136.50594483</v>
      </c>
      <c r="BF69" s="121">
        <f t="shared" si="19"/>
        <v>-101410781.08747482</v>
      </c>
      <c r="BG69" s="121">
        <f t="shared" si="19"/>
        <v>-92222425.669004813</v>
      </c>
      <c r="BH69" s="121">
        <f t="shared" si="19"/>
        <v>-83034070.250534803</v>
      </c>
      <c r="BI69" s="121">
        <f t="shared" si="19"/>
        <v>-73845714.832064793</v>
      </c>
      <c r="BJ69" s="121">
        <f t="shared" si="19"/>
        <v>-64657359.413594782</v>
      </c>
      <c r="BK69" s="121">
        <f t="shared" si="19"/>
        <v>-55469003.995124772</v>
      </c>
    </row>
    <row r="70" spans="2:64" outlineLevel="1" x14ac:dyDescent="0.15">
      <c r="B70" s="136" t="s">
        <v>467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-30175200</v>
      </c>
      <c r="H70" s="121">
        <f t="shared" si="20"/>
        <v>-43517200</v>
      </c>
      <c r="I70" s="121">
        <f t="shared" si="20"/>
        <v>-56759800</v>
      </c>
      <c r="J70" s="121">
        <f t="shared" si="20"/>
        <v>-69112400</v>
      </c>
      <c r="K70" s="121">
        <f t="shared" si="20"/>
        <v>-81385000</v>
      </c>
      <c r="L70" s="121">
        <f t="shared" si="20"/>
        <v>-93657600</v>
      </c>
      <c r="M70" s="121">
        <f t="shared" si="20"/>
        <v>-105930200</v>
      </c>
      <c r="N70" s="121">
        <f t="shared" si="20"/>
        <v>-118202800</v>
      </c>
      <c r="O70" s="121">
        <f t="shared" si="20"/>
        <v>-130749500</v>
      </c>
      <c r="P70" s="121">
        <f t="shared" si="20"/>
        <v>-145031700</v>
      </c>
      <c r="Q70" s="121">
        <f t="shared" si="20"/>
        <v>-155729700</v>
      </c>
      <c r="R70" s="121">
        <f t="shared" si="20"/>
        <v>-165233795</v>
      </c>
      <c r="S70" s="121">
        <f t="shared" si="20"/>
        <v>-173737890</v>
      </c>
      <c r="T70" s="121">
        <f t="shared" si="20"/>
        <v>-182241985</v>
      </c>
      <c r="U70" s="121">
        <f t="shared" si="20"/>
        <v>-190746080</v>
      </c>
      <c r="V70" s="121">
        <f t="shared" si="20"/>
        <v>-199250175</v>
      </c>
      <c r="W70" s="121">
        <f t="shared" si="20"/>
        <v>-207754270</v>
      </c>
      <c r="X70" s="121">
        <f t="shared" si="20"/>
        <v>-216258365</v>
      </c>
      <c r="Y70" s="121">
        <f t="shared" si="20"/>
        <v>-224762460</v>
      </c>
      <c r="Z70" s="121">
        <f t="shared" si="20"/>
        <v>-233266555</v>
      </c>
      <c r="AA70" s="121">
        <f t="shared" si="20"/>
        <v>-245354850</v>
      </c>
      <c r="AB70" s="121">
        <f t="shared" si="20"/>
        <v>-255326215.30000001</v>
      </c>
      <c r="AC70" s="121">
        <f t="shared" si="20"/>
        <v>-256851077.55000001</v>
      </c>
      <c r="AD70" s="121">
        <f t="shared" si="20"/>
        <v>-255554905.10000002</v>
      </c>
      <c r="AE70" s="121">
        <f t="shared" si="20"/>
        <v>-254258732.65000004</v>
      </c>
      <c r="AF70" s="121">
        <f t="shared" si="20"/>
        <v>-252962560.20000005</v>
      </c>
      <c r="AG70" s="121">
        <f t="shared" si="20"/>
        <v>-251666387.75000006</v>
      </c>
      <c r="AH70" s="121">
        <f t="shared" si="20"/>
        <v>-250370215.30000007</v>
      </c>
      <c r="AI70" s="121">
        <f t="shared" si="20"/>
        <v>-249074042.85000008</v>
      </c>
      <c r="AJ70" s="121">
        <f t="shared" ref="AJ70:BK70" si="21">AJ69+AJ67</f>
        <v>-247777870.4000001</v>
      </c>
      <c r="AK70" s="121">
        <f t="shared" si="21"/>
        <v>-246481697.95000011</v>
      </c>
      <c r="AL70" s="121">
        <f t="shared" si="21"/>
        <v>-245185525.50000012</v>
      </c>
      <c r="AM70" s="121">
        <f t="shared" si="21"/>
        <v>-252345587.75000012</v>
      </c>
      <c r="AN70" s="121">
        <f t="shared" si="21"/>
        <v>-256701726.82350013</v>
      </c>
      <c r="AO70" s="121">
        <f t="shared" si="21"/>
        <v>-248453948.64650011</v>
      </c>
      <c r="AP70" s="121">
        <f t="shared" si="21"/>
        <v>-236005885.58850008</v>
      </c>
      <c r="AQ70" s="121">
        <f t="shared" si="21"/>
        <v>-223557822.53050005</v>
      </c>
      <c r="AR70" s="121">
        <f t="shared" si="21"/>
        <v>-211109759.47250003</v>
      </c>
      <c r="AS70" s="121">
        <f t="shared" si="21"/>
        <v>-198661696.4145</v>
      </c>
      <c r="AT70" s="121">
        <f t="shared" si="21"/>
        <v>-186213633.35649997</v>
      </c>
      <c r="AU70" s="121">
        <f t="shared" si="21"/>
        <v>-173765570.29849994</v>
      </c>
      <c r="AV70" s="121">
        <f t="shared" si="21"/>
        <v>-161317507.24049991</v>
      </c>
      <c r="AW70" s="121">
        <f t="shared" si="21"/>
        <v>-148869444.18249989</v>
      </c>
      <c r="AX70" s="121">
        <f t="shared" si="21"/>
        <v>-136421381.12449986</v>
      </c>
      <c r="AY70" s="121">
        <f t="shared" si="21"/>
        <v>-136577235.31699985</v>
      </c>
      <c r="AZ70" s="121">
        <f t="shared" si="21"/>
        <v>-143367699.15219986</v>
      </c>
      <c r="BA70" s="121">
        <f t="shared" si="21"/>
        <v>-138164202.76135486</v>
      </c>
      <c r="BB70" s="121">
        <f t="shared" si="21"/>
        <v>-128975847.34288485</v>
      </c>
      <c r="BC70" s="121">
        <f t="shared" si="21"/>
        <v>-119787491.92441484</v>
      </c>
      <c r="BD70" s="121">
        <f t="shared" si="21"/>
        <v>-110599136.50594483</v>
      </c>
      <c r="BE70" s="121">
        <f t="shared" si="21"/>
        <v>-101410781.08747482</v>
      </c>
      <c r="BF70" s="121">
        <f t="shared" si="21"/>
        <v>-92222425.669004813</v>
      </c>
      <c r="BG70" s="121">
        <f t="shared" si="21"/>
        <v>-83034070.250534803</v>
      </c>
      <c r="BH70" s="121">
        <f t="shared" si="21"/>
        <v>-73845714.832064793</v>
      </c>
      <c r="BI70" s="121">
        <f t="shared" si="21"/>
        <v>-64657359.413594782</v>
      </c>
      <c r="BJ70" s="121">
        <f t="shared" si="21"/>
        <v>-55469003.995124772</v>
      </c>
      <c r="BK70" s="121">
        <f t="shared" si="21"/>
        <v>-58254456.435104772</v>
      </c>
      <c r="BL70" s="130">
        <f ca="1">+BK58-BK70</f>
        <v>245354849.99999988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69112400</v>
      </c>
      <c r="E7" s="121">
        <f ca="1">P50</f>
        <v>24980200</v>
      </c>
      <c r="F7" s="121">
        <f ca="1">AB50</f>
        <v>0</v>
      </c>
      <c r="G7" s="121">
        <f ca="1">AN50</f>
        <v>-6990737.7500000019</v>
      </c>
      <c r="H7" s="121">
        <f ca="1">AZ50</f>
        <v>108777614.68300013</v>
      </c>
      <c r="I7" s="121">
        <f ca="1">BL50</f>
        <v>187100393.56489512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69112400</v>
      </c>
      <c r="E10" s="121">
        <f ca="1">P53</f>
        <v>24980200</v>
      </c>
      <c r="F10" s="121">
        <f ca="1">AB53</f>
        <v>0</v>
      </c>
      <c r="G10" s="121">
        <f ca="1">SUM(G7:G9)</f>
        <v>-6990737.7500000019</v>
      </c>
      <c r="H10" s="121">
        <f ca="1">SUM(H7:H9)</f>
        <v>108777614.68300013</v>
      </c>
      <c r="I10" s="121">
        <f ca="1">SUM(I7:I9)</f>
        <v>187100393.56489512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69112400</v>
      </c>
      <c r="E17" s="121">
        <f ca="1">E15+E10</f>
        <v>34026616.666666664</v>
      </c>
      <c r="F17" s="121">
        <f ca="1">F15+F10</f>
        <v>6919416.666666667</v>
      </c>
      <c r="G17" s="121">
        <f ca="1">G15+G10</f>
        <v>-2198321.0833333349</v>
      </c>
      <c r="H17" s="121">
        <f ca="1">H15+H10</f>
        <v>111443031.3496668</v>
      </c>
      <c r="I17" s="121">
        <f ca="1">I15+I10</f>
        <v>187638810.23156178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69112400</v>
      </c>
      <c r="E34" s="121">
        <f ca="1">P77</f>
        <v>155729700</v>
      </c>
      <c r="F34" s="121">
        <f ca="1">AB77</f>
        <v>245354850</v>
      </c>
      <c r="G34" s="121">
        <f ca="1">AN77</f>
        <v>245354850</v>
      </c>
      <c r="H34" s="121">
        <f ca="1">AZ77</f>
        <v>245354850</v>
      </c>
      <c r="I34" s="121">
        <f ca="1">BL77</f>
        <v>245354850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-108979133.33333334</v>
      </c>
      <c r="F35" s="121">
        <f>AB78</f>
        <v>-226169888.33333334</v>
      </c>
      <c r="G35" s="121">
        <f>AN78</f>
        <v>-240215858.83333346</v>
      </c>
      <c r="H35" s="121">
        <f>AZ78</f>
        <v>-133578714.45783325</v>
      </c>
      <c r="I35" s="121">
        <f>BL78</f>
        <v>-54753337.328458145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-12723950</v>
      </c>
      <c r="F36" s="121">
        <f>AB79</f>
        <v>-12265545</v>
      </c>
      <c r="G36" s="121">
        <f>AN79</f>
        <v>-7337312.2499999963</v>
      </c>
      <c r="H36" s="121">
        <f>AZ79</f>
        <v>-333104.19249999151</v>
      </c>
      <c r="I36" s="121">
        <f>BL79</f>
        <v>-2962702.4399799965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69112400</v>
      </c>
      <c r="E37" s="121">
        <f ca="1">P80</f>
        <v>34026616.666666657</v>
      </c>
      <c r="F37" s="121">
        <f ca="1">AB80</f>
        <v>6919416.6666666567</v>
      </c>
      <c r="G37" s="121">
        <f ca="1">AN80</f>
        <v>-2198321.0833334588</v>
      </c>
      <c r="H37" s="121">
        <f ca="1">AZ80</f>
        <v>111443031.34966676</v>
      </c>
      <c r="I37" s="121">
        <f ca="1">BL80</f>
        <v>187638810.23156187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69112400</v>
      </c>
      <c r="E39" s="121">
        <f ca="1">E37+E31</f>
        <v>34026616.666666657</v>
      </c>
      <c r="F39" s="121">
        <f ca="1">F37+F31</f>
        <v>6919416.6666666567</v>
      </c>
      <c r="G39" s="121">
        <f ca="1">G37+G31</f>
        <v>-2198321.0833334588</v>
      </c>
      <c r="H39" s="121">
        <f ca="1">H37+H31</f>
        <v>111443031.34966676</v>
      </c>
      <c r="I39" s="121">
        <f ca="1">I37+I31</f>
        <v>187638810.23156187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948</v>
      </c>
      <c r="C42" s="321"/>
      <c r="D42" s="275" t="s">
        <v>64</v>
      </c>
      <c r="E42" s="389" t="s">
        <v>35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 t="s">
        <v>36</v>
      </c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 t="s">
        <v>37</v>
      </c>
      <c r="AD42" s="389"/>
      <c r="AE42" s="389"/>
      <c r="AF42" s="389"/>
      <c r="AG42" s="389"/>
      <c r="AH42" s="389"/>
      <c r="AI42" s="389"/>
      <c r="AJ42" s="389"/>
      <c r="AK42" s="389"/>
      <c r="AL42" s="389"/>
      <c r="AM42" s="389"/>
      <c r="AN42" s="389"/>
      <c r="AO42" s="389" t="s">
        <v>38</v>
      </c>
      <c r="AP42" s="389"/>
      <c r="AQ42" s="389"/>
      <c r="AR42" s="389"/>
      <c r="AS42" s="389"/>
      <c r="AT42" s="389"/>
      <c r="AU42" s="389"/>
      <c r="AV42" s="389"/>
      <c r="AW42" s="389"/>
      <c r="AX42" s="389"/>
      <c r="AY42" s="389"/>
      <c r="AZ42" s="389"/>
      <c r="BA42" s="389" t="s">
        <v>39</v>
      </c>
      <c r="BB42" s="389"/>
      <c r="BC42" s="389"/>
      <c r="BD42" s="389"/>
      <c r="BE42" s="389"/>
      <c r="BF42" s="389"/>
      <c r="BG42" s="389"/>
      <c r="BH42" s="389"/>
      <c r="BI42" s="389"/>
      <c r="BJ42" s="389"/>
      <c r="BK42" s="389"/>
      <c r="BL42" s="389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445</v>
      </c>
      <c r="C47" s="135"/>
    </row>
    <row r="48" spans="2:64" x14ac:dyDescent="0.15">
      <c r="B48" s="305"/>
      <c r="C48" s="135"/>
    </row>
    <row r="49" spans="2:64" x14ac:dyDescent="0.15">
      <c r="B49" s="305" t="s">
        <v>446</v>
      </c>
      <c r="C49" s="135"/>
    </row>
    <row r="50" spans="2:64" x14ac:dyDescent="0.15">
      <c r="B50" s="308" t="s">
        <v>442</v>
      </c>
      <c r="C50" s="136"/>
      <c r="D50" s="121">
        <f ca="1">IF($D42="Y",'FIN-CASHFLOW_CWS'!C58,'FIN-CASHFLOW_CWS'!C70)</f>
        <v>69112400</v>
      </c>
      <c r="E50" s="121">
        <f ca="1">IF($D42="Y",'FIN-CASHFLOW_CWS'!D58,'FIN-CASHFLOW_CWS'!D70)</f>
        <v>69112400</v>
      </c>
      <c r="F50" s="121">
        <f ca="1">IF($D42="Y",'FIN-CASHFLOW_CWS'!E58,'FIN-CASHFLOW_CWS'!E70)</f>
        <v>69112400</v>
      </c>
      <c r="G50" s="121">
        <f ca="1">IF($D42="Y",'FIN-CASHFLOW_CWS'!F58,'FIN-CASHFLOW_CWS'!F70)</f>
        <v>69112400</v>
      </c>
      <c r="H50" s="121">
        <f ca="1">IF($D42="Y",'FIN-CASHFLOW_CWS'!G58,'FIN-CASHFLOW_CWS'!G70)</f>
        <v>38937200</v>
      </c>
      <c r="I50" s="121">
        <f ca="1">IF($D42="Y",'FIN-CASHFLOW_CWS'!H58,'FIN-CASHFLOW_CWS'!H70)</f>
        <v>25595200</v>
      </c>
      <c r="J50" s="121">
        <f ca="1">IF($D42="Y",'FIN-CASHFLOW_CWS'!I58,'FIN-CASHFLOW_CWS'!I70)</f>
        <v>12352599.999999998</v>
      </c>
      <c r="K50" s="121">
        <f ca="1">IF($D42="Y",'FIN-CASHFLOW_CWS'!J58,'FIN-CASHFLOW_CWS'!J70)</f>
        <v>0</v>
      </c>
      <c r="L50" s="121">
        <f ca="1">IF($D42="Y",'FIN-CASHFLOW_CWS'!K58,'FIN-CASHFLOW_CWS'!K70)</f>
        <v>74344700</v>
      </c>
      <c r="M50" s="121">
        <f ca="1">IF($D42="Y",'FIN-CASHFLOW_CWS'!L58,'FIN-CASHFLOW_CWS'!L70)</f>
        <v>62072100</v>
      </c>
      <c r="N50" s="121">
        <f ca="1">IF($D42="Y",'FIN-CASHFLOW_CWS'!M58,'FIN-CASHFLOW_CWS'!M70)</f>
        <v>49799500</v>
      </c>
      <c r="O50" s="121">
        <f ca="1">IF($D42="Y",'FIN-CASHFLOW_CWS'!N58,'FIN-CASHFLOW_CWS'!N70)</f>
        <v>37526900</v>
      </c>
      <c r="P50" s="121">
        <f ca="1">IF($D42="Y",'FIN-CASHFLOW_CWS'!O58,'FIN-CASHFLOW_CWS'!O70)</f>
        <v>24980200</v>
      </c>
      <c r="Q50" s="121">
        <f ca="1">IF($D42="Y",'FIN-CASHFLOW_CWS'!P58,'FIN-CASHFLOW_CWS'!P70)</f>
        <v>10698000</v>
      </c>
      <c r="R50" s="121">
        <f ca="1">IF($D42="Y",'FIN-CASHFLOW_CWS'!Q58,'FIN-CASHFLOW_CWS'!Q70)</f>
        <v>0</v>
      </c>
      <c r="S50" s="121">
        <f ca="1">IF($D42="Y",'FIN-CASHFLOW_CWS'!R58,'FIN-CASHFLOW_CWS'!R70)</f>
        <v>80121055</v>
      </c>
      <c r="T50" s="121">
        <f ca="1">IF($D42="Y",'FIN-CASHFLOW_CWS'!S58,'FIN-CASHFLOW_CWS'!S70)</f>
        <v>71616960</v>
      </c>
      <c r="U50" s="121">
        <f ca="1">IF($D42="Y",'FIN-CASHFLOW_CWS'!T58,'FIN-CASHFLOW_CWS'!T70)</f>
        <v>63112865</v>
      </c>
      <c r="V50" s="121">
        <f ca="1">IF($D42="Y",'FIN-CASHFLOW_CWS'!U58,'FIN-CASHFLOW_CWS'!U70)</f>
        <v>54608770</v>
      </c>
      <c r="W50" s="121">
        <f ca="1">IF($D42="Y",'FIN-CASHFLOW_CWS'!V58,'FIN-CASHFLOW_CWS'!V70)</f>
        <v>46104675</v>
      </c>
      <c r="X50" s="121">
        <f ca="1">IF($D42="Y",'FIN-CASHFLOW_CWS'!W58,'FIN-CASHFLOW_CWS'!W70)</f>
        <v>37600580</v>
      </c>
      <c r="Y50" s="121">
        <f ca="1">IF($D42="Y",'FIN-CASHFLOW_CWS'!X58,'FIN-CASHFLOW_CWS'!X70)</f>
        <v>29096485</v>
      </c>
      <c r="Z50" s="121">
        <f ca="1">IF($D42="Y",'FIN-CASHFLOW_CWS'!Y58,'FIN-CASHFLOW_CWS'!Y70)</f>
        <v>20592390</v>
      </c>
      <c r="AA50" s="121">
        <f ca="1">IF($D42="Y",'FIN-CASHFLOW_CWS'!Z58,'FIN-CASHFLOW_CWS'!Z70)</f>
        <v>12088295</v>
      </c>
      <c r="AB50" s="121">
        <f ca="1">IF($D42="Y",'FIN-CASHFLOW_CWS'!AA58,'FIN-CASHFLOW_CWS'!AA70)</f>
        <v>0</v>
      </c>
      <c r="AC50" s="121">
        <f ca="1">IF($D42="Y",'FIN-CASHFLOW_CWS'!AB58,'FIN-CASHFLOW_CWS'!AB70)</f>
        <v>-9971365.2999999989</v>
      </c>
      <c r="AD50" s="121">
        <f ca="1">IF($D42="Y",'FIN-CASHFLOW_CWS'!AC58,'FIN-CASHFLOW_CWS'!AC70)</f>
        <v>-11496227.549999999</v>
      </c>
      <c r="AE50" s="121">
        <f ca="1">IF($D42="Y",'FIN-CASHFLOW_CWS'!AD58,'FIN-CASHFLOW_CWS'!AD70)</f>
        <v>-10200055.1</v>
      </c>
      <c r="AF50" s="121">
        <f ca="1">IF($D42="Y",'FIN-CASHFLOW_CWS'!AE58,'FIN-CASHFLOW_CWS'!AE70)</f>
        <v>-8903882.6500000004</v>
      </c>
      <c r="AG50" s="121">
        <f ca="1">IF($D42="Y",'FIN-CASHFLOW_CWS'!AF58,'FIN-CASHFLOW_CWS'!AF70)</f>
        <v>-7607710.2000000011</v>
      </c>
      <c r="AH50" s="121">
        <f ca="1">IF($D42="Y",'FIN-CASHFLOW_CWS'!AG58,'FIN-CASHFLOW_CWS'!AG70)</f>
        <v>-6311537.7500000019</v>
      </c>
      <c r="AI50" s="121">
        <f ca="1">IF($D42="Y",'FIN-CASHFLOW_CWS'!AH58,'FIN-CASHFLOW_CWS'!AH70)</f>
        <v>-5015365.3000000026</v>
      </c>
      <c r="AJ50" s="121">
        <f ca="1">IF($D42="Y",'FIN-CASHFLOW_CWS'!AI58,'FIN-CASHFLOW_CWS'!AI70)</f>
        <v>-3719192.8500000034</v>
      </c>
      <c r="AK50" s="121">
        <f ca="1">IF($D42="Y",'FIN-CASHFLOW_CWS'!AJ58,'FIN-CASHFLOW_CWS'!AJ70)</f>
        <v>-2423020.4000000041</v>
      </c>
      <c r="AL50" s="121">
        <f ca="1">IF($D42="Y",'FIN-CASHFLOW_CWS'!AK58,'FIN-CASHFLOW_CWS'!AK70)</f>
        <v>-1126847.9500000048</v>
      </c>
      <c r="AM50" s="121">
        <f ca="1">IF($D42="Y",'FIN-CASHFLOW_CWS'!AL58,'FIN-CASHFLOW_CWS'!AL70)</f>
        <v>169324.49999999441</v>
      </c>
      <c r="AN50" s="121">
        <f ca="1">IF($D42="Y",'FIN-CASHFLOW_CWS'!AM58,'FIN-CASHFLOW_CWS'!AM70)</f>
        <v>-6990737.7500000019</v>
      </c>
      <c r="AO50" s="121">
        <f ca="1">IF($D42="Y",'FIN-CASHFLOW_CWS'!AN58,'FIN-CASHFLOW_CWS'!AN70)</f>
        <v>-11346876.823499998</v>
      </c>
      <c r="AP50" s="121">
        <f ca="1">IF($D42="Y",'FIN-CASHFLOW_CWS'!AO58,'FIN-CASHFLOW_CWS'!AO70)</f>
        <v>-3099098.6464999896</v>
      </c>
      <c r="AQ50" s="121">
        <f ca="1">IF($D42="Y",'FIN-CASHFLOW_CWS'!AP58,'FIN-CASHFLOW_CWS'!AP70)</f>
        <v>9348964.4115000237</v>
      </c>
      <c r="AR50" s="121">
        <f ca="1">IF($D42="Y",'FIN-CASHFLOW_CWS'!AQ58,'FIN-CASHFLOW_CWS'!AQ70)</f>
        <v>21797027.469500035</v>
      </c>
      <c r="AS50" s="121">
        <f ca="1">IF($D42="Y",'FIN-CASHFLOW_CWS'!AR58,'FIN-CASHFLOW_CWS'!AR70)</f>
        <v>34245090.527500048</v>
      </c>
      <c r="AT50" s="121">
        <f ca="1">IF($D42="Y",'FIN-CASHFLOW_CWS'!AS58,'FIN-CASHFLOW_CWS'!AS70)</f>
        <v>46693153.585500062</v>
      </c>
      <c r="AU50" s="121">
        <f ca="1">IF($D42="Y",'FIN-CASHFLOW_CWS'!AT58,'FIN-CASHFLOW_CWS'!AT70)</f>
        <v>59141216.643500075</v>
      </c>
      <c r="AV50" s="121">
        <f ca="1">IF($D42="Y",'FIN-CASHFLOW_CWS'!AU58,'FIN-CASHFLOW_CWS'!AU70)</f>
        <v>71589279.701500088</v>
      </c>
      <c r="AW50" s="121">
        <f ca="1">IF($D42="Y",'FIN-CASHFLOW_CWS'!AV58,'FIN-CASHFLOW_CWS'!AV70)</f>
        <v>84037342.759500101</v>
      </c>
      <c r="AX50" s="121">
        <f ca="1">IF($D42="Y",'FIN-CASHFLOW_CWS'!AW58,'FIN-CASHFLOW_CWS'!AW70)</f>
        <v>96485405.817500114</v>
      </c>
      <c r="AY50" s="121">
        <f ca="1">IF($D42="Y",'FIN-CASHFLOW_CWS'!AX58,'FIN-CASHFLOW_CWS'!AX70)</f>
        <v>108933468.87550013</v>
      </c>
      <c r="AZ50" s="121">
        <f ca="1">IF($D42="Y",'FIN-CASHFLOW_CWS'!AY58,'FIN-CASHFLOW_CWS'!AY70)</f>
        <v>108777614.68300013</v>
      </c>
      <c r="BA50" s="121">
        <f ca="1">IF($D42="Y",'FIN-CASHFLOW_CWS'!AZ58,'FIN-CASHFLOW_CWS'!AZ70)</f>
        <v>101987150.84780014</v>
      </c>
      <c r="BB50" s="121">
        <f ca="1">IF($D42="Y",'FIN-CASHFLOW_CWS'!BA58,'FIN-CASHFLOW_CWS'!BA70)</f>
        <v>107190647.23864514</v>
      </c>
      <c r="BC50" s="121">
        <f ca="1">IF($D42="Y",'FIN-CASHFLOW_CWS'!BB58,'FIN-CASHFLOW_CWS'!BB70)</f>
        <v>116379002.65711515</v>
      </c>
      <c r="BD50" s="121">
        <f ca="1">IF($D42="Y",'FIN-CASHFLOW_CWS'!BC58,'FIN-CASHFLOW_CWS'!BC70)</f>
        <v>125567358.07558516</v>
      </c>
      <c r="BE50" s="121">
        <f ca="1">IF($D42="Y",'FIN-CASHFLOW_CWS'!BD58,'FIN-CASHFLOW_CWS'!BD70)</f>
        <v>134755713.49405515</v>
      </c>
      <c r="BF50" s="121">
        <f ca="1">IF($D42="Y",'FIN-CASHFLOW_CWS'!BE58,'FIN-CASHFLOW_CWS'!BE70)</f>
        <v>143944068.91252515</v>
      </c>
      <c r="BG50" s="121">
        <f ca="1">IF($D42="Y",'FIN-CASHFLOW_CWS'!BF58,'FIN-CASHFLOW_CWS'!BF70)</f>
        <v>153132424.33099514</v>
      </c>
      <c r="BH50" s="121">
        <f ca="1">IF($D42="Y",'FIN-CASHFLOW_CWS'!BG58,'FIN-CASHFLOW_CWS'!BG70)</f>
        <v>162320779.74946514</v>
      </c>
      <c r="BI50" s="121">
        <f ca="1">IF($D42="Y",'FIN-CASHFLOW_CWS'!BH58,'FIN-CASHFLOW_CWS'!BH70)</f>
        <v>171509135.16793513</v>
      </c>
      <c r="BJ50" s="121">
        <f ca="1">IF($D42="Y",'FIN-CASHFLOW_CWS'!BI58,'FIN-CASHFLOW_CWS'!BI70)</f>
        <v>180697490.58640513</v>
      </c>
      <c r="BK50" s="121">
        <f ca="1">IF($D42="Y",'FIN-CASHFLOW_CWS'!BJ58,'FIN-CASHFLOW_CWS'!BJ70)</f>
        <v>189885846.00487512</v>
      </c>
      <c r="BL50" s="121">
        <f ca="1">IF($D42="Y",'FIN-CASHFLOW_CWS'!BK58,'FIN-CASHFLOW_CWS'!BK70)</f>
        <v>187100393.56489512</v>
      </c>
    </row>
    <row r="51" spans="2:64" x14ac:dyDescent="0.15">
      <c r="B51" s="308" t="s">
        <v>447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448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449</v>
      </c>
      <c r="C53" s="135"/>
      <c r="D53" s="121">
        <f ca="1">SUM(D50:D52)</f>
        <v>69112400</v>
      </c>
      <c r="E53" s="121">
        <f ca="1">SUM(E50:E52)</f>
        <v>69112400</v>
      </c>
      <c r="F53" s="121">
        <f t="shared" ref="F53:BL53" ca="1" si="3">SUM(F50:F52)</f>
        <v>69112400</v>
      </c>
      <c r="G53" s="121">
        <f t="shared" ca="1" si="3"/>
        <v>69112400</v>
      </c>
      <c r="H53" s="121">
        <f t="shared" ca="1" si="3"/>
        <v>38937200</v>
      </c>
      <c r="I53" s="121">
        <f t="shared" ca="1" si="3"/>
        <v>25595200</v>
      </c>
      <c r="J53" s="121">
        <f t="shared" ca="1" si="3"/>
        <v>12352599.999999998</v>
      </c>
      <c r="K53" s="121">
        <f t="shared" ca="1" si="3"/>
        <v>0</v>
      </c>
      <c r="L53" s="121">
        <f t="shared" ca="1" si="3"/>
        <v>74344700</v>
      </c>
      <c r="M53" s="121">
        <f t="shared" ca="1" si="3"/>
        <v>62072100</v>
      </c>
      <c r="N53" s="121">
        <f t="shared" ca="1" si="3"/>
        <v>49799500</v>
      </c>
      <c r="O53" s="121">
        <f t="shared" ca="1" si="3"/>
        <v>37526900</v>
      </c>
      <c r="P53" s="121">
        <f t="shared" ca="1" si="3"/>
        <v>24980200</v>
      </c>
      <c r="Q53" s="121">
        <f t="shared" ca="1" si="3"/>
        <v>10698000</v>
      </c>
      <c r="R53" s="121">
        <f t="shared" ca="1" si="3"/>
        <v>0</v>
      </c>
      <c r="S53" s="121">
        <f t="shared" ca="1" si="3"/>
        <v>80121055</v>
      </c>
      <c r="T53" s="121">
        <f t="shared" ca="1" si="3"/>
        <v>71616960</v>
      </c>
      <c r="U53" s="121">
        <f t="shared" ca="1" si="3"/>
        <v>63112865</v>
      </c>
      <c r="V53" s="121">
        <f t="shared" ca="1" si="3"/>
        <v>54608770</v>
      </c>
      <c r="W53" s="121">
        <f t="shared" ca="1" si="3"/>
        <v>46104675</v>
      </c>
      <c r="X53" s="121">
        <f t="shared" ca="1" si="3"/>
        <v>37600580</v>
      </c>
      <c r="Y53" s="121">
        <f t="shared" ca="1" si="3"/>
        <v>29096485</v>
      </c>
      <c r="Z53" s="121">
        <f t="shared" ca="1" si="3"/>
        <v>20592390</v>
      </c>
      <c r="AA53" s="121">
        <f t="shared" ca="1" si="3"/>
        <v>12088295</v>
      </c>
      <c r="AB53" s="121">
        <f t="shared" ca="1" si="3"/>
        <v>0</v>
      </c>
      <c r="AC53" s="121">
        <f t="shared" ca="1" si="3"/>
        <v>-9971365.2999999989</v>
      </c>
      <c r="AD53" s="121">
        <f t="shared" ca="1" si="3"/>
        <v>-11496227.549999999</v>
      </c>
      <c r="AE53" s="121">
        <f t="shared" ca="1" si="3"/>
        <v>-10200055.1</v>
      </c>
      <c r="AF53" s="121">
        <f t="shared" ca="1" si="3"/>
        <v>-8903882.6500000004</v>
      </c>
      <c r="AG53" s="121">
        <f t="shared" ca="1" si="3"/>
        <v>-7607710.2000000011</v>
      </c>
      <c r="AH53" s="121">
        <f t="shared" ca="1" si="3"/>
        <v>-6311537.7500000019</v>
      </c>
      <c r="AI53" s="121">
        <f t="shared" ca="1" si="3"/>
        <v>-5015365.3000000026</v>
      </c>
      <c r="AJ53" s="121">
        <f t="shared" ca="1" si="3"/>
        <v>-3719192.8500000034</v>
      </c>
      <c r="AK53" s="121">
        <f t="shared" ca="1" si="3"/>
        <v>-2423020.4000000041</v>
      </c>
      <c r="AL53" s="121">
        <f t="shared" ca="1" si="3"/>
        <v>-1126847.9500000048</v>
      </c>
      <c r="AM53" s="121">
        <f t="shared" ca="1" si="3"/>
        <v>169324.49999999441</v>
      </c>
      <c r="AN53" s="121">
        <f t="shared" ca="1" si="3"/>
        <v>-6990737.7500000019</v>
      </c>
      <c r="AO53" s="121">
        <f t="shared" ca="1" si="3"/>
        <v>-11346876.823499998</v>
      </c>
      <c r="AP53" s="121">
        <f t="shared" ca="1" si="3"/>
        <v>-3099098.6464999896</v>
      </c>
      <c r="AQ53" s="121">
        <f t="shared" ca="1" si="3"/>
        <v>9348964.4115000237</v>
      </c>
      <c r="AR53" s="121">
        <f t="shared" ca="1" si="3"/>
        <v>21797027.469500035</v>
      </c>
      <c r="AS53" s="121">
        <f t="shared" ca="1" si="3"/>
        <v>34245090.527500048</v>
      </c>
      <c r="AT53" s="121">
        <f t="shared" ca="1" si="3"/>
        <v>46693153.585500062</v>
      </c>
      <c r="AU53" s="121">
        <f t="shared" ca="1" si="3"/>
        <v>59141216.643500075</v>
      </c>
      <c r="AV53" s="121">
        <f t="shared" ca="1" si="3"/>
        <v>71589279.701500088</v>
      </c>
      <c r="AW53" s="121">
        <f t="shared" ca="1" si="3"/>
        <v>84037342.759500101</v>
      </c>
      <c r="AX53" s="121">
        <f t="shared" ca="1" si="3"/>
        <v>96485405.817500114</v>
      </c>
      <c r="AY53" s="121">
        <f t="shared" ca="1" si="3"/>
        <v>108933468.87550013</v>
      </c>
      <c r="AZ53" s="121">
        <f t="shared" ca="1" si="3"/>
        <v>108777614.68300013</v>
      </c>
      <c r="BA53" s="121">
        <f t="shared" ca="1" si="3"/>
        <v>101987150.84780014</v>
      </c>
      <c r="BB53" s="121">
        <f t="shared" ca="1" si="3"/>
        <v>107190647.23864514</v>
      </c>
      <c r="BC53" s="121">
        <f t="shared" ca="1" si="3"/>
        <v>116379002.65711515</v>
      </c>
      <c r="BD53" s="121">
        <f t="shared" ca="1" si="3"/>
        <v>125567358.07558516</v>
      </c>
      <c r="BE53" s="121">
        <f t="shared" ca="1" si="3"/>
        <v>134755713.49405515</v>
      </c>
      <c r="BF53" s="121">
        <f t="shared" ca="1" si="3"/>
        <v>143944068.91252515</v>
      </c>
      <c r="BG53" s="121">
        <f t="shared" ca="1" si="3"/>
        <v>153132424.33099514</v>
      </c>
      <c r="BH53" s="121">
        <f t="shared" ca="1" si="3"/>
        <v>162320779.74946514</v>
      </c>
      <c r="BI53" s="121">
        <f t="shared" ca="1" si="3"/>
        <v>171509135.16793513</v>
      </c>
      <c r="BJ53" s="121">
        <f t="shared" ca="1" si="3"/>
        <v>180697490.58640513</v>
      </c>
      <c r="BK53" s="121">
        <f t="shared" ca="1" si="3"/>
        <v>189885846.00487512</v>
      </c>
      <c r="BL53" s="121">
        <f t="shared" ca="1" si="3"/>
        <v>187100393.56489512</v>
      </c>
    </row>
    <row r="54" spans="2:64" x14ac:dyDescent="0.15">
      <c r="B54" s="308" t="s">
        <v>443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451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452</v>
      </c>
      <c r="C60" s="135"/>
      <c r="D60" s="121">
        <f t="shared" ref="D60:AI60" ca="1" si="5">D58+D53</f>
        <v>69112400</v>
      </c>
      <c r="E60" s="121">
        <f t="shared" ca="1" si="5"/>
        <v>69112400</v>
      </c>
      <c r="F60" s="121">
        <f t="shared" ca="1" si="5"/>
        <v>69112400</v>
      </c>
      <c r="G60" s="121">
        <f t="shared" ca="1" si="5"/>
        <v>69112400</v>
      </c>
      <c r="H60" s="121">
        <f t="shared" ca="1" si="5"/>
        <v>49158950</v>
      </c>
      <c r="I60" s="121">
        <f t="shared" ca="1" si="5"/>
        <v>35801033.333333336</v>
      </c>
      <c r="J60" s="121">
        <f t="shared" ca="1" si="5"/>
        <v>22382516.666666664</v>
      </c>
      <c r="K60" s="121">
        <f t="shared" ca="1" si="5"/>
        <v>9932666.666666666</v>
      </c>
      <c r="L60" s="121">
        <f t="shared" ca="1" si="5"/>
        <v>84100116.666666672</v>
      </c>
      <c r="M60" s="121">
        <f t="shared" ca="1" si="5"/>
        <v>71650266.666666672</v>
      </c>
      <c r="N60" s="121">
        <f t="shared" ca="1" si="5"/>
        <v>59200416.666666664</v>
      </c>
      <c r="O60" s="121">
        <f t="shared" ca="1" si="5"/>
        <v>46750566.666666664</v>
      </c>
      <c r="P60" s="121">
        <f t="shared" ca="1" si="5"/>
        <v>34026616.666666664</v>
      </c>
      <c r="Q60" s="121">
        <f t="shared" ca="1" si="5"/>
        <v>19567166.666666664</v>
      </c>
      <c r="R60" s="121">
        <f t="shared" ca="1" si="5"/>
        <v>8691916.666666666</v>
      </c>
      <c r="S60" s="121">
        <f t="shared" ca="1" si="5"/>
        <v>88635721.666666672</v>
      </c>
      <c r="T60" s="121">
        <f t="shared" ca="1" si="5"/>
        <v>79954376.666666672</v>
      </c>
      <c r="U60" s="121">
        <f t="shared" ca="1" si="5"/>
        <v>71273031.666666672</v>
      </c>
      <c r="V60" s="121">
        <f t="shared" ca="1" si="5"/>
        <v>62591686.666666664</v>
      </c>
      <c r="W60" s="121">
        <f t="shared" ca="1" si="5"/>
        <v>53910341.666666664</v>
      </c>
      <c r="X60" s="121">
        <f t="shared" ca="1" si="5"/>
        <v>45228996.666666664</v>
      </c>
      <c r="Y60" s="121">
        <f t="shared" ca="1" si="5"/>
        <v>36547651.666666664</v>
      </c>
      <c r="Z60" s="121">
        <f t="shared" ca="1" si="5"/>
        <v>27866306.666666668</v>
      </c>
      <c r="AA60" s="121">
        <f t="shared" ca="1" si="5"/>
        <v>19184961.666666668</v>
      </c>
      <c r="AB60" s="121">
        <f t="shared" ca="1" si="5"/>
        <v>6919416.666666667</v>
      </c>
      <c r="AC60" s="121">
        <f t="shared" ca="1" si="5"/>
        <v>-3229198.6333333319</v>
      </c>
      <c r="AD60" s="121">
        <f t="shared" ca="1" si="5"/>
        <v>-4931310.8833333319</v>
      </c>
      <c r="AE60" s="121">
        <f t="shared" ca="1" si="5"/>
        <v>-3812388.4333333327</v>
      </c>
      <c r="AF60" s="121">
        <f t="shared" ca="1" si="5"/>
        <v>-2693465.9833333334</v>
      </c>
      <c r="AG60" s="121">
        <f t="shared" ca="1" si="5"/>
        <v>-1574543.5333333341</v>
      </c>
      <c r="AH60" s="121">
        <f t="shared" ca="1" si="5"/>
        <v>-455621.08333333489</v>
      </c>
      <c r="AI60" s="121">
        <f t="shared" ca="1" si="5"/>
        <v>663301.36666666437</v>
      </c>
      <c r="AJ60" s="121">
        <f t="shared" ref="AJ60:BL60" ca="1" si="6">AJ58+AJ53</f>
        <v>1782223.8166666636</v>
      </c>
      <c r="AK60" s="121">
        <f t="shared" ca="1" si="6"/>
        <v>2901146.2666666629</v>
      </c>
      <c r="AL60" s="121">
        <f t="shared" ca="1" si="6"/>
        <v>4020068.7166666621</v>
      </c>
      <c r="AM60" s="121">
        <f t="shared" ca="1" si="6"/>
        <v>5138991.1666666614</v>
      </c>
      <c r="AN60" s="121">
        <f t="shared" ca="1" si="6"/>
        <v>-2198321.0833333349</v>
      </c>
      <c r="AO60" s="121">
        <f t="shared" ca="1" si="6"/>
        <v>-6731710.1568333311</v>
      </c>
      <c r="AP60" s="121">
        <f t="shared" ca="1" si="6"/>
        <v>1338818.0201666774</v>
      </c>
      <c r="AQ60" s="121">
        <f t="shared" ca="1" si="6"/>
        <v>13609631.07816669</v>
      </c>
      <c r="AR60" s="121">
        <f t="shared" ca="1" si="6"/>
        <v>25880444.136166703</v>
      </c>
      <c r="AS60" s="121">
        <f t="shared" ca="1" si="6"/>
        <v>38151257.194166712</v>
      </c>
      <c r="AT60" s="121">
        <f t="shared" ca="1" si="6"/>
        <v>50422070.252166726</v>
      </c>
      <c r="AU60" s="121">
        <f t="shared" ca="1" si="6"/>
        <v>62692883.310166739</v>
      </c>
      <c r="AV60" s="121">
        <f t="shared" ca="1" si="6"/>
        <v>74963696.36816676</v>
      </c>
      <c r="AW60" s="121">
        <f t="shared" ca="1" si="6"/>
        <v>87234509.426166773</v>
      </c>
      <c r="AX60" s="121">
        <f t="shared" ca="1" si="6"/>
        <v>99505322.484166786</v>
      </c>
      <c r="AY60" s="121">
        <f t="shared" ca="1" si="6"/>
        <v>111776135.5421668</v>
      </c>
      <c r="AZ60" s="121">
        <f t="shared" ca="1" si="6"/>
        <v>111443031.3496668</v>
      </c>
      <c r="BA60" s="121">
        <f t="shared" ca="1" si="6"/>
        <v>104475317.51446681</v>
      </c>
      <c r="BB60" s="121">
        <f t="shared" ca="1" si="6"/>
        <v>109501563.90531181</v>
      </c>
      <c r="BC60" s="121">
        <f t="shared" ca="1" si="6"/>
        <v>118512669.32378182</v>
      </c>
      <c r="BD60" s="121">
        <f t="shared" ca="1" si="6"/>
        <v>127523774.74225183</v>
      </c>
      <c r="BE60" s="121">
        <f t="shared" ca="1" si="6"/>
        <v>136534880.16072181</v>
      </c>
      <c r="BF60" s="121">
        <f t="shared" ca="1" si="6"/>
        <v>145545985.5791918</v>
      </c>
      <c r="BG60" s="121">
        <f t="shared" ca="1" si="6"/>
        <v>154557090.9976618</v>
      </c>
      <c r="BH60" s="121">
        <f t="shared" ca="1" si="6"/>
        <v>163568196.41613179</v>
      </c>
      <c r="BI60" s="121">
        <f t="shared" ca="1" si="6"/>
        <v>172579301.83460179</v>
      </c>
      <c r="BJ60" s="121">
        <f t="shared" ca="1" si="6"/>
        <v>181590407.25307178</v>
      </c>
      <c r="BK60" s="121">
        <f t="shared" ca="1" si="6"/>
        <v>190601512.67154178</v>
      </c>
      <c r="BL60" s="121">
        <f t="shared" ca="1" si="6"/>
        <v>187638810.23156178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1028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360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454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457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1029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1030</v>
      </c>
      <c r="C77" s="136"/>
      <c r="D77" s="121">
        <f ca="1">IF($D42="Y",'FIN-CASHFLOW_CWS'!C60,'FIN-CASHFLOW_CWS'!C65)</f>
        <v>69112400</v>
      </c>
      <c r="E77" s="121">
        <f ca="1">IF($D42="Y",'FIN-CASHFLOW_CWS'!D60,'FIN-CASHFLOW_CWS'!D65)</f>
        <v>69112400</v>
      </c>
      <c r="F77" s="121">
        <f ca="1">IF($D42="Y",'FIN-CASHFLOW_CWS'!E60,'FIN-CASHFLOW_CWS'!E65)</f>
        <v>69112400</v>
      </c>
      <c r="G77" s="121">
        <f ca="1">IF($D42="Y",'FIN-CASHFLOW_CWS'!F60,'FIN-CASHFLOW_CWS'!F65)</f>
        <v>69112400</v>
      </c>
      <c r="H77" s="121">
        <f ca="1">IF($D42="Y",'FIN-CASHFLOW_CWS'!G60,'FIN-CASHFLOW_CWS'!G65)</f>
        <v>69112400</v>
      </c>
      <c r="I77" s="121">
        <f ca="1">IF($D42="Y",'FIN-CASHFLOW_CWS'!H60,'FIN-CASHFLOW_CWS'!H65)</f>
        <v>69112400</v>
      </c>
      <c r="J77" s="121">
        <f ca="1">IF($D42="Y",'FIN-CASHFLOW_CWS'!I60,'FIN-CASHFLOW_CWS'!I65)</f>
        <v>69112400</v>
      </c>
      <c r="K77" s="121">
        <f ca="1">IF($D42="Y",'FIN-CASHFLOW_CWS'!J60,'FIN-CASHFLOW_CWS'!J65)</f>
        <v>69112400</v>
      </c>
      <c r="L77" s="121">
        <f ca="1">IF($D42="Y",'FIN-CASHFLOW_CWS'!K60,'FIN-CASHFLOW_CWS'!K65)</f>
        <v>155729700</v>
      </c>
      <c r="M77" s="121">
        <f ca="1">IF($D42="Y",'FIN-CASHFLOW_CWS'!L60,'FIN-CASHFLOW_CWS'!L65)</f>
        <v>155729700</v>
      </c>
      <c r="N77" s="121">
        <f ca="1">IF($D42="Y",'FIN-CASHFLOW_CWS'!M60,'FIN-CASHFLOW_CWS'!M65)</f>
        <v>155729700</v>
      </c>
      <c r="O77" s="121">
        <f ca="1">IF($D42="Y",'FIN-CASHFLOW_CWS'!N60,'FIN-CASHFLOW_CWS'!N65)</f>
        <v>155729700</v>
      </c>
      <c r="P77" s="121">
        <f ca="1">IF($D42="Y",'FIN-CASHFLOW_CWS'!O60,'FIN-CASHFLOW_CWS'!O65)</f>
        <v>155729700</v>
      </c>
      <c r="Q77" s="121">
        <f ca="1">IF($D42="Y",'FIN-CASHFLOW_CWS'!P60,'FIN-CASHFLOW_CWS'!P65)</f>
        <v>155729700</v>
      </c>
      <c r="R77" s="121">
        <f ca="1">IF($D42="Y",'FIN-CASHFLOW_CWS'!Q60,'FIN-CASHFLOW_CWS'!Q65)</f>
        <v>155729700</v>
      </c>
      <c r="S77" s="121">
        <f ca="1">IF($D42="Y",'FIN-CASHFLOW_CWS'!R60,'FIN-CASHFLOW_CWS'!R65)</f>
        <v>245354850</v>
      </c>
      <c r="T77" s="121">
        <f ca="1">IF($D42="Y",'FIN-CASHFLOW_CWS'!S60,'FIN-CASHFLOW_CWS'!S65)</f>
        <v>245354850</v>
      </c>
      <c r="U77" s="121">
        <f ca="1">IF($D42="Y",'FIN-CASHFLOW_CWS'!T60,'FIN-CASHFLOW_CWS'!T65)</f>
        <v>245354850</v>
      </c>
      <c r="V77" s="121">
        <f ca="1">IF($D42="Y",'FIN-CASHFLOW_CWS'!U60,'FIN-CASHFLOW_CWS'!U65)</f>
        <v>245354850</v>
      </c>
      <c r="W77" s="121">
        <f ca="1">IF($D42="Y",'FIN-CASHFLOW_CWS'!V60,'FIN-CASHFLOW_CWS'!V65)</f>
        <v>245354850</v>
      </c>
      <c r="X77" s="121">
        <f ca="1">IF($D42="Y",'FIN-CASHFLOW_CWS'!W60,'FIN-CASHFLOW_CWS'!W65)</f>
        <v>245354850</v>
      </c>
      <c r="Y77" s="121">
        <f ca="1">IF($D42="Y",'FIN-CASHFLOW_CWS'!X60,'FIN-CASHFLOW_CWS'!X65)</f>
        <v>245354850</v>
      </c>
      <c r="Z77" s="121">
        <f ca="1">IF($D42="Y",'FIN-CASHFLOW_CWS'!Y60,'FIN-CASHFLOW_CWS'!Y65)</f>
        <v>245354850</v>
      </c>
      <c r="AA77" s="121">
        <f ca="1">IF($D42="Y",'FIN-CASHFLOW_CWS'!Z60,'FIN-CASHFLOW_CWS'!Z65)</f>
        <v>245354850</v>
      </c>
      <c r="AB77" s="121">
        <f ca="1">IF($D42="Y",'FIN-CASHFLOW_CWS'!AA60,'FIN-CASHFLOW_CWS'!AA65)</f>
        <v>245354850</v>
      </c>
      <c r="AC77" s="121">
        <f ca="1">IF($D42="Y",'FIN-CASHFLOW_CWS'!AB60,'FIN-CASHFLOW_CWS'!AB65)</f>
        <v>245354850</v>
      </c>
      <c r="AD77" s="121">
        <f ca="1">IF($D42="Y",'FIN-CASHFLOW_CWS'!AC60,'FIN-CASHFLOW_CWS'!AC65)</f>
        <v>245354850</v>
      </c>
      <c r="AE77" s="121">
        <f ca="1">IF($D42="Y",'FIN-CASHFLOW_CWS'!AD60,'FIN-CASHFLOW_CWS'!AD65)</f>
        <v>245354850</v>
      </c>
      <c r="AF77" s="121">
        <f ca="1">IF($D42="Y",'FIN-CASHFLOW_CWS'!AE60,'FIN-CASHFLOW_CWS'!AE65)</f>
        <v>245354850</v>
      </c>
      <c r="AG77" s="121">
        <f ca="1">IF($D42="Y",'FIN-CASHFLOW_CWS'!AF60,'FIN-CASHFLOW_CWS'!AF65)</f>
        <v>245354850</v>
      </c>
      <c r="AH77" s="121">
        <f ca="1">IF($D42="Y",'FIN-CASHFLOW_CWS'!AG60,'FIN-CASHFLOW_CWS'!AG65)</f>
        <v>245354850</v>
      </c>
      <c r="AI77" s="121">
        <f ca="1">IF($D42="Y",'FIN-CASHFLOW_CWS'!AH60,'FIN-CASHFLOW_CWS'!AH65)</f>
        <v>245354850</v>
      </c>
      <c r="AJ77" s="121">
        <f ca="1">IF($D42="Y",'FIN-CASHFLOW_CWS'!AI60,'FIN-CASHFLOW_CWS'!AI65)</f>
        <v>245354850</v>
      </c>
      <c r="AK77" s="121">
        <f ca="1">IF($D42="Y",'FIN-CASHFLOW_CWS'!AJ60,'FIN-CASHFLOW_CWS'!AJ65)</f>
        <v>245354850</v>
      </c>
      <c r="AL77" s="121">
        <f ca="1">IF($D42="Y",'FIN-CASHFLOW_CWS'!AK60,'FIN-CASHFLOW_CWS'!AK65)</f>
        <v>245354850</v>
      </c>
      <c r="AM77" s="121">
        <f ca="1">IF($D42="Y",'FIN-CASHFLOW_CWS'!AL60,'FIN-CASHFLOW_CWS'!AL65)</f>
        <v>245354850</v>
      </c>
      <c r="AN77" s="121">
        <f ca="1">IF($D42="Y",'FIN-CASHFLOW_CWS'!AM60,'FIN-CASHFLOW_CWS'!AM65)</f>
        <v>245354850</v>
      </c>
      <c r="AO77" s="121">
        <f ca="1">IF($D42="Y",'FIN-CASHFLOW_CWS'!AN60,'FIN-CASHFLOW_CWS'!AN65)</f>
        <v>245354850</v>
      </c>
      <c r="AP77" s="121">
        <f ca="1">IF($D42="Y",'FIN-CASHFLOW_CWS'!AO60,'FIN-CASHFLOW_CWS'!AO65)</f>
        <v>245354850</v>
      </c>
      <c r="AQ77" s="121">
        <f ca="1">IF($D42="Y",'FIN-CASHFLOW_CWS'!AP60,'FIN-CASHFLOW_CWS'!AP65)</f>
        <v>245354850</v>
      </c>
      <c r="AR77" s="121">
        <f ca="1">IF($D42="Y",'FIN-CASHFLOW_CWS'!AQ60,'FIN-CASHFLOW_CWS'!AQ65)</f>
        <v>245354850</v>
      </c>
      <c r="AS77" s="121">
        <f ca="1">IF($D42="Y",'FIN-CASHFLOW_CWS'!AR60,'FIN-CASHFLOW_CWS'!AR65)</f>
        <v>245354850</v>
      </c>
      <c r="AT77" s="121">
        <f ca="1">IF($D42="Y",'FIN-CASHFLOW_CWS'!AS60,'FIN-CASHFLOW_CWS'!AS65)</f>
        <v>245354850</v>
      </c>
      <c r="AU77" s="121">
        <f ca="1">IF($D42="Y",'FIN-CASHFLOW_CWS'!AT60,'FIN-CASHFLOW_CWS'!AT65)</f>
        <v>245354850</v>
      </c>
      <c r="AV77" s="121">
        <f ca="1">IF($D42="Y",'FIN-CASHFLOW_CWS'!AU60,'FIN-CASHFLOW_CWS'!AU65)</f>
        <v>245354850</v>
      </c>
      <c r="AW77" s="121">
        <f ca="1">IF($D42="Y",'FIN-CASHFLOW_CWS'!AV60,'FIN-CASHFLOW_CWS'!AV65)</f>
        <v>245354850</v>
      </c>
      <c r="AX77" s="121">
        <f ca="1">IF($D42="Y",'FIN-CASHFLOW_CWS'!AW60,'FIN-CASHFLOW_CWS'!AW65)</f>
        <v>245354850</v>
      </c>
      <c r="AY77" s="121">
        <f ca="1">IF($D42="Y",'FIN-CASHFLOW_CWS'!AX60,'FIN-CASHFLOW_CWS'!AX65)</f>
        <v>245354850</v>
      </c>
      <c r="AZ77" s="121">
        <f ca="1">IF($D42="Y",'FIN-CASHFLOW_CWS'!AY60,'FIN-CASHFLOW_CWS'!AY65)</f>
        <v>245354850</v>
      </c>
      <c r="BA77" s="121">
        <f ca="1">IF($D42="Y",'FIN-CASHFLOW_CWS'!AZ60,'FIN-CASHFLOW_CWS'!AZ65)</f>
        <v>245354850</v>
      </c>
      <c r="BB77" s="121">
        <f ca="1">IF($D42="Y",'FIN-CASHFLOW_CWS'!BA60,'FIN-CASHFLOW_CWS'!BA65)</f>
        <v>245354850</v>
      </c>
      <c r="BC77" s="121">
        <f ca="1">IF($D42="Y",'FIN-CASHFLOW_CWS'!BB60,'FIN-CASHFLOW_CWS'!BB65)</f>
        <v>245354850</v>
      </c>
      <c r="BD77" s="121">
        <f ca="1">IF($D42="Y",'FIN-CASHFLOW_CWS'!BC60,'FIN-CASHFLOW_CWS'!BC65)</f>
        <v>245354850</v>
      </c>
      <c r="BE77" s="121">
        <f ca="1">IF($D42="Y",'FIN-CASHFLOW_CWS'!BD60,'FIN-CASHFLOW_CWS'!BD65)</f>
        <v>245354850</v>
      </c>
      <c r="BF77" s="121">
        <f ca="1">IF($D42="Y",'FIN-CASHFLOW_CWS'!BE60,'FIN-CASHFLOW_CWS'!BE65)</f>
        <v>245354850</v>
      </c>
      <c r="BG77" s="121">
        <f ca="1">IF($D42="Y",'FIN-CASHFLOW_CWS'!BF60,'FIN-CASHFLOW_CWS'!BF65)</f>
        <v>245354850</v>
      </c>
      <c r="BH77" s="121">
        <f ca="1">IF($D42="Y",'FIN-CASHFLOW_CWS'!BG60,'FIN-CASHFLOW_CWS'!BG65)</f>
        <v>245354850</v>
      </c>
      <c r="BI77" s="121">
        <f ca="1">IF($D42="Y",'FIN-CASHFLOW_CWS'!BH60,'FIN-CASHFLOW_CWS'!BH65)</f>
        <v>245354850</v>
      </c>
      <c r="BJ77" s="121">
        <f ca="1">IF($D42="Y",'FIN-CASHFLOW_CWS'!BI60,'FIN-CASHFLOW_CWS'!BI65)</f>
        <v>245354850</v>
      </c>
      <c r="BK77" s="121">
        <f ca="1">IF($D42="Y",'FIN-CASHFLOW_CWS'!BJ60,'FIN-CASHFLOW_CWS'!BJ65)</f>
        <v>245354850</v>
      </c>
      <c r="BL77" s="121">
        <f ca="1">IF($D42="Y",'FIN-CASHFLOW_CWS'!BK60,'FIN-CASHFLOW_CWS'!BK65)</f>
        <v>245354850</v>
      </c>
    </row>
    <row r="78" spans="2:64" x14ac:dyDescent="0.15">
      <c r="B78" s="308" t="s">
        <v>949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-19953450</v>
      </c>
      <c r="J78" s="121">
        <f t="shared" si="10"/>
        <v>-33311366.666666668</v>
      </c>
      <c r="K78" s="121">
        <f t="shared" si="10"/>
        <v>-46729883.333333336</v>
      </c>
      <c r="L78" s="121">
        <f t="shared" si="10"/>
        <v>-59179733.333333336</v>
      </c>
      <c r="M78" s="121">
        <f t="shared" si="10"/>
        <v>-71629583.333333343</v>
      </c>
      <c r="N78" s="121">
        <f t="shared" si="10"/>
        <v>-84079433.333333343</v>
      </c>
      <c r="O78" s="121">
        <f t="shared" si="10"/>
        <v>-96529283.333333343</v>
      </c>
      <c r="P78" s="121">
        <f t="shared" si="10"/>
        <v>-108979133.33333334</v>
      </c>
      <c r="Q78" s="121">
        <f t="shared" si="10"/>
        <v>-121703083.33333334</v>
      </c>
      <c r="R78" s="121">
        <f t="shared" si="10"/>
        <v>-136162533.33333334</v>
      </c>
      <c r="S78" s="121">
        <f t="shared" si="10"/>
        <v>-147037783.33333334</v>
      </c>
      <c r="T78" s="121">
        <f t="shared" si="10"/>
        <v>-156719128.33333334</v>
      </c>
      <c r="U78" s="121">
        <f t="shared" si="10"/>
        <v>-165400473.33333334</v>
      </c>
      <c r="V78" s="121">
        <f t="shared" si="10"/>
        <v>-174081818.33333334</v>
      </c>
      <c r="W78" s="121">
        <f t="shared" si="10"/>
        <v>-182763163.33333334</v>
      </c>
      <c r="X78" s="121">
        <f t="shared" si="10"/>
        <v>-191444508.33333334</v>
      </c>
      <c r="Y78" s="121">
        <f t="shared" si="10"/>
        <v>-200125853.33333334</v>
      </c>
      <c r="Z78" s="121">
        <f t="shared" si="10"/>
        <v>-208807198.33333334</v>
      </c>
      <c r="AA78" s="121">
        <f t="shared" si="10"/>
        <v>-217488543.33333334</v>
      </c>
      <c r="AB78" s="121">
        <f t="shared" si="10"/>
        <v>-226169888.33333334</v>
      </c>
      <c r="AC78" s="121">
        <f t="shared" si="10"/>
        <v>-238435433.33333334</v>
      </c>
      <c r="AD78" s="121">
        <f t="shared" si="10"/>
        <v>-248584048.63333336</v>
      </c>
      <c r="AE78" s="121">
        <f t="shared" si="10"/>
        <v>-250286160.88333336</v>
      </c>
      <c r="AF78" s="121">
        <f t="shared" si="10"/>
        <v>-249167238.43333337</v>
      </c>
      <c r="AG78" s="121">
        <f t="shared" si="10"/>
        <v>-248048315.98333338</v>
      </c>
      <c r="AH78" s="121">
        <f t="shared" si="10"/>
        <v>-246929393.53333339</v>
      </c>
      <c r="AI78" s="121">
        <f t="shared" si="10"/>
        <v>-245810471.0833334</v>
      </c>
      <c r="AJ78" s="121">
        <f t="shared" si="10"/>
        <v>-244691548.63333341</v>
      </c>
      <c r="AK78" s="121">
        <f t="shared" si="10"/>
        <v>-243572626.18333343</v>
      </c>
      <c r="AL78" s="121">
        <f t="shared" si="10"/>
        <v>-242453703.73333344</v>
      </c>
      <c r="AM78" s="121">
        <f t="shared" si="10"/>
        <v>-241334781.28333345</v>
      </c>
      <c r="AN78" s="121">
        <f t="shared" si="10"/>
        <v>-240215858.83333346</v>
      </c>
      <c r="AO78" s="121">
        <f t="shared" si="10"/>
        <v>-247553171.08333346</v>
      </c>
      <c r="AP78" s="121">
        <f t="shared" si="10"/>
        <v>-252086560.15683347</v>
      </c>
      <c r="AQ78" s="121">
        <f t="shared" si="10"/>
        <v>-244016031.97983345</v>
      </c>
      <c r="AR78" s="121">
        <f t="shared" si="10"/>
        <v>-231745218.92183346</v>
      </c>
      <c r="AS78" s="121">
        <f t="shared" si="10"/>
        <v>-219474405.86383343</v>
      </c>
      <c r="AT78" s="121">
        <f t="shared" si="10"/>
        <v>-207203592.8058334</v>
      </c>
      <c r="AU78" s="121">
        <f t="shared" si="10"/>
        <v>-194932779.74783337</v>
      </c>
      <c r="AV78" s="121">
        <f t="shared" si="10"/>
        <v>-182661966.68983334</v>
      </c>
      <c r="AW78" s="121">
        <f t="shared" si="10"/>
        <v>-170391153.63183331</v>
      </c>
      <c r="AX78" s="121">
        <f t="shared" si="10"/>
        <v>-158120340.57383329</v>
      </c>
      <c r="AY78" s="121">
        <f t="shared" si="10"/>
        <v>-145849527.51583326</v>
      </c>
      <c r="AZ78" s="121">
        <f t="shared" si="10"/>
        <v>-133578714.45783325</v>
      </c>
      <c r="BA78" s="121">
        <f t="shared" si="10"/>
        <v>-133911818.65033324</v>
      </c>
      <c r="BB78" s="121">
        <f t="shared" si="10"/>
        <v>-140879532.48553324</v>
      </c>
      <c r="BC78" s="121">
        <f t="shared" si="10"/>
        <v>-135853286.09468824</v>
      </c>
      <c r="BD78" s="121">
        <f t="shared" si="10"/>
        <v>-126842180.67621823</v>
      </c>
      <c r="BE78" s="121">
        <f t="shared" si="10"/>
        <v>-117831075.25774822</v>
      </c>
      <c r="BF78" s="121">
        <f t="shared" si="10"/>
        <v>-108819969.83927821</v>
      </c>
      <c r="BG78" s="121">
        <f t="shared" si="10"/>
        <v>-99808864.420808196</v>
      </c>
      <c r="BH78" s="121">
        <f t="shared" si="10"/>
        <v>-90797759.002338186</v>
      </c>
      <c r="BI78" s="121">
        <f t="shared" si="10"/>
        <v>-81786653.583868176</v>
      </c>
      <c r="BJ78" s="121">
        <f t="shared" si="10"/>
        <v>-72775548.165398166</v>
      </c>
      <c r="BK78" s="121">
        <f t="shared" si="10"/>
        <v>-63764442.746928155</v>
      </c>
      <c r="BL78" s="121">
        <f t="shared" si="10"/>
        <v>-54753337.328458145</v>
      </c>
    </row>
    <row r="79" spans="2:64" s="33" customFormat="1" x14ac:dyDescent="0.15">
      <c r="B79" s="309" t="s">
        <v>460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-19953450</v>
      </c>
      <c r="I79" s="70">
        <f>'FIN-CASHFLOW_CWS'!H35</f>
        <v>-13357916.666666668</v>
      </c>
      <c r="J79" s="70">
        <f>'FIN-CASHFLOW_CWS'!I35</f>
        <v>-13418516.666666668</v>
      </c>
      <c r="K79" s="70">
        <f>'FIN-CASHFLOW_CWS'!J35</f>
        <v>-12449850</v>
      </c>
      <c r="L79" s="70">
        <f>'FIN-CASHFLOW_CWS'!K35</f>
        <v>-12449850</v>
      </c>
      <c r="M79" s="70">
        <f>'FIN-CASHFLOW_CWS'!L35</f>
        <v>-12449850</v>
      </c>
      <c r="N79" s="70">
        <f>'FIN-CASHFLOW_CWS'!M35</f>
        <v>-12449850</v>
      </c>
      <c r="O79" s="70">
        <f>'FIN-CASHFLOW_CWS'!N35</f>
        <v>-12449850</v>
      </c>
      <c r="P79" s="70">
        <f>'FIN-CASHFLOW_CWS'!O35</f>
        <v>-12723950</v>
      </c>
      <c r="Q79" s="70">
        <f>'FIN-CASHFLOW_CWS'!P35</f>
        <v>-14459450</v>
      </c>
      <c r="R79" s="70">
        <f>'FIN-CASHFLOW_CWS'!Q35</f>
        <v>-10875250</v>
      </c>
      <c r="S79" s="70">
        <f>'FIN-CASHFLOW_CWS'!R35</f>
        <v>-9681345</v>
      </c>
      <c r="T79" s="70">
        <f>'FIN-CASHFLOW_CWS'!S35</f>
        <v>-8681345</v>
      </c>
      <c r="U79" s="70">
        <f>'FIN-CASHFLOW_CWS'!T35</f>
        <v>-8681345</v>
      </c>
      <c r="V79" s="70">
        <f>'FIN-CASHFLOW_CWS'!U35</f>
        <v>-8681345</v>
      </c>
      <c r="W79" s="70">
        <f>'FIN-CASHFLOW_CWS'!V35</f>
        <v>-8681345</v>
      </c>
      <c r="X79" s="70">
        <f>'FIN-CASHFLOW_CWS'!W35</f>
        <v>-8681345</v>
      </c>
      <c r="Y79" s="70">
        <f>'FIN-CASHFLOW_CWS'!X35</f>
        <v>-8681345</v>
      </c>
      <c r="Z79" s="70">
        <f>'FIN-CASHFLOW_CWS'!Y35</f>
        <v>-8681345</v>
      </c>
      <c r="AA79" s="70">
        <f>'FIN-CASHFLOW_CWS'!Z35</f>
        <v>-8681345</v>
      </c>
      <c r="AB79" s="70">
        <f>'FIN-CASHFLOW_CWS'!AA35</f>
        <v>-12265545</v>
      </c>
      <c r="AC79" s="70">
        <f>'FIN-CASHFLOW_CWS'!AB35</f>
        <v>-10148615.299999999</v>
      </c>
      <c r="AD79" s="70">
        <f>'FIN-CASHFLOW_CWS'!AC35</f>
        <v>-1702112.25</v>
      </c>
      <c r="AE79" s="70">
        <f>'FIN-CASHFLOW_CWS'!AD35</f>
        <v>1118922.4499999993</v>
      </c>
      <c r="AF79" s="70">
        <f>'FIN-CASHFLOW_CWS'!AE35</f>
        <v>1118922.4499999993</v>
      </c>
      <c r="AG79" s="70">
        <f>'FIN-CASHFLOW_CWS'!AF35</f>
        <v>1118922.4499999993</v>
      </c>
      <c r="AH79" s="70">
        <f>'FIN-CASHFLOW_CWS'!AG35</f>
        <v>1118922.4499999993</v>
      </c>
      <c r="AI79" s="70">
        <f>'FIN-CASHFLOW_CWS'!AH35</f>
        <v>1118922.4499999993</v>
      </c>
      <c r="AJ79" s="70">
        <f>'FIN-CASHFLOW_CWS'!AI35</f>
        <v>1118922.4499999993</v>
      </c>
      <c r="AK79" s="70">
        <f>'FIN-CASHFLOW_CWS'!AJ35</f>
        <v>1118922.4499999993</v>
      </c>
      <c r="AL79" s="70">
        <f>'FIN-CASHFLOW_CWS'!AK35</f>
        <v>1118922.4499999993</v>
      </c>
      <c r="AM79" s="70">
        <f>'FIN-CASHFLOW_CWS'!AL35</f>
        <v>1118922.4499999993</v>
      </c>
      <c r="AN79" s="70">
        <f>'FIN-CASHFLOW_CWS'!AM35</f>
        <v>-7337312.2499999963</v>
      </c>
      <c r="AO79" s="70">
        <f>'FIN-CASHFLOW_CWS'!AN35</f>
        <v>-4533389.0734999962</v>
      </c>
      <c r="AP79" s="70">
        <f>'FIN-CASHFLOW_CWS'!AO35</f>
        <v>8070528.1770000085</v>
      </c>
      <c r="AQ79" s="70">
        <f>'FIN-CASHFLOW_CWS'!AP35</f>
        <v>12270813.058000013</v>
      </c>
      <c r="AR79" s="70">
        <f>'FIN-CASHFLOW_CWS'!AQ35</f>
        <v>12270813.058000013</v>
      </c>
      <c r="AS79" s="70">
        <f>'FIN-CASHFLOW_CWS'!AR35</f>
        <v>12270813.058000013</v>
      </c>
      <c r="AT79" s="70">
        <f>'FIN-CASHFLOW_CWS'!AS35</f>
        <v>12270813.058000013</v>
      </c>
      <c r="AU79" s="70">
        <f>'FIN-CASHFLOW_CWS'!AT35</f>
        <v>12270813.058000013</v>
      </c>
      <c r="AV79" s="70">
        <f>'FIN-CASHFLOW_CWS'!AU35</f>
        <v>12270813.058000013</v>
      </c>
      <c r="AW79" s="70">
        <f>'FIN-CASHFLOW_CWS'!AV35</f>
        <v>12270813.058000013</v>
      </c>
      <c r="AX79" s="70">
        <f>'FIN-CASHFLOW_CWS'!AW35</f>
        <v>12270813.058000013</v>
      </c>
      <c r="AY79" s="70">
        <f>'FIN-CASHFLOW_CWS'!AX35</f>
        <v>12270813.058000013</v>
      </c>
      <c r="AZ79" s="70">
        <f>'FIN-CASHFLOW_CWS'!AY35</f>
        <v>-333104.19249999151</v>
      </c>
      <c r="BA79" s="70">
        <f>'FIN-CASHFLOW_CWS'!AZ35</f>
        <v>-6967713.8352000043</v>
      </c>
      <c r="BB79" s="70">
        <f>'FIN-CASHFLOW_CWS'!BA35</f>
        <v>5026246.3908450045</v>
      </c>
      <c r="BC79" s="70">
        <f>'FIN-CASHFLOW_CWS'!BB35</f>
        <v>9011105.4184700064</v>
      </c>
      <c r="BD79" s="70">
        <f>'FIN-CASHFLOW_CWS'!BC35</f>
        <v>9011105.4184700064</v>
      </c>
      <c r="BE79" s="70">
        <f>'FIN-CASHFLOW_CWS'!BD35</f>
        <v>9011105.4184700064</v>
      </c>
      <c r="BF79" s="70">
        <f>'FIN-CASHFLOW_CWS'!BE35</f>
        <v>9011105.4184700064</v>
      </c>
      <c r="BG79" s="70">
        <f>'FIN-CASHFLOW_CWS'!BF35</f>
        <v>9011105.4184700064</v>
      </c>
      <c r="BH79" s="70">
        <f>'FIN-CASHFLOW_CWS'!BG35</f>
        <v>9011105.4184700064</v>
      </c>
      <c r="BI79" s="70">
        <f>'FIN-CASHFLOW_CWS'!BH35</f>
        <v>9011105.4184700064</v>
      </c>
      <c r="BJ79" s="70">
        <f>'FIN-CASHFLOW_CWS'!BI35</f>
        <v>9011105.4184700064</v>
      </c>
      <c r="BK79" s="70">
        <f>'FIN-CASHFLOW_CWS'!BJ35</f>
        <v>9011105.4184700064</v>
      </c>
      <c r="BL79" s="70">
        <f>'FIN-CASHFLOW_CWS'!BK35</f>
        <v>-2962702.4399799965</v>
      </c>
    </row>
    <row r="80" spans="2:64" x14ac:dyDescent="0.15">
      <c r="B80" s="305" t="s">
        <v>1031</v>
      </c>
      <c r="C80" s="135"/>
      <c r="D80" s="121">
        <f ca="1">SUM(D77:D79)</f>
        <v>69112400</v>
      </c>
      <c r="E80" s="121">
        <f ca="1">SUM(E77:E79)</f>
        <v>69112400</v>
      </c>
      <c r="F80" s="121">
        <f t="shared" ref="F80:BL80" ca="1" si="11">SUM(F77:F79)</f>
        <v>69112400</v>
      </c>
      <c r="G80" s="121">
        <f t="shared" ca="1" si="11"/>
        <v>69112400</v>
      </c>
      <c r="H80" s="121">
        <f t="shared" ca="1" si="11"/>
        <v>49158950</v>
      </c>
      <c r="I80" s="121">
        <f t="shared" ca="1" si="11"/>
        <v>35801033.333333328</v>
      </c>
      <c r="J80" s="121">
        <f t="shared" ca="1" si="11"/>
        <v>22382516.66666666</v>
      </c>
      <c r="K80" s="121">
        <f t="shared" ca="1" si="11"/>
        <v>9932666.6666666642</v>
      </c>
      <c r="L80" s="121">
        <f t="shared" ca="1" si="11"/>
        <v>84100116.666666657</v>
      </c>
      <c r="M80" s="121">
        <f t="shared" ca="1" si="11"/>
        <v>71650266.666666657</v>
      </c>
      <c r="N80" s="121">
        <f t="shared" ca="1" si="11"/>
        <v>59200416.666666657</v>
      </c>
      <c r="O80" s="121">
        <f t="shared" ca="1" si="11"/>
        <v>46750566.666666657</v>
      </c>
      <c r="P80" s="121">
        <f t="shared" ca="1" si="11"/>
        <v>34026616.666666657</v>
      </c>
      <c r="Q80" s="121">
        <f t="shared" ca="1" si="11"/>
        <v>19567166.666666657</v>
      </c>
      <c r="R80" s="121">
        <f t="shared" ca="1" si="11"/>
        <v>8691916.6666666567</v>
      </c>
      <c r="S80" s="121">
        <f t="shared" ca="1" si="11"/>
        <v>88635721.666666657</v>
      </c>
      <c r="T80" s="121">
        <f t="shared" ca="1" si="11"/>
        <v>79954376.666666657</v>
      </c>
      <c r="U80" s="121">
        <f t="shared" ca="1" si="11"/>
        <v>71273031.666666657</v>
      </c>
      <c r="V80" s="121">
        <f t="shared" ca="1" si="11"/>
        <v>62591686.666666657</v>
      </c>
      <c r="W80" s="121">
        <f t="shared" ca="1" si="11"/>
        <v>53910341.666666657</v>
      </c>
      <c r="X80" s="121">
        <f t="shared" ca="1" si="11"/>
        <v>45228996.666666657</v>
      </c>
      <c r="Y80" s="121">
        <f t="shared" ca="1" si="11"/>
        <v>36547651.666666657</v>
      </c>
      <c r="Z80" s="121">
        <f t="shared" ca="1" si="11"/>
        <v>27866306.666666657</v>
      </c>
      <c r="AA80" s="121">
        <f t="shared" ca="1" si="11"/>
        <v>19184961.666666657</v>
      </c>
      <c r="AB80" s="121">
        <f t="shared" ca="1" si="11"/>
        <v>6919416.6666666567</v>
      </c>
      <c r="AC80" s="121">
        <f t="shared" ca="1" si="11"/>
        <v>-3229198.6333333421</v>
      </c>
      <c r="AD80" s="121">
        <f t="shared" ca="1" si="11"/>
        <v>-4931310.8833333552</v>
      </c>
      <c r="AE80" s="121">
        <f t="shared" ca="1" si="11"/>
        <v>-3812388.4333333559</v>
      </c>
      <c r="AF80" s="121">
        <f t="shared" ca="1" si="11"/>
        <v>-2693465.9833333679</v>
      </c>
      <c r="AG80" s="121">
        <f t="shared" ca="1" si="11"/>
        <v>-1574543.5333333798</v>
      </c>
      <c r="AH80" s="121">
        <f t="shared" ca="1" si="11"/>
        <v>-455621.0833333917</v>
      </c>
      <c r="AI80" s="121">
        <f t="shared" ca="1" si="11"/>
        <v>663301.36666659638</v>
      </c>
      <c r="AJ80" s="121">
        <f t="shared" ca="1" si="11"/>
        <v>1782223.8166665845</v>
      </c>
      <c r="AK80" s="121">
        <f t="shared" ca="1" si="11"/>
        <v>2901146.2666665725</v>
      </c>
      <c r="AL80" s="121">
        <f t="shared" ca="1" si="11"/>
        <v>4020068.7166665606</v>
      </c>
      <c r="AM80" s="121">
        <f t="shared" ca="1" si="11"/>
        <v>5138991.1666665487</v>
      </c>
      <c r="AN80" s="121">
        <f t="shared" ca="1" si="11"/>
        <v>-2198321.0833334588</v>
      </c>
      <c r="AO80" s="121">
        <f t="shared" ca="1" si="11"/>
        <v>-6731710.1568334587</v>
      </c>
      <c r="AP80" s="121">
        <f t="shared" ca="1" si="11"/>
        <v>1338818.0201665387</v>
      </c>
      <c r="AQ80" s="121">
        <f t="shared" ca="1" si="11"/>
        <v>13609631.078166559</v>
      </c>
      <c r="AR80" s="121">
        <f t="shared" ca="1" si="11"/>
        <v>25880444.136166558</v>
      </c>
      <c r="AS80" s="121">
        <f t="shared" ca="1" si="11"/>
        <v>38151257.194166586</v>
      </c>
      <c r="AT80" s="121">
        <f t="shared" ca="1" si="11"/>
        <v>50422070.252166614</v>
      </c>
      <c r="AU80" s="121">
        <f t="shared" ca="1" si="11"/>
        <v>62692883.310166642</v>
      </c>
      <c r="AV80" s="121">
        <f t="shared" ca="1" si="11"/>
        <v>74963696.36816667</v>
      </c>
      <c r="AW80" s="121">
        <f t="shared" ca="1" si="11"/>
        <v>87234509.426166698</v>
      </c>
      <c r="AX80" s="121">
        <f t="shared" ca="1" si="11"/>
        <v>99505322.484166726</v>
      </c>
      <c r="AY80" s="121">
        <f t="shared" ca="1" si="11"/>
        <v>111776135.54216675</v>
      </c>
      <c r="AZ80" s="121">
        <f t="shared" ca="1" si="11"/>
        <v>111443031.34966676</v>
      </c>
      <c r="BA80" s="121">
        <f t="shared" ca="1" si="11"/>
        <v>104475317.51446676</v>
      </c>
      <c r="BB80" s="121">
        <f t="shared" ca="1" si="11"/>
        <v>109501563.90531176</v>
      </c>
      <c r="BC80" s="121">
        <f t="shared" ca="1" si="11"/>
        <v>118512669.32378177</v>
      </c>
      <c r="BD80" s="121">
        <f t="shared" ca="1" si="11"/>
        <v>127523774.74225178</v>
      </c>
      <c r="BE80" s="121">
        <f t="shared" ca="1" si="11"/>
        <v>136534880.16072178</v>
      </c>
      <c r="BF80" s="121">
        <f t="shared" ca="1" si="11"/>
        <v>145545985.57919177</v>
      </c>
      <c r="BG80" s="121">
        <f t="shared" ca="1" si="11"/>
        <v>154557090.9976618</v>
      </c>
      <c r="BH80" s="121">
        <f t="shared" ca="1" si="11"/>
        <v>163568196.41613182</v>
      </c>
      <c r="BI80" s="121">
        <f t="shared" ca="1" si="11"/>
        <v>172579301.83460182</v>
      </c>
      <c r="BJ80" s="121">
        <f t="shared" ca="1" si="11"/>
        <v>181590407.25307181</v>
      </c>
      <c r="BK80" s="121">
        <f t="shared" ca="1" si="11"/>
        <v>190601512.67154184</v>
      </c>
      <c r="BL80" s="121">
        <f t="shared" ca="1" si="11"/>
        <v>187638810.23156187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1032</v>
      </c>
      <c r="C82" s="135"/>
      <c r="D82" s="121">
        <f t="shared" ref="D82:AI82" ca="1" si="12">D80+D74</f>
        <v>69112400</v>
      </c>
      <c r="E82" s="121">
        <f t="shared" ca="1" si="12"/>
        <v>69112400</v>
      </c>
      <c r="F82" s="121">
        <f t="shared" ca="1" si="12"/>
        <v>69112400</v>
      </c>
      <c r="G82" s="121">
        <f t="shared" ca="1" si="12"/>
        <v>69112400</v>
      </c>
      <c r="H82" s="121">
        <f t="shared" ca="1" si="12"/>
        <v>49158950</v>
      </c>
      <c r="I82" s="121">
        <f t="shared" ca="1" si="12"/>
        <v>35801033.333333328</v>
      </c>
      <c r="J82" s="121">
        <f t="shared" ca="1" si="12"/>
        <v>22382516.66666666</v>
      </c>
      <c r="K82" s="121">
        <f t="shared" ca="1" si="12"/>
        <v>9932666.6666666642</v>
      </c>
      <c r="L82" s="121">
        <f t="shared" ca="1" si="12"/>
        <v>84100116.666666657</v>
      </c>
      <c r="M82" s="121">
        <f t="shared" ca="1" si="12"/>
        <v>71650266.666666657</v>
      </c>
      <c r="N82" s="121">
        <f t="shared" ca="1" si="12"/>
        <v>59200416.666666657</v>
      </c>
      <c r="O82" s="121">
        <f t="shared" ca="1" si="12"/>
        <v>46750566.666666657</v>
      </c>
      <c r="P82" s="121">
        <f t="shared" ca="1" si="12"/>
        <v>34026616.666666657</v>
      </c>
      <c r="Q82" s="121">
        <f t="shared" ca="1" si="12"/>
        <v>19567166.666666657</v>
      </c>
      <c r="R82" s="121">
        <f t="shared" ca="1" si="12"/>
        <v>8691916.6666666567</v>
      </c>
      <c r="S82" s="121">
        <f t="shared" ca="1" si="12"/>
        <v>88635721.666666657</v>
      </c>
      <c r="T82" s="121">
        <f t="shared" ca="1" si="12"/>
        <v>79954376.666666657</v>
      </c>
      <c r="U82" s="121">
        <f t="shared" ca="1" si="12"/>
        <v>71273031.666666657</v>
      </c>
      <c r="V82" s="121">
        <f t="shared" ca="1" si="12"/>
        <v>62591686.666666657</v>
      </c>
      <c r="W82" s="121">
        <f t="shared" ca="1" si="12"/>
        <v>53910341.666666657</v>
      </c>
      <c r="X82" s="121">
        <f t="shared" ca="1" si="12"/>
        <v>45228996.666666657</v>
      </c>
      <c r="Y82" s="121">
        <f t="shared" ca="1" si="12"/>
        <v>36547651.666666657</v>
      </c>
      <c r="Z82" s="121">
        <f t="shared" ca="1" si="12"/>
        <v>27866306.666666657</v>
      </c>
      <c r="AA82" s="121">
        <f t="shared" ca="1" si="12"/>
        <v>19184961.666666657</v>
      </c>
      <c r="AB82" s="121">
        <f t="shared" ca="1" si="12"/>
        <v>6919416.6666666567</v>
      </c>
      <c r="AC82" s="121">
        <f t="shared" ca="1" si="12"/>
        <v>-3229198.6333333421</v>
      </c>
      <c r="AD82" s="121">
        <f t="shared" ca="1" si="12"/>
        <v>-4931310.8833333552</v>
      </c>
      <c r="AE82" s="121">
        <f t="shared" ca="1" si="12"/>
        <v>-3812388.4333333559</v>
      </c>
      <c r="AF82" s="121">
        <f t="shared" ca="1" si="12"/>
        <v>-2693465.9833333679</v>
      </c>
      <c r="AG82" s="121">
        <f t="shared" ca="1" si="12"/>
        <v>-1574543.5333333798</v>
      </c>
      <c r="AH82" s="121">
        <f t="shared" ca="1" si="12"/>
        <v>-455621.0833333917</v>
      </c>
      <c r="AI82" s="121">
        <f t="shared" ca="1" si="12"/>
        <v>663301.36666659638</v>
      </c>
      <c r="AJ82" s="121">
        <f t="shared" ref="AJ82:BL82" ca="1" si="13">AJ80+AJ74</f>
        <v>1782223.8166665845</v>
      </c>
      <c r="AK82" s="121">
        <f t="shared" ca="1" si="13"/>
        <v>2901146.2666665725</v>
      </c>
      <c r="AL82" s="121">
        <f t="shared" ca="1" si="13"/>
        <v>4020068.7166665606</v>
      </c>
      <c r="AM82" s="121">
        <f t="shared" ca="1" si="13"/>
        <v>5138991.1666665487</v>
      </c>
      <c r="AN82" s="121">
        <f t="shared" ca="1" si="13"/>
        <v>-2198321.0833334588</v>
      </c>
      <c r="AO82" s="121">
        <f t="shared" ca="1" si="13"/>
        <v>-6731710.1568334587</v>
      </c>
      <c r="AP82" s="121">
        <f t="shared" ca="1" si="13"/>
        <v>1338818.0201665387</v>
      </c>
      <c r="AQ82" s="121">
        <f t="shared" ca="1" si="13"/>
        <v>13609631.078166559</v>
      </c>
      <c r="AR82" s="121">
        <f t="shared" ca="1" si="13"/>
        <v>25880444.136166558</v>
      </c>
      <c r="AS82" s="121">
        <f t="shared" ca="1" si="13"/>
        <v>38151257.194166586</v>
      </c>
      <c r="AT82" s="121">
        <f t="shared" ca="1" si="13"/>
        <v>50422070.252166614</v>
      </c>
      <c r="AU82" s="121">
        <f t="shared" ca="1" si="13"/>
        <v>62692883.310166642</v>
      </c>
      <c r="AV82" s="121">
        <f t="shared" ca="1" si="13"/>
        <v>74963696.36816667</v>
      </c>
      <c r="AW82" s="121">
        <f t="shared" ca="1" si="13"/>
        <v>87234509.426166698</v>
      </c>
      <c r="AX82" s="121">
        <f t="shared" ca="1" si="13"/>
        <v>99505322.484166726</v>
      </c>
      <c r="AY82" s="121">
        <f t="shared" ca="1" si="13"/>
        <v>111776135.54216675</v>
      </c>
      <c r="AZ82" s="121">
        <f t="shared" ca="1" si="13"/>
        <v>111443031.34966676</v>
      </c>
      <c r="BA82" s="121">
        <f t="shared" ca="1" si="13"/>
        <v>104475317.51446676</v>
      </c>
      <c r="BB82" s="121">
        <f t="shared" ca="1" si="13"/>
        <v>109501563.90531176</v>
      </c>
      <c r="BC82" s="121">
        <f t="shared" ca="1" si="13"/>
        <v>118512669.32378177</v>
      </c>
      <c r="BD82" s="121">
        <f t="shared" ca="1" si="13"/>
        <v>127523774.74225178</v>
      </c>
      <c r="BE82" s="121">
        <f t="shared" ca="1" si="13"/>
        <v>136534880.16072178</v>
      </c>
      <c r="BF82" s="121">
        <f t="shared" ca="1" si="13"/>
        <v>145545985.57919177</v>
      </c>
      <c r="BG82" s="121">
        <f t="shared" ca="1" si="13"/>
        <v>154557090.9976618</v>
      </c>
      <c r="BH82" s="121">
        <f t="shared" ca="1" si="13"/>
        <v>163568196.41613182</v>
      </c>
      <c r="BI82" s="121">
        <f t="shared" ca="1" si="13"/>
        <v>172579301.83460182</v>
      </c>
      <c r="BJ82" s="121">
        <f t="shared" ca="1" si="13"/>
        <v>181590407.25307181</v>
      </c>
      <c r="BK82" s="121">
        <f t="shared" ca="1" si="13"/>
        <v>190601512.67154184</v>
      </c>
      <c r="BL82" s="121">
        <f t="shared" ca="1" si="13"/>
        <v>187638810.23156187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917</v>
      </c>
      <c r="D2" s="74" t="s">
        <v>827</v>
      </c>
      <c r="E2" s="74" t="s">
        <v>828</v>
      </c>
      <c r="F2" s="10"/>
      <c r="G2" s="260" t="s">
        <v>892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-95804765.245656043</v>
      </c>
      <c r="E4" s="121">
        <f ca="1">'FIN-VALUE_CWS'!E36</f>
        <v>86617300</v>
      </c>
      <c r="G4" s="244">
        <f ca="1">'FIN-VALUE_CWS'!F36</f>
        <v>-0.90410221013434799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-20878132.407691993</v>
      </c>
      <c r="E5" s="121">
        <f ca="1">'FIN-VALUE_CWS'!E37</f>
        <v>89625150</v>
      </c>
      <c r="G5" s="244">
        <f ca="1">'FIN-VALUE_CWS'!F37</f>
        <v>-4.2927762047806537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133001855.73841359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841</v>
      </c>
      <c r="C10" s="14" t="s">
        <v>838</v>
      </c>
      <c r="D10" s="14" t="s">
        <v>839</v>
      </c>
      <c r="E10" s="14" t="s">
        <v>891</v>
      </c>
      <c r="F10" s="10"/>
      <c r="G10" s="10" t="s">
        <v>874</v>
      </c>
    </row>
    <row r="11" spans="2:15" s="6" customFormat="1" x14ac:dyDescent="0.15">
      <c r="B11" s="138"/>
      <c r="C11" s="174"/>
    </row>
    <row r="12" spans="2:15" x14ac:dyDescent="0.15">
      <c r="B12" s="17" t="s">
        <v>842</v>
      </c>
      <c r="C12" s="380">
        <v>0.06</v>
      </c>
      <c r="D12" s="380">
        <v>0.06</v>
      </c>
      <c r="E12" s="380">
        <v>0.06</v>
      </c>
      <c r="F12" s="228"/>
      <c r="G12" s="33" t="s">
        <v>875</v>
      </c>
    </row>
    <row r="13" spans="2:15" x14ac:dyDescent="0.15">
      <c r="B13" s="124" t="s">
        <v>843</v>
      </c>
      <c r="C13" s="380">
        <v>0.1</v>
      </c>
      <c r="D13" s="380">
        <v>0.08</v>
      </c>
      <c r="E13" s="380">
        <v>0.02</v>
      </c>
      <c r="F13" s="228"/>
      <c r="G13" s="33" t="s">
        <v>890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1082</v>
      </c>
      <c r="C15" s="228"/>
      <c r="D15" s="228"/>
      <c r="E15" s="228"/>
      <c r="F15" s="228"/>
    </row>
    <row r="16" spans="2:15" x14ac:dyDescent="0.15">
      <c r="B16" s="124" t="s">
        <v>862</v>
      </c>
      <c r="C16" s="380">
        <v>0.02</v>
      </c>
      <c r="D16" s="380">
        <v>0.02</v>
      </c>
      <c r="E16" s="380">
        <v>0</v>
      </c>
      <c r="F16" s="228"/>
      <c r="G16" s="33" t="s">
        <v>867</v>
      </c>
    </row>
    <row r="17" spans="2:14" x14ac:dyDescent="0.15">
      <c r="B17" s="124" t="s">
        <v>863</v>
      </c>
      <c r="C17" s="380">
        <v>0.05</v>
      </c>
      <c r="D17" s="380">
        <v>2.5000000000000001E-2</v>
      </c>
      <c r="E17" s="380">
        <v>0</v>
      </c>
      <c r="F17" s="228"/>
      <c r="G17" s="33" t="s">
        <v>868</v>
      </c>
    </row>
    <row r="18" spans="2:14" x14ac:dyDescent="0.15">
      <c r="B18" s="124" t="s">
        <v>844</v>
      </c>
      <c r="C18" s="228"/>
      <c r="D18" s="228"/>
      <c r="E18" s="228"/>
      <c r="F18" s="228"/>
    </row>
    <row r="19" spans="2:14" x14ac:dyDescent="0.15">
      <c r="B19" s="227" t="s">
        <v>845</v>
      </c>
      <c r="C19" s="380">
        <v>0.05</v>
      </c>
      <c r="D19" s="380">
        <v>0.01</v>
      </c>
      <c r="E19" s="380">
        <v>0</v>
      </c>
      <c r="F19" s="228"/>
      <c r="G19" s="33" t="s">
        <v>869</v>
      </c>
    </row>
    <row r="20" spans="2:14" x14ac:dyDescent="0.15">
      <c r="B20" s="227" t="s">
        <v>864</v>
      </c>
      <c r="C20" s="380">
        <v>2.5000000000000001E-2</v>
      </c>
      <c r="D20" s="380">
        <v>0</v>
      </c>
      <c r="E20" s="380">
        <v>0</v>
      </c>
      <c r="F20" s="228"/>
      <c r="G20" s="33" t="s">
        <v>870</v>
      </c>
    </row>
    <row r="21" spans="2:14" x14ac:dyDescent="0.15">
      <c r="B21" s="227" t="s">
        <v>865</v>
      </c>
      <c r="C21" s="380">
        <v>1.4999999999999999E-2</v>
      </c>
      <c r="D21" s="380">
        <v>0</v>
      </c>
      <c r="E21" s="380">
        <v>0</v>
      </c>
      <c r="F21" s="228"/>
      <c r="G21" s="33" t="s">
        <v>871</v>
      </c>
    </row>
    <row r="22" spans="2:14" x14ac:dyDescent="0.15">
      <c r="B22" s="227" t="s">
        <v>846</v>
      </c>
      <c r="C22" s="380">
        <v>2.5000000000000001E-2</v>
      </c>
      <c r="D22" s="380">
        <v>0</v>
      </c>
      <c r="E22" s="380">
        <v>0</v>
      </c>
      <c r="F22" s="228"/>
      <c r="G22" s="33" t="s">
        <v>872</v>
      </c>
      <c r="K22" s="25"/>
      <c r="M22" s="25"/>
      <c r="N22" s="25"/>
    </row>
    <row r="23" spans="2:14" x14ac:dyDescent="0.15">
      <c r="B23" s="227" t="s">
        <v>847</v>
      </c>
      <c r="C23" s="380">
        <v>0.01</v>
      </c>
      <c r="D23" s="380">
        <v>0.01</v>
      </c>
      <c r="E23" s="380">
        <v>0</v>
      </c>
      <c r="F23" s="228"/>
      <c r="G23" s="33" t="s">
        <v>873</v>
      </c>
      <c r="K23" s="33"/>
    </row>
    <row r="24" spans="2:14" x14ac:dyDescent="0.15">
      <c r="B24" s="227" t="s">
        <v>866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893</v>
      </c>
      <c r="K24" s="33"/>
    </row>
    <row r="25" spans="2:14" x14ac:dyDescent="0.15">
      <c r="B25" s="124" t="s">
        <v>848</v>
      </c>
      <c r="C25" s="228"/>
      <c r="D25" s="228"/>
      <c r="E25" s="228"/>
      <c r="F25" s="228"/>
    </row>
    <row r="26" spans="2:14" x14ac:dyDescent="0.15">
      <c r="B26" s="227" t="s">
        <v>849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876</v>
      </c>
    </row>
    <row r="27" spans="2:14" x14ac:dyDescent="0.15">
      <c r="B27" s="227" t="s">
        <v>511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877</v>
      </c>
    </row>
    <row r="28" spans="2:14" x14ac:dyDescent="0.15">
      <c r="B28" s="227" t="s">
        <v>850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878</v>
      </c>
    </row>
    <row r="29" spans="2:14" x14ac:dyDescent="0.15">
      <c r="B29" s="227" t="s">
        <v>851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879</v>
      </c>
    </row>
    <row r="30" spans="2:14" x14ac:dyDescent="0.15">
      <c r="B30" s="48" t="s">
        <v>852</v>
      </c>
      <c r="C30" s="228"/>
      <c r="D30" s="228"/>
      <c r="E30" s="228"/>
      <c r="F30" s="228"/>
    </row>
    <row r="31" spans="2:14" x14ac:dyDescent="0.15">
      <c r="B31" s="227" t="s">
        <v>853</v>
      </c>
      <c r="C31" s="380">
        <v>0.01</v>
      </c>
      <c r="D31" s="380">
        <v>0.01</v>
      </c>
      <c r="E31" s="380">
        <v>4.4999999999999998E-2</v>
      </c>
      <c r="F31" s="228"/>
      <c r="G31" s="33" t="s">
        <v>880</v>
      </c>
    </row>
    <row r="32" spans="2:14" x14ac:dyDescent="0.15">
      <c r="B32" s="106" t="s">
        <v>859</v>
      </c>
      <c r="C32" s="380">
        <v>0.01</v>
      </c>
      <c r="D32" s="380">
        <v>0.01</v>
      </c>
      <c r="E32" s="380">
        <v>2.5000000000000001E-2</v>
      </c>
      <c r="F32" s="228"/>
      <c r="G32" s="33" t="s">
        <v>881</v>
      </c>
    </row>
    <row r="33" spans="2:15" x14ac:dyDescent="0.15">
      <c r="B33" s="106" t="s">
        <v>860</v>
      </c>
      <c r="C33" s="380">
        <v>0.02</v>
      </c>
      <c r="D33" s="380">
        <v>0.02</v>
      </c>
      <c r="E33" s="380">
        <v>0.01</v>
      </c>
      <c r="F33" s="228"/>
      <c r="G33" s="33" t="s">
        <v>885</v>
      </c>
    </row>
    <row r="34" spans="2:15" x14ac:dyDescent="0.15">
      <c r="B34" s="106" t="s">
        <v>861</v>
      </c>
      <c r="C34" s="380">
        <v>0.05</v>
      </c>
      <c r="D34" s="380">
        <v>0.05</v>
      </c>
      <c r="E34" s="380">
        <v>0.01</v>
      </c>
      <c r="F34" s="228"/>
      <c r="G34" s="33" t="s">
        <v>886</v>
      </c>
    </row>
    <row r="35" spans="2:15" x14ac:dyDescent="0.15">
      <c r="B35" s="106" t="s">
        <v>854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887</v>
      </c>
    </row>
    <row r="36" spans="2:15" x14ac:dyDescent="0.15">
      <c r="B36" s="106" t="s">
        <v>855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882</v>
      </c>
    </row>
    <row r="37" spans="2:15" x14ac:dyDescent="0.15">
      <c r="B37" s="106" t="s">
        <v>856</v>
      </c>
      <c r="C37" s="380">
        <v>0.05</v>
      </c>
      <c r="D37" s="380">
        <v>0.05</v>
      </c>
      <c r="E37" s="380">
        <v>2.5000000000000001E-2</v>
      </c>
      <c r="F37" s="228"/>
      <c r="G37" s="33" t="s">
        <v>883</v>
      </c>
    </row>
    <row r="38" spans="2:15" x14ac:dyDescent="0.15">
      <c r="B38" s="106" t="s">
        <v>857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884</v>
      </c>
    </row>
    <row r="39" spans="2:15" x14ac:dyDescent="0.15">
      <c r="B39" s="106" t="s">
        <v>858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918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770</v>
      </c>
      <c r="D1" s="390" t="s">
        <v>1255</v>
      </c>
      <c r="E1" s="390"/>
      <c r="F1" s="390"/>
      <c r="G1" s="390"/>
      <c r="H1" s="390"/>
      <c r="I1" s="390"/>
      <c r="J1" s="390"/>
      <c r="K1" s="390"/>
      <c r="L1" s="390"/>
      <c r="M1" s="390"/>
      <c r="N1" s="390"/>
      <c r="O1" s="390"/>
      <c r="P1" s="390" t="s">
        <v>1256</v>
      </c>
      <c r="Q1" s="390"/>
      <c r="R1" s="390"/>
      <c r="S1" s="390"/>
      <c r="T1" s="390"/>
      <c r="U1" s="390"/>
      <c r="V1" s="390"/>
      <c r="W1" s="390"/>
      <c r="X1" s="390"/>
      <c r="Y1" s="390"/>
      <c r="Z1" s="390"/>
      <c r="AA1" s="390"/>
      <c r="AB1" s="390" t="s">
        <v>1257</v>
      </c>
      <c r="AC1" s="390"/>
      <c r="AD1" s="390"/>
      <c r="AE1" s="390"/>
      <c r="AF1" s="390"/>
      <c r="AG1" s="390"/>
      <c r="AH1" s="390"/>
      <c r="AI1" s="390"/>
      <c r="AJ1" s="390"/>
      <c r="AK1" s="390"/>
      <c r="AL1" s="390"/>
      <c r="AM1" s="390"/>
      <c r="AN1" s="390" t="s">
        <v>1258</v>
      </c>
      <c r="AO1" s="390"/>
      <c r="AP1" s="390"/>
      <c r="AQ1" s="390"/>
      <c r="AR1" s="390"/>
      <c r="AS1" s="390"/>
      <c r="AT1" s="390"/>
      <c r="AU1" s="390"/>
      <c r="AV1" s="390"/>
      <c r="AW1" s="390"/>
      <c r="AX1" s="390"/>
      <c r="AY1" s="390"/>
      <c r="AZ1" s="390" t="s">
        <v>1259</v>
      </c>
      <c r="BA1" s="390"/>
      <c r="BB1" s="390"/>
      <c r="BC1" s="390"/>
      <c r="BD1" s="390"/>
      <c r="BE1" s="390"/>
      <c r="BF1" s="390"/>
      <c r="BG1" s="390"/>
      <c r="BH1" s="390"/>
      <c r="BI1" s="390"/>
      <c r="BJ1" s="390"/>
      <c r="BK1" s="390"/>
    </row>
    <row r="2" spans="2:63" x14ac:dyDescent="0.15">
      <c r="B2" s="135" t="s">
        <v>912</v>
      </c>
      <c r="C2" s="74" t="s">
        <v>1254</v>
      </c>
      <c r="D2" s="27" t="s">
        <v>1260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1030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466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-30175200</v>
      </c>
      <c r="H7" s="121">
        <f>'FIN-CASHFLOW_CWS'!H67</f>
        <v>-13342000.000000002</v>
      </c>
      <c r="I7" s="121">
        <f>'FIN-CASHFLOW_CWS'!I67</f>
        <v>-13242600.000000002</v>
      </c>
      <c r="J7" s="121">
        <f>'FIN-CASHFLOW_CWS'!J67</f>
        <v>-12352600</v>
      </c>
      <c r="K7" s="121">
        <f>'FIN-CASHFLOW_CWS'!K67</f>
        <v>-12272600</v>
      </c>
      <c r="L7" s="121">
        <f>'FIN-CASHFLOW_CWS'!L67</f>
        <v>-12272600</v>
      </c>
      <c r="M7" s="121">
        <f>'FIN-CASHFLOW_CWS'!M67</f>
        <v>-12272600</v>
      </c>
      <c r="N7" s="121">
        <f>'FIN-CASHFLOW_CWS'!N67</f>
        <v>-12272600</v>
      </c>
      <c r="O7" s="121">
        <f>'FIN-CASHFLOW_CWS'!O67</f>
        <v>-12546700</v>
      </c>
      <c r="P7" s="121">
        <f>'FIN-CASHFLOW_CWS'!P67</f>
        <v>-14282200</v>
      </c>
      <c r="Q7" s="70">
        <f>'FIN-CASHFLOW_CWS'!Q67</f>
        <v>-10698000</v>
      </c>
      <c r="R7" s="121">
        <f>'FIN-CASHFLOW_CWS'!R67</f>
        <v>-9504095</v>
      </c>
      <c r="S7" s="121">
        <f>'FIN-CASHFLOW_CWS'!S67</f>
        <v>-8504095</v>
      </c>
      <c r="T7" s="121">
        <f>'FIN-CASHFLOW_CWS'!T67</f>
        <v>-8504095</v>
      </c>
      <c r="U7" s="121">
        <f>'FIN-CASHFLOW_CWS'!U67</f>
        <v>-8504095</v>
      </c>
      <c r="V7" s="70">
        <f>'FIN-CASHFLOW_CWS'!V67</f>
        <v>-8504095</v>
      </c>
      <c r="W7" s="121">
        <f>'FIN-CASHFLOW_CWS'!W67</f>
        <v>-8504095</v>
      </c>
      <c r="X7" s="121">
        <f>'FIN-CASHFLOW_CWS'!X67</f>
        <v>-8504095</v>
      </c>
      <c r="Y7" s="121">
        <f>'FIN-CASHFLOW_CWS'!Y67</f>
        <v>-8504095</v>
      </c>
      <c r="Z7" s="121">
        <f>'FIN-CASHFLOW_CWS'!Z67</f>
        <v>-8504095</v>
      </c>
      <c r="AA7" s="121">
        <f>'FIN-CASHFLOW_CWS'!AA67</f>
        <v>-12088295</v>
      </c>
      <c r="AB7" s="121">
        <f>'FIN-CASHFLOW_CWS'!AB67</f>
        <v>-9971365.2999999989</v>
      </c>
      <c r="AC7" s="121">
        <f>'FIN-CASHFLOW_CWS'!AC67</f>
        <v>-1524862.25</v>
      </c>
      <c r="AD7" s="121">
        <f>'FIN-CASHFLOW_CWS'!AD67</f>
        <v>1296172.4499999993</v>
      </c>
      <c r="AE7" s="121">
        <f>'FIN-CASHFLOW_CWS'!AE67</f>
        <v>1296172.4499999993</v>
      </c>
      <c r="AF7" s="121">
        <f>'FIN-CASHFLOW_CWS'!AF67</f>
        <v>1296172.4499999993</v>
      </c>
      <c r="AG7" s="121">
        <f>'FIN-CASHFLOW_CWS'!AG67</f>
        <v>1296172.4499999993</v>
      </c>
      <c r="AH7" s="121">
        <f>'FIN-CASHFLOW_CWS'!AH67</f>
        <v>1296172.4499999993</v>
      </c>
      <c r="AI7" s="121">
        <f>'FIN-CASHFLOW_CWS'!AI67</f>
        <v>1296172.4499999993</v>
      </c>
      <c r="AJ7" s="121">
        <f>'FIN-CASHFLOW_CWS'!AJ67</f>
        <v>1296172.4499999993</v>
      </c>
      <c r="AK7" s="121">
        <f>'FIN-CASHFLOW_CWS'!AK67</f>
        <v>1296172.4499999993</v>
      </c>
      <c r="AL7" s="121">
        <f>'FIN-CASHFLOW_CWS'!AL67</f>
        <v>1296172.4499999993</v>
      </c>
      <c r="AM7" s="121">
        <f>'FIN-CASHFLOW_CWS'!AM67</f>
        <v>-7160062.2499999963</v>
      </c>
      <c r="AN7" s="121">
        <f>'FIN-CASHFLOW_CWS'!AN67</f>
        <v>-4356139.0734999962</v>
      </c>
      <c r="AO7" s="121">
        <f>'FIN-CASHFLOW_CWS'!AO67</f>
        <v>8247778.1770000085</v>
      </c>
      <c r="AP7" s="121">
        <f>'FIN-CASHFLOW_CWS'!AP67</f>
        <v>12448063.058000013</v>
      </c>
      <c r="AQ7" s="121">
        <f>'FIN-CASHFLOW_CWS'!AQ67</f>
        <v>12448063.058000013</v>
      </c>
      <c r="AR7" s="121">
        <f>'FIN-CASHFLOW_CWS'!AR67</f>
        <v>12448063.058000013</v>
      </c>
      <c r="AS7" s="121">
        <f>'FIN-CASHFLOW_CWS'!AS67</f>
        <v>12448063.058000013</v>
      </c>
      <c r="AT7" s="121">
        <f>'FIN-CASHFLOW_CWS'!AT67</f>
        <v>12448063.058000013</v>
      </c>
      <c r="AU7" s="121">
        <f>'FIN-CASHFLOW_CWS'!AU67</f>
        <v>12448063.058000013</v>
      </c>
      <c r="AV7" s="121">
        <f>'FIN-CASHFLOW_CWS'!AV67</f>
        <v>12448063.058000013</v>
      </c>
      <c r="AW7" s="121">
        <f>'FIN-CASHFLOW_CWS'!AW67</f>
        <v>12448063.058000013</v>
      </c>
      <c r="AX7" s="121">
        <f>'FIN-CASHFLOW_CWS'!AX67</f>
        <v>12448063.058000013</v>
      </c>
      <c r="AY7" s="121">
        <f>'FIN-CASHFLOW_CWS'!AY67</f>
        <v>-155854.19249999151</v>
      </c>
      <c r="AZ7" s="121">
        <f>'FIN-CASHFLOW_CWS'!AZ67</f>
        <v>-6790463.8352000043</v>
      </c>
      <c r="BA7" s="121">
        <f>'FIN-CASHFLOW_CWS'!BA67</f>
        <v>5203496.3908450045</v>
      </c>
      <c r="BB7" s="121">
        <f>'FIN-CASHFLOW_CWS'!BB67</f>
        <v>9188355.4184700064</v>
      </c>
      <c r="BC7" s="121">
        <f>'FIN-CASHFLOW_CWS'!BC67</f>
        <v>9188355.4184700064</v>
      </c>
      <c r="BD7" s="121">
        <f>'FIN-CASHFLOW_CWS'!BD67</f>
        <v>9188355.4184700064</v>
      </c>
      <c r="BE7" s="121">
        <f>'FIN-CASHFLOW_CWS'!BE67</f>
        <v>9188355.4184700064</v>
      </c>
      <c r="BF7" s="121">
        <f>'FIN-CASHFLOW_CWS'!BF67</f>
        <v>9188355.4184700064</v>
      </c>
      <c r="BG7" s="121">
        <f>'FIN-CASHFLOW_CWS'!BG67</f>
        <v>9188355.4184700064</v>
      </c>
      <c r="BH7" s="121">
        <f>'FIN-CASHFLOW_CWS'!BH67</f>
        <v>9188355.4184700064</v>
      </c>
      <c r="BI7" s="121">
        <f>'FIN-CASHFLOW_CWS'!BI67</f>
        <v>9188355.4184700064</v>
      </c>
      <c r="BJ7" s="121">
        <f>'FIN-CASHFLOW_CWS'!BJ67</f>
        <v>9188355.4184700064</v>
      </c>
      <c r="BK7" s="121">
        <f>'FIN-CASHFLOW_CWS'!BK67</f>
        <v>-2785452.4399799965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468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-30175200</v>
      </c>
      <c r="I9" s="121">
        <f>'FIN-CASHFLOW_CWS'!I69</f>
        <v>-43517200</v>
      </c>
      <c r="J9" s="121">
        <f>'FIN-CASHFLOW_CWS'!J69</f>
        <v>-56759800</v>
      </c>
      <c r="K9" s="121">
        <f>'FIN-CASHFLOW_CWS'!K69</f>
        <v>-69112400</v>
      </c>
      <c r="L9" s="121">
        <f>'FIN-CASHFLOW_CWS'!L69</f>
        <v>-81385000</v>
      </c>
      <c r="M9" s="121">
        <f>'FIN-CASHFLOW_CWS'!M69</f>
        <v>-93657600</v>
      </c>
      <c r="N9" s="121">
        <f>'FIN-CASHFLOW_CWS'!N69</f>
        <v>-105930200</v>
      </c>
      <c r="O9" s="121">
        <f>'FIN-CASHFLOW_CWS'!O69</f>
        <v>-118202800</v>
      </c>
      <c r="P9" s="121">
        <f>'FIN-CASHFLOW_CWS'!P69</f>
        <v>-130749500</v>
      </c>
      <c r="Q9" s="121">
        <f>'FIN-CASHFLOW_CWS'!Q69</f>
        <v>-145031700</v>
      </c>
      <c r="R9" s="121">
        <f>'FIN-CASHFLOW_CWS'!R69</f>
        <v>-155729700</v>
      </c>
      <c r="S9" s="121">
        <f>'FIN-CASHFLOW_CWS'!S69</f>
        <v>-165233795</v>
      </c>
      <c r="T9" s="121">
        <f>'FIN-CASHFLOW_CWS'!T69</f>
        <v>-173737890</v>
      </c>
      <c r="U9" s="121">
        <f>'FIN-CASHFLOW_CWS'!U69</f>
        <v>-182241985</v>
      </c>
      <c r="V9" s="121">
        <f>'FIN-CASHFLOW_CWS'!V69</f>
        <v>-190746080</v>
      </c>
      <c r="W9" s="121">
        <f>'FIN-CASHFLOW_CWS'!W69</f>
        <v>-199250175</v>
      </c>
      <c r="X9" s="121">
        <f>'FIN-CASHFLOW_CWS'!X69</f>
        <v>-207754270</v>
      </c>
      <c r="Y9" s="121">
        <f>'FIN-CASHFLOW_CWS'!Y69</f>
        <v>-216258365</v>
      </c>
      <c r="Z9" s="121">
        <f>'FIN-CASHFLOW_CWS'!Z69</f>
        <v>-224762460</v>
      </c>
      <c r="AA9" s="121">
        <f>'FIN-CASHFLOW_CWS'!AA69</f>
        <v>-233266555</v>
      </c>
      <c r="AB9" s="121">
        <f>'FIN-CASHFLOW_CWS'!AB69</f>
        <v>-245354850</v>
      </c>
      <c r="AC9" s="121">
        <f>'FIN-CASHFLOW_CWS'!AC69</f>
        <v>-255326215.30000001</v>
      </c>
      <c r="AD9" s="121">
        <f>'FIN-CASHFLOW_CWS'!AD69</f>
        <v>-256851077.55000001</v>
      </c>
      <c r="AE9" s="121">
        <f>'FIN-CASHFLOW_CWS'!AE69</f>
        <v>-255554905.10000002</v>
      </c>
      <c r="AF9" s="121">
        <f>'FIN-CASHFLOW_CWS'!AF69</f>
        <v>-254258732.65000004</v>
      </c>
      <c r="AG9" s="121">
        <f>'FIN-CASHFLOW_CWS'!AG69</f>
        <v>-252962560.20000005</v>
      </c>
      <c r="AH9" s="121">
        <f>'FIN-CASHFLOW_CWS'!AH69</f>
        <v>-251666387.75000006</v>
      </c>
      <c r="AI9" s="121">
        <f>'FIN-CASHFLOW_CWS'!AI69</f>
        <v>-250370215.30000007</v>
      </c>
      <c r="AJ9" s="121">
        <f>'FIN-CASHFLOW_CWS'!AJ69</f>
        <v>-249074042.85000008</v>
      </c>
      <c r="AK9" s="121">
        <f>'FIN-CASHFLOW_CWS'!AK69</f>
        <v>-247777870.4000001</v>
      </c>
      <c r="AL9" s="121">
        <f>'FIN-CASHFLOW_CWS'!AL69</f>
        <v>-246481697.95000011</v>
      </c>
      <c r="AM9" s="121">
        <f>'FIN-CASHFLOW_CWS'!AM69</f>
        <v>-245185525.50000012</v>
      </c>
      <c r="AN9" s="121">
        <f>'FIN-CASHFLOW_CWS'!AN69</f>
        <v>-252345587.75000012</v>
      </c>
      <c r="AO9" s="121">
        <f>'FIN-CASHFLOW_CWS'!AO69</f>
        <v>-256701726.82350013</v>
      </c>
      <c r="AP9" s="121">
        <f>'FIN-CASHFLOW_CWS'!AP69</f>
        <v>-248453948.64650011</v>
      </c>
      <c r="AQ9" s="121">
        <f>'FIN-CASHFLOW_CWS'!AQ69</f>
        <v>-236005885.58850008</v>
      </c>
      <c r="AR9" s="121">
        <f>'FIN-CASHFLOW_CWS'!AR69</f>
        <v>-223557822.53050005</v>
      </c>
      <c r="AS9" s="121">
        <f>'FIN-CASHFLOW_CWS'!AS69</f>
        <v>-211109759.47250003</v>
      </c>
      <c r="AT9" s="121">
        <f>'FIN-CASHFLOW_CWS'!AT69</f>
        <v>-198661696.4145</v>
      </c>
      <c r="AU9" s="121">
        <f>'FIN-CASHFLOW_CWS'!AU69</f>
        <v>-186213633.35649997</v>
      </c>
      <c r="AV9" s="121">
        <f>'FIN-CASHFLOW_CWS'!AV69</f>
        <v>-173765570.29849994</v>
      </c>
      <c r="AW9" s="121">
        <f>'FIN-CASHFLOW_CWS'!AW69</f>
        <v>-161317507.24049991</v>
      </c>
      <c r="AX9" s="121">
        <f>'FIN-CASHFLOW_CWS'!AX69</f>
        <v>-148869444.18249989</v>
      </c>
      <c r="AY9" s="121">
        <f>'FIN-CASHFLOW_CWS'!AY69</f>
        <v>-136421381.12449986</v>
      </c>
      <c r="AZ9" s="121">
        <f>'FIN-CASHFLOW_CWS'!AZ69</f>
        <v>-136577235.31699985</v>
      </c>
      <c r="BA9" s="121">
        <f>'FIN-CASHFLOW_CWS'!BA69</f>
        <v>-143367699.15219986</v>
      </c>
      <c r="BB9" s="121">
        <f>'FIN-CASHFLOW_CWS'!BB69</f>
        <v>-138164202.76135486</v>
      </c>
      <c r="BC9" s="121">
        <f>'FIN-CASHFLOW_CWS'!BC69</f>
        <v>-128975847.34288485</v>
      </c>
      <c r="BD9" s="121">
        <f>'FIN-CASHFLOW_CWS'!BD69</f>
        <v>-119787491.92441484</v>
      </c>
      <c r="BE9" s="121">
        <f>'FIN-CASHFLOW_CWS'!BE69</f>
        <v>-110599136.50594483</v>
      </c>
      <c r="BF9" s="121">
        <f>'FIN-CASHFLOW_CWS'!BF69</f>
        <v>-101410781.08747482</v>
      </c>
      <c r="BG9" s="121">
        <f>'FIN-CASHFLOW_CWS'!BG69</f>
        <v>-92222425.669004813</v>
      </c>
      <c r="BH9" s="121">
        <f>'FIN-CASHFLOW_CWS'!BH69</f>
        <v>-83034070.250534803</v>
      </c>
      <c r="BI9" s="121">
        <f>'FIN-CASHFLOW_CWS'!BI69</f>
        <v>-73845714.832064793</v>
      </c>
      <c r="BJ9" s="121">
        <f>'FIN-CASHFLOW_CWS'!BJ69</f>
        <v>-64657359.413594782</v>
      </c>
      <c r="BK9" s="121">
        <f>'FIN-CASHFLOW_CWS'!BK69</f>
        <v>-55469003.995124772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467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-30175200</v>
      </c>
      <c r="H11" s="70">
        <f>'FIN-CASHFLOW_CWS'!H70</f>
        <v>-43517200</v>
      </c>
      <c r="I11" s="70">
        <f>'FIN-CASHFLOW_CWS'!I70</f>
        <v>-56759800</v>
      </c>
      <c r="J11" s="121">
        <f>'FIN-CASHFLOW_CWS'!J70</f>
        <v>-69112400</v>
      </c>
      <c r="K11" s="121">
        <f>'FIN-CASHFLOW_CWS'!K70</f>
        <v>-81385000</v>
      </c>
      <c r="L11" s="121">
        <f>'FIN-CASHFLOW_CWS'!L70</f>
        <v>-93657600</v>
      </c>
      <c r="M11" s="121">
        <f>'FIN-CASHFLOW_CWS'!M70</f>
        <v>-105930200</v>
      </c>
      <c r="N11" s="70">
        <f>'FIN-CASHFLOW_CWS'!N70</f>
        <v>-118202800</v>
      </c>
      <c r="O11" s="121">
        <f>'FIN-CASHFLOW_CWS'!O70</f>
        <v>-130749500</v>
      </c>
      <c r="P11" s="121">
        <f>'FIN-CASHFLOW_CWS'!P70</f>
        <v>-145031700</v>
      </c>
      <c r="Q11" s="70">
        <f>'FIN-CASHFLOW_CWS'!Q70</f>
        <v>-155729700</v>
      </c>
      <c r="R11" s="121">
        <f>'FIN-CASHFLOW_CWS'!R70</f>
        <v>-165233795</v>
      </c>
      <c r="S11" s="121">
        <f>'FIN-CASHFLOW_CWS'!S70</f>
        <v>-173737890</v>
      </c>
      <c r="T11" s="121">
        <f>'FIN-CASHFLOW_CWS'!T70</f>
        <v>-182241985</v>
      </c>
      <c r="U11" s="121">
        <f>'FIN-CASHFLOW_CWS'!U70</f>
        <v>-190746080</v>
      </c>
      <c r="V11" s="121">
        <f>'FIN-CASHFLOW_CWS'!V70</f>
        <v>-199250175</v>
      </c>
      <c r="W11" s="121">
        <f>'FIN-CASHFLOW_CWS'!W70</f>
        <v>-207754270</v>
      </c>
      <c r="X11" s="121">
        <f>'FIN-CASHFLOW_CWS'!X70</f>
        <v>-216258365</v>
      </c>
      <c r="Y11" s="121">
        <f>'FIN-CASHFLOW_CWS'!Y70</f>
        <v>-224762460</v>
      </c>
      <c r="Z11" s="121">
        <f>'FIN-CASHFLOW_CWS'!Z70</f>
        <v>-233266555</v>
      </c>
      <c r="AA11" s="121">
        <f>'FIN-CASHFLOW_CWS'!AA70</f>
        <v>-245354850</v>
      </c>
      <c r="AB11" s="121">
        <f>'FIN-CASHFLOW_CWS'!AB70</f>
        <v>-255326215.30000001</v>
      </c>
      <c r="AC11" s="121">
        <f>'FIN-CASHFLOW_CWS'!AC70</f>
        <v>-256851077.55000001</v>
      </c>
      <c r="AD11" s="121">
        <f>'FIN-CASHFLOW_CWS'!AD70</f>
        <v>-255554905.10000002</v>
      </c>
      <c r="AE11" s="121">
        <f>'FIN-CASHFLOW_CWS'!AE70</f>
        <v>-254258732.65000004</v>
      </c>
      <c r="AF11" s="70">
        <f>'FIN-CASHFLOW_CWS'!AF70</f>
        <v>-252962560.20000005</v>
      </c>
      <c r="AG11" s="121">
        <f>'FIN-CASHFLOW_CWS'!AG70</f>
        <v>-251666387.75000006</v>
      </c>
      <c r="AH11" s="121">
        <f>'FIN-CASHFLOW_CWS'!AH70</f>
        <v>-250370215.30000007</v>
      </c>
      <c r="AI11" s="121">
        <f>'FIN-CASHFLOW_CWS'!AI70</f>
        <v>-249074042.85000008</v>
      </c>
      <c r="AJ11" s="121">
        <f>'FIN-CASHFLOW_CWS'!AJ70</f>
        <v>-247777870.4000001</v>
      </c>
      <c r="AK11" s="121">
        <f>'FIN-CASHFLOW_CWS'!AK70</f>
        <v>-246481697.95000011</v>
      </c>
      <c r="AL11" s="121">
        <f>'FIN-CASHFLOW_CWS'!AL70</f>
        <v>-245185525.50000012</v>
      </c>
      <c r="AM11" s="121">
        <f>'FIN-CASHFLOW_CWS'!AM70</f>
        <v>-252345587.75000012</v>
      </c>
      <c r="AN11" s="121">
        <f>'FIN-CASHFLOW_CWS'!AN70</f>
        <v>-256701726.82350013</v>
      </c>
      <c r="AO11" s="121">
        <f>'FIN-CASHFLOW_CWS'!AO70</f>
        <v>-248453948.64650011</v>
      </c>
      <c r="AP11" s="121">
        <f>'FIN-CASHFLOW_CWS'!AP70</f>
        <v>-236005885.58850008</v>
      </c>
      <c r="AQ11" s="121">
        <f>'FIN-CASHFLOW_CWS'!AQ70</f>
        <v>-223557822.53050005</v>
      </c>
      <c r="AR11" s="121">
        <f>'FIN-CASHFLOW_CWS'!AR70</f>
        <v>-211109759.47250003</v>
      </c>
      <c r="AS11" s="121">
        <f>'FIN-CASHFLOW_CWS'!AS70</f>
        <v>-198661696.4145</v>
      </c>
      <c r="AT11" s="121">
        <f>'FIN-CASHFLOW_CWS'!AT70</f>
        <v>-186213633.35649997</v>
      </c>
      <c r="AU11" s="121">
        <f>'FIN-CASHFLOW_CWS'!AU70</f>
        <v>-173765570.29849994</v>
      </c>
      <c r="AV11" s="121">
        <f>'FIN-CASHFLOW_CWS'!AV70</f>
        <v>-161317507.24049991</v>
      </c>
      <c r="AW11" s="121">
        <f>'FIN-CASHFLOW_CWS'!AW70</f>
        <v>-148869444.18249989</v>
      </c>
      <c r="AX11" s="121">
        <f>'FIN-CASHFLOW_CWS'!AX70</f>
        <v>-136421381.12449986</v>
      </c>
      <c r="AY11" s="121">
        <f>'FIN-CASHFLOW_CWS'!AY70</f>
        <v>-136577235.31699985</v>
      </c>
      <c r="AZ11" s="121">
        <f>'FIN-CASHFLOW_CWS'!AZ70</f>
        <v>-143367699.15219986</v>
      </c>
      <c r="BA11" s="121">
        <f>'FIN-CASHFLOW_CWS'!BA70</f>
        <v>-138164202.76135486</v>
      </c>
      <c r="BB11" s="121">
        <f>'FIN-CASHFLOW_CWS'!BB70</f>
        <v>-128975847.34288485</v>
      </c>
      <c r="BC11" s="121">
        <f>'FIN-CASHFLOW_CWS'!BC70</f>
        <v>-119787491.92441484</v>
      </c>
      <c r="BD11" s="121">
        <f>'FIN-CASHFLOW_CWS'!BD70</f>
        <v>-110599136.50594483</v>
      </c>
      <c r="BE11" s="121">
        <f>'FIN-CASHFLOW_CWS'!BE70</f>
        <v>-101410781.08747482</v>
      </c>
      <c r="BF11" s="121">
        <f>'FIN-CASHFLOW_CWS'!BF70</f>
        <v>-92222425.669004813</v>
      </c>
      <c r="BG11" s="121">
        <f>'FIN-CASHFLOW_CWS'!BG70</f>
        <v>-83034070.250534803</v>
      </c>
      <c r="BH11" s="121">
        <f>'FIN-CASHFLOW_CWS'!BH70</f>
        <v>-73845714.832064793</v>
      </c>
      <c r="BI11" s="121">
        <f>'FIN-CASHFLOW_CWS'!BI70</f>
        <v>-64657359.413594782</v>
      </c>
      <c r="BJ11" s="121">
        <f>'FIN-CASHFLOW_CWS'!BJ70</f>
        <v>-55469003.995124772</v>
      </c>
      <c r="BK11" s="121">
        <f>'FIN-CASHFLOW_CWS'!BK70</f>
        <v>-58254456.435104772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913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1030</v>
      </c>
      <c r="C15" s="121">
        <f ca="1">C30*-1</f>
        <v>69112400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86617300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89625150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466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-30175200</v>
      </c>
      <c r="H17" s="121">
        <f t="shared" ca="1" si="7"/>
        <v>-13342000.000000002</v>
      </c>
      <c r="I17" s="121">
        <f t="shared" ca="1" si="7"/>
        <v>-13242600.000000002</v>
      </c>
      <c r="J17" s="121">
        <f t="shared" ca="1" si="7"/>
        <v>-12352600</v>
      </c>
      <c r="K17" s="121">
        <f t="shared" ca="1" si="7"/>
        <v>74344700</v>
      </c>
      <c r="L17" s="121">
        <f t="shared" ca="1" si="7"/>
        <v>-12272600</v>
      </c>
      <c r="M17" s="121">
        <f t="shared" ca="1" si="7"/>
        <v>-12272600</v>
      </c>
      <c r="N17" s="121">
        <f t="shared" ca="1" si="7"/>
        <v>-12272600</v>
      </c>
      <c r="O17" s="121">
        <f t="shared" ca="1" si="7"/>
        <v>-12546700</v>
      </c>
      <c r="P17" s="121">
        <f t="shared" ca="1" si="7"/>
        <v>-14282200</v>
      </c>
      <c r="Q17" s="121">
        <f t="shared" ca="1" si="7"/>
        <v>-10698000</v>
      </c>
      <c r="R17" s="121">
        <f t="shared" ca="1" si="7"/>
        <v>80121055</v>
      </c>
      <c r="S17" s="121">
        <f t="shared" ca="1" si="7"/>
        <v>-8504095</v>
      </c>
      <c r="T17" s="121">
        <f t="shared" ca="1" si="7"/>
        <v>-8504095</v>
      </c>
      <c r="U17" s="121">
        <f t="shared" ca="1" si="7"/>
        <v>-8504095</v>
      </c>
      <c r="V17" s="121">
        <f t="shared" ca="1" si="7"/>
        <v>-8504095</v>
      </c>
      <c r="W17" s="121">
        <f t="shared" ca="1" si="7"/>
        <v>-8504095</v>
      </c>
      <c r="X17" s="121">
        <f t="shared" ca="1" si="7"/>
        <v>-8504095</v>
      </c>
      <c r="Y17" s="121">
        <f t="shared" ca="1" si="7"/>
        <v>-8504095</v>
      </c>
      <c r="Z17" s="121">
        <f t="shared" ca="1" si="7"/>
        <v>-8504095</v>
      </c>
      <c r="AA17" s="121">
        <f t="shared" ca="1" si="7"/>
        <v>-12088295</v>
      </c>
      <c r="AB17" s="121">
        <f t="shared" ca="1" si="7"/>
        <v>-9971365.2999999989</v>
      </c>
      <c r="AC17" s="121">
        <f t="shared" ca="1" si="7"/>
        <v>-1524862.25</v>
      </c>
      <c r="AD17" s="121">
        <f t="shared" ca="1" si="7"/>
        <v>1296172.4499999993</v>
      </c>
      <c r="AE17" s="121">
        <f t="shared" ca="1" si="7"/>
        <v>1296172.4499999993</v>
      </c>
      <c r="AF17" s="121">
        <f t="shared" ca="1" si="7"/>
        <v>1296172.4499999993</v>
      </c>
      <c r="AG17" s="121">
        <f t="shared" ca="1" si="7"/>
        <v>1296172.4499999993</v>
      </c>
      <c r="AH17" s="121">
        <f t="shared" ca="1" si="7"/>
        <v>1296172.4499999993</v>
      </c>
      <c r="AI17" s="121">
        <f t="shared" ca="1" si="7"/>
        <v>1296172.4499999993</v>
      </c>
      <c r="AJ17" s="121">
        <f t="shared" ref="AJ17:BK17" ca="1" si="8">AJ7+AJ15</f>
        <v>1296172.4499999993</v>
      </c>
      <c r="AK17" s="121">
        <f t="shared" ca="1" si="8"/>
        <v>1296172.4499999993</v>
      </c>
      <c r="AL17" s="121">
        <f t="shared" ca="1" si="8"/>
        <v>1296172.4499999993</v>
      </c>
      <c r="AM17" s="121">
        <f t="shared" ca="1" si="8"/>
        <v>-7160062.2499999963</v>
      </c>
      <c r="AN17" s="121">
        <f t="shared" ca="1" si="8"/>
        <v>-4356139.0734999962</v>
      </c>
      <c r="AO17" s="121">
        <f t="shared" ca="1" si="8"/>
        <v>8247778.1770000085</v>
      </c>
      <c r="AP17" s="121">
        <f t="shared" ca="1" si="8"/>
        <v>12448063.058000013</v>
      </c>
      <c r="AQ17" s="121">
        <f t="shared" ca="1" si="8"/>
        <v>12448063.058000013</v>
      </c>
      <c r="AR17" s="121">
        <f t="shared" ca="1" si="8"/>
        <v>12448063.058000013</v>
      </c>
      <c r="AS17" s="121">
        <f t="shared" ca="1" si="8"/>
        <v>12448063.058000013</v>
      </c>
      <c r="AT17" s="121">
        <f t="shared" ca="1" si="8"/>
        <v>12448063.058000013</v>
      </c>
      <c r="AU17" s="121">
        <f t="shared" ca="1" si="8"/>
        <v>12448063.058000013</v>
      </c>
      <c r="AV17" s="121">
        <f t="shared" ca="1" si="8"/>
        <v>12448063.058000013</v>
      </c>
      <c r="AW17" s="121">
        <f t="shared" ca="1" si="8"/>
        <v>12448063.058000013</v>
      </c>
      <c r="AX17" s="121">
        <f t="shared" ca="1" si="8"/>
        <v>12448063.058000013</v>
      </c>
      <c r="AY17" s="121">
        <f t="shared" ca="1" si="8"/>
        <v>-155854.19249999151</v>
      </c>
      <c r="AZ17" s="121">
        <f t="shared" ca="1" si="8"/>
        <v>-6790463.8352000043</v>
      </c>
      <c r="BA17" s="121">
        <f t="shared" ca="1" si="8"/>
        <v>5203496.3908450045</v>
      </c>
      <c r="BB17" s="121">
        <f t="shared" ca="1" si="8"/>
        <v>9188355.4184700064</v>
      </c>
      <c r="BC17" s="121">
        <f t="shared" ca="1" si="8"/>
        <v>9188355.4184700064</v>
      </c>
      <c r="BD17" s="121">
        <f t="shared" ca="1" si="8"/>
        <v>9188355.4184700064</v>
      </c>
      <c r="BE17" s="121">
        <f t="shared" ca="1" si="8"/>
        <v>9188355.4184700064</v>
      </c>
      <c r="BF17" s="121">
        <f t="shared" ca="1" si="8"/>
        <v>9188355.4184700064</v>
      </c>
      <c r="BG17" s="121">
        <f t="shared" ca="1" si="8"/>
        <v>9188355.4184700064</v>
      </c>
      <c r="BH17" s="121">
        <f t="shared" ca="1" si="8"/>
        <v>9188355.4184700064</v>
      </c>
      <c r="BI17" s="121">
        <f t="shared" ca="1" si="8"/>
        <v>9188355.4184700064</v>
      </c>
      <c r="BJ17" s="121">
        <f t="shared" ca="1" si="8"/>
        <v>9188355.4184700064</v>
      </c>
      <c r="BK17" s="121">
        <f t="shared" ca="1" si="8"/>
        <v>-2785452.4399799965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468</v>
      </c>
      <c r="C19" s="121">
        <f ca="1">C15</f>
        <v>69112400</v>
      </c>
      <c r="D19" s="121">
        <f t="shared" ref="D19:AI19" ca="1" si="9">C20</f>
        <v>69112400</v>
      </c>
      <c r="E19" s="121">
        <f t="shared" ca="1" si="9"/>
        <v>69112400</v>
      </c>
      <c r="F19" s="121">
        <f t="shared" ca="1" si="9"/>
        <v>69112400</v>
      </c>
      <c r="G19" s="121">
        <f t="shared" ca="1" si="9"/>
        <v>69112400</v>
      </c>
      <c r="H19" s="121">
        <f t="shared" ca="1" si="9"/>
        <v>38937200</v>
      </c>
      <c r="I19" s="121">
        <f t="shared" ca="1" si="9"/>
        <v>25595200</v>
      </c>
      <c r="J19" s="121">
        <f t="shared" ca="1" si="9"/>
        <v>12352599.999999998</v>
      </c>
      <c r="K19" s="121">
        <f t="shared" ca="1" si="9"/>
        <v>0</v>
      </c>
      <c r="L19" s="121">
        <f t="shared" ca="1" si="9"/>
        <v>74344700</v>
      </c>
      <c r="M19" s="121">
        <f t="shared" ca="1" si="9"/>
        <v>62072100</v>
      </c>
      <c r="N19" s="121">
        <f t="shared" ca="1" si="9"/>
        <v>49799500</v>
      </c>
      <c r="O19" s="121">
        <f t="shared" ca="1" si="9"/>
        <v>37526900</v>
      </c>
      <c r="P19" s="121">
        <f t="shared" ca="1" si="9"/>
        <v>24980200</v>
      </c>
      <c r="Q19" s="121">
        <f t="shared" ca="1" si="9"/>
        <v>10698000</v>
      </c>
      <c r="R19" s="121">
        <f t="shared" ca="1" si="9"/>
        <v>0</v>
      </c>
      <c r="S19" s="121">
        <f t="shared" ca="1" si="9"/>
        <v>80121055</v>
      </c>
      <c r="T19" s="121">
        <f t="shared" ca="1" si="9"/>
        <v>71616960</v>
      </c>
      <c r="U19" s="121">
        <f t="shared" ca="1" si="9"/>
        <v>63112865</v>
      </c>
      <c r="V19" s="121">
        <f t="shared" ca="1" si="9"/>
        <v>54608770</v>
      </c>
      <c r="W19" s="121">
        <f t="shared" ca="1" si="9"/>
        <v>46104675</v>
      </c>
      <c r="X19" s="121">
        <f t="shared" ca="1" si="9"/>
        <v>37600580</v>
      </c>
      <c r="Y19" s="121">
        <f t="shared" ca="1" si="9"/>
        <v>29096485</v>
      </c>
      <c r="Z19" s="121">
        <f t="shared" ca="1" si="9"/>
        <v>20592390</v>
      </c>
      <c r="AA19" s="121">
        <f t="shared" ca="1" si="9"/>
        <v>12088295</v>
      </c>
      <c r="AB19" s="121">
        <f t="shared" ca="1" si="9"/>
        <v>0</v>
      </c>
      <c r="AC19" s="121">
        <f t="shared" ca="1" si="9"/>
        <v>-9971365.2999999989</v>
      </c>
      <c r="AD19" s="121">
        <f t="shared" ca="1" si="9"/>
        <v>-11496227.549999999</v>
      </c>
      <c r="AE19" s="121">
        <f t="shared" ca="1" si="9"/>
        <v>-10200055.1</v>
      </c>
      <c r="AF19" s="121">
        <f t="shared" ca="1" si="9"/>
        <v>-8903882.6500000004</v>
      </c>
      <c r="AG19" s="121">
        <f t="shared" ca="1" si="9"/>
        <v>-7607710.2000000011</v>
      </c>
      <c r="AH19" s="121">
        <f t="shared" ca="1" si="9"/>
        <v>-6311537.7500000019</v>
      </c>
      <c r="AI19" s="121">
        <f t="shared" ca="1" si="9"/>
        <v>-5015365.3000000026</v>
      </c>
      <c r="AJ19" s="121">
        <f t="shared" ref="AJ19:BK19" ca="1" si="10">AI20</f>
        <v>-3719192.8500000034</v>
      </c>
      <c r="AK19" s="121">
        <f t="shared" ca="1" si="10"/>
        <v>-2423020.4000000041</v>
      </c>
      <c r="AL19" s="121">
        <f t="shared" ca="1" si="10"/>
        <v>-1126847.9500000048</v>
      </c>
      <c r="AM19" s="121">
        <f t="shared" ca="1" si="10"/>
        <v>169324.49999999441</v>
      </c>
      <c r="AN19" s="121">
        <f t="shared" ca="1" si="10"/>
        <v>-6990737.7500000019</v>
      </c>
      <c r="AO19" s="121">
        <f t="shared" ca="1" si="10"/>
        <v>-11346876.823499998</v>
      </c>
      <c r="AP19" s="121">
        <f t="shared" ca="1" si="10"/>
        <v>-3099098.6464999896</v>
      </c>
      <c r="AQ19" s="121">
        <f t="shared" ca="1" si="10"/>
        <v>9348964.4115000237</v>
      </c>
      <c r="AR19" s="121">
        <f t="shared" ca="1" si="10"/>
        <v>21797027.469500035</v>
      </c>
      <c r="AS19" s="121">
        <f t="shared" ca="1" si="10"/>
        <v>34245090.527500048</v>
      </c>
      <c r="AT19" s="121">
        <f t="shared" ca="1" si="10"/>
        <v>46693153.585500062</v>
      </c>
      <c r="AU19" s="121">
        <f t="shared" ca="1" si="10"/>
        <v>59141216.643500075</v>
      </c>
      <c r="AV19" s="121">
        <f t="shared" ca="1" si="10"/>
        <v>71589279.701500088</v>
      </c>
      <c r="AW19" s="121">
        <f t="shared" ca="1" si="10"/>
        <v>84037342.759500101</v>
      </c>
      <c r="AX19" s="121">
        <f t="shared" ca="1" si="10"/>
        <v>96485405.817500114</v>
      </c>
      <c r="AY19" s="121">
        <f t="shared" ca="1" si="10"/>
        <v>108933468.87550013</v>
      </c>
      <c r="AZ19" s="121">
        <f t="shared" ca="1" si="10"/>
        <v>108777614.68300013</v>
      </c>
      <c r="BA19" s="121">
        <f t="shared" ca="1" si="10"/>
        <v>101987150.84780014</v>
      </c>
      <c r="BB19" s="121">
        <f t="shared" ca="1" si="10"/>
        <v>107190647.23864514</v>
      </c>
      <c r="BC19" s="121">
        <f t="shared" ca="1" si="10"/>
        <v>116379002.65711515</v>
      </c>
      <c r="BD19" s="121">
        <f t="shared" ca="1" si="10"/>
        <v>125567358.07558516</v>
      </c>
      <c r="BE19" s="121">
        <f t="shared" ca="1" si="10"/>
        <v>134755713.49405515</v>
      </c>
      <c r="BF19" s="121">
        <f t="shared" ca="1" si="10"/>
        <v>143944068.91252515</v>
      </c>
      <c r="BG19" s="121">
        <f t="shared" ca="1" si="10"/>
        <v>153132424.33099514</v>
      </c>
      <c r="BH19" s="121">
        <f t="shared" ca="1" si="10"/>
        <v>162320779.74946514</v>
      </c>
      <c r="BI19" s="121">
        <f t="shared" ca="1" si="10"/>
        <v>171509135.16793513</v>
      </c>
      <c r="BJ19" s="121">
        <f t="shared" ca="1" si="10"/>
        <v>180697490.58640513</v>
      </c>
      <c r="BK19" s="121">
        <f t="shared" ca="1" si="10"/>
        <v>189885846.00487512</v>
      </c>
    </row>
    <row r="20" spans="2:64" x14ac:dyDescent="0.15">
      <c r="B20" s="127" t="s">
        <v>467</v>
      </c>
      <c r="C20" s="121">
        <f ca="1">C15+C17</f>
        <v>69112400</v>
      </c>
      <c r="D20" s="121">
        <f t="shared" ref="D20:AI20" ca="1" si="11">D17+D19</f>
        <v>69112400</v>
      </c>
      <c r="E20" s="121">
        <f t="shared" ca="1" si="11"/>
        <v>69112400</v>
      </c>
      <c r="F20" s="121">
        <f t="shared" ca="1" si="11"/>
        <v>69112400</v>
      </c>
      <c r="G20" s="121">
        <f t="shared" ca="1" si="11"/>
        <v>38937200</v>
      </c>
      <c r="H20" s="121">
        <f t="shared" ca="1" si="11"/>
        <v>25595200</v>
      </c>
      <c r="I20" s="121">
        <f t="shared" ca="1" si="11"/>
        <v>12352599.999999998</v>
      </c>
      <c r="J20" s="121">
        <f t="shared" ca="1" si="11"/>
        <v>0</v>
      </c>
      <c r="K20" s="121">
        <f t="shared" ca="1" si="11"/>
        <v>74344700</v>
      </c>
      <c r="L20" s="121">
        <f t="shared" ca="1" si="11"/>
        <v>62072100</v>
      </c>
      <c r="M20" s="121">
        <f t="shared" ca="1" si="11"/>
        <v>49799500</v>
      </c>
      <c r="N20" s="121">
        <f t="shared" ca="1" si="11"/>
        <v>37526900</v>
      </c>
      <c r="O20" s="121">
        <f t="shared" ca="1" si="11"/>
        <v>24980200</v>
      </c>
      <c r="P20" s="121">
        <f t="shared" ca="1" si="11"/>
        <v>10698000</v>
      </c>
      <c r="Q20" s="121">
        <f t="shared" ca="1" si="11"/>
        <v>0</v>
      </c>
      <c r="R20" s="121">
        <f t="shared" ca="1" si="11"/>
        <v>80121055</v>
      </c>
      <c r="S20" s="121">
        <f t="shared" ca="1" si="11"/>
        <v>71616960</v>
      </c>
      <c r="T20" s="121">
        <f t="shared" ca="1" si="11"/>
        <v>63112865</v>
      </c>
      <c r="U20" s="121">
        <f t="shared" ca="1" si="11"/>
        <v>54608770</v>
      </c>
      <c r="V20" s="121">
        <f t="shared" ca="1" si="11"/>
        <v>46104675</v>
      </c>
      <c r="W20" s="121">
        <f t="shared" ca="1" si="11"/>
        <v>37600580</v>
      </c>
      <c r="X20" s="121">
        <f t="shared" ca="1" si="11"/>
        <v>29096485</v>
      </c>
      <c r="Y20" s="121">
        <f t="shared" ca="1" si="11"/>
        <v>20592390</v>
      </c>
      <c r="Z20" s="121">
        <f t="shared" ca="1" si="11"/>
        <v>12088295</v>
      </c>
      <c r="AA20" s="121">
        <f t="shared" ca="1" si="11"/>
        <v>0</v>
      </c>
      <c r="AB20" s="121">
        <f t="shared" ca="1" si="11"/>
        <v>-9971365.2999999989</v>
      </c>
      <c r="AC20" s="121">
        <f t="shared" ca="1" si="11"/>
        <v>-11496227.549999999</v>
      </c>
      <c r="AD20" s="121">
        <f t="shared" ca="1" si="11"/>
        <v>-10200055.1</v>
      </c>
      <c r="AE20" s="121">
        <f t="shared" ca="1" si="11"/>
        <v>-8903882.6500000004</v>
      </c>
      <c r="AF20" s="121">
        <f t="shared" ca="1" si="11"/>
        <v>-7607710.2000000011</v>
      </c>
      <c r="AG20" s="121">
        <f t="shared" ca="1" si="11"/>
        <v>-6311537.7500000019</v>
      </c>
      <c r="AH20" s="121">
        <f t="shared" ca="1" si="11"/>
        <v>-5015365.3000000026</v>
      </c>
      <c r="AI20" s="121">
        <f t="shared" ca="1" si="11"/>
        <v>-3719192.8500000034</v>
      </c>
      <c r="AJ20" s="121">
        <f t="shared" ref="AJ20:BK20" ca="1" si="12">AJ17+AJ19</f>
        <v>-2423020.4000000041</v>
      </c>
      <c r="AK20" s="121">
        <f t="shared" ca="1" si="12"/>
        <v>-1126847.9500000048</v>
      </c>
      <c r="AL20" s="121">
        <f t="shared" ca="1" si="12"/>
        <v>169324.49999999441</v>
      </c>
      <c r="AM20" s="121">
        <f t="shared" ca="1" si="12"/>
        <v>-6990737.7500000019</v>
      </c>
      <c r="AN20" s="121">
        <f t="shared" ca="1" si="12"/>
        <v>-11346876.823499998</v>
      </c>
      <c r="AO20" s="121">
        <f t="shared" ca="1" si="12"/>
        <v>-3099098.6464999896</v>
      </c>
      <c r="AP20" s="121">
        <f t="shared" ca="1" si="12"/>
        <v>9348964.4115000237</v>
      </c>
      <c r="AQ20" s="121">
        <f t="shared" ca="1" si="12"/>
        <v>21797027.469500035</v>
      </c>
      <c r="AR20" s="121">
        <f t="shared" ca="1" si="12"/>
        <v>34245090.527500048</v>
      </c>
      <c r="AS20" s="121">
        <f t="shared" ca="1" si="12"/>
        <v>46693153.585500062</v>
      </c>
      <c r="AT20" s="121">
        <f t="shared" ca="1" si="12"/>
        <v>59141216.643500075</v>
      </c>
      <c r="AU20" s="121">
        <f t="shared" ca="1" si="12"/>
        <v>71589279.701500088</v>
      </c>
      <c r="AV20" s="121">
        <f t="shared" ca="1" si="12"/>
        <v>84037342.759500101</v>
      </c>
      <c r="AW20" s="121">
        <f t="shared" ca="1" si="12"/>
        <v>96485405.817500114</v>
      </c>
      <c r="AX20" s="121">
        <f t="shared" ca="1" si="12"/>
        <v>108933468.87550013</v>
      </c>
      <c r="AY20" s="121">
        <f t="shared" ca="1" si="12"/>
        <v>108777614.68300013</v>
      </c>
      <c r="AZ20" s="121">
        <f t="shared" ca="1" si="12"/>
        <v>101987150.84780014</v>
      </c>
      <c r="BA20" s="121">
        <f t="shared" ca="1" si="12"/>
        <v>107190647.23864514</v>
      </c>
      <c r="BB20" s="121">
        <f t="shared" ca="1" si="12"/>
        <v>116379002.65711515</v>
      </c>
      <c r="BC20" s="121">
        <f t="shared" ca="1" si="12"/>
        <v>125567358.07558516</v>
      </c>
      <c r="BD20" s="121">
        <f t="shared" ca="1" si="12"/>
        <v>134755713.49405515</v>
      </c>
      <c r="BE20" s="121">
        <f t="shared" ca="1" si="12"/>
        <v>143944068.91252515</v>
      </c>
      <c r="BF20" s="121">
        <f t="shared" ca="1" si="12"/>
        <v>153132424.33099514</v>
      </c>
      <c r="BG20" s="121">
        <f t="shared" ca="1" si="12"/>
        <v>162320779.74946514</v>
      </c>
      <c r="BH20" s="121">
        <f t="shared" ca="1" si="12"/>
        <v>171509135.16793513</v>
      </c>
      <c r="BI20" s="121">
        <f t="shared" ca="1" si="12"/>
        <v>180697490.58640513</v>
      </c>
      <c r="BJ20" s="121">
        <f t="shared" ca="1" si="12"/>
        <v>189885846.00487512</v>
      </c>
      <c r="BK20" s="121">
        <f t="shared" ca="1" si="12"/>
        <v>187100393.56489512</v>
      </c>
      <c r="BL20" s="130">
        <f ca="1">BK20-BK11</f>
        <v>245354849.99999988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942</v>
      </c>
      <c r="C23" s="75" t="s">
        <v>840</v>
      </c>
      <c r="D23" s="75" t="s">
        <v>1266</v>
      </c>
      <c r="E23" s="75" t="s">
        <v>1267</v>
      </c>
      <c r="F23" s="75" t="s">
        <v>836</v>
      </c>
      <c r="G23" s="75" t="s">
        <v>837</v>
      </c>
      <c r="L23" s="130"/>
      <c r="U23" s="130"/>
    </row>
    <row r="24" spans="2:64" x14ac:dyDescent="0.15">
      <c r="B24" s="136" t="s">
        <v>944</v>
      </c>
      <c r="C24" s="266" t="s">
        <v>1254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914</v>
      </c>
      <c r="C25" s="266" t="s">
        <v>1254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MarYR2</v>
      </c>
      <c r="F25" s="266" t="s">
        <v>1271</v>
      </c>
      <c r="L25" s="130"/>
    </row>
    <row r="26" spans="2:64" x14ac:dyDescent="0.15">
      <c r="B26" s="138" t="s">
        <v>915</v>
      </c>
      <c r="C26" s="381" t="s">
        <v>1273</v>
      </c>
      <c r="D26" s="381" t="s">
        <v>1274</v>
      </c>
      <c r="E26" s="381" t="s">
        <v>1272</v>
      </c>
      <c r="F26" s="266"/>
      <c r="L26" s="130"/>
    </row>
    <row r="27" spans="2:64" x14ac:dyDescent="0.15">
      <c r="B27" s="138" t="s">
        <v>945</v>
      </c>
      <c r="C27" s="266" t="s">
        <v>1250</v>
      </c>
      <c r="D27" s="381" t="s">
        <v>916</v>
      </c>
      <c r="E27" s="266" t="s">
        <v>941</v>
      </c>
      <c r="F27" s="266" t="s">
        <v>939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829</v>
      </c>
      <c r="C29" s="121">
        <f>C4</f>
        <v>0</v>
      </c>
      <c r="D29" s="130">
        <f ca="1">C31</f>
        <v>-69112400</v>
      </c>
      <c r="E29" s="130">
        <f ca="1">D31</f>
        <v>-155729700</v>
      </c>
      <c r="F29" s="224">
        <f>C29</f>
        <v>0</v>
      </c>
      <c r="G29" s="224">
        <f ca="1">F31</f>
        <v>-245354850</v>
      </c>
      <c r="L29" s="130"/>
    </row>
    <row r="30" spans="2:64" x14ac:dyDescent="0.15">
      <c r="B30" s="138" t="s">
        <v>830</v>
      </c>
      <c r="C30" s="70">
        <f ca="1">C31-C29</f>
        <v>-69112400</v>
      </c>
      <c r="D30" s="385">
        <f ca="1">D31-D29</f>
        <v>-86617300</v>
      </c>
      <c r="E30" s="385">
        <f ca="1">E31-E29</f>
        <v>-89625150</v>
      </c>
      <c r="F30" s="224">
        <f ca="1">SUM(C30:E30)</f>
        <v>-245354850</v>
      </c>
      <c r="G30" s="145">
        <f ca="1">G31-G29</f>
        <v>432455243.56489515</v>
      </c>
      <c r="L30" s="130"/>
    </row>
    <row r="31" spans="2:64" x14ac:dyDescent="0.15">
      <c r="B31" s="138" t="s">
        <v>831</v>
      </c>
      <c r="C31" s="70" cm="1">
        <f t="array" aca="1" ref="C31" ca="1">INDIRECT(C26 &amp;"Acum")</f>
        <v>-69112400</v>
      </c>
      <c r="D31" s="70" cm="1">
        <f t="array" aca="1" ref="D31" ca="1">INDIRECT(D26&amp;"Acum")</f>
        <v>-155729700</v>
      </c>
      <c r="E31" s="70" cm="1">
        <f t="array" aca="1" ref="E31" ca="1">INDIRECT(E26&amp;"Acum")</f>
        <v>-245354850</v>
      </c>
      <c r="F31" s="67">
        <f ca="1">E31</f>
        <v>-245354850</v>
      </c>
      <c r="G31" s="224">
        <f ca="1">CajaAcumFinPeriodo</f>
        <v>187100393.56489512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940</v>
      </c>
      <c r="D34" s="75" t="s">
        <v>827</v>
      </c>
      <c r="E34" s="75" t="s">
        <v>828</v>
      </c>
      <c r="F34" s="75" t="s">
        <v>892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-95804765.245656043</v>
      </c>
      <c r="E36" s="130">
        <f ca="1">D30*-1</f>
        <v>86617300</v>
      </c>
      <c r="F36" s="383">
        <f ca="1">E36/D36</f>
        <v>-0.90410221013434799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85">
        <f ca="1">NPV(+C37/12,INDIRECT(E25):BK7)</f>
        <v>-20878132.407691993</v>
      </c>
      <c r="E37" s="386">
        <f ca="1">E30*-1</f>
        <v>89625150</v>
      </c>
      <c r="F37" s="237">
        <f ca="1">E37/D37</f>
        <v>-4.2927762047806537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133001855.73841359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834</v>
      </c>
      <c r="B41" s="48" t="s">
        <v>937</v>
      </c>
      <c r="C41" s="34" t="s">
        <v>909</v>
      </c>
      <c r="D41" s="34" t="s">
        <v>911</v>
      </c>
      <c r="E41" s="34" t="s">
        <v>936</v>
      </c>
      <c r="F41" s="391" t="s">
        <v>834</v>
      </c>
      <c r="G41" s="391"/>
      <c r="H41" s="391"/>
    </row>
    <row r="42" spans="1:15" ht="13.5" customHeight="1" x14ac:dyDescent="0.15">
      <c r="A42" s="34"/>
      <c r="B42" s="48"/>
      <c r="C42" s="34"/>
      <c r="D42" s="34"/>
      <c r="E42" s="34"/>
      <c r="F42" s="75" t="s">
        <v>910</v>
      </c>
      <c r="G42" s="75" t="s">
        <v>838</v>
      </c>
      <c r="H42" s="75" t="s">
        <v>839</v>
      </c>
    </row>
    <row r="43" spans="1:15" x14ac:dyDescent="0.15">
      <c r="B43" s="33" t="s">
        <v>894</v>
      </c>
    </row>
    <row r="44" spans="1:15" x14ac:dyDescent="0.15">
      <c r="B44" s="106" t="s">
        <v>833</v>
      </c>
      <c r="C44" s="33" t="str">
        <f>C25</f>
        <v>YR0</v>
      </c>
      <c r="D44" s="121">
        <f ca="1">C15/2</f>
        <v>34556200</v>
      </c>
      <c r="F44" s="238">
        <f ca="1">D44/E46</f>
        <v>0.5</v>
      </c>
      <c r="G44" s="239">
        <f ca="1">F44*(1-G54)</f>
        <v>0.95205110506717405</v>
      </c>
      <c r="H44" s="240">
        <f ca="1">G44*(1-H62)</f>
        <v>5.0389934346346648</v>
      </c>
      <c r="L44" s="223"/>
    </row>
    <row r="45" spans="1:15" x14ac:dyDescent="0.15">
      <c r="B45" s="106" t="s">
        <v>895</v>
      </c>
      <c r="C45" s="33" t="str">
        <f>C25</f>
        <v>YR0</v>
      </c>
      <c r="D45" s="121">
        <f ca="1">C15/2</f>
        <v>34556200</v>
      </c>
      <c r="F45" s="238">
        <f ca="1">D45/E46</f>
        <v>0.5</v>
      </c>
      <c r="G45" s="239">
        <f ca="1">F45*(1-G54)</f>
        <v>0.95205110506717405</v>
      </c>
      <c r="H45" s="240">
        <f ca="1">G45*(1-H62)</f>
        <v>5.0389934346346648</v>
      </c>
    </row>
    <row r="46" spans="1:15" x14ac:dyDescent="0.15">
      <c r="B46" s="47" t="s">
        <v>832</v>
      </c>
      <c r="E46" s="121">
        <f ca="1">D45+D44</f>
        <v>69112400</v>
      </c>
    </row>
    <row r="47" spans="1:15" x14ac:dyDescent="0.15">
      <c r="B47" s="106" t="s">
        <v>905</v>
      </c>
      <c r="D47" s="382">
        <v>1000</v>
      </c>
      <c r="L47" s="223"/>
    </row>
    <row r="48" spans="1:15" x14ac:dyDescent="0.15">
      <c r="B48" s="106" t="s">
        <v>906</v>
      </c>
      <c r="D48" s="382">
        <v>1000</v>
      </c>
    </row>
    <row r="49" spans="2:12" x14ac:dyDescent="0.15">
      <c r="B49" s="47" t="s">
        <v>896</v>
      </c>
      <c r="D49" s="235">
        <f>SUM(D47:D48)</f>
        <v>2000</v>
      </c>
    </row>
    <row r="50" spans="2:12" x14ac:dyDescent="0.15">
      <c r="B50" s="47" t="s">
        <v>897</v>
      </c>
      <c r="D50" s="131">
        <f ca="1">E46/D49</f>
        <v>34556.199999999997</v>
      </c>
    </row>
    <row r="51" spans="2:12" x14ac:dyDescent="0.15">
      <c r="B51" s="47" t="s">
        <v>900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1264</v>
      </c>
    </row>
    <row r="54" spans="2:12" x14ac:dyDescent="0.15">
      <c r="B54" s="106" t="s">
        <v>898</v>
      </c>
      <c r="C54" s="33" t="str">
        <f ca="1">D25</f>
        <v>AugYR1</v>
      </c>
      <c r="D54" s="121">
        <f ca="1">E36</f>
        <v>86617300</v>
      </c>
      <c r="F54" s="238"/>
      <c r="G54" s="242">
        <f ca="1">D54/E55</f>
        <v>-0.90410221013434799</v>
      </c>
      <c r="H54" s="242">
        <f ca="1">G54*(1-H62)</f>
        <v>-4.7852106644886758</v>
      </c>
      <c r="L54" s="223"/>
    </row>
    <row r="55" spans="2:12" x14ac:dyDescent="0.15">
      <c r="B55" s="47" t="s">
        <v>832</v>
      </c>
      <c r="E55" s="121">
        <f ca="1">D36</f>
        <v>-95804765.245656043</v>
      </c>
    </row>
    <row r="56" spans="2:12" x14ac:dyDescent="0.15">
      <c r="B56" s="106" t="s">
        <v>907</v>
      </c>
      <c r="D56" s="234">
        <f ca="1">D49/(1-G54)-D49</f>
        <v>-949.63621734419098</v>
      </c>
      <c r="L56" s="223"/>
    </row>
    <row r="57" spans="2:12" x14ac:dyDescent="0.15">
      <c r="B57" s="47" t="s">
        <v>896</v>
      </c>
      <c r="D57" s="235">
        <f ca="1">D49+D56</f>
        <v>1050.363782655809</v>
      </c>
    </row>
    <row r="58" spans="2:12" x14ac:dyDescent="0.15">
      <c r="B58" s="47" t="s">
        <v>897</v>
      </c>
      <c r="D58" s="131">
        <f ca="1">E55/D57</f>
        <v>-91211.032622828032</v>
      </c>
    </row>
    <row r="59" spans="2:12" x14ac:dyDescent="0.15">
      <c r="B59" s="47" t="s">
        <v>900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1265</v>
      </c>
    </row>
    <row r="62" spans="2:12" x14ac:dyDescent="0.15">
      <c r="B62" s="106" t="s">
        <v>899</v>
      </c>
      <c r="C62" s="33" t="str">
        <f ca="1">E25</f>
        <v>MarYR2</v>
      </c>
      <c r="D62" s="121">
        <f ca="1">E37</f>
        <v>89625150</v>
      </c>
      <c r="F62" s="238"/>
      <c r="H62" s="242">
        <f ca="1">D62/E63</f>
        <v>-4.2927762047806537</v>
      </c>
      <c r="L62" s="223"/>
    </row>
    <row r="63" spans="2:12" x14ac:dyDescent="0.15">
      <c r="B63" s="47" t="s">
        <v>832</v>
      </c>
      <c r="E63" s="121">
        <f ca="1">D37</f>
        <v>-20878132.407691993</v>
      </c>
    </row>
    <row r="64" spans="2:12" x14ac:dyDescent="0.15">
      <c r="B64" s="106" t="s">
        <v>908</v>
      </c>
      <c r="D64" s="234">
        <f ca="1">D57/(1-H62)-D57</f>
        <v>-851.91145026603647</v>
      </c>
      <c r="L64" s="223"/>
    </row>
    <row r="65" spans="2:8" x14ac:dyDescent="0.15">
      <c r="B65" s="47" t="s">
        <v>896</v>
      </c>
      <c r="D65" s="235">
        <f ca="1">D57+D64</f>
        <v>198.45233238977255</v>
      </c>
    </row>
    <row r="66" spans="2:8" x14ac:dyDescent="0.15">
      <c r="B66" s="47" t="s">
        <v>897</v>
      </c>
      <c r="D66" s="131">
        <f ca="1">E63/D65</f>
        <v>-105204.77212979317</v>
      </c>
    </row>
    <row r="67" spans="2:8" x14ac:dyDescent="0.15">
      <c r="B67" s="33" t="s">
        <v>900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938</v>
      </c>
      <c r="C69" s="75" t="s">
        <v>901</v>
      </c>
      <c r="D69" s="75" t="s">
        <v>892</v>
      </c>
      <c r="E69" s="75" t="s">
        <v>902</v>
      </c>
      <c r="F69" s="75" t="s">
        <v>904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133001855.73841359</v>
      </c>
    </row>
    <row r="72" spans="2:8" x14ac:dyDescent="0.15">
      <c r="B72" s="138" t="s">
        <v>833</v>
      </c>
      <c r="C72" s="130">
        <f ca="1">D44</f>
        <v>34556200</v>
      </c>
      <c r="D72" s="236">
        <f ca="1">H44</f>
        <v>5.0389934346346648</v>
      </c>
      <c r="E72" s="130">
        <f ca="1">$C$71*D72</f>
        <v>670195477.86009288</v>
      </c>
      <c r="F72" s="243">
        <f ca="1">E72/C72</f>
        <v>19.394362744170159</v>
      </c>
    </row>
    <row r="73" spans="2:8" x14ac:dyDescent="0.15">
      <c r="B73" s="138" t="s">
        <v>895</v>
      </c>
      <c r="C73" s="130">
        <f ca="1">D45</f>
        <v>34556200</v>
      </c>
      <c r="D73" s="236">
        <f ca="1">H45</f>
        <v>5.0389934346346648</v>
      </c>
      <c r="E73" s="130">
        <f ca="1">$C$71*D73</f>
        <v>670195477.86009288</v>
      </c>
      <c r="F73" s="243">
        <f ca="1">E73/C73</f>
        <v>19.394362744170159</v>
      </c>
    </row>
    <row r="74" spans="2:8" x14ac:dyDescent="0.15">
      <c r="B74" s="138" t="s">
        <v>898</v>
      </c>
      <c r="C74" s="130">
        <f ca="1">D54</f>
        <v>86617300</v>
      </c>
      <c r="D74" s="236">
        <f ca="1">H54</f>
        <v>-4.7852106644886758</v>
      </c>
      <c r="E74" s="130">
        <f ca="1">$C$71*D74</f>
        <v>-636441898.47624111</v>
      </c>
      <c r="F74" s="243">
        <f ca="1">E74/C74</f>
        <v>-7.3477457560584449</v>
      </c>
    </row>
    <row r="75" spans="2:8" x14ac:dyDescent="0.15">
      <c r="B75" s="138" t="s">
        <v>899</v>
      </c>
      <c r="C75" s="130">
        <f ca="1">D62</f>
        <v>89625150</v>
      </c>
      <c r="D75" s="236">
        <f ca="1">H62</f>
        <v>-4.2927762047806537</v>
      </c>
      <c r="E75" s="130">
        <f ca="1">$C$71*D75</f>
        <v>-570947201.50553107</v>
      </c>
      <c r="F75" s="243">
        <f ca="1">E75/C75</f>
        <v>-6.3703904708168526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903</v>
      </c>
      <c r="C77" s="130">
        <f ca="1">SUM(C72:C75)</f>
        <v>245354850</v>
      </c>
      <c r="D77" s="236">
        <f ca="1">SUM(D72:D75)</f>
        <v>1</v>
      </c>
      <c r="E77" s="130">
        <f ca="1">SUM(E72:E75)</f>
        <v>133001855.73841357</v>
      </c>
      <c r="F77" s="243">
        <f ca="1">E77/C77</f>
        <v>0.54207958692650082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2" t="s">
        <v>151</v>
      </c>
      <c r="B3" s="389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2" t="s">
        <v>154</v>
      </c>
      <c r="B9" s="389"/>
    </row>
    <row r="10" spans="1:62" x14ac:dyDescent="0.15">
      <c r="C10" s="389" t="s">
        <v>35</v>
      </c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 t="s">
        <v>36</v>
      </c>
      <c r="P10" s="389"/>
      <c r="Q10" s="389"/>
      <c r="R10" s="389"/>
      <c r="S10" s="389"/>
      <c r="T10" s="389"/>
      <c r="U10" s="389"/>
      <c r="V10" s="389"/>
      <c r="W10" s="389"/>
      <c r="X10" s="389"/>
      <c r="Y10" s="389"/>
      <c r="Z10" s="389"/>
      <c r="AA10" s="389" t="s">
        <v>37</v>
      </c>
      <c r="AB10" s="389"/>
      <c r="AC10" s="389"/>
      <c r="AD10" s="389"/>
      <c r="AE10" s="389"/>
      <c r="AF10" s="389"/>
      <c r="AG10" s="389"/>
      <c r="AH10" s="389"/>
      <c r="AI10" s="389"/>
      <c r="AJ10" s="389"/>
      <c r="AK10" s="389"/>
      <c r="AL10" s="389"/>
      <c r="AM10" s="389" t="s">
        <v>38</v>
      </c>
      <c r="AN10" s="389"/>
      <c r="AO10" s="389"/>
      <c r="AP10" s="389"/>
      <c r="AQ10" s="389"/>
      <c r="AR10" s="389"/>
      <c r="AS10" s="389"/>
      <c r="AT10" s="389"/>
      <c r="AU10" s="389"/>
      <c r="AV10" s="389"/>
      <c r="AW10" s="389"/>
      <c r="AX10" s="389"/>
      <c r="AY10" s="389" t="s">
        <v>39</v>
      </c>
      <c r="AZ10" s="389"/>
      <c r="BA10" s="389"/>
      <c r="BB10" s="389"/>
      <c r="BC10" s="389"/>
      <c r="BD10" s="389"/>
      <c r="BE10" s="389"/>
      <c r="BF10" s="389"/>
      <c r="BG10" s="389"/>
      <c r="BH10" s="389"/>
      <c r="BI10" s="389"/>
      <c r="BJ10" s="38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572</v>
      </c>
    </row>
    <row r="19" spans="1:62" x14ac:dyDescent="0.15">
      <c r="C19" s="389" t="s">
        <v>35</v>
      </c>
      <c r="D19" s="389"/>
      <c r="E19" s="389"/>
      <c r="F19" s="389"/>
      <c r="G19" s="389"/>
      <c r="H19" s="389"/>
      <c r="I19" s="389"/>
      <c r="J19" s="389"/>
      <c r="K19" s="389"/>
      <c r="L19" s="389"/>
      <c r="M19" s="389"/>
      <c r="N19" s="389"/>
      <c r="O19" s="389" t="s">
        <v>36</v>
      </c>
      <c r="P19" s="389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 t="s">
        <v>37</v>
      </c>
      <c r="AB19" s="389"/>
      <c r="AC19" s="389"/>
      <c r="AD19" s="389"/>
      <c r="AE19" s="389"/>
      <c r="AF19" s="389"/>
      <c r="AG19" s="389"/>
      <c r="AH19" s="389"/>
      <c r="AI19" s="389"/>
      <c r="AJ19" s="389"/>
      <c r="AK19" s="389"/>
      <c r="AL19" s="389"/>
      <c r="AM19" s="389" t="s">
        <v>38</v>
      </c>
      <c r="AN19" s="389"/>
      <c r="AO19" s="389"/>
      <c r="AP19" s="389"/>
      <c r="AQ19" s="389"/>
      <c r="AR19" s="389"/>
      <c r="AS19" s="389"/>
      <c r="AT19" s="389"/>
      <c r="AU19" s="389"/>
      <c r="AV19" s="389"/>
      <c r="AW19" s="389"/>
      <c r="AX19" s="389"/>
      <c r="AY19" s="389" t="s">
        <v>39</v>
      </c>
      <c r="AZ19" s="389"/>
      <c r="BA19" s="389"/>
      <c r="BB19" s="389"/>
      <c r="BC19" s="389"/>
      <c r="BD19" s="389"/>
      <c r="BE19" s="389"/>
      <c r="BF19" s="389"/>
      <c r="BG19" s="389"/>
      <c r="BH19" s="389"/>
      <c r="BI19" s="389"/>
      <c r="BJ19" s="38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616</v>
      </c>
      <c r="G21">
        <f>'REV-REVCALC_CWS'!G13</f>
        <v>726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9009000</v>
      </c>
      <c r="G22" s="250">
        <f>'REV-REVCALC_CWS'!G94</f>
        <v>13542000</v>
      </c>
      <c r="H22" s="250">
        <f>'REV-REVCALC_CWS'!H94</f>
        <v>18369000</v>
      </c>
      <c r="I22" s="250">
        <f>'REV-REVCALC_CWS'!I94</f>
        <v>18369000</v>
      </c>
      <c r="J22" s="250">
        <f>'REV-REVCALC_CWS'!J94</f>
        <v>18369000</v>
      </c>
      <c r="K22" s="250">
        <f>'REV-REVCALC_CWS'!K94</f>
        <v>18369000</v>
      </c>
      <c r="L22" s="250">
        <f>'REV-REVCALC_CWS'!L94</f>
        <v>18369000</v>
      </c>
      <c r="M22" s="250">
        <f>'REV-REVCALC_CWS'!M94</f>
        <v>18369000</v>
      </c>
      <c r="N22" s="250">
        <f>'REV-REVCALC_CWS'!N94</f>
        <v>17480500</v>
      </c>
      <c r="O22" s="250">
        <f>'REV-REVCALC_CWS'!O94</f>
        <v>18857680</v>
      </c>
      <c r="P22" s="250">
        <f>'REV-REVCALC_CWS'!P94</f>
        <v>30171325</v>
      </c>
      <c r="Q22" s="250">
        <f>'REV-REVCALC_CWS'!Q94</f>
        <v>33934515</v>
      </c>
      <c r="R22" s="250">
        <f>'REV-REVCALC_CWS'!R94</f>
        <v>33934515</v>
      </c>
      <c r="S22" s="250">
        <f>'REV-REVCALC_CWS'!S94</f>
        <v>33934515</v>
      </c>
      <c r="T22" s="250">
        <f>'REV-REVCALC_CWS'!T94</f>
        <v>33934515</v>
      </c>
      <c r="U22" s="250">
        <f>'REV-REVCALC_CWS'!U94</f>
        <v>33934515</v>
      </c>
      <c r="V22" s="250">
        <f>'REV-REVCALC_CWS'!V94</f>
        <v>33934515</v>
      </c>
      <c r="W22" s="250">
        <f>'REV-REVCALC_CWS'!W94</f>
        <v>33934515</v>
      </c>
      <c r="X22" s="250">
        <f>'REV-REVCALC_CWS'!X94</f>
        <v>33934515</v>
      </c>
      <c r="Y22" s="250">
        <f>'REV-REVCALC_CWS'!Y94</f>
        <v>33934515</v>
      </c>
      <c r="Z22" s="250">
        <f>'REV-REVCALC_CWS'!Z94</f>
        <v>22620870</v>
      </c>
      <c r="AA22" s="250">
        <f>'REV-REVCALC_CWS'!AA94</f>
        <v>38997011.350000001</v>
      </c>
      <c r="AB22" s="250">
        <f>'REV-REVCALC_CWS'!AB94</f>
        <v>62385028.549999997</v>
      </c>
      <c r="AC22" s="250">
        <f>'REV-REVCALC_CWS'!AC94</f>
        <v>70188094.5</v>
      </c>
      <c r="AD22" s="250">
        <f>'REV-REVCALC_CWS'!AD94</f>
        <v>70188094.5</v>
      </c>
      <c r="AE22" s="250">
        <f>'REV-REVCALC_CWS'!AE94</f>
        <v>70188094.5</v>
      </c>
      <c r="AF22" s="250">
        <f>'REV-REVCALC_CWS'!AF94</f>
        <v>70188094.5</v>
      </c>
      <c r="AG22" s="250">
        <f>'REV-REVCALC_CWS'!AG94</f>
        <v>70188094.5</v>
      </c>
      <c r="AH22" s="250">
        <f>'REV-REVCALC_CWS'!AH94</f>
        <v>70188094.5</v>
      </c>
      <c r="AI22" s="250">
        <f>'REV-REVCALC_CWS'!AI94</f>
        <v>70188094.5</v>
      </c>
      <c r="AJ22" s="250">
        <f>'REV-REVCALC_CWS'!AJ94</f>
        <v>70188094.5</v>
      </c>
      <c r="AK22" s="250">
        <f>'REV-REVCALC_CWS'!AK94</f>
        <v>70188094.5</v>
      </c>
      <c r="AL22" s="250">
        <f>'REV-REVCALC_CWS'!AL94</f>
        <v>46788055.850000009</v>
      </c>
      <c r="AM22" s="250">
        <f>'REV-REVCALC_CWS'!AM94</f>
        <v>59832325.16300001</v>
      </c>
      <c r="AN22" s="250">
        <f>'REV-REVCALC_CWS'!AN94</f>
        <v>95741398.100500017</v>
      </c>
      <c r="AO22" s="250">
        <f>'REV-REVCALC_CWS'!AO94</f>
        <v>107710068.21050002</v>
      </c>
      <c r="AP22" s="250">
        <f>'REV-REVCALC_CWS'!AP94</f>
        <v>107710068.21050002</v>
      </c>
      <c r="AQ22" s="250">
        <f>'REV-REVCALC_CWS'!AQ94</f>
        <v>107710068.21050002</v>
      </c>
      <c r="AR22" s="250">
        <f>'REV-REVCALC_CWS'!AR94</f>
        <v>107710068.21050002</v>
      </c>
      <c r="AS22" s="250">
        <f>'REV-REVCALC_CWS'!AS94</f>
        <v>107710068.21050002</v>
      </c>
      <c r="AT22" s="250">
        <f>'REV-REVCALC_CWS'!AT94</f>
        <v>107710068.21050002</v>
      </c>
      <c r="AU22" s="250">
        <f>'REV-REVCALC_CWS'!AU94</f>
        <v>107710068.21050002</v>
      </c>
      <c r="AV22" s="250">
        <f>'REV-REVCALC_CWS'!AV94</f>
        <v>107710068.21050002</v>
      </c>
      <c r="AW22" s="250">
        <f>'REV-REVCALC_CWS'!AW94</f>
        <v>107710068.21050002</v>
      </c>
      <c r="AX22" s="250">
        <f>'REV-REVCALC_CWS'!AX94</f>
        <v>71800995.273000017</v>
      </c>
      <c r="AY22" s="250">
        <f>'REV-REVCALC_CWS'!AY94</f>
        <v>62422954.221175008</v>
      </c>
      <c r="AZ22" s="250">
        <f>'REV-REVCALC_CWS'!AZ94</f>
        <v>99902737.050040022</v>
      </c>
      <c r="BA22" s="250">
        <f>'REV-REVCALC_CWS'!BA94</f>
        <v>112367627.42824002</v>
      </c>
      <c r="BB22" s="250">
        <f>'REV-REVCALC_CWS'!BB94</f>
        <v>112367627.42824002</v>
      </c>
      <c r="BC22" s="250">
        <f>'REV-REVCALC_CWS'!BC94</f>
        <v>112367627.42824002</v>
      </c>
      <c r="BD22" s="250">
        <f>'REV-REVCALC_CWS'!BD94</f>
        <v>112367627.42824002</v>
      </c>
      <c r="BE22" s="250">
        <f>'REV-REVCALC_CWS'!BE94</f>
        <v>112367627.42824002</v>
      </c>
      <c r="BF22" s="250">
        <f>'REV-REVCALC_CWS'!BF94</f>
        <v>112367627.42824002</v>
      </c>
      <c r="BG22" s="250">
        <f>'REV-REVCALC_CWS'!BG94</f>
        <v>112367627.42824002</v>
      </c>
      <c r="BH22" s="250">
        <f>'REV-REVCALC_CWS'!BH94</f>
        <v>112367627.42824002</v>
      </c>
      <c r="BI22" s="250">
        <f>'REV-REVCALC_CWS'!BI94</f>
        <v>112367627.42824002</v>
      </c>
      <c r="BJ22" s="250">
        <f>'REV-REVCALC_CWS'!BJ94</f>
        <v>74937937.523565009</v>
      </c>
    </row>
    <row r="23" spans="1:62" x14ac:dyDescent="0.15">
      <c r="B23" s="33" t="s">
        <v>576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573</v>
      </c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574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575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9" t="s">
        <v>35</v>
      </c>
      <c r="D31" s="389"/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 t="s">
        <v>36</v>
      </c>
      <c r="P31" s="389"/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 t="s">
        <v>37</v>
      </c>
      <c r="AB31" s="389"/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 t="s">
        <v>38</v>
      </c>
      <c r="AN31" s="389"/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 t="s">
        <v>39</v>
      </c>
      <c r="AZ31" s="389"/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990</v>
      </c>
      <c r="C40" s="74" t="s">
        <v>147</v>
      </c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769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-19953450</v>
      </c>
      <c r="H42" s="250">
        <f>+'FIN-P&amp;L_CWS'!I208</f>
        <v>-13357916.666666668</v>
      </c>
      <c r="I42" s="250">
        <f>+'FIN-P&amp;L_CWS'!J208</f>
        <v>-13418516.666666668</v>
      </c>
      <c r="J42" s="250">
        <f>+'FIN-P&amp;L_CWS'!K208</f>
        <v>-12449850</v>
      </c>
      <c r="K42" s="250">
        <f>+'FIN-P&amp;L_CWS'!L208</f>
        <v>-12449850</v>
      </c>
      <c r="L42" s="250">
        <f>+'FIN-P&amp;L_CWS'!M208</f>
        <v>-12449850</v>
      </c>
      <c r="M42" s="250">
        <f>+'FIN-P&amp;L_CWS'!N208</f>
        <v>-12449850</v>
      </c>
      <c r="N42" s="250">
        <f>+'FIN-P&amp;L_CWS'!O208</f>
        <v>-12449850</v>
      </c>
      <c r="O42" s="250">
        <f>+'FIN-P&amp;L_CWS'!P208</f>
        <v>-12723950</v>
      </c>
      <c r="P42" s="250">
        <f>+'FIN-P&amp;L_CWS'!Q208</f>
        <v>-14459450</v>
      </c>
      <c r="Q42" s="250">
        <f>+'FIN-P&amp;L_CWS'!R208</f>
        <v>-10875250</v>
      </c>
      <c r="R42" s="250">
        <f>+'FIN-P&amp;L_CWS'!S208</f>
        <v>-9681345</v>
      </c>
      <c r="S42" s="250">
        <f>+'FIN-P&amp;L_CWS'!T208</f>
        <v>-8681345</v>
      </c>
      <c r="T42" s="250">
        <f>+'FIN-P&amp;L_CWS'!U208</f>
        <v>-8681345</v>
      </c>
      <c r="U42" s="250">
        <f>+'FIN-P&amp;L_CWS'!V208</f>
        <v>-8681345</v>
      </c>
      <c r="V42" s="250">
        <f>+'FIN-P&amp;L_CWS'!W208</f>
        <v>-8681345</v>
      </c>
      <c r="W42" s="250">
        <f>+'FIN-P&amp;L_CWS'!X208</f>
        <v>-8681345</v>
      </c>
      <c r="X42" s="250">
        <f>+'FIN-P&amp;L_CWS'!Y208</f>
        <v>-8681345</v>
      </c>
      <c r="Y42" s="250">
        <f>+'FIN-P&amp;L_CWS'!Z208</f>
        <v>-8681345</v>
      </c>
      <c r="Z42" s="250">
        <f>+'FIN-P&amp;L_CWS'!AA208</f>
        <v>-8681345</v>
      </c>
      <c r="AA42" s="250">
        <f>+'FIN-P&amp;L_CWS'!AB208</f>
        <v>-12265545</v>
      </c>
      <c r="AB42" s="250">
        <f>+'FIN-P&amp;L_CWS'!AC208</f>
        <v>-10148615.299999999</v>
      </c>
      <c r="AC42" s="250">
        <f>+'FIN-P&amp;L_CWS'!AD208</f>
        <v>-1702112.25</v>
      </c>
      <c r="AD42" s="250">
        <f>+'FIN-P&amp;L_CWS'!AE208</f>
        <v>1118922.4499999993</v>
      </c>
      <c r="AE42" s="250">
        <f>+'FIN-P&amp;L_CWS'!AF208</f>
        <v>1118922.4499999993</v>
      </c>
      <c r="AF42" s="250">
        <f>+'FIN-P&amp;L_CWS'!AG208</f>
        <v>1118922.4499999993</v>
      </c>
      <c r="AG42" s="250">
        <f>+'FIN-P&amp;L_CWS'!AH208</f>
        <v>1118922.4499999993</v>
      </c>
      <c r="AH42" s="250">
        <f>+'FIN-P&amp;L_CWS'!AI208</f>
        <v>1118922.4499999993</v>
      </c>
      <c r="AI42" s="250">
        <f>+'FIN-P&amp;L_CWS'!AJ208</f>
        <v>1118922.4499999993</v>
      </c>
      <c r="AJ42" s="250">
        <f>+'FIN-P&amp;L_CWS'!AK208</f>
        <v>1118922.4499999993</v>
      </c>
      <c r="AK42" s="250">
        <f>+'FIN-P&amp;L_CWS'!AL208</f>
        <v>1118922.4499999993</v>
      </c>
      <c r="AL42" s="250">
        <f>+'FIN-P&amp;L_CWS'!AM208</f>
        <v>1118922.4499999993</v>
      </c>
      <c r="AM42" s="250">
        <f>+'FIN-P&amp;L_CWS'!AN208</f>
        <v>-7337312.2499999963</v>
      </c>
      <c r="AN42" s="250">
        <f>+'FIN-P&amp;L_CWS'!AO208</f>
        <v>-4533389.0734999962</v>
      </c>
      <c r="AO42" s="250">
        <f>+'FIN-P&amp;L_CWS'!AP208</f>
        <v>8070528.1770000085</v>
      </c>
      <c r="AP42" s="250">
        <f>+'FIN-P&amp;L_CWS'!AQ208</f>
        <v>12270813.058000013</v>
      </c>
      <c r="AQ42" s="250">
        <f>+'FIN-P&amp;L_CWS'!AR208</f>
        <v>12270813.058000013</v>
      </c>
      <c r="AR42" s="250">
        <f>+'FIN-P&amp;L_CWS'!AS208</f>
        <v>12270813.058000013</v>
      </c>
      <c r="AS42" s="250">
        <f>+'FIN-P&amp;L_CWS'!AT208</f>
        <v>12270813.058000013</v>
      </c>
      <c r="AT42" s="250">
        <f>+'FIN-P&amp;L_CWS'!AU208</f>
        <v>12270813.058000013</v>
      </c>
      <c r="AU42" s="250">
        <f>+'FIN-P&amp;L_CWS'!AV208</f>
        <v>12270813.058000013</v>
      </c>
      <c r="AV42" s="250">
        <f>+'FIN-P&amp;L_CWS'!AW208</f>
        <v>12270813.058000013</v>
      </c>
      <c r="AW42" s="250">
        <f>+'FIN-P&amp;L_CWS'!AX208</f>
        <v>12270813.058000013</v>
      </c>
      <c r="AX42" s="250">
        <f>+'FIN-P&amp;L_CWS'!AY208</f>
        <v>12270813.058000013</v>
      </c>
      <c r="AY42" s="250">
        <f>+'FIN-P&amp;L_CWS'!AZ208</f>
        <v>-333104.19249999151</v>
      </c>
      <c r="AZ42" s="250">
        <f>+'FIN-P&amp;L_CWS'!BA208</f>
        <v>-6967713.8352000043</v>
      </c>
      <c r="BA42" s="250">
        <f>+'FIN-P&amp;L_CWS'!BB208</f>
        <v>5026246.3908450045</v>
      </c>
      <c r="BB42" s="250">
        <f>+'FIN-P&amp;L_CWS'!BC208</f>
        <v>9011105.4184700064</v>
      </c>
      <c r="BC42" s="250">
        <f>+'FIN-P&amp;L_CWS'!BD208</f>
        <v>9011105.4184700064</v>
      </c>
      <c r="BD42" s="250">
        <f>+'FIN-P&amp;L_CWS'!BE208</f>
        <v>9011105.4184700064</v>
      </c>
      <c r="BE42" s="250">
        <f>+'FIN-P&amp;L_CWS'!BF208</f>
        <v>9011105.4184700064</v>
      </c>
      <c r="BF42" s="250">
        <f>+'FIN-P&amp;L_CWS'!BG208</f>
        <v>9011105.4184700064</v>
      </c>
      <c r="BG42" s="250">
        <f>+'FIN-P&amp;L_CWS'!BH208</f>
        <v>9011105.4184700064</v>
      </c>
      <c r="BH42" s="250">
        <f>+'FIN-P&amp;L_CWS'!BI208</f>
        <v>9011105.4184700064</v>
      </c>
      <c r="BI42" s="250">
        <f>+'FIN-P&amp;L_CWS'!BJ208</f>
        <v>9011105.4184700064</v>
      </c>
      <c r="BJ42" s="250">
        <f>+'FIN-P&amp;L_CWS'!BK208</f>
        <v>9011105.4184700064</v>
      </c>
      <c r="BK42" s="250">
        <f>+'FIN-P&amp;L_CWS'!BL208</f>
        <v>-2962702.4399799965</v>
      </c>
    </row>
    <row r="43" spans="1:64" x14ac:dyDescent="0.15">
      <c r="B43" s="33" t="s">
        <v>1077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-19953450</v>
      </c>
      <c r="H43" s="250">
        <f>+'FIN-P&amp;L_CWS'!I209</f>
        <v>-33311366.666666668</v>
      </c>
      <c r="I43" s="250">
        <f>+'FIN-P&amp;L_CWS'!J209</f>
        <v>-46729883.333333336</v>
      </c>
      <c r="J43" s="250">
        <f>+'FIN-P&amp;L_CWS'!K209</f>
        <v>-59179733.333333336</v>
      </c>
      <c r="K43" s="250">
        <f>+'FIN-P&amp;L_CWS'!L209</f>
        <v>-71629583.333333343</v>
      </c>
      <c r="L43" s="250">
        <f>+'FIN-P&amp;L_CWS'!M209</f>
        <v>-84079433.333333343</v>
      </c>
      <c r="M43" s="250">
        <f>+'FIN-P&amp;L_CWS'!N209</f>
        <v>-96529283.333333343</v>
      </c>
      <c r="N43" s="250">
        <f>+'FIN-P&amp;L_CWS'!O209</f>
        <v>-108979133.33333334</v>
      </c>
      <c r="O43" s="250">
        <f>+'FIN-P&amp;L_CWS'!P209</f>
        <v>-121703083.33333334</v>
      </c>
      <c r="P43" s="250">
        <f>+'FIN-P&amp;L_CWS'!Q209</f>
        <v>-136162533.33333334</v>
      </c>
      <c r="Q43" s="250">
        <f>+'FIN-P&amp;L_CWS'!R209</f>
        <v>-147037783.33333334</v>
      </c>
      <c r="R43" s="250">
        <f>+'FIN-P&amp;L_CWS'!S209</f>
        <v>-156719128.33333334</v>
      </c>
      <c r="S43" s="250">
        <f>+'FIN-P&amp;L_CWS'!T209</f>
        <v>-165400473.33333334</v>
      </c>
      <c r="T43" s="250">
        <f>+'FIN-P&amp;L_CWS'!U209</f>
        <v>-174081818.33333334</v>
      </c>
      <c r="U43" s="250">
        <f>+'FIN-P&amp;L_CWS'!V209</f>
        <v>-182763163.33333334</v>
      </c>
      <c r="V43" s="250">
        <f>+'FIN-P&amp;L_CWS'!W209</f>
        <v>-191444508.33333334</v>
      </c>
      <c r="W43" s="250">
        <f>+'FIN-P&amp;L_CWS'!X209</f>
        <v>-200125853.33333334</v>
      </c>
      <c r="X43" s="250">
        <f>+'FIN-P&amp;L_CWS'!Y209</f>
        <v>-208807198.33333334</v>
      </c>
      <c r="Y43" s="250">
        <f>+'FIN-P&amp;L_CWS'!Z209</f>
        <v>-217488543.33333334</v>
      </c>
      <c r="Z43" s="250">
        <f>+'FIN-P&amp;L_CWS'!AA209</f>
        <v>-226169888.33333334</v>
      </c>
      <c r="AA43" s="250">
        <f>+'FIN-P&amp;L_CWS'!AB209</f>
        <v>-238435433.33333334</v>
      </c>
      <c r="AB43" s="250">
        <f>+'FIN-P&amp;L_CWS'!AC209</f>
        <v>-248584048.63333336</v>
      </c>
      <c r="AC43" s="250">
        <f>+'FIN-P&amp;L_CWS'!AD209</f>
        <v>-250286160.88333336</v>
      </c>
      <c r="AD43" s="250">
        <f>+'FIN-P&amp;L_CWS'!AE209</f>
        <v>-249167238.43333337</v>
      </c>
      <c r="AE43" s="250">
        <f>+'FIN-P&amp;L_CWS'!AF209</f>
        <v>-248048315.98333338</v>
      </c>
      <c r="AF43" s="250">
        <f>+'FIN-P&amp;L_CWS'!AG209</f>
        <v>-246929393.53333339</v>
      </c>
      <c r="AG43" s="250">
        <f>+'FIN-P&amp;L_CWS'!AH209</f>
        <v>-245810471.0833334</v>
      </c>
      <c r="AH43" s="250">
        <f>+'FIN-P&amp;L_CWS'!AI209</f>
        <v>-244691548.63333341</v>
      </c>
      <c r="AI43" s="250">
        <f>+'FIN-P&amp;L_CWS'!AJ209</f>
        <v>-243572626.18333343</v>
      </c>
      <c r="AJ43" s="250">
        <f>+'FIN-P&amp;L_CWS'!AK209</f>
        <v>-242453703.73333344</v>
      </c>
      <c r="AK43" s="250">
        <f>+'FIN-P&amp;L_CWS'!AL209</f>
        <v>-241334781.28333345</v>
      </c>
      <c r="AL43" s="250">
        <f>+'FIN-P&amp;L_CWS'!AM209</f>
        <v>-240215858.83333346</v>
      </c>
      <c r="AM43" s="250">
        <f>+'FIN-P&amp;L_CWS'!AN209</f>
        <v>-247553171.08333346</v>
      </c>
      <c r="AN43" s="250">
        <f>+'FIN-P&amp;L_CWS'!AO209</f>
        <v>-252086560.15683347</v>
      </c>
      <c r="AO43" s="250">
        <f>+'FIN-P&amp;L_CWS'!AP209</f>
        <v>-244016031.97983345</v>
      </c>
      <c r="AP43" s="250">
        <f>+'FIN-P&amp;L_CWS'!AQ209</f>
        <v>-231745218.92183346</v>
      </c>
      <c r="AQ43" s="250">
        <f>+'FIN-P&amp;L_CWS'!AR209</f>
        <v>-219474405.86383343</v>
      </c>
      <c r="AR43" s="250">
        <f>+'FIN-P&amp;L_CWS'!AS209</f>
        <v>-207203592.8058334</v>
      </c>
      <c r="AS43" s="250">
        <f>+'FIN-P&amp;L_CWS'!AT209</f>
        <v>-194932779.74783337</v>
      </c>
      <c r="AT43" s="250">
        <f>+'FIN-P&amp;L_CWS'!AU209</f>
        <v>-182661966.68983334</v>
      </c>
      <c r="AU43" s="250">
        <f>+'FIN-P&amp;L_CWS'!AV209</f>
        <v>-170391153.63183331</v>
      </c>
      <c r="AV43" s="250">
        <f>+'FIN-P&amp;L_CWS'!AW209</f>
        <v>-158120340.57383329</v>
      </c>
      <c r="AW43" s="250">
        <f>+'FIN-P&amp;L_CWS'!AX209</f>
        <v>-145849527.51583326</v>
      </c>
      <c r="AX43" s="250">
        <f>+'FIN-P&amp;L_CWS'!AY209</f>
        <v>-133578714.45783325</v>
      </c>
      <c r="AY43" s="250">
        <f>+'FIN-P&amp;L_CWS'!AZ209</f>
        <v>-133911818.65033324</v>
      </c>
      <c r="AZ43" s="250">
        <f>+'FIN-P&amp;L_CWS'!BA209</f>
        <v>-140879532.48553324</v>
      </c>
      <c r="BA43" s="250">
        <f>+'FIN-P&amp;L_CWS'!BB209</f>
        <v>-135853286.09468824</v>
      </c>
      <c r="BB43" s="250">
        <f>+'FIN-P&amp;L_CWS'!BC209</f>
        <v>-126842180.67621823</v>
      </c>
      <c r="BC43" s="250">
        <f>+'FIN-P&amp;L_CWS'!BD209</f>
        <v>-117831075.25774822</v>
      </c>
      <c r="BD43" s="250">
        <f>+'FIN-P&amp;L_CWS'!BE209</f>
        <v>-108819969.83927821</v>
      </c>
      <c r="BE43" s="250">
        <f>+'FIN-P&amp;L_CWS'!BF209</f>
        <v>-99808864.420808196</v>
      </c>
      <c r="BF43" s="250">
        <f>+'FIN-P&amp;L_CWS'!BG209</f>
        <v>-90797759.002338186</v>
      </c>
      <c r="BG43" s="250">
        <f>+'FIN-P&amp;L_CWS'!BH209</f>
        <v>-81786653.583868176</v>
      </c>
      <c r="BH43" s="250">
        <f>+'FIN-P&amp;L_CWS'!BI209</f>
        <v>-72775548.165398166</v>
      </c>
      <c r="BI43" s="250">
        <f>+'FIN-P&amp;L_CWS'!BJ209</f>
        <v>-63764442.746928155</v>
      </c>
      <c r="BJ43" s="250">
        <f>+'FIN-P&amp;L_CWS'!BK209</f>
        <v>-54753337.328458145</v>
      </c>
      <c r="BK43" s="250">
        <f>+'FIN-P&amp;L_CWS'!BL209</f>
        <v>-57716039.768438146</v>
      </c>
    </row>
    <row r="44" spans="1:64" x14ac:dyDescent="0.15">
      <c r="B44" s="33" t="s">
        <v>1079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-30175200</v>
      </c>
      <c r="H44" s="250">
        <f>+'FIN-CASHFLOW_CWS'!H67</f>
        <v>-13342000.000000002</v>
      </c>
      <c r="I44" s="250">
        <f>+'FIN-CASHFLOW_CWS'!I67</f>
        <v>-13242600.000000002</v>
      </c>
      <c r="J44" s="250">
        <f>+'FIN-CASHFLOW_CWS'!J67</f>
        <v>-12352600</v>
      </c>
      <c r="K44" s="250">
        <f>+'FIN-CASHFLOW_CWS'!K67</f>
        <v>-12272600</v>
      </c>
      <c r="L44" s="250">
        <f>+'FIN-CASHFLOW_CWS'!L67</f>
        <v>-12272600</v>
      </c>
      <c r="M44" s="250">
        <f>+'FIN-CASHFLOW_CWS'!M67</f>
        <v>-12272600</v>
      </c>
      <c r="N44" s="250">
        <f>+'FIN-CASHFLOW_CWS'!N67</f>
        <v>-12272600</v>
      </c>
      <c r="O44" s="250">
        <f>+'FIN-CASHFLOW_CWS'!O67</f>
        <v>-12546700</v>
      </c>
      <c r="P44" s="250">
        <f>+'FIN-CASHFLOW_CWS'!P67</f>
        <v>-14282200</v>
      </c>
      <c r="Q44" s="250">
        <f>+'FIN-CASHFLOW_CWS'!Q67</f>
        <v>-10698000</v>
      </c>
      <c r="R44" s="250">
        <f>+'FIN-CASHFLOW_CWS'!R67</f>
        <v>-9504095</v>
      </c>
      <c r="S44" s="250">
        <f>+'FIN-CASHFLOW_CWS'!S67</f>
        <v>-8504095</v>
      </c>
      <c r="T44" s="250">
        <f>+'FIN-CASHFLOW_CWS'!T67</f>
        <v>-8504095</v>
      </c>
      <c r="U44" s="250">
        <f>+'FIN-CASHFLOW_CWS'!U67</f>
        <v>-8504095</v>
      </c>
      <c r="V44" s="250">
        <f>+'FIN-CASHFLOW_CWS'!V67</f>
        <v>-8504095</v>
      </c>
      <c r="W44" s="250">
        <f>+'FIN-CASHFLOW_CWS'!W67</f>
        <v>-8504095</v>
      </c>
      <c r="X44" s="250">
        <f>+'FIN-CASHFLOW_CWS'!X67</f>
        <v>-8504095</v>
      </c>
      <c r="Y44" s="250">
        <f>+'FIN-CASHFLOW_CWS'!Y67</f>
        <v>-8504095</v>
      </c>
      <c r="Z44" s="250">
        <f>+'FIN-CASHFLOW_CWS'!Z67</f>
        <v>-8504095</v>
      </c>
      <c r="AA44" s="250">
        <f>+'FIN-CASHFLOW_CWS'!AA67</f>
        <v>-12088295</v>
      </c>
      <c r="AB44" s="250">
        <f>+'FIN-CASHFLOW_CWS'!AB67</f>
        <v>-9971365.2999999989</v>
      </c>
      <c r="AC44" s="250">
        <f>+'FIN-CASHFLOW_CWS'!AC67</f>
        <v>-1524862.25</v>
      </c>
      <c r="AD44" s="250">
        <f>+'FIN-CASHFLOW_CWS'!AD67</f>
        <v>1296172.4499999993</v>
      </c>
      <c r="AE44" s="250">
        <f>+'FIN-CASHFLOW_CWS'!AE67</f>
        <v>1296172.4499999993</v>
      </c>
      <c r="AF44" s="250">
        <f>+'FIN-CASHFLOW_CWS'!AF67</f>
        <v>1296172.4499999993</v>
      </c>
      <c r="AG44" s="250">
        <f>+'FIN-CASHFLOW_CWS'!AG67</f>
        <v>1296172.4499999993</v>
      </c>
      <c r="AH44" s="250">
        <f>+'FIN-CASHFLOW_CWS'!AH67</f>
        <v>1296172.4499999993</v>
      </c>
      <c r="AI44" s="250">
        <f>+'FIN-CASHFLOW_CWS'!AI67</f>
        <v>1296172.4499999993</v>
      </c>
      <c r="AJ44" s="250">
        <f>+'FIN-CASHFLOW_CWS'!AJ67</f>
        <v>1296172.4499999993</v>
      </c>
      <c r="AK44" s="250">
        <f>+'FIN-CASHFLOW_CWS'!AK67</f>
        <v>1296172.4499999993</v>
      </c>
      <c r="AL44" s="250">
        <f>+'FIN-CASHFLOW_CWS'!AL67</f>
        <v>1296172.4499999993</v>
      </c>
      <c r="AM44" s="250">
        <f>+'FIN-CASHFLOW_CWS'!AM67</f>
        <v>-7160062.2499999963</v>
      </c>
      <c r="AN44" s="250">
        <f>+'FIN-CASHFLOW_CWS'!AN67</f>
        <v>-4356139.0734999962</v>
      </c>
      <c r="AO44" s="250">
        <f>+'FIN-CASHFLOW_CWS'!AO67</f>
        <v>8247778.1770000085</v>
      </c>
      <c r="AP44" s="250">
        <f>+'FIN-CASHFLOW_CWS'!AP67</f>
        <v>12448063.058000013</v>
      </c>
      <c r="AQ44" s="250">
        <f>+'FIN-CASHFLOW_CWS'!AQ67</f>
        <v>12448063.058000013</v>
      </c>
      <c r="AR44" s="250">
        <f>+'FIN-CASHFLOW_CWS'!AR67</f>
        <v>12448063.058000013</v>
      </c>
      <c r="AS44" s="250">
        <f>+'FIN-CASHFLOW_CWS'!AS67</f>
        <v>12448063.058000013</v>
      </c>
      <c r="AT44" s="250">
        <f>+'FIN-CASHFLOW_CWS'!AT67</f>
        <v>12448063.058000013</v>
      </c>
      <c r="AU44" s="250">
        <f>+'FIN-CASHFLOW_CWS'!AU67</f>
        <v>12448063.058000013</v>
      </c>
      <c r="AV44" s="250">
        <f>+'FIN-CASHFLOW_CWS'!AV67</f>
        <v>12448063.058000013</v>
      </c>
      <c r="AW44" s="250">
        <f>+'FIN-CASHFLOW_CWS'!AW67</f>
        <v>12448063.058000013</v>
      </c>
      <c r="AX44" s="250">
        <f>+'FIN-CASHFLOW_CWS'!AX67</f>
        <v>12448063.058000013</v>
      </c>
      <c r="AY44" s="250">
        <f>+'FIN-CASHFLOW_CWS'!AY67</f>
        <v>-155854.19249999151</v>
      </c>
      <c r="AZ44" s="250">
        <f>+'FIN-CASHFLOW_CWS'!AZ67</f>
        <v>-6790463.8352000043</v>
      </c>
      <c r="BA44" s="250">
        <f>+'FIN-CASHFLOW_CWS'!BA67</f>
        <v>5203496.3908450045</v>
      </c>
      <c r="BB44" s="250">
        <f>+'FIN-CASHFLOW_CWS'!BB67</f>
        <v>9188355.4184700064</v>
      </c>
      <c r="BC44" s="250">
        <f>+'FIN-CASHFLOW_CWS'!BC67</f>
        <v>9188355.4184700064</v>
      </c>
      <c r="BD44" s="250">
        <f>+'FIN-CASHFLOW_CWS'!BD67</f>
        <v>9188355.4184700064</v>
      </c>
      <c r="BE44" s="250">
        <f>+'FIN-CASHFLOW_CWS'!BE67</f>
        <v>9188355.4184700064</v>
      </c>
      <c r="BF44" s="250">
        <f>+'FIN-CASHFLOW_CWS'!BF67</f>
        <v>9188355.4184700064</v>
      </c>
      <c r="BG44" s="250">
        <f>+'FIN-CASHFLOW_CWS'!BG67</f>
        <v>9188355.4184700064</v>
      </c>
      <c r="BH44" s="250">
        <f>+'FIN-CASHFLOW_CWS'!BH67</f>
        <v>9188355.4184700064</v>
      </c>
      <c r="BI44" s="250">
        <f>+'FIN-CASHFLOW_CWS'!BI67</f>
        <v>9188355.4184700064</v>
      </c>
      <c r="BJ44" s="250">
        <f>+'FIN-CASHFLOW_CWS'!BJ67</f>
        <v>9188355.4184700064</v>
      </c>
      <c r="BK44" s="250">
        <f>+'FIN-CASHFLOW_CWS'!BK67</f>
        <v>-2785452.4399799965</v>
      </c>
      <c r="BL44" s="66"/>
    </row>
    <row r="45" spans="1:64" x14ac:dyDescent="0.15">
      <c r="B45" s="33" t="s">
        <v>1078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-30175200</v>
      </c>
      <c r="H45" s="250">
        <f>+'FIN-CASHFLOW_CWS'!H70</f>
        <v>-43517200</v>
      </c>
      <c r="I45" s="250">
        <f>+'FIN-CASHFLOW_CWS'!I70</f>
        <v>-56759800</v>
      </c>
      <c r="J45" s="250">
        <f>+'FIN-CASHFLOW_CWS'!J70</f>
        <v>-69112400</v>
      </c>
      <c r="K45" s="250">
        <f>+'FIN-CASHFLOW_CWS'!K70</f>
        <v>-81385000</v>
      </c>
      <c r="L45" s="250">
        <f>+'FIN-CASHFLOW_CWS'!L70</f>
        <v>-93657600</v>
      </c>
      <c r="M45" s="250">
        <f>+'FIN-CASHFLOW_CWS'!M70</f>
        <v>-105930200</v>
      </c>
      <c r="N45" s="250">
        <f>+'FIN-CASHFLOW_CWS'!N70</f>
        <v>-118202800</v>
      </c>
      <c r="O45" s="250">
        <f>+'FIN-CASHFLOW_CWS'!O70</f>
        <v>-130749500</v>
      </c>
      <c r="P45" s="250">
        <f>+'FIN-CASHFLOW_CWS'!P70</f>
        <v>-145031700</v>
      </c>
      <c r="Q45" s="250">
        <f>+'FIN-CASHFLOW_CWS'!Q70</f>
        <v>-155729700</v>
      </c>
      <c r="R45" s="250">
        <f>+'FIN-CASHFLOW_CWS'!R70</f>
        <v>-165233795</v>
      </c>
      <c r="S45" s="250">
        <f>+'FIN-CASHFLOW_CWS'!S70</f>
        <v>-173737890</v>
      </c>
      <c r="T45" s="250">
        <f>+'FIN-CASHFLOW_CWS'!T70</f>
        <v>-182241985</v>
      </c>
      <c r="U45" s="250">
        <f>+'FIN-CASHFLOW_CWS'!U70</f>
        <v>-190746080</v>
      </c>
      <c r="V45" s="250">
        <f>+'FIN-CASHFLOW_CWS'!V70</f>
        <v>-199250175</v>
      </c>
      <c r="W45" s="250">
        <f>+'FIN-CASHFLOW_CWS'!W70</f>
        <v>-207754270</v>
      </c>
      <c r="X45" s="250">
        <f>+'FIN-CASHFLOW_CWS'!X70</f>
        <v>-216258365</v>
      </c>
      <c r="Y45" s="250">
        <f>+'FIN-CASHFLOW_CWS'!Y70</f>
        <v>-224762460</v>
      </c>
      <c r="Z45" s="250">
        <f>+'FIN-CASHFLOW_CWS'!Z70</f>
        <v>-233266555</v>
      </c>
      <c r="AA45" s="250">
        <f>+'FIN-CASHFLOW_CWS'!AA70</f>
        <v>-245354850</v>
      </c>
      <c r="AB45" s="250">
        <f>+'FIN-CASHFLOW_CWS'!AB70</f>
        <v>-255326215.30000001</v>
      </c>
      <c r="AC45" s="250">
        <f>+'FIN-CASHFLOW_CWS'!AC70</f>
        <v>-256851077.55000001</v>
      </c>
      <c r="AD45" s="250">
        <f>+'FIN-CASHFLOW_CWS'!AD70</f>
        <v>-255554905.10000002</v>
      </c>
      <c r="AE45" s="250">
        <f>+'FIN-CASHFLOW_CWS'!AE70</f>
        <v>-254258732.65000004</v>
      </c>
      <c r="AF45" s="250">
        <f>+'FIN-CASHFLOW_CWS'!AF70</f>
        <v>-252962560.20000005</v>
      </c>
      <c r="AG45" s="250">
        <f>+'FIN-CASHFLOW_CWS'!AG70</f>
        <v>-251666387.75000006</v>
      </c>
      <c r="AH45" s="250">
        <f>+'FIN-CASHFLOW_CWS'!AH70</f>
        <v>-250370215.30000007</v>
      </c>
      <c r="AI45" s="250">
        <f>+'FIN-CASHFLOW_CWS'!AI70</f>
        <v>-249074042.85000008</v>
      </c>
      <c r="AJ45" s="250">
        <f>+'FIN-CASHFLOW_CWS'!AJ70</f>
        <v>-247777870.4000001</v>
      </c>
      <c r="AK45" s="250">
        <f>+'FIN-CASHFLOW_CWS'!AK70</f>
        <v>-246481697.95000011</v>
      </c>
      <c r="AL45" s="250">
        <f>+'FIN-CASHFLOW_CWS'!AL70</f>
        <v>-245185525.50000012</v>
      </c>
      <c r="AM45" s="250">
        <f>+'FIN-CASHFLOW_CWS'!AM70</f>
        <v>-252345587.75000012</v>
      </c>
      <c r="AN45" s="250">
        <f>+'FIN-CASHFLOW_CWS'!AN70</f>
        <v>-256701726.82350013</v>
      </c>
      <c r="AO45" s="250">
        <f>+'FIN-CASHFLOW_CWS'!AO70</f>
        <v>-248453948.64650011</v>
      </c>
      <c r="AP45" s="250">
        <f>+'FIN-CASHFLOW_CWS'!AP70</f>
        <v>-236005885.58850008</v>
      </c>
      <c r="AQ45" s="250">
        <f>+'FIN-CASHFLOW_CWS'!AQ70</f>
        <v>-223557822.53050005</v>
      </c>
      <c r="AR45" s="250">
        <f>+'FIN-CASHFLOW_CWS'!AR70</f>
        <v>-211109759.47250003</v>
      </c>
      <c r="AS45" s="250">
        <f>+'FIN-CASHFLOW_CWS'!AS70</f>
        <v>-198661696.4145</v>
      </c>
      <c r="AT45" s="250">
        <f>+'FIN-CASHFLOW_CWS'!AT70</f>
        <v>-186213633.35649997</v>
      </c>
      <c r="AU45" s="250">
        <f>+'FIN-CASHFLOW_CWS'!AU70</f>
        <v>-173765570.29849994</v>
      </c>
      <c r="AV45" s="250">
        <f>+'FIN-CASHFLOW_CWS'!AV70</f>
        <v>-161317507.24049991</v>
      </c>
      <c r="AW45" s="250">
        <f>+'FIN-CASHFLOW_CWS'!AW70</f>
        <v>-148869444.18249989</v>
      </c>
      <c r="AX45" s="250">
        <f>+'FIN-CASHFLOW_CWS'!AX70</f>
        <v>-136421381.12449986</v>
      </c>
      <c r="AY45" s="250">
        <f>+'FIN-CASHFLOW_CWS'!AY70</f>
        <v>-136577235.31699985</v>
      </c>
      <c r="AZ45" s="250">
        <f>+'FIN-CASHFLOW_CWS'!AZ70</f>
        <v>-143367699.15219986</v>
      </c>
      <c r="BA45" s="250">
        <f>+'FIN-CASHFLOW_CWS'!BA70</f>
        <v>-138164202.76135486</v>
      </c>
      <c r="BB45" s="250">
        <f>+'FIN-CASHFLOW_CWS'!BB70</f>
        <v>-128975847.34288485</v>
      </c>
      <c r="BC45" s="250">
        <f>+'FIN-CASHFLOW_CWS'!BC70</f>
        <v>-119787491.92441484</v>
      </c>
      <c r="BD45" s="250">
        <f>+'FIN-CASHFLOW_CWS'!BD70</f>
        <v>-110599136.50594483</v>
      </c>
      <c r="BE45" s="250">
        <f>+'FIN-CASHFLOW_CWS'!BE70</f>
        <v>-101410781.08747482</v>
      </c>
      <c r="BF45" s="250">
        <f>+'FIN-CASHFLOW_CWS'!BF70</f>
        <v>-92222425.669004813</v>
      </c>
      <c r="BG45" s="250">
        <f>+'FIN-CASHFLOW_CWS'!BG70</f>
        <v>-83034070.250534803</v>
      </c>
      <c r="BH45" s="250">
        <f>+'FIN-CASHFLOW_CWS'!BH70</f>
        <v>-73845714.832064793</v>
      </c>
      <c r="BI45" s="250">
        <f>+'FIN-CASHFLOW_CWS'!BI70</f>
        <v>-64657359.413594782</v>
      </c>
      <c r="BJ45" s="250">
        <f>+'FIN-CASHFLOW_CWS'!BJ70</f>
        <v>-55469003.995124772</v>
      </c>
      <c r="BK45" s="250">
        <f>+'FIN-CASHFLOW_CWS'!BK70</f>
        <v>-58254456.435104772</v>
      </c>
    </row>
    <row r="47" spans="1:64" x14ac:dyDescent="0.15">
      <c r="A47" s="251" t="s">
        <v>924</v>
      </c>
      <c r="C47" s="74" t="s">
        <v>147</v>
      </c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769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-19953450</v>
      </c>
      <c r="H49" s="250">
        <f t="shared" si="3"/>
        <v>-13357916.666666668</v>
      </c>
      <c r="I49" s="250">
        <f t="shared" si="3"/>
        <v>-13418516.666666668</v>
      </c>
      <c r="J49" s="250">
        <f t="shared" si="3"/>
        <v>-12449850</v>
      </c>
      <c r="K49" s="250">
        <f t="shared" si="3"/>
        <v>-12449850</v>
      </c>
      <c r="L49" s="250">
        <f t="shared" si="3"/>
        <v>-12449850</v>
      </c>
      <c r="M49" s="250">
        <f t="shared" si="3"/>
        <v>-12449850</v>
      </c>
      <c r="N49" s="250">
        <f t="shared" si="3"/>
        <v>-12449850</v>
      </c>
      <c r="O49" s="250">
        <f t="shared" si="3"/>
        <v>-12723950</v>
      </c>
      <c r="P49" s="250">
        <f t="shared" si="3"/>
        <v>-14459450</v>
      </c>
      <c r="Q49" s="250">
        <f t="shared" si="3"/>
        <v>-10875250</v>
      </c>
      <c r="R49" s="250">
        <f t="shared" si="3"/>
        <v>-9681345</v>
      </c>
      <c r="S49" s="250">
        <f t="shared" si="3"/>
        <v>-8681345</v>
      </c>
      <c r="T49" s="250">
        <f t="shared" si="3"/>
        <v>-8681345</v>
      </c>
      <c r="U49" s="250">
        <f t="shared" si="3"/>
        <v>-8681345</v>
      </c>
      <c r="V49" s="250">
        <f t="shared" si="3"/>
        <v>-8681345</v>
      </c>
      <c r="W49" s="250">
        <f t="shared" si="3"/>
        <v>-8681345</v>
      </c>
      <c r="X49" s="250">
        <f t="shared" si="3"/>
        <v>-8681345</v>
      </c>
      <c r="Y49" s="250">
        <f t="shared" si="3"/>
        <v>-8681345</v>
      </c>
      <c r="Z49" s="250">
        <f t="shared" si="3"/>
        <v>-8681345</v>
      </c>
      <c r="AA49" s="250">
        <f t="shared" si="3"/>
        <v>-12265545</v>
      </c>
      <c r="AB49" s="250">
        <f t="shared" si="3"/>
        <v>-10148615.299999999</v>
      </c>
      <c r="AC49" s="250">
        <f t="shared" si="3"/>
        <v>-1702112.25</v>
      </c>
      <c r="AD49" s="250">
        <f t="shared" si="3"/>
        <v>1118922.4499999993</v>
      </c>
      <c r="AE49" s="250">
        <f t="shared" si="3"/>
        <v>1118922.4499999993</v>
      </c>
      <c r="AF49" s="250">
        <f t="shared" si="3"/>
        <v>1118922.4499999993</v>
      </c>
      <c r="AG49" s="250">
        <f t="shared" si="3"/>
        <v>1118922.4499999993</v>
      </c>
      <c r="AH49" s="250">
        <f t="shared" si="3"/>
        <v>1118922.4499999993</v>
      </c>
      <c r="AI49" s="250">
        <f t="shared" si="3"/>
        <v>1118922.4499999993</v>
      </c>
      <c r="AJ49" s="250">
        <f t="shared" si="3"/>
        <v>1118922.4499999993</v>
      </c>
      <c r="AK49" s="250">
        <f t="shared" si="3"/>
        <v>1118922.4499999993</v>
      </c>
      <c r="AL49" s="250">
        <f t="shared" si="3"/>
        <v>1118922.4499999993</v>
      </c>
      <c r="AM49" s="250">
        <f t="shared" si="3"/>
        <v>-7337312.2499999963</v>
      </c>
      <c r="AN49" s="250">
        <f t="shared" si="3"/>
        <v>-4533389.0734999962</v>
      </c>
      <c r="AO49" s="250">
        <f t="shared" si="3"/>
        <v>8070528.1770000085</v>
      </c>
      <c r="AP49" s="250">
        <f t="shared" si="3"/>
        <v>12270813.058000013</v>
      </c>
      <c r="AQ49" s="250">
        <f t="shared" si="3"/>
        <v>12270813.058000013</v>
      </c>
      <c r="AR49" s="250">
        <f t="shared" si="3"/>
        <v>12270813.058000013</v>
      </c>
      <c r="AS49" s="250">
        <f t="shared" si="3"/>
        <v>12270813.058000013</v>
      </c>
      <c r="AT49" s="250">
        <f t="shared" si="3"/>
        <v>12270813.058000013</v>
      </c>
      <c r="AU49" s="250">
        <f t="shared" si="3"/>
        <v>12270813.058000013</v>
      </c>
      <c r="AV49" s="250">
        <f t="shared" si="3"/>
        <v>12270813.058000013</v>
      </c>
      <c r="AW49" s="250">
        <f t="shared" si="3"/>
        <v>12270813.058000013</v>
      </c>
      <c r="AX49" s="250">
        <f t="shared" si="3"/>
        <v>12270813.058000013</v>
      </c>
      <c r="AY49" s="250">
        <f t="shared" si="3"/>
        <v>-333104.19249999151</v>
      </c>
      <c r="AZ49" s="250">
        <f t="shared" si="3"/>
        <v>-6967713.8352000043</v>
      </c>
      <c r="BA49" s="250">
        <f t="shared" si="3"/>
        <v>5026246.3908450045</v>
      </c>
      <c r="BB49" s="250">
        <f t="shared" si="3"/>
        <v>9011105.4184700064</v>
      </c>
      <c r="BC49" s="250">
        <f t="shared" si="3"/>
        <v>9011105.4184700064</v>
      </c>
      <c r="BD49" s="250">
        <f t="shared" si="3"/>
        <v>9011105.4184700064</v>
      </c>
      <c r="BE49" s="250">
        <f t="shared" si="3"/>
        <v>9011105.4184700064</v>
      </c>
      <c r="BF49" s="250">
        <f t="shared" si="3"/>
        <v>9011105.4184700064</v>
      </c>
      <c r="BG49" s="250">
        <f t="shared" si="3"/>
        <v>9011105.4184700064</v>
      </c>
      <c r="BH49" s="250">
        <f t="shared" si="3"/>
        <v>9011105.4184700064</v>
      </c>
      <c r="BI49" s="250">
        <f t="shared" si="3"/>
        <v>9011105.4184700064</v>
      </c>
      <c r="BJ49" s="250">
        <f t="shared" si="3"/>
        <v>9011105.4184700064</v>
      </c>
      <c r="BK49" s="250">
        <f t="shared" si="3"/>
        <v>-2962702.4399799965</v>
      </c>
    </row>
    <row r="50" spans="1:64" x14ac:dyDescent="0.15">
      <c r="B50" s="33" t="s">
        <v>923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-30175200</v>
      </c>
      <c r="H50" s="250">
        <f t="shared" si="4"/>
        <v>-13342000.000000002</v>
      </c>
      <c r="I50" s="250">
        <f t="shared" si="4"/>
        <v>-13242600.000000002</v>
      </c>
      <c r="J50" s="250">
        <f t="shared" si="4"/>
        <v>-12352600</v>
      </c>
      <c r="K50" s="250">
        <f t="shared" si="4"/>
        <v>-12272600</v>
      </c>
      <c r="L50" s="250">
        <f t="shared" si="4"/>
        <v>-12272600</v>
      </c>
      <c r="M50" s="250">
        <f t="shared" si="4"/>
        <v>-12272600</v>
      </c>
      <c r="N50" s="250">
        <f t="shared" si="4"/>
        <v>-12272600</v>
      </c>
      <c r="O50" s="250">
        <f t="shared" si="4"/>
        <v>-12546700</v>
      </c>
      <c r="P50" s="250">
        <f t="shared" si="4"/>
        <v>-14282200</v>
      </c>
      <c r="Q50" s="250">
        <f t="shared" si="4"/>
        <v>-10698000</v>
      </c>
      <c r="R50" s="250">
        <f t="shared" si="4"/>
        <v>-9504095</v>
      </c>
      <c r="S50" s="250">
        <f t="shared" si="4"/>
        <v>-8504095</v>
      </c>
      <c r="T50" s="250">
        <f t="shared" si="4"/>
        <v>-8504095</v>
      </c>
      <c r="U50" s="250">
        <f t="shared" si="4"/>
        <v>-8504095</v>
      </c>
      <c r="V50" s="250">
        <f t="shared" si="4"/>
        <v>-8504095</v>
      </c>
      <c r="W50" s="250">
        <f t="shared" si="4"/>
        <v>-8504095</v>
      </c>
      <c r="X50" s="250">
        <f t="shared" si="4"/>
        <v>-8504095</v>
      </c>
      <c r="Y50" s="250">
        <f t="shared" si="4"/>
        <v>-8504095</v>
      </c>
      <c r="Z50" s="250">
        <f t="shared" si="4"/>
        <v>-8504095</v>
      </c>
      <c r="AA50" s="250">
        <f t="shared" si="4"/>
        <v>-12088295</v>
      </c>
      <c r="AB50" s="250">
        <f t="shared" si="4"/>
        <v>-9971365.2999999989</v>
      </c>
      <c r="AC50" s="250">
        <f t="shared" si="4"/>
        <v>-1524862.25</v>
      </c>
      <c r="AD50" s="250">
        <f t="shared" si="4"/>
        <v>1296172.4499999993</v>
      </c>
      <c r="AE50" s="250">
        <f t="shared" si="4"/>
        <v>1296172.4499999993</v>
      </c>
      <c r="AF50" s="250">
        <f t="shared" si="4"/>
        <v>1296172.4499999993</v>
      </c>
      <c r="AG50" s="250">
        <f t="shared" si="4"/>
        <v>1296172.4499999993</v>
      </c>
      <c r="AH50" s="250">
        <f t="shared" si="4"/>
        <v>1296172.4499999993</v>
      </c>
      <c r="AI50" s="250">
        <f t="shared" si="4"/>
        <v>1296172.4499999993</v>
      </c>
      <c r="AJ50" s="250">
        <f t="shared" si="4"/>
        <v>1296172.4499999993</v>
      </c>
      <c r="AK50" s="250">
        <f t="shared" si="4"/>
        <v>1296172.4499999993</v>
      </c>
      <c r="AL50" s="250">
        <f t="shared" si="4"/>
        <v>1296172.4499999993</v>
      </c>
      <c r="AM50" s="250">
        <f t="shared" si="4"/>
        <v>-7160062.2499999963</v>
      </c>
      <c r="AN50" s="250">
        <f t="shared" si="4"/>
        <v>-4356139.0734999962</v>
      </c>
      <c r="AO50" s="250">
        <f t="shared" si="4"/>
        <v>8247778.1770000085</v>
      </c>
      <c r="AP50" s="250">
        <f t="shared" si="4"/>
        <v>12448063.058000013</v>
      </c>
      <c r="AQ50" s="250">
        <f t="shared" si="4"/>
        <v>12448063.058000013</v>
      </c>
      <c r="AR50" s="250">
        <f t="shared" si="4"/>
        <v>12448063.058000013</v>
      </c>
      <c r="AS50" s="250">
        <f t="shared" si="4"/>
        <v>12448063.058000013</v>
      </c>
      <c r="AT50" s="250">
        <f t="shared" si="4"/>
        <v>12448063.058000013</v>
      </c>
      <c r="AU50" s="250">
        <f t="shared" si="4"/>
        <v>12448063.058000013</v>
      </c>
      <c r="AV50" s="250">
        <f t="shared" si="4"/>
        <v>12448063.058000013</v>
      </c>
      <c r="AW50" s="250">
        <f t="shared" si="4"/>
        <v>12448063.058000013</v>
      </c>
      <c r="AX50" s="250">
        <f t="shared" si="4"/>
        <v>12448063.058000013</v>
      </c>
      <c r="AY50" s="250">
        <f t="shared" si="4"/>
        <v>-155854.19249999151</v>
      </c>
      <c r="AZ50" s="250">
        <f t="shared" si="4"/>
        <v>-6790463.8352000043</v>
      </c>
      <c r="BA50" s="250">
        <f t="shared" si="4"/>
        <v>5203496.3908450045</v>
      </c>
      <c r="BB50" s="250">
        <f t="shared" si="4"/>
        <v>9188355.4184700064</v>
      </c>
      <c r="BC50" s="250">
        <f t="shared" si="4"/>
        <v>9188355.4184700064</v>
      </c>
      <c r="BD50" s="250">
        <f t="shared" si="4"/>
        <v>9188355.4184700064</v>
      </c>
      <c r="BE50" s="250">
        <f t="shared" si="4"/>
        <v>9188355.4184700064</v>
      </c>
      <c r="BF50" s="250">
        <f t="shared" si="4"/>
        <v>9188355.4184700064</v>
      </c>
      <c r="BG50" s="250">
        <f t="shared" si="4"/>
        <v>9188355.4184700064</v>
      </c>
      <c r="BH50" s="250">
        <f t="shared" si="4"/>
        <v>9188355.4184700064</v>
      </c>
      <c r="BI50" s="250">
        <f t="shared" si="4"/>
        <v>9188355.4184700064</v>
      </c>
      <c r="BJ50" s="250">
        <f t="shared" si="4"/>
        <v>9188355.4184700064</v>
      </c>
      <c r="BK50" s="250">
        <f t="shared" si="4"/>
        <v>-2785452.4399799965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991</v>
      </c>
    </row>
    <row r="53" spans="1:64" x14ac:dyDescent="0.15">
      <c r="A53"/>
      <c r="C53" s="74" t="s">
        <v>147</v>
      </c>
      <c r="D53" s="389" t="s">
        <v>35</v>
      </c>
      <c r="E53" s="389"/>
      <c r="F53" s="389"/>
      <c r="G53" s="389"/>
      <c r="H53" s="389"/>
      <c r="I53" s="389"/>
      <c r="J53" s="389"/>
      <c r="K53" s="389"/>
      <c r="L53" s="389"/>
      <c r="M53" s="389"/>
      <c r="N53" s="389"/>
      <c r="O53" s="389"/>
      <c r="P53" s="389" t="s">
        <v>36</v>
      </c>
      <c r="Q53" s="389"/>
      <c r="R53" s="389"/>
      <c r="S53" s="389"/>
      <c r="T53" s="389"/>
      <c r="U53" s="389"/>
      <c r="V53" s="389"/>
      <c r="W53" s="389"/>
      <c r="X53" s="389"/>
      <c r="Y53" s="389"/>
      <c r="Z53" s="389"/>
      <c r="AA53" s="389"/>
      <c r="AB53" s="389" t="s">
        <v>37</v>
      </c>
      <c r="AC53" s="389"/>
      <c r="AD53" s="389"/>
      <c r="AE53" s="389"/>
      <c r="AF53" s="389"/>
      <c r="AG53" s="389"/>
      <c r="AH53" s="389"/>
      <c r="AI53" s="389"/>
      <c r="AJ53" s="389"/>
      <c r="AK53" s="389"/>
      <c r="AL53" s="389"/>
      <c r="AM53" s="389"/>
      <c r="AN53" s="389" t="s">
        <v>38</v>
      </c>
      <c r="AO53" s="389"/>
      <c r="AP53" s="389"/>
      <c r="AQ53" s="389"/>
      <c r="AR53" s="389"/>
      <c r="AS53" s="389"/>
      <c r="AT53" s="389"/>
      <c r="AU53" s="389"/>
      <c r="AV53" s="389"/>
      <c r="AW53" s="389"/>
      <c r="AX53" s="389"/>
      <c r="AY53" s="389"/>
      <c r="AZ53" s="389" t="s">
        <v>39</v>
      </c>
      <c r="BA53" s="389"/>
      <c r="BB53" s="389"/>
      <c r="BC53" s="389"/>
      <c r="BD53" s="389"/>
      <c r="BE53" s="389"/>
      <c r="BF53" s="389"/>
      <c r="BG53" s="389"/>
      <c r="BH53" s="389"/>
      <c r="BI53" s="389"/>
      <c r="BJ53" s="389"/>
      <c r="BK53" s="38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769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-19953450</v>
      </c>
      <c r="H55" s="250">
        <f t="shared" si="5"/>
        <v>-13357916.666666668</v>
      </c>
      <c r="I55" s="250">
        <f t="shared" si="5"/>
        <v>-13418516.666666668</v>
      </c>
      <c r="J55" s="250">
        <f t="shared" si="5"/>
        <v>-12449850</v>
      </c>
      <c r="K55" s="250">
        <f t="shared" si="5"/>
        <v>-12449850</v>
      </c>
      <c r="L55" s="250">
        <f t="shared" si="5"/>
        <v>-12449850</v>
      </c>
      <c r="M55" s="250">
        <f t="shared" si="5"/>
        <v>-12449850</v>
      </c>
      <c r="N55" s="250">
        <f t="shared" si="5"/>
        <v>-12449850</v>
      </c>
      <c r="O55" s="250">
        <f t="shared" si="5"/>
        <v>-12723950</v>
      </c>
      <c r="P55" s="250">
        <f t="shared" si="5"/>
        <v>-14459450</v>
      </c>
      <c r="Q55" s="250">
        <f t="shared" si="5"/>
        <v>-10875250</v>
      </c>
      <c r="R55" s="250">
        <f t="shared" si="5"/>
        <v>-9681345</v>
      </c>
      <c r="S55" s="250">
        <f t="shared" si="5"/>
        <v>-8681345</v>
      </c>
      <c r="T55" s="250">
        <f t="shared" si="5"/>
        <v>-8681345</v>
      </c>
      <c r="U55" s="250">
        <f t="shared" si="5"/>
        <v>-8681345</v>
      </c>
      <c r="V55" s="250">
        <f t="shared" si="5"/>
        <v>-8681345</v>
      </c>
      <c r="W55" s="250">
        <f t="shared" si="5"/>
        <v>-8681345</v>
      </c>
      <c r="X55" s="250">
        <f t="shared" si="5"/>
        <v>-8681345</v>
      </c>
      <c r="Y55" s="250">
        <f t="shared" si="5"/>
        <v>-8681345</v>
      </c>
      <c r="Z55" s="250">
        <f t="shared" si="5"/>
        <v>-8681345</v>
      </c>
      <c r="AA55" s="250">
        <f t="shared" si="5"/>
        <v>-12265545</v>
      </c>
      <c r="AB55" s="250">
        <f t="shared" si="5"/>
        <v>-10148615.299999999</v>
      </c>
      <c r="AC55" s="250">
        <f t="shared" si="5"/>
        <v>-1702112.25</v>
      </c>
      <c r="AD55" s="250">
        <f t="shared" si="5"/>
        <v>1118922.4499999993</v>
      </c>
      <c r="AE55" s="250">
        <f t="shared" si="5"/>
        <v>1118922.4499999993</v>
      </c>
      <c r="AF55" s="250">
        <f t="shared" si="5"/>
        <v>1118922.4499999993</v>
      </c>
      <c r="AG55" s="250">
        <f t="shared" si="5"/>
        <v>1118922.4499999993</v>
      </c>
      <c r="AH55" s="250">
        <f t="shared" si="5"/>
        <v>1118922.4499999993</v>
      </c>
      <c r="AI55" s="250">
        <f t="shared" si="5"/>
        <v>1118922.4499999993</v>
      </c>
      <c r="AJ55" s="250">
        <f t="shared" si="5"/>
        <v>1118922.4499999993</v>
      </c>
      <c r="AK55" s="250">
        <f t="shared" si="5"/>
        <v>1118922.4499999993</v>
      </c>
      <c r="AL55" s="250">
        <f t="shared" si="5"/>
        <v>1118922.4499999993</v>
      </c>
      <c r="AM55" s="250">
        <f t="shared" si="5"/>
        <v>-7337312.2499999963</v>
      </c>
      <c r="AN55" s="250">
        <f t="shared" si="5"/>
        <v>-4533389.0734999962</v>
      </c>
      <c r="AO55" s="250">
        <f t="shared" si="5"/>
        <v>8070528.1770000085</v>
      </c>
      <c r="AP55" s="250">
        <f t="shared" si="5"/>
        <v>12270813.058000013</v>
      </c>
      <c r="AQ55" s="250">
        <f t="shared" si="5"/>
        <v>12270813.058000013</v>
      </c>
      <c r="AR55" s="250">
        <f t="shared" si="5"/>
        <v>12270813.058000013</v>
      </c>
      <c r="AS55" s="250">
        <f t="shared" si="5"/>
        <v>12270813.058000013</v>
      </c>
      <c r="AT55" s="250">
        <f t="shared" si="5"/>
        <v>12270813.058000013</v>
      </c>
      <c r="AU55" s="250">
        <f t="shared" si="5"/>
        <v>12270813.058000013</v>
      </c>
      <c r="AV55" s="250">
        <f t="shared" si="5"/>
        <v>12270813.058000013</v>
      </c>
      <c r="AW55" s="250">
        <f t="shared" si="5"/>
        <v>12270813.058000013</v>
      </c>
      <c r="AX55" s="250">
        <f t="shared" si="5"/>
        <v>12270813.058000013</v>
      </c>
      <c r="AY55" s="250">
        <f t="shared" si="5"/>
        <v>-333104.19249999151</v>
      </c>
      <c r="AZ55" s="250">
        <f t="shared" si="5"/>
        <v>-6967713.8352000043</v>
      </c>
      <c r="BA55" s="250">
        <f t="shared" si="5"/>
        <v>5026246.3908450045</v>
      </c>
      <c r="BB55" s="250">
        <f t="shared" si="5"/>
        <v>9011105.4184700064</v>
      </c>
      <c r="BC55" s="250">
        <f t="shared" si="5"/>
        <v>9011105.4184700064</v>
      </c>
      <c r="BD55" s="250">
        <f t="shared" si="5"/>
        <v>9011105.4184700064</v>
      </c>
      <c r="BE55" s="250">
        <f t="shared" si="5"/>
        <v>9011105.4184700064</v>
      </c>
      <c r="BF55" s="250">
        <f t="shared" si="5"/>
        <v>9011105.4184700064</v>
      </c>
      <c r="BG55" s="250">
        <f t="shared" si="5"/>
        <v>9011105.4184700064</v>
      </c>
      <c r="BH55" s="250">
        <f t="shared" si="5"/>
        <v>9011105.4184700064</v>
      </c>
      <c r="BI55" s="250">
        <f t="shared" si="5"/>
        <v>9011105.4184700064</v>
      </c>
      <c r="BJ55" s="250">
        <f t="shared" si="5"/>
        <v>9011105.4184700064</v>
      </c>
      <c r="BK55" s="250">
        <f t="shared" si="5"/>
        <v>-2962702.4399799965</v>
      </c>
    </row>
    <row r="56" spans="1:64" x14ac:dyDescent="0.15">
      <c r="B56" s="33" t="s">
        <v>1077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-19953450</v>
      </c>
      <c r="H56" s="250">
        <f t="shared" si="6"/>
        <v>-33311366.666666668</v>
      </c>
      <c r="I56" s="250">
        <f t="shared" si="6"/>
        <v>-46729883.333333336</v>
      </c>
      <c r="J56" s="250">
        <f t="shared" si="6"/>
        <v>-59179733.333333336</v>
      </c>
      <c r="K56" s="250">
        <f t="shared" si="6"/>
        <v>-71629583.333333343</v>
      </c>
      <c r="L56" s="250">
        <f t="shared" si="6"/>
        <v>-84079433.333333343</v>
      </c>
      <c r="M56" s="250">
        <f t="shared" si="6"/>
        <v>-96529283.333333343</v>
      </c>
      <c r="N56" s="250">
        <f t="shared" si="6"/>
        <v>-108979133.33333334</v>
      </c>
      <c r="O56" s="250">
        <f t="shared" si="6"/>
        <v>-121703083.33333334</v>
      </c>
      <c r="P56" s="250">
        <f t="shared" si="6"/>
        <v>-136162533.33333334</v>
      </c>
      <c r="Q56" s="250">
        <f t="shared" si="6"/>
        <v>-147037783.33333334</v>
      </c>
      <c r="R56" s="250">
        <f t="shared" si="6"/>
        <v>-156719128.33333334</v>
      </c>
      <c r="S56" s="250">
        <f t="shared" si="5"/>
        <v>-165400473.33333334</v>
      </c>
      <c r="T56" s="250">
        <f t="shared" si="5"/>
        <v>-174081818.33333334</v>
      </c>
      <c r="U56" s="250">
        <f t="shared" si="5"/>
        <v>-182763163.33333334</v>
      </c>
      <c r="V56" s="250">
        <f t="shared" si="5"/>
        <v>-191444508.33333334</v>
      </c>
      <c r="W56" s="250">
        <f t="shared" si="5"/>
        <v>-200125853.33333334</v>
      </c>
      <c r="X56" s="250">
        <f t="shared" si="5"/>
        <v>-208807198.33333334</v>
      </c>
      <c r="Y56" s="250">
        <f t="shared" si="5"/>
        <v>-217488543.33333334</v>
      </c>
      <c r="Z56" s="250">
        <f t="shared" si="5"/>
        <v>-226169888.33333334</v>
      </c>
      <c r="AA56" s="250">
        <f t="shared" si="5"/>
        <v>-238435433.33333334</v>
      </c>
      <c r="AB56" s="250">
        <f t="shared" si="5"/>
        <v>-248584048.63333336</v>
      </c>
      <c r="AC56" s="250">
        <f t="shared" si="5"/>
        <v>-250286160.88333336</v>
      </c>
      <c r="AD56" s="250">
        <f t="shared" si="5"/>
        <v>-249167238.43333337</v>
      </c>
      <c r="AE56" s="250">
        <f t="shared" si="5"/>
        <v>-248048315.98333338</v>
      </c>
      <c r="AF56" s="250">
        <f t="shared" si="5"/>
        <v>-246929393.53333339</v>
      </c>
      <c r="AG56" s="250">
        <f t="shared" si="5"/>
        <v>-245810471.0833334</v>
      </c>
      <c r="AH56" s="250">
        <f t="shared" si="5"/>
        <v>-244691548.63333341</v>
      </c>
      <c r="AI56" s="250">
        <f t="shared" si="5"/>
        <v>-243572626.18333343</v>
      </c>
      <c r="AJ56" s="250">
        <f t="shared" si="5"/>
        <v>-242453703.73333344</v>
      </c>
      <c r="AK56" s="250">
        <f t="shared" si="5"/>
        <v>-241334781.28333345</v>
      </c>
      <c r="AL56" s="250">
        <f t="shared" si="5"/>
        <v>-240215858.83333346</v>
      </c>
      <c r="AM56" s="250">
        <f t="shared" si="5"/>
        <v>-247553171.08333346</v>
      </c>
      <c r="AN56" s="250">
        <f t="shared" si="5"/>
        <v>-252086560.15683347</v>
      </c>
      <c r="AO56" s="250">
        <f t="shared" si="5"/>
        <v>-244016031.97983345</v>
      </c>
      <c r="AP56" s="250">
        <f t="shared" si="5"/>
        <v>-231745218.92183346</v>
      </c>
      <c r="AQ56" s="250">
        <f t="shared" si="5"/>
        <v>-219474405.86383343</v>
      </c>
      <c r="AR56" s="250">
        <f t="shared" si="5"/>
        <v>-207203592.8058334</v>
      </c>
      <c r="AS56" s="250">
        <f t="shared" si="5"/>
        <v>-194932779.74783337</v>
      </c>
      <c r="AT56" s="250">
        <f t="shared" si="5"/>
        <v>-182661966.68983334</v>
      </c>
      <c r="AU56" s="250">
        <f t="shared" si="5"/>
        <v>-170391153.63183331</v>
      </c>
      <c r="AV56" s="250">
        <f t="shared" si="5"/>
        <v>-158120340.57383329</v>
      </c>
      <c r="AW56" s="250">
        <f t="shared" si="5"/>
        <v>-145849527.51583326</v>
      </c>
      <c r="AX56" s="250">
        <f t="shared" si="5"/>
        <v>-133578714.45783325</v>
      </c>
      <c r="AY56" s="250">
        <f t="shared" si="5"/>
        <v>-133911818.65033324</v>
      </c>
      <c r="AZ56" s="250">
        <f t="shared" si="5"/>
        <v>-140879532.48553324</v>
      </c>
      <c r="BA56" s="250">
        <f t="shared" si="5"/>
        <v>-135853286.09468824</v>
      </c>
      <c r="BB56" s="250">
        <f t="shared" si="5"/>
        <v>-126842180.67621823</v>
      </c>
      <c r="BC56" s="250">
        <f t="shared" si="5"/>
        <v>-117831075.25774822</v>
      </c>
      <c r="BD56" s="250">
        <f t="shared" si="5"/>
        <v>-108819969.83927821</v>
      </c>
      <c r="BE56" s="250">
        <f t="shared" si="5"/>
        <v>-99808864.420808196</v>
      </c>
      <c r="BF56" s="250">
        <f t="shared" si="5"/>
        <v>-90797759.002338186</v>
      </c>
      <c r="BG56" s="250">
        <f t="shared" si="5"/>
        <v>-81786653.583868176</v>
      </c>
      <c r="BH56" s="250">
        <f t="shared" si="5"/>
        <v>-72775548.165398166</v>
      </c>
      <c r="BI56" s="250">
        <f t="shared" si="5"/>
        <v>-63764442.746928155</v>
      </c>
      <c r="BJ56" s="250">
        <f t="shared" si="5"/>
        <v>-54753337.328458145</v>
      </c>
      <c r="BK56" s="250">
        <f t="shared" si="5"/>
        <v>-57716039.768438146</v>
      </c>
    </row>
    <row r="57" spans="1:64" x14ac:dyDescent="0.15">
      <c r="B57" s="33" t="s">
        <v>923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-30175200</v>
      </c>
      <c r="H57" s="250">
        <f t="shared" si="5"/>
        <v>-13342000.000000002</v>
      </c>
      <c r="I57" s="250">
        <f t="shared" si="5"/>
        <v>-13242600.000000002</v>
      </c>
      <c r="J57" s="250">
        <f t="shared" si="5"/>
        <v>-12352600</v>
      </c>
      <c r="K57" s="250">
        <f t="shared" si="5"/>
        <v>-12272600</v>
      </c>
      <c r="L57" s="250">
        <f t="shared" si="5"/>
        <v>-12272600</v>
      </c>
      <c r="M57" s="250">
        <f t="shared" si="5"/>
        <v>-12272600</v>
      </c>
      <c r="N57" s="250">
        <f t="shared" si="5"/>
        <v>-12272600</v>
      </c>
      <c r="O57" s="250">
        <f t="shared" si="5"/>
        <v>-12546700</v>
      </c>
      <c r="P57" s="250">
        <f t="shared" si="5"/>
        <v>-14282200</v>
      </c>
      <c r="Q57" s="250">
        <f t="shared" si="5"/>
        <v>-10698000</v>
      </c>
      <c r="R57" s="250">
        <f t="shared" si="5"/>
        <v>-9504095</v>
      </c>
      <c r="S57" s="250">
        <f t="shared" si="5"/>
        <v>-8504095</v>
      </c>
      <c r="T57" s="250">
        <f t="shared" si="5"/>
        <v>-8504095</v>
      </c>
      <c r="U57" s="250">
        <f t="shared" si="5"/>
        <v>-8504095</v>
      </c>
      <c r="V57" s="250">
        <f t="shared" si="5"/>
        <v>-8504095</v>
      </c>
      <c r="W57" s="250">
        <f t="shared" si="5"/>
        <v>-8504095</v>
      </c>
      <c r="X57" s="250">
        <f t="shared" si="5"/>
        <v>-8504095</v>
      </c>
      <c r="Y57" s="250">
        <f t="shared" si="5"/>
        <v>-8504095</v>
      </c>
      <c r="Z57" s="250">
        <f t="shared" si="5"/>
        <v>-8504095</v>
      </c>
      <c r="AA57" s="250">
        <f t="shared" si="5"/>
        <v>-12088295</v>
      </c>
      <c r="AB57" s="250">
        <f t="shared" si="5"/>
        <v>-9971365.2999999989</v>
      </c>
      <c r="AC57" s="250">
        <f t="shared" si="5"/>
        <v>-1524862.25</v>
      </c>
      <c r="AD57" s="250">
        <f t="shared" si="5"/>
        <v>1296172.4499999993</v>
      </c>
      <c r="AE57" s="250">
        <f t="shared" si="5"/>
        <v>1296172.4499999993</v>
      </c>
      <c r="AF57" s="250">
        <f t="shared" si="5"/>
        <v>1296172.4499999993</v>
      </c>
      <c r="AG57" s="250">
        <f t="shared" si="5"/>
        <v>1296172.4499999993</v>
      </c>
      <c r="AH57" s="250">
        <f t="shared" si="5"/>
        <v>1296172.4499999993</v>
      </c>
      <c r="AI57" s="250">
        <f t="shared" si="5"/>
        <v>1296172.4499999993</v>
      </c>
      <c r="AJ57" s="250">
        <f t="shared" si="5"/>
        <v>1296172.4499999993</v>
      </c>
      <c r="AK57" s="250">
        <f t="shared" si="5"/>
        <v>1296172.4499999993</v>
      </c>
      <c r="AL57" s="250">
        <f t="shared" si="5"/>
        <v>1296172.4499999993</v>
      </c>
      <c r="AM57" s="250">
        <f t="shared" si="5"/>
        <v>-7160062.2499999963</v>
      </c>
      <c r="AN57" s="250">
        <f t="shared" si="5"/>
        <v>-4356139.0734999962</v>
      </c>
      <c r="AO57" s="250">
        <f t="shared" si="5"/>
        <v>8247778.1770000085</v>
      </c>
      <c r="AP57" s="250">
        <f t="shared" si="5"/>
        <v>12448063.058000013</v>
      </c>
      <c r="AQ57" s="250">
        <f t="shared" si="5"/>
        <v>12448063.058000013</v>
      </c>
      <c r="AR57" s="250">
        <f t="shared" si="5"/>
        <v>12448063.058000013</v>
      </c>
      <c r="AS57" s="250">
        <f t="shared" si="5"/>
        <v>12448063.058000013</v>
      </c>
      <c r="AT57" s="250">
        <f t="shared" si="5"/>
        <v>12448063.058000013</v>
      </c>
      <c r="AU57" s="250">
        <f t="shared" si="5"/>
        <v>12448063.058000013</v>
      </c>
      <c r="AV57" s="250">
        <f t="shared" si="5"/>
        <v>12448063.058000013</v>
      </c>
      <c r="AW57" s="250">
        <f t="shared" si="5"/>
        <v>12448063.058000013</v>
      </c>
      <c r="AX57" s="250">
        <f t="shared" si="5"/>
        <v>12448063.058000013</v>
      </c>
      <c r="AY57" s="250">
        <f t="shared" si="5"/>
        <v>-155854.19249999151</v>
      </c>
      <c r="AZ57" s="250">
        <f t="shared" si="5"/>
        <v>-6790463.8352000043</v>
      </c>
      <c r="BA57" s="250">
        <f t="shared" si="5"/>
        <v>5203496.3908450045</v>
      </c>
      <c r="BB57" s="250">
        <f t="shared" si="5"/>
        <v>9188355.4184700064</v>
      </c>
      <c r="BC57" s="250">
        <f t="shared" si="5"/>
        <v>9188355.4184700064</v>
      </c>
      <c r="BD57" s="250">
        <f t="shared" si="5"/>
        <v>9188355.4184700064</v>
      </c>
      <c r="BE57" s="250">
        <f t="shared" si="5"/>
        <v>9188355.4184700064</v>
      </c>
      <c r="BF57" s="250">
        <f t="shared" si="5"/>
        <v>9188355.4184700064</v>
      </c>
      <c r="BG57" s="250">
        <f t="shared" si="5"/>
        <v>9188355.4184700064</v>
      </c>
      <c r="BH57" s="250">
        <f t="shared" si="5"/>
        <v>9188355.4184700064</v>
      </c>
      <c r="BI57" s="250">
        <f t="shared" si="5"/>
        <v>9188355.4184700064</v>
      </c>
      <c r="BJ57" s="250">
        <f t="shared" si="5"/>
        <v>9188355.4184700064</v>
      </c>
      <c r="BK57" s="250">
        <f t="shared" si="5"/>
        <v>-2785452.4399799965</v>
      </c>
      <c r="BL57" s="66"/>
    </row>
    <row r="58" spans="1:64" x14ac:dyDescent="0.15">
      <c r="B58" s="33" t="s">
        <v>1078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-30175200</v>
      </c>
      <c r="H58" s="250">
        <f t="shared" si="5"/>
        <v>-43517200</v>
      </c>
      <c r="I58" s="250">
        <f t="shared" si="5"/>
        <v>-56759800</v>
      </c>
      <c r="J58" s="250">
        <f t="shared" si="5"/>
        <v>-69112400</v>
      </c>
      <c r="K58" s="250">
        <f t="shared" si="5"/>
        <v>-81385000</v>
      </c>
      <c r="L58" s="250">
        <f t="shared" si="5"/>
        <v>-93657600</v>
      </c>
      <c r="M58" s="250">
        <f t="shared" si="5"/>
        <v>-105930200</v>
      </c>
      <c r="N58" s="250">
        <f t="shared" si="5"/>
        <v>-118202800</v>
      </c>
      <c r="O58" s="250">
        <f t="shared" si="5"/>
        <v>-130749500</v>
      </c>
      <c r="P58" s="250">
        <f t="shared" si="5"/>
        <v>-145031700</v>
      </c>
      <c r="Q58" s="250">
        <f t="shared" si="5"/>
        <v>-155729700</v>
      </c>
      <c r="R58" s="250">
        <f t="shared" si="5"/>
        <v>-165233795</v>
      </c>
      <c r="S58" s="250">
        <f t="shared" si="5"/>
        <v>-173737890</v>
      </c>
      <c r="T58" s="250">
        <f t="shared" si="5"/>
        <v>-182241985</v>
      </c>
      <c r="U58" s="250">
        <f t="shared" si="5"/>
        <v>-190746080</v>
      </c>
      <c r="V58" s="250">
        <f t="shared" si="5"/>
        <v>-199250175</v>
      </c>
      <c r="W58" s="250">
        <f t="shared" si="5"/>
        <v>-207754270</v>
      </c>
      <c r="X58" s="250">
        <f t="shared" si="5"/>
        <v>-216258365</v>
      </c>
      <c r="Y58" s="250">
        <f t="shared" si="5"/>
        <v>-224762460</v>
      </c>
      <c r="Z58" s="250">
        <f t="shared" si="5"/>
        <v>-233266555</v>
      </c>
      <c r="AA58" s="250">
        <f t="shared" si="5"/>
        <v>-245354850</v>
      </c>
      <c r="AB58" s="250">
        <f t="shared" si="5"/>
        <v>-255326215.30000001</v>
      </c>
      <c r="AC58" s="250">
        <f t="shared" si="5"/>
        <v>-256851077.55000001</v>
      </c>
      <c r="AD58" s="250">
        <f t="shared" si="5"/>
        <v>-255554905.10000002</v>
      </c>
      <c r="AE58" s="250">
        <f t="shared" si="5"/>
        <v>-254258732.65000004</v>
      </c>
      <c r="AF58" s="250">
        <f t="shared" si="5"/>
        <v>-252962560.20000005</v>
      </c>
      <c r="AG58" s="250">
        <f t="shared" si="5"/>
        <v>-251666387.75000006</v>
      </c>
      <c r="AH58" s="250">
        <f t="shared" si="5"/>
        <v>-250370215.30000007</v>
      </c>
      <c r="AI58" s="250">
        <f t="shared" si="5"/>
        <v>-249074042.85000008</v>
      </c>
      <c r="AJ58" s="250">
        <f t="shared" si="5"/>
        <v>-247777870.4000001</v>
      </c>
      <c r="AK58" s="250">
        <f t="shared" si="5"/>
        <v>-246481697.95000011</v>
      </c>
      <c r="AL58" s="250">
        <f t="shared" si="5"/>
        <v>-245185525.50000012</v>
      </c>
      <c r="AM58" s="250">
        <f t="shared" si="5"/>
        <v>-252345587.75000012</v>
      </c>
      <c r="AN58" s="250">
        <f t="shared" si="5"/>
        <v>-256701726.82350013</v>
      </c>
      <c r="AO58" s="250">
        <f t="shared" si="5"/>
        <v>-248453948.64650011</v>
      </c>
      <c r="AP58" s="250">
        <f t="shared" si="5"/>
        <v>-236005885.58850008</v>
      </c>
      <c r="AQ58" s="250">
        <f t="shared" si="5"/>
        <v>-223557822.53050005</v>
      </c>
      <c r="AR58" s="250">
        <f t="shared" si="5"/>
        <v>-211109759.47250003</v>
      </c>
      <c r="AS58" s="250">
        <f t="shared" si="5"/>
        <v>-198661696.4145</v>
      </c>
      <c r="AT58" s="250">
        <f t="shared" si="5"/>
        <v>-186213633.35649997</v>
      </c>
      <c r="AU58" s="250">
        <f t="shared" si="5"/>
        <v>-173765570.29849994</v>
      </c>
      <c r="AV58" s="250">
        <f t="shared" si="5"/>
        <v>-161317507.24049991</v>
      </c>
      <c r="AW58" s="250">
        <f t="shared" si="5"/>
        <v>-148869444.18249989</v>
      </c>
      <c r="AX58" s="250">
        <f t="shared" si="5"/>
        <v>-136421381.12449986</v>
      </c>
      <c r="AY58" s="250">
        <f t="shared" si="5"/>
        <v>-136577235.31699985</v>
      </c>
      <c r="AZ58" s="250">
        <f t="shared" si="5"/>
        <v>-143367699.15219986</v>
      </c>
      <c r="BA58" s="250">
        <f t="shared" si="5"/>
        <v>-138164202.76135486</v>
      </c>
      <c r="BB58" s="250">
        <f t="shared" si="5"/>
        <v>-128975847.34288485</v>
      </c>
      <c r="BC58" s="250">
        <f t="shared" si="5"/>
        <v>-119787491.92441484</v>
      </c>
      <c r="BD58" s="250">
        <f t="shared" si="5"/>
        <v>-110599136.50594483</v>
      </c>
      <c r="BE58" s="250">
        <f t="shared" si="5"/>
        <v>-101410781.08747482</v>
      </c>
      <c r="BF58" s="250">
        <f t="shared" si="5"/>
        <v>-92222425.669004813</v>
      </c>
      <c r="BG58" s="250">
        <f t="shared" si="5"/>
        <v>-83034070.250534803</v>
      </c>
      <c r="BH58" s="250">
        <f t="shared" si="5"/>
        <v>-73845714.832064793</v>
      </c>
      <c r="BI58" s="250">
        <f t="shared" si="5"/>
        <v>-64657359.413594782</v>
      </c>
      <c r="BJ58" s="250">
        <f t="shared" si="5"/>
        <v>-55469003.995124772</v>
      </c>
      <c r="BK58" s="250">
        <f t="shared" si="5"/>
        <v>-58254456.435104772</v>
      </c>
    </row>
    <row r="59" spans="1:64" x14ac:dyDescent="0.15">
      <c r="B59" s="33" t="s">
        <v>1080</v>
      </c>
      <c r="C59" s="259">
        <f ca="1">+'FIN-CASHFLOW_CWS'!C58</f>
        <v>69112400</v>
      </c>
      <c r="D59" s="259">
        <f ca="1">+'FIN-CASHFLOW_CWS'!D58</f>
        <v>69112400</v>
      </c>
      <c r="E59" s="259">
        <f ca="1">+'FIN-CASHFLOW_CWS'!E58</f>
        <v>69112400</v>
      </c>
      <c r="F59" s="259">
        <f ca="1">+'FIN-CASHFLOW_CWS'!F58</f>
        <v>69112400</v>
      </c>
      <c r="G59" s="259">
        <f ca="1">+'FIN-CASHFLOW_CWS'!G58</f>
        <v>38937200</v>
      </c>
      <c r="H59" s="259">
        <f ca="1">+'FIN-CASHFLOW_CWS'!H58</f>
        <v>25595200</v>
      </c>
      <c r="I59" s="259">
        <f ca="1">+'FIN-CASHFLOW_CWS'!I58</f>
        <v>12352599.999999998</v>
      </c>
      <c r="J59" s="259">
        <f ca="1">+'FIN-CASHFLOW_CWS'!J58</f>
        <v>0</v>
      </c>
      <c r="K59" s="259">
        <f ca="1">+'FIN-CASHFLOW_CWS'!K58</f>
        <v>74344700</v>
      </c>
      <c r="L59" s="259">
        <f ca="1">+'FIN-CASHFLOW_CWS'!L58</f>
        <v>62072100</v>
      </c>
      <c r="M59" s="259">
        <f ca="1">+'FIN-CASHFLOW_CWS'!M58</f>
        <v>49799500</v>
      </c>
      <c r="N59" s="259">
        <f ca="1">+'FIN-CASHFLOW_CWS'!N58</f>
        <v>37526900</v>
      </c>
      <c r="O59" s="259">
        <f ca="1">+'FIN-CASHFLOW_CWS'!O58</f>
        <v>24980200</v>
      </c>
      <c r="P59" s="259">
        <f ca="1">+'FIN-CASHFLOW_CWS'!P58</f>
        <v>10698000</v>
      </c>
      <c r="Q59" s="259">
        <f ca="1">+'FIN-CASHFLOW_CWS'!Q58</f>
        <v>0</v>
      </c>
      <c r="R59" s="259">
        <f ca="1">+'FIN-CASHFLOW_CWS'!R58</f>
        <v>80121055</v>
      </c>
      <c r="S59" s="259">
        <f ca="1">+'FIN-CASHFLOW_CWS'!S58</f>
        <v>71616960</v>
      </c>
      <c r="T59" s="259">
        <f ca="1">+'FIN-CASHFLOW_CWS'!T58</f>
        <v>63112865</v>
      </c>
      <c r="U59" s="259">
        <f ca="1">+'FIN-CASHFLOW_CWS'!U58</f>
        <v>54608770</v>
      </c>
      <c r="V59" s="259">
        <f ca="1">+'FIN-CASHFLOW_CWS'!V58</f>
        <v>46104675</v>
      </c>
      <c r="W59" s="259">
        <f ca="1">+'FIN-CASHFLOW_CWS'!W58</f>
        <v>37600580</v>
      </c>
      <c r="X59" s="259">
        <f ca="1">+'FIN-CASHFLOW_CWS'!X58</f>
        <v>29096485</v>
      </c>
      <c r="Y59" s="259">
        <f ca="1">+'FIN-CASHFLOW_CWS'!Y58</f>
        <v>20592390</v>
      </c>
      <c r="Z59" s="259">
        <f ca="1">+'FIN-CASHFLOW_CWS'!Z58</f>
        <v>12088295</v>
      </c>
      <c r="AA59" s="259">
        <f ca="1">+'FIN-CASHFLOW_CWS'!AA58</f>
        <v>0</v>
      </c>
      <c r="AB59" s="259">
        <f ca="1">+'FIN-CASHFLOW_CWS'!AB58</f>
        <v>-9971365.2999999989</v>
      </c>
      <c r="AC59" s="259">
        <f ca="1">+'FIN-CASHFLOW_CWS'!AC58</f>
        <v>-11496227.549999999</v>
      </c>
      <c r="AD59" s="259">
        <f ca="1">+'FIN-CASHFLOW_CWS'!AD58</f>
        <v>-10200055.1</v>
      </c>
      <c r="AE59" s="259">
        <f ca="1">+'FIN-CASHFLOW_CWS'!AE58</f>
        <v>-8903882.6500000004</v>
      </c>
      <c r="AF59" s="259">
        <f ca="1">+'FIN-CASHFLOW_CWS'!AF58</f>
        <v>-7607710.2000000011</v>
      </c>
      <c r="AG59" s="259">
        <f ca="1">+'FIN-CASHFLOW_CWS'!AG58</f>
        <v>-6311537.7500000019</v>
      </c>
      <c r="AH59" s="259">
        <f ca="1">+'FIN-CASHFLOW_CWS'!AH58</f>
        <v>-5015365.3000000026</v>
      </c>
      <c r="AI59" s="259">
        <f ca="1">+'FIN-CASHFLOW_CWS'!AI58</f>
        <v>-3719192.8500000034</v>
      </c>
      <c r="AJ59" s="259">
        <f ca="1">+'FIN-CASHFLOW_CWS'!AJ58</f>
        <v>-2423020.4000000041</v>
      </c>
      <c r="AK59" s="259">
        <f ca="1">+'FIN-CASHFLOW_CWS'!AK58</f>
        <v>-1126847.9500000048</v>
      </c>
      <c r="AL59" s="259">
        <f ca="1">+'FIN-CASHFLOW_CWS'!AL58</f>
        <v>169324.49999999441</v>
      </c>
      <c r="AM59" s="259">
        <f ca="1">+'FIN-CASHFLOW_CWS'!AM58</f>
        <v>-6990737.7500000019</v>
      </c>
      <c r="AN59" s="259">
        <f ca="1">+'FIN-CASHFLOW_CWS'!AN58</f>
        <v>-11346876.823499998</v>
      </c>
      <c r="AO59" s="259">
        <f ca="1">+'FIN-CASHFLOW_CWS'!AO58</f>
        <v>-3099098.6464999896</v>
      </c>
      <c r="AP59" s="259">
        <f ca="1">+'FIN-CASHFLOW_CWS'!AP58</f>
        <v>9348964.4115000237</v>
      </c>
      <c r="AQ59" s="259">
        <f ca="1">+'FIN-CASHFLOW_CWS'!AQ58</f>
        <v>21797027.469500035</v>
      </c>
      <c r="AR59" s="259">
        <f ca="1">+'FIN-CASHFLOW_CWS'!AR58</f>
        <v>34245090.527500048</v>
      </c>
      <c r="AS59" s="259">
        <f ca="1">+'FIN-CASHFLOW_CWS'!AS58</f>
        <v>46693153.585500062</v>
      </c>
      <c r="AT59" s="259">
        <f ca="1">+'FIN-CASHFLOW_CWS'!AT58</f>
        <v>59141216.643500075</v>
      </c>
      <c r="AU59" s="259">
        <f ca="1">+'FIN-CASHFLOW_CWS'!AU58</f>
        <v>71589279.701500088</v>
      </c>
      <c r="AV59" s="259">
        <f ca="1">+'FIN-CASHFLOW_CWS'!AV58</f>
        <v>84037342.759500101</v>
      </c>
      <c r="AW59" s="259">
        <f ca="1">+'FIN-CASHFLOW_CWS'!AW58</f>
        <v>96485405.817500114</v>
      </c>
      <c r="AX59" s="259">
        <f ca="1">+'FIN-CASHFLOW_CWS'!AX58</f>
        <v>108933468.87550013</v>
      </c>
      <c r="AY59" s="259">
        <f ca="1">+'FIN-CASHFLOW_CWS'!AY58</f>
        <v>108777614.68300013</v>
      </c>
      <c r="AZ59" s="259">
        <f ca="1">+'FIN-CASHFLOW_CWS'!AZ58</f>
        <v>101987150.84780014</v>
      </c>
      <c r="BA59" s="259">
        <f ca="1">+'FIN-CASHFLOW_CWS'!BA58</f>
        <v>107190647.23864514</v>
      </c>
      <c r="BB59" s="259">
        <f ca="1">+'FIN-CASHFLOW_CWS'!BB58</f>
        <v>116379002.65711515</v>
      </c>
      <c r="BC59" s="259">
        <f ca="1">+'FIN-CASHFLOW_CWS'!BC58</f>
        <v>125567358.07558516</v>
      </c>
      <c r="BD59" s="259">
        <f ca="1">+'FIN-CASHFLOW_CWS'!BD58</f>
        <v>134755713.49405515</v>
      </c>
      <c r="BE59" s="259">
        <f ca="1">+'FIN-CASHFLOW_CWS'!BE58</f>
        <v>143944068.91252515</v>
      </c>
      <c r="BF59" s="259">
        <f ca="1">+'FIN-CASHFLOW_CWS'!BF58</f>
        <v>153132424.33099514</v>
      </c>
      <c r="BG59" s="259">
        <f ca="1">+'FIN-CASHFLOW_CWS'!BG58</f>
        <v>162320779.74946514</v>
      </c>
      <c r="BH59" s="259">
        <f ca="1">+'FIN-CASHFLOW_CWS'!BH58</f>
        <v>171509135.16793513</v>
      </c>
      <c r="BI59" s="259">
        <f ca="1">+'FIN-CASHFLOW_CWS'!BI58</f>
        <v>180697490.58640513</v>
      </c>
      <c r="BJ59" s="259">
        <f ca="1">+'FIN-CASHFLOW_CWS'!BJ58</f>
        <v>189885846.00487512</v>
      </c>
      <c r="BK59" s="259">
        <f ca="1">+'FIN-CASHFLOW_CWS'!BK58</f>
        <v>187100393.56489512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9" t="s">
        <v>310</v>
      </c>
      <c r="B2" s="389"/>
      <c r="C2" s="197"/>
    </row>
    <row r="3" spans="1:62" x14ac:dyDescent="0.15">
      <c r="A3" s="10"/>
      <c r="B3" s="10" t="s">
        <v>721</v>
      </c>
      <c r="C3" s="197"/>
    </row>
    <row r="4" spans="1:62" x14ac:dyDescent="0.15">
      <c r="C4" s="389" t="s">
        <v>35</v>
      </c>
      <c r="D4" s="389"/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 t="s">
        <v>36</v>
      </c>
      <c r="P4" s="389"/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 t="s">
        <v>37</v>
      </c>
      <c r="AB4" s="389"/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 t="s">
        <v>38</v>
      </c>
      <c r="AN4" s="389"/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 t="s">
        <v>39</v>
      </c>
      <c r="AZ4" s="389"/>
      <c r="BA4" s="389"/>
      <c r="BB4" s="389"/>
      <c r="BC4" s="389"/>
      <c r="BD4" s="389"/>
      <c r="BE4" s="389"/>
      <c r="BF4" s="389"/>
      <c r="BG4" s="389"/>
      <c r="BH4" s="389"/>
      <c r="BI4" s="389"/>
      <c r="BJ4" s="38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396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399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397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712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400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713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722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720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74942200</v>
      </c>
      <c r="E5" s="63">
        <f>REV_DB!F17</f>
        <v>204558540</v>
      </c>
      <c r="F5" s="63">
        <f>REV_DB!G17</f>
        <v>536047872.75000024</v>
      </c>
      <c r="G5" s="63">
        <f>REV_DB!H17</f>
        <v>176917565.9429999</v>
      </c>
      <c r="H5" s="63">
        <f>REV_DB!I17</f>
        <v>199563766.8539201</v>
      </c>
      <c r="I5" s="181">
        <f>SUM(D5:H5)</f>
        <v>1192029945.5469203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1085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661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672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670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673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674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718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675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700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396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399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397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712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400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713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716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714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9" t="s">
        <v>36</v>
      </c>
      <c r="Q41" s="389"/>
      <c r="R41" s="389"/>
      <c r="S41" s="389"/>
      <c r="T41" s="389"/>
      <c r="U41" s="389"/>
      <c r="V41" s="389"/>
      <c r="W41" s="389"/>
      <c r="X41" s="389"/>
      <c r="Y41" s="389"/>
      <c r="Z41" s="389"/>
      <c r="AA41" s="389"/>
      <c r="AB41" s="389" t="s">
        <v>37</v>
      </c>
      <c r="AC41" s="389"/>
      <c r="AD41" s="389"/>
      <c r="AE41" s="389"/>
      <c r="AF41" s="389"/>
      <c r="AG41" s="389"/>
      <c r="AH41" s="389"/>
      <c r="AI41" s="389"/>
      <c r="AJ41" s="389"/>
      <c r="AK41" s="389"/>
      <c r="AL41" s="389"/>
      <c r="AM41" s="389"/>
      <c r="AN41" s="389" t="s">
        <v>38</v>
      </c>
      <c r="AO41" s="389"/>
      <c r="AP41" s="389"/>
      <c r="AQ41" s="389"/>
      <c r="AR41" s="389"/>
      <c r="AS41" s="389"/>
      <c r="AT41" s="389"/>
      <c r="AU41" s="389"/>
      <c r="AV41" s="389"/>
      <c r="AW41" s="389"/>
      <c r="AX41" s="389"/>
      <c r="AY41" s="389"/>
      <c r="AZ41" s="389" t="s">
        <v>39</v>
      </c>
      <c r="BA41" s="389"/>
      <c r="BB41" s="389"/>
      <c r="BC41" s="389"/>
      <c r="BD41" s="389"/>
      <c r="BE41" s="389"/>
      <c r="BF41" s="389"/>
      <c r="BG41" s="389"/>
      <c r="BH41" s="389"/>
      <c r="BI41" s="389"/>
      <c r="BJ41" s="389"/>
      <c r="BK41" s="389"/>
      <c r="BL41" s="35"/>
      <c r="BM41" s="212"/>
    </row>
    <row r="42" spans="2:75" s="14" customFormat="1" x14ac:dyDescent="0.15">
      <c r="B42" s="73" t="s">
        <v>677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9" t="s">
        <v>35</v>
      </c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 t="s">
        <v>36</v>
      </c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 t="s">
        <v>37</v>
      </c>
      <c r="AD44" s="389"/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 t="s">
        <v>38</v>
      </c>
      <c r="AP44" s="389"/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 t="s">
        <v>39</v>
      </c>
      <c r="BB44" s="389"/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65"/>
    </row>
    <row r="45" spans="2:75" customFormat="1" x14ac:dyDescent="0.15">
      <c r="B45" s="14" t="s">
        <v>711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407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402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408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525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570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571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402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409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403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406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407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405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402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410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726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727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372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373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402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412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406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402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413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441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374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395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399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397</v>
      </c>
    </row>
    <row r="132" spans="1:75" x14ac:dyDescent="0.15">
      <c r="A132" s="75"/>
      <c r="B132" s="47" t="s">
        <v>414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415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398</v>
      </c>
    </row>
    <row r="136" spans="1:75" x14ac:dyDescent="0.15">
      <c r="A136" s="75"/>
      <c r="B136" s="47" t="s">
        <v>416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400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417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3" t="s">
        <v>35</v>
      </c>
      <c r="E143" s="393"/>
      <c r="F143" s="393"/>
      <c r="G143" s="393"/>
      <c r="H143" s="393"/>
      <c r="I143" s="393"/>
      <c r="J143" s="393"/>
      <c r="K143" s="393"/>
      <c r="L143" s="393"/>
      <c r="M143" s="393"/>
      <c r="N143" s="393"/>
      <c r="O143" s="39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666</v>
      </c>
      <c r="BM144" s="181" t="s">
        <v>599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763</v>
      </c>
      <c r="D1" s="75"/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403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406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407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405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372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373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402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404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408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403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525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570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571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407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405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372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373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402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404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409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403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406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407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405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372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373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402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404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410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1249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726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727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407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405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372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373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402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404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412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403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406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407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405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372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373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402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404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413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374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395</v>
      </c>
    </row>
    <row r="78" spans="1:64" x14ac:dyDescent="0.15">
      <c r="B78" s="50"/>
    </row>
    <row r="79" spans="1:64" x14ac:dyDescent="0.15">
      <c r="B79" s="14" t="s">
        <v>396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399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397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414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415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1243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416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1233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1234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1235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1236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1237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1238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1239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1240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1241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1242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400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417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9" t="s">
        <v>310</v>
      </c>
      <c r="B2" s="389"/>
      <c r="C2" s="197"/>
    </row>
    <row r="3" spans="1:63" x14ac:dyDescent="0.15">
      <c r="A3" s="10"/>
      <c r="B3" s="10" t="s">
        <v>685</v>
      </c>
      <c r="C3" s="197"/>
    </row>
    <row r="4" spans="1:63" x14ac:dyDescent="0.15">
      <c r="C4" s="198"/>
      <c r="D4" s="389" t="s">
        <v>35</v>
      </c>
      <c r="E4" s="389"/>
      <c r="F4" s="389"/>
      <c r="G4" s="389"/>
      <c r="H4" s="389"/>
      <c r="I4" s="389"/>
      <c r="J4" s="389"/>
      <c r="K4" s="389"/>
      <c r="L4" s="389"/>
      <c r="M4" s="389"/>
      <c r="N4" s="389"/>
      <c r="O4" s="389"/>
      <c r="P4" s="389" t="s">
        <v>36</v>
      </c>
      <c r="Q4" s="389"/>
      <c r="R4" s="389"/>
      <c r="S4" s="389"/>
      <c r="T4" s="389"/>
      <c r="U4" s="389"/>
      <c r="V4" s="389"/>
      <c r="W4" s="389"/>
      <c r="X4" s="389"/>
      <c r="Y4" s="389"/>
      <c r="Z4" s="389"/>
      <c r="AA4" s="389"/>
      <c r="AB4" s="389" t="s">
        <v>37</v>
      </c>
      <c r="AC4" s="389"/>
      <c r="AD4" s="389"/>
      <c r="AE4" s="389"/>
      <c r="AF4" s="389"/>
      <c r="AG4" s="389"/>
      <c r="AH4" s="389"/>
      <c r="AI4" s="389"/>
      <c r="AJ4" s="389"/>
      <c r="AK4" s="389"/>
      <c r="AL4" s="389"/>
      <c r="AM4" s="389"/>
      <c r="AN4" s="389" t="s">
        <v>38</v>
      </c>
      <c r="AO4" s="389"/>
      <c r="AP4" s="389"/>
      <c r="AQ4" s="389"/>
      <c r="AR4" s="389"/>
      <c r="AS4" s="389"/>
      <c r="AT4" s="389"/>
      <c r="AU4" s="389"/>
      <c r="AV4" s="389"/>
      <c r="AW4" s="389"/>
      <c r="AX4" s="389"/>
      <c r="AY4" s="389"/>
      <c r="AZ4" s="389" t="s">
        <v>39</v>
      </c>
      <c r="BA4" s="389"/>
      <c r="BB4" s="389"/>
      <c r="BC4" s="389"/>
      <c r="BD4" s="389"/>
      <c r="BE4" s="389"/>
      <c r="BF4" s="389"/>
      <c r="BG4" s="389"/>
      <c r="BH4" s="389"/>
      <c r="BI4" s="389"/>
      <c r="BJ4" s="389"/>
      <c r="BK4" s="38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2109800</v>
      </c>
      <c r="H7" s="9">
        <f>'FIN-P&amp;L_CWS'!I129</f>
        <v>3708000</v>
      </c>
      <c r="I7" s="9">
        <f>'FIN-P&amp;L_CWS'!J129</f>
        <v>5647400</v>
      </c>
      <c r="J7" s="9">
        <f>'FIN-P&amp;L_CWS'!K129</f>
        <v>5647400</v>
      </c>
      <c r="K7" s="9">
        <f>'FIN-P&amp;L_CWS'!L129</f>
        <v>5647400</v>
      </c>
      <c r="L7" s="9">
        <f>'FIN-P&amp;L_CWS'!M129</f>
        <v>5647400</v>
      </c>
      <c r="M7" s="9">
        <f>'FIN-P&amp;L_CWS'!N129</f>
        <v>5647400</v>
      </c>
      <c r="N7" s="9">
        <f>'FIN-P&amp;L_CWS'!O129</f>
        <v>5647400</v>
      </c>
      <c r="O7" s="9">
        <f>'FIN-P&amp;L_CWS'!P129</f>
        <v>5373300</v>
      </c>
      <c r="P7" s="9">
        <f>'FIN-P&amp;L_CWS'!Q129</f>
        <v>5977800</v>
      </c>
      <c r="Q7" s="9">
        <f>'FIN-P&amp;L_CWS'!R129</f>
        <v>9562000</v>
      </c>
      <c r="R7" s="9">
        <f>'FIN-P&amp;L_CWS'!S129</f>
        <v>10755905</v>
      </c>
      <c r="S7" s="9">
        <f>'FIN-P&amp;L_CWS'!T129</f>
        <v>10755905</v>
      </c>
      <c r="T7" s="9">
        <f>'FIN-P&amp;L_CWS'!U129</f>
        <v>10755905</v>
      </c>
      <c r="U7" s="9">
        <f>'FIN-P&amp;L_CWS'!V129</f>
        <v>10755905</v>
      </c>
      <c r="V7" s="9">
        <f>'FIN-P&amp;L_CWS'!W129</f>
        <v>10755905</v>
      </c>
      <c r="W7" s="9">
        <f>'FIN-P&amp;L_CWS'!X129</f>
        <v>10755905</v>
      </c>
      <c r="X7" s="9">
        <f>'FIN-P&amp;L_CWS'!Y129</f>
        <v>10755905</v>
      </c>
      <c r="Y7" s="9">
        <f>'FIN-P&amp;L_CWS'!Z129</f>
        <v>10755905</v>
      </c>
      <c r="Z7" s="9">
        <f>'FIN-P&amp;L_CWS'!AA129</f>
        <v>10755905</v>
      </c>
      <c r="AA7" s="9">
        <f>'FIN-P&amp;L_CWS'!AB129</f>
        <v>7171705</v>
      </c>
      <c r="AB7" s="9">
        <f>'FIN-P&amp;L_CWS'!AC129</f>
        <v>14091434.700000001</v>
      </c>
      <c r="AC7" s="9">
        <f>'FIN-P&amp;L_CWS'!AD129</f>
        <v>22537937.75</v>
      </c>
      <c r="AD7" s="9">
        <f>'FIN-P&amp;L_CWS'!AE129</f>
        <v>25358972.449999999</v>
      </c>
      <c r="AE7" s="9">
        <f>'FIN-P&amp;L_CWS'!AF129</f>
        <v>25358972.449999999</v>
      </c>
      <c r="AF7" s="9">
        <f>'FIN-P&amp;L_CWS'!AG129</f>
        <v>25358972.449999999</v>
      </c>
      <c r="AG7" s="9">
        <f>'FIN-P&amp;L_CWS'!AH129</f>
        <v>25358972.449999999</v>
      </c>
      <c r="AH7" s="9">
        <f>'FIN-P&amp;L_CWS'!AI129</f>
        <v>25358972.449999999</v>
      </c>
      <c r="AI7" s="9">
        <f>'FIN-P&amp;L_CWS'!AJ129</f>
        <v>25358972.449999999</v>
      </c>
      <c r="AJ7" s="9">
        <f>'FIN-P&amp;L_CWS'!AK129</f>
        <v>25358972.449999999</v>
      </c>
      <c r="AK7" s="9">
        <f>'FIN-P&amp;L_CWS'!AL129</f>
        <v>25358972.449999999</v>
      </c>
      <c r="AL7" s="9">
        <f>'FIN-P&amp;L_CWS'!AM129</f>
        <v>25358972.449999999</v>
      </c>
      <c r="AM7" s="9">
        <f>'FIN-P&amp;L_CWS'!AN129</f>
        <v>16902737.750000004</v>
      </c>
      <c r="AN7" s="9">
        <f>'FIN-P&amp;L_CWS'!AO129</f>
        <v>21003736.926500004</v>
      </c>
      <c r="AO7" s="9">
        <f>'FIN-P&amp;L_CWS'!AP129</f>
        <v>33607654.177000009</v>
      </c>
      <c r="AP7" s="9">
        <f>'FIN-P&amp;L_CWS'!AQ129</f>
        <v>37807939.058000013</v>
      </c>
      <c r="AQ7" s="9">
        <f>'FIN-P&amp;L_CWS'!AR129</f>
        <v>37807939.058000013</v>
      </c>
      <c r="AR7" s="9">
        <f>'FIN-P&amp;L_CWS'!AS129</f>
        <v>37807939.058000013</v>
      </c>
      <c r="AS7" s="9">
        <f>'FIN-P&amp;L_CWS'!AT129</f>
        <v>37807939.058000013</v>
      </c>
      <c r="AT7" s="9">
        <f>'FIN-P&amp;L_CWS'!AU129</f>
        <v>37807939.058000013</v>
      </c>
      <c r="AU7" s="9">
        <f>'FIN-P&amp;L_CWS'!AV129</f>
        <v>37807939.058000013</v>
      </c>
      <c r="AV7" s="9">
        <f>'FIN-P&amp;L_CWS'!AW129</f>
        <v>37807939.058000013</v>
      </c>
      <c r="AW7" s="9">
        <f>'FIN-P&amp;L_CWS'!AX129</f>
        <v>37807939.058000013</v>
      </c>
      <c r="AX7" s="9">
        <f>'FIN-P&amp;L_CWS'!AY129</f>
        <v>37807939.058000013</v>
      </c>
      <c r="AY7" s="9">
        <f>'FIN-P&amp;L_CWS'!AZ129</f>
        <v>25204021.807500008</v>
      </c>
      <c r="AZ7" s="9">
        <f>'FIN-P&amp;L_CWS'!BA129</f>
        <v>19975433.4848</v>
      </c>
      <c r="BA7" s="9">
        <f>'FIN-P&amp;L_CWS'!BB129</f>
        <v>31969393.710845008</v>
      </c>
      <c r="BB7" s="9">
        <f>'FIN-P&amp;L_CWS'!BC129</f>
        <v>35954252.73847001</v>
      </c>
      <c r="BC7" s="9">
        <f>'FIN-P&amp;L_CWS'!BD129</f>
        <v>35954252.73847001</v>
      </c>
      <c r="BD7" s="9">
        <f>'FIN-P&amp;L_CWS'!BE129</f>
        <v>35954252.73847001</v>
      </c>
      <c r="BE7" s="9">
        <f>'FIN-P&amp;L_CWS'!BF129</f>
        <v>35954252.73847001</v>
      </c>
      <c r="BF7" s="9">
        <f>'FIN-P&amp;L_CWS'!BG129</f>
        <v>35954252.73847001</v>
      </c>
      <c r="BG7" s="9">
        <f>'FIN-P&amp;L_CWS'!BH129</f>
        <v>35954252.73847001</v>
      </c>
      <c r="BH7" s="9">
        <f>'FIN-P&amp;L_CWS'!BI129</f>
        <v>35954252.73847001</v>
      </c>
      <c r="BI7" s="9">
        <f>'FIN-P&amp;L_CWS'!BJ129</f>
        <v>35954252.73847001</v>
      </c>
      <c r="BJ7" s="9">
        <f>'FIN-P&amp;L_CWS'!BK129</f>
        <v>35954252.73847001</v>
      </c>
      <c r="BK7" s="9">
        <f>'FIN-P&amp;L_CWS'!BL129</f>
        <v>23980444.880020007</v>
      </c>
    </row>
    <row r="8" spans="1:63" x14ac:dyDescent="0.15">
      <c r="B8" s="44" t="s">
        <v>632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351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-19953450</v>
      </c>
      <c r="H9" s="9">
        <f>'FIN-P&amp;L_CWS'!I208</f>
        <v>-13357916.666666668</v>
      </c>
      <c r="I9" s="9">
        <f>'FIN-P&amp;L_CWS'!J208</f>
        <v>-13418516.666666668</v>
      </c>
      <c r="J9" s="9">
        <f>'FIN-P&amp;L_CWS'!K208</f>
        <v>-12449850</v>
      </c>
      <c r="K9" s="9">
        <f>'FIN-P&amp;L_CWS'!L208</f>
        <v>-12449850</v>
      </c>
      <c r="L9" s="9">
        <f>'FIN-P&amp;L_CWS'!M208</f>
        <v>-12449850</v>
      </c>
      <c r="M9" s="9">
        <f>'FIN-P&amp;L_CWS'!N208</f>
        <v>-12449850</v>
      </c>
      <c r="N9" s="9">
        <f>'FIN-P&amp;L_CWS'!O208</f>
        <v>-12449850</v>
      </c>
      <c r="O9" s="9">
        <f>'FIN-P&amp;L_CWS'!P208</f>
        <v>-12723950</v>
      </c>
      <c r="P9" s="9">
        <f>'FIN-P&amp;L_CWS'!Q208</f>
        <v>-14459450</v>
      </c>
      <c r="Q9" s="9">
        <f>'FIN-P&amp;L_CWS'!R208</f>
        <v>-10875250</v>
      </c>
      <c r="R9" s="9">
        <f>'FIN-P&amp;L_CWS'!S208</f>
        <v>-9681345</v>
      </c>
      <c r="S9" s="9">
        <f>'FIN-P&amp;L_CWS'!T208</f>
        <v>-8681345</v>
      </c>
      <c r="T9" s="9">
        <f>'FIN-P&amp;L_CWS'!U208</f>
        <v>-8681345</v>
      </c>
      <c r="U9" s="9">
        <f>'FIN-P&amp;L_CWS'!V208</f>
        <v>-8681345</v>
      </c>
      <c r="V9" s="9">
        <f>'FIN-P&amp;L_CWS'!W208</f>
        <v>-8681345</v>
      </c>
      <c r="W9" s="9">
        <f>'FIN-P&amp;L_CWS'!X208</f>
        <v>-8681345</v>
      </c>
      <c r="X9" s="9">
        <f>'FIN-P&amp;L_CWS'!Y208</f>
        <v>-8681345</v>
      </c>
      <c r="Y9" s="9">
        <f>'FIN-P&amp;L_CWS'!Z208</f>
        <v>-8681345</v>
      </c>
      <c r="Z9" s="9">
        <f>'FIN-P&amp;L_CWS'!AA208</f>
        <v>-8681345</v>
      </c>
      <c r="AA9" s="9">
        <f>'FIN-P&amp;L_CWS'!AB208</f>
        <v>-12265545</v>
      </c>
      <c r="AB9" s="9">
        <f>'FIN-P&amp;L_CWS'!AC208</f>
        <v>-10148615.299999999</v>
      </c>
      <c r="AC9" s="9">
        <f>'FIN-P&amp;L_CWS'!AD208</f>
        <v>-1702112.25</v>
      </c>
      <c r="AD9" s="9">
        <f>'FIN-P&amp;L_CWS'!AE208</f>
        <v>1118922.4499999993</v>
      </c>
      <c r="AE9" s="9">
        <f>'FIN-P&amp;L_CWS'!AF208</f>
        <v>1118922.4499999993</v>
      </c>
      <c r="AF9" s="9">
        <f>'FIN-P&amp;L_CWS'!AG208</f>
        <v>1118922.4499999993</v>
      </c>
      <c r="AG9" s="9">
        <f>'FIN-P&amp;L_CWS'!AH208</f>
        <v>1118922.4499999993</v>
      </c>
      <c r="AH9" s="9">
        <f>'FIN-P&amp;L_CWS'!AI208</f>
        <v>1118922.4499999993</v>
      </c>
      <c r="AI9" s="9">
        <f>'FIN-P&amp;L_CWS'!AJ208</f>
        <v>1118922.4499999993</v>
      </c>
      <c r="AJ9" s="9">
        <f>'FIN-P&amp;L_CWS'!AK208</f>
        <v>1118922.4499999993</v>
      </c>
      <c r="AK9" s="9">
        <f>'FIN-P&amp;L_CWS'!AL208</f>
        <v>1118922.4499999993</v>
      </c>
      <c r="AL9" s="9">
        <f>'FIN-P&amp;L_CWS'!AM208</f>
        <v>1118922.4499999993</v>
      </c>
      <c r="AM9" s="9">
        <f>'FIN-P&amp;L_CWS'!AN208</f>
        <v>-7337312.2499999963</v>
      </c>
      <c r="AN9" s="9">
        <f>'FIN-P&amp;L_CWS'!AO208</f>
        <v>-4533389.0734999962</v>
      </c>
      <c r="AO9" s="9">
        <f>'FIN-P&amp;L_CWS'!AP208</f>
        <v>8070528.1770000085</v>
      </c>
      <c r="AP9" s="9">
        <f>'FIN-P&amp;L_CWS'!AQ208</f>
        <v>12270813.058000013</v>
      </c>
      <c r="AQ9" s="9">
        <f>'FIN-P&amp;L_CWS'!AR208</f>
        <v>12270813.058000013</v>
      </c>
      <c r="AR9" s="9">
        <f>'FIN-P&amp;L_CWS'!AS208</f>
        <v>12270813.058000013</v>
      </c>
      <c r="AS9" s="9">
        <f>'FIN-P&amp;L_CWS'!AT208</f>
        <v>12270813.058000013</v>
      </c>
      <c r="AT9" s="9">
        <f>'FIN-P&amp;L_CWS'!AU208</f>
        <v>12270813.058000013</v>
      </c>
      <c r="AU9" s="9">
        <f>'FIN-P&amp;L_CWS'!AV208</f>
        <v>12270813.058000013</v>
      </c>
      <c r="AV9" s="9">
        <f>'FIN-P&amp;L_CWS'!AW208</f>
        <v>12270813.058000013</v>
      </c>
      <c r="AW9" s="9">
        <f>'FIN-P&amp;L_CWS'!AX208</f>
        <v>12270813.058000013</v>
      </c>
      <c r="AX9" s="9">
        <f>'FIN-P&amp;L_CWS'!AY208</f>
        <v>12270813.058000013</v>
      </c>
      <c r="AY9" s="9">
        <f>'FIN-P&amp;L_CWS'!AZ208</f>
        <v>-333104.19249999151</v>
      </c>
      <c r="AZ9" s="9">
        <f>'FIN-P&amp;L_CWS'!BA208</f>
        <v>-6967713.8352000043</v>
      </c>
      <c r="BA9" s="9">
        <f>'FIN-P&amp;L_CWS'!BB208</f>
        <v>5026246.3908450045</v>
      </c>
      <c r="BB9" s="9">
        <f>'FIN-P&amp;L_CWS'!BC208</f>
        <v>9011105.4184700064</v>
      </c>
      <c r="BC9" s="9">
        <f>'FIN-P&amp;L_CWS'!BD208</f>
        <v>9011105.4184700064</v>
      </c>
      <c r="BD9" s="9">
        <f>'FIN-P&amp;L_CWS'!BE208</f>
        <v>9011105.4184700064</v>
      </c>
      <c r="BE9" s="9">
        <f>'FIN-P&amp;L_CWS'!BF208</f>
        <v>9011105.4184700064</v>
      </c>
      <c r="BF9" s="9">
        <f>'FIN-P&amp;L_CWS'!BG208</f>
        <v>9011105.4184700064</v>
      </c>
      <c r="BG9" s="9">
        <f>'FIN-P&amp;L_CWS'!BH208</f>
        <v>9011105.4184700064</v>
      </c>
      <c r="BH9" s="9">
        <f>'FIN-P&amp;L_CWS'!BI208</f>
        <v>9011105.4184700064</v>
      </c>
      <c r="BI9" s="9">
        <f>'FIN-P&amp;L_CWS'!BJ208</f>
        <v>9011105.4184700064</v>
      </c>
      <c r="BJ9" s="9">
        <f>'FIN-P&amp;L_CWS'!BK208</f>
        <v>9011105.4184700064</v>
      </c>
      <c r="BK9" s="9">
        <f>'FIN-P&amp;L_CWS'!BL208</f>
        <v>-2962702.4399799965</v>
      </c>
    </row>
    <row r="10" spans="1:63" x14ac:dyDescent="0.15">
      <c r="B10" s="44" t="s">
        <v>356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-19953450</v>
      </c>
      <c r="H10" s="9">
        <f>'FIN-P&amp;L_CWS'!I209</f>
        <v>-33311366.666666668</v>
      </c>
      <c r="I10" s="9">
        <f>'FIN-P&amp;L_CWS'!J209</f>
        <v>-46729883.333333336</v>
      </c>
      <c r="J10" s="9">
        <f>'FIN-P&amp;L_CWS'!K209</f>
        <v>-59179733.333333336</v>
      </c>
      <c r="K10" s="9">
        <f>'FIN-P&amp;L_CWS'!L209</f>
        <v>-71629583.333333343</v>
      </c>
      <c r="L10" s="9">
        <f>'FIN-P&amp;L_CWS'!M209</f>
        <v>-84079433.333333343</v>
      </c>
      <c r="M10" s="9">
        <f>'FIN-P&amp;L_CWS'!N209</f>
        <v>-96529283.333333343</v>
      </c>
      <c r="N10" s="9">
        <f>'FIN-P&amp;L_CWS'!O209</f>
        <v>-108979133.33333334</v>
      </c>
      <c r="O10" s="9">
        <f>'FIN-P&amp;L_CWS'!P209</f>
        <v>-121703083.33333334</v>
      </c>
      <c r="P10" s="9">
        <f>'FIN-P&amp;L_CWS'!Q209</f>
        <v>-136162533.33333334</v>
      </c>
      <c r="Q10" s="9">
        <f>'FIN-P&amp;L_CWS'!R209</f>
        <v>-147037783.33333334</v>
      </c>
      <c r="R10" s="9">
        <f>'FIN-P&amp;L_CWS'!S209</f>
        <v>-156719128.33333334</v>
      </c>
      <c r="S10" s="9">
        <f>'FIN-P&amp;L_CWS'!T209</f>
        <v>-165400473.33333334</v>
      </c>
      <c r="T10" s="9">
        <f>'FIN-P&amp;L_CWS'!U209</f>
        <v>-174081818.33333334</v>
      </c>
      <c r="U10" s="9">
        <f>'FIN-P&amp;L_CWS'!V209</f>
        <v>-182763163.33333334</v>
      </c>
      <c r="V10" s="9">
        <f>'FIN-P&amp;L_CWS'!W209</f>
        <v>-191444508.33333334</v>
      </c>
      <c r="W10" s="9">
        <f>'FIN-P&amp;L_CWS'!X209</f>
        <v>-200125853.33333334</v>
      </c>
      <c r="X10" s="9">
        <f>'FIN-P&amp;L_CWS'!Y209</f>
        <v>-208807198.33333334</v>
      </c>
      <c r="Y10" s="9">
        <f>'FIN-P&amp;L_CWS'!Z209</f>
        <v>-217488543.33333334</v>
      </c>
      <c r="Z10" s="9">
        <f>'FIN-P&amp;L_CWS'!AA209</f>
        <v>-226169888.33333334</v>
      </c>
      <c r="AA10" s="9">
        <f>'FIN-P&amp;L_CWS'!AB209</f>
        <v>-238435433.33333334</v>
      </c>
      <c r="AB10" s="9">
        <f>'FIN-P&amp;L_CWS'!AC209</f>
        <v>-248584048.63333336</v>
      </c>
      <c r="AC10" s="9">
        <f>'FIN-P&amp;L_CWS'!AD209</f>
        <v>-250286160.88333336</v>
      </c>
      <c r="AD10" s="9">
        <f>'FIN-P&amp;L_CWS'!AE209</f>
        <v>-249167238.43333337</v>
      </c>
      <c r="AE10" s="9">
        <f>'FIN-P&amp;L_CWS'!AF209</f>
        <v>-248048315.98333338</v>
      </c>
      <c r="AF10" s="9">
        <f>'FIN-P&amp;L_CWS'!AG209</f>
        <v>-246929393.53333339</v>
      </c>
      <c r="AG10" s="9">
        <f>'FIN-P&amp;L_CWS'!AH209</f>
        <v>-245810471.0833334</v>
      </c>
      <c r="AH10" s="9">
        <f>'FIN-P&amp;L_CWS'!AI209</f>
        <v>-244691548.63333341</v>
      </c>
      <c r="AI10" s="9">
        <f>'FIN-P&amp;L_CWS'!AJ209</f>
        <v>-243572626.18333343</v>
      </c>
      <c r="AJ10" s="9">
        <f>'FIN-P&amp;L_CWS'!AK209</f>
        <v>-242453703.73333344</v>
      </c>
      <c r="AK10" s="9">
        <f>'FIN-P&amp;L_CWS'!AL209</f>
        <v>-241334781.28333345</v>
      </c>
      <c r="AL10" s="9">
        <f>'FIN-P&amp;L_CWS'!AM209</f>
        <v>-240215858.83333346</v>
      </c>
      <c r="AM10" s="9">
        <f>'FIN-P&amp;L_CWS'!AN209</f>
        <v>-247553171.08333346</v>
      </c>
      <c r="AN10" s="9">
        <f>'FIN-P&amp;L_CWS'!AO209</f>
        <v>-252086560.15683347</v>
      </c>
      <c r="AO10" s="9">
        <f>'FIN-P&amp;L_CWS'!AP209</f>
        <v>-244016031.97983345</v>
      </c>
      <c r="AP10" s="9">
        <f>'FIN-P&amp;L_CWS'!AQ209</f>
        <v>-231745218.92183346</v>
      </c>
      <c r="AQ10" s="9">
        <f>'FIN-P&amp;L_CWS'!AR209</f>
        <v>-219474405.86383343</v>
      </c>
      <c r="AR10" s="9">
        <f>'FIN-P&amp;L_CWS'!AS209</f>
        <v>-207203592.8058334</v>
      </c>
      <c r="AS10" s="9">
        <f>'FIN-P&amp;L_CWS'!AT209</f>
        <v>-194932779.74783337</v>
      </c>
      <c r="AT10" s="9">
        <f>'FIN-P&amp;L_CWS'!AU209</f>
        <v>-182661966.68983334</v>
      </c>
      <c r="AU10" s="9">
        <f>'FIN-P&amp;L_CWS'!AV209</f>
        <v>-170391153.63183331</v>
      </c>
      <c r="AV10" s="9">
        <f>'FIN-P&amp;L_CWS'!AW209</f>
        <v>-158120340.57383329</v>
      </c>
      <c r="AW10" s="9">
        <f>'FIN-P&amp;L_CWS'!AX209</f>
        <v>-145849527.51583326</v>
      </c>
      <c r="AX10" s="9">
        <f>'FIN-P&amp;L_CWS'!AY209</f>
        <v>-133578714.45783325</v>
      </c>
      <c r="AY10" s="9">
        <f>'FIN-P&amp;L_CWS'!AZ209</f>
        <v>-133911818.65033324</v>
      </c>
      <c r="AZ10" s="9">
        <f>'FIN-P&amp;L_CWS'!BA209</f>
        <v>-140879532.48553324</v>
      </c>
      <c r="BA10" s="9">
        <f>'FIN-P&amp;L_CWS'!BB209</f>
        <v>-135853286.09468824</v>
      </c>
      <c r="BB10" s="9">
        <f>'FIN-P&amp;L_CWS'!BC209</f>
        <v>-126842180.67621823</v>
      </c>
      <c r="BC10" s="9">
        <f>'FIN-P&amp;L_CWS'!BD209</f>
        <v>-117831075.25774822</v>
      </c>
      <c r="BD10" s="9">
        <f>'FIN-P&amp;L_CWS'!BE209</f>
        <v>-108819969.83927821</v>
      </c>
      <c r="BE10" s="9">
        <f>'FIN-P&amp;L_CWS'!BF209</f>
        <v>-99808864.420808196</v>
      </c>
      <c r="BF10" s="9">
        <f>'FIN-P&amp;L_CWS'!BG209</f>
        <v>-90797759.002338186</v>
      </c>
      <c r="BG10" s="9">
        <f>'FIN-P&amp;L_CWS'!BH209</f>
        <v>-81786653.583868176</v>
      </c>
      <c r="BH10" s="9">
        <f>'FIN-P&amp;L_CWS'!BI209</f>
        <v>-72775548.165398166</v>
      </c>
      <c r="BI10" s="9">
        <f>'FIN-P&amp;L_CWS'!BJ209</f>
        <v>-63764442.746928155</v>
      </c>
      <c r="BJ10" s="9">
        <f>'FIN-P&amp;L_CWS'!BK209</f>
        <v>-54753337.328458145</v>
      </c>
      <c r="BK10" s="9">
        <f>'FIN-P&amp;L_CWS'!BL209</f>
        <v>-57716039.768438146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9" t="s">
        <v>35</v>
      </c>
      <c r="E13" s="389"/>
      <c r="F13" s="389"/>
      <c r="G13" s="389"/>
      <c r="H13" s="389"/>
      <c r="I13" s="389"/>
      <c r="J13" s="389"/>
      <c r="K13" s="389"/>
      <c r="L13" s="389"/>
      <c r="M13" s="389"/>
      <c r="N13" s="389"/>
      <c r="O13" s="389"/>
      <c r="P13" s="389" t="s">
        <v>36</v>
      </c>
      <c r="Q13" s="389"/>
      <c r="R13" s="389"/>
      <c r="S13" s="389"/>
      <c r="T13" s="389"/>
      <c r="U13" s="389"/>
      <c r="V13" s="389"/>
      <c r="W13" s="389"/>
      <c r="X13" s="389"/>
      <c r="Y13" s="389"/>
      <c r="Z13" s="389"/>
      <c r="AA13" s="389"/>
      <c r="AB13" s="389" t="s">
        <v>37</v>
      </c>
      <c r="AC13" s="389"/>
      <c r="AD13" s="389"/>
      <c r="AE13" s="389"/>
      <c r="AF13" s="389"/>
      <c r="AG13" s="389"/>
      <c r="AH13" s="389"/>
      <c r="AI13" s="389"/>
      <c r="AJ13" s="389"/>
      <c r="AK13" s="389"/>
      <c r="AL13" s="389"/>
      <c r="AM13" s="389"/>
      <c r="AN13" s="389" t="s">
        <v>38</v>
      </c>
      <c r="AO13" s="389"/>
      <c r="AP13" s="389"/>
      <c r="AQ13" s="389"/>
      <c r="AR13" s="389"/>
      <c r="AS13" s="389"/>
      <c r="AT13" s="389"/>
      <c r="AU13" s="389"/>
      <c r="AV13" s="389"/>
      <c r="AW13" s="389"/>
      <c r="AX13" s="389"/>
      <c r="AY13" s="389"/>
      <c r="AZ13" s="389" t="s">
        <v>39</v>
      </c>
      <c r="BA13" s="389"/>
      <c r="BB13" s="389"/>
      <c r="BC13" s="389"/>
      <c r="BD13" s="389"/>
      <c r="BE13" s="389"/>
      <c r="BF13" s="389"/>
      <c r="BG13" s="389"/>
      <c r="BH13" s="389"/>
      <c r="BI13" s="389"/>
      <c r="BJ13" s="389"/>
      <c r="BK13" s="38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688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616</v>
      </c>
      <c r="H15" s="206">
        <f>'REV-REVCALC_CWS'!G13</f>
        <v>726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681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671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351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9009000</v>
      </c>
      <c r="H19" s="9">
        <f>'REV-REVCALC_CWS'!G94</f>
        <v>13542000</v>
      </c>
      <c r="I19" s="9">
        <f>'REV-REVCALC_CWS'!H94</f>
        <v>18369000</v>
      </c>
      <c r="J19" s="9">
        <f>'REV-REVCALC_CWS'!I94</f>
        <v>18369000</v>
      </c>
      <c r="K19" s="9">
        <f>'REV-REVCALC_CWS'!J94</f>
        <v>18369000</v>
      </c>
      <c r="L19" s="9">
        <f>'REV-REVCALC_CWS'!K94</f>
        <v>18369000</v>
      </c>
      <c r="M19" s="9">
        <f>'REV-REVCALC_CWS'!L94</f>
        <v>18369000</v>
      </c>
      <c r="N19" s="9">
        <f>'REV-REVCALC_CWS'!M94</f>
        <v>18369000</v>
      </c>
      <c r="O19" s="9">
        <f>'REV-REVCALC_CWS'!N94</f>
        <v>17480500</v>
      </c>
      <c r="P19" s="9">
        <f>'REV-REVCALC_CWS'!O94</f>
        <v>18857680</v>
      </c>
      <c r="Q19" s="9">
        <f>'REV-REVCALC_CWS'!P94</f>
        <v>30171325</v>
      </c>
      <c r="R19" s="9">
        <f>'REV-REVCALC_CWS'!Q94</f>
        <v>33934515</v>
      </c>
      <c r="S19" s="9">
        <f>'REV-REVCALC_CWS'!R94</f>
        <v>33934515</v>
      </c>
      <c r="T19" s="9">
        <f>'REV-REVCALC_CWS'!S94</f>
        <v>33934515</v>
      </c>
      <c r="U19" s="9">
        <f>'REV-REVCALC_CWS'!T94</f>
        <v>33934515</v>
      </c>
      <c r="V19" s="9">
        <f>'REV-REVCALC_CWS'!U94</f>
        <v>33934515</v>
      </c>
      <c r="W19" s="9">
        <f>'REV-REVCALC_CWS'!V94</f>
        <v>33934515</v>
      </c>
      <c r="X19" s="9">
        <f>'REV-REVCALC_CWS'!W94</f>
        <v>33934515</v>
      </c>
      <c r="Y19" s="9">
        <f>'REV-REVCALC_CWS'!X94</f>
        <v>33934515</v>
      </c>
      <c r="Z19" s="9">
        <f>'REV-REVCALC_CWS'!Y94</f>
        <v>33934515</v>
      </c>
      <c r="AA19" s="9">
        <f>'REV-REVCALC_CWS'!Z94</f>
        <v>22620870</v>
      </c>
      <c r="AB19" s="9">
        <f>'REV-REVCALC_CWS'!AA94</f>
        <v>38997011.350000001</v>
      </c>
      <c r="AC19" s="9">
        <f>'REV-REVCALC_CWS'!AB94</f>
        <v>62385028.549999997</v>
      </c>
      <c r="AD19" s="9">
        <f>'REV-REVCALC_CWS'!AC94</f>
        <v>70188094.5</v>
      </c>
      <c r="AE19" s="9">
        <f>'REV-REVCALC_CWS'!AD94</f>
        <v>70188094.5</v>
      </c>
      <c r="AF19" s="9">
        <f>'REV-REVCALC_CWS'!AE94</f>
        <v>70188094.5</v>
      </c>
      <c r="AG19" s="9">
        <f>'REV-REVCALC_CWS'!AF94</f>
        <v>70188094.5</v>
      </c>
      <c r="AH19" s="9">
        <f>'REV-REVCALC_CWS'!AG94</f>
        <v>70188094.5</v>
      </c>
      <c r="AI19" s="9">
        <f>'REV-REVCALC_CWS'!AH94</f>
        <v>70188094.5</v>
      </c>
      <c r="AJ19" s="9">
        <f>'REV-REVCALC_CWS'!AI94</f>
        <v>70188094.5</v>
      </c>
      <c r="AK19" s="9">
        <f>'REV-REVCALC_CWS'!AJ94</f>
        <v>70188094.5</v>
      </c>
      <c r="AL19" s="9">
        <f>'REV-REVCALC_CWS'!AK94</f>
        <v>70188094.5</v>
      </c>
      <c r="AM19" s="9">
        <f>'REV-REVCALC_CWS'!AL94</f>
        <v>46788055.850000009</v>
      </c>
      <c r="AN19" s="9">
        <f>'REV-REVCALC_CWS'!AM94</f>
        <v>59832325.16300001</v>
      </c>
      <c r="AO19" s="9">
        <f>'REV-REVCALC_CWS'!AN94</f>
        <v>95741398.100500017</v>
      </c>
      <c r="AP19" s="9">
        <f>'REV-REVCALC_CWS'!AO94</f>
        <v>107710068.21050002</v>
      </c>
      <c r="AQ19" s="9">
        <f>'REV-REVCALC_CWS'!AP94</f>
        <v>107710068.21050002</v>
      </c>
      <c r="AR19" s="9">
        <f>'REV-REVCALC_CWS'!AQ94</f>
        <v>107710068.21050002</v>
      </c>
      <c r="AS19" s="9">
        <f>'REV-REVCALC_CWS'!AR94</f>
        <v>107710068.21050002</v>
      </c>
      <c r="AT19" s="9">
        <f>'REV-REVCALC_CWS'!AS94</f>
        <v>107710068.21050002</v>
      </c>
      <c r="AU19" s="9">
        <f>'REV-REVCALC_CWS'!AT94</f>
        <v>107710068.21050002</v>
      </c>
      <c r="AV19" s="9">
        <f>'REV-REVCALC_CWS'!AU94</f>
        <v>107710068.21050002</v>
      </c>
      <c r="AW19" s="9">
        <f>'REV-REVCALC_CWS'!AV94</f>
        <v>107710068.21050002</v>
      </c>
      <c r="AX19" s="9">
        <f>'REV-REVCALC_CWS'!AW94</f>
        <v>107710068.21050002</v>
      </c>
      <c r="AY19" s="9">
        <f>'REV-REVCALC_CWS'!AX94</f>
        <v>71800995.273000017</v>
      </c>
      <c r="AZ19" s="9">
        <f>'REV-REVCALC_CWS'!AY94</f>
        <v>62422954.221175008</v>
      </c>
      <c r="BA19" s="9">
        <f>'REV-REVCALC_CWS'!AZ94</f>
        <v>99902737.050040022</v>
      </c>
      <c r="BB19" s="9">
        <f>'REV-REVCALC_CWS'!BA94</f>
        <v>112367627.42824002</v>
      </c>
      <c r="BC19" s="9">
        <f>'REV-REVCALC_CWS'!BB94</f>
        <v>112367627.42824002</v>
      </c>
      <c r="BD19" s="9">
        <f>'REV-REVCALC_CWS'!BC94</f>
        <v>112367627.42824002</v>
      </c>
      <c r="BE19" s="9">
        <f>'REV-REVCALC_CWS'!BD94</f>
        <v>112367627.42824002</v>
      </c>
      <c r="BF19" s="9">
        <f>'REV-REVCALC_CWS'!BE94</f>
        <v>112367627.42824002</v>
      </c>
      <c r="BG19" s="9">
        <f>'REV-REVCALC_CWS'!BF94</f>
        <v>112367627.42824002</v>
      </c>
      <c r="BH19" s="9">
        <f>'REV-REVCALC_CWS'!BG94</f>
        <v>112367627.42824002</v>
      </c>
      <c r="BI19" s="9">
        <f>'REV-REVCALC_CWS'!BH94</f>
        <v>112367627.42824002</v>
      </c>
      <c r="BJ19" s="9">
        <f>'REV-REVCALC_CWS'!BI94</f>
        <v>112367627.42824002</v>
      </c>
      <c r="BK19" s="9">
        <f>'REV-REVCALC_CWS'!BJ94</f>
        <v>74937937.523565009</v>
      </c>
    </row>
    <row r="20" spans="2:63" x14ac:dyDescent="0.15">
      <c r="B20" s="33" t="s">
        <v>356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2109800</v>
      </c>
      <c r="H20" s="9">
        <f>'REV-REVCALC_CWS'!G95</f>
        <v>3708000</v>
      </c>
      <c r="I20" s="9">
        <f>'REV-REVCALC_CWS'!H95</f>
        <v>5647400</v>
      </c>
      <c r="J20" s="9">
        <f>'REV-REVCALC_CWS'!I95</f>
        <v>5647400</v>
      </c>
      <c r="K20" s="9">
        <f>'REV-REVCALC_CWS'!J95</f>
        <v>5647400</v>
      </c>
      <c r="L20" s="9">
        <f>'REV-REVCALC_CWS'!K95</f>
        <v>5647400</v>
      </c>
      <c r="M20" s="9">
        <f>'REV-REVCALC_CWS'!L95</f>
        <v>5647400</v>
      </c>
      <c r="N20" s="9">
        <f>'REV-REVCALC_CWS'!M95</f>
        <v>5647400</v>
      </c>
      <c r="O20" s="9">
        <f>'REV-REVCALC_CWS'!N95</f>
        <v>5373300</v>
      </c>
      <c r="P20" s="9">
        <f>'REV-REVCALC_CWS'!O95</f>
        <v>5977800</v>
      </c>
      <c r="Q20" s="9">
        <f>'REV-REVCALC_CWS'!P95</f>
        <v>9562000</v>
      </c>
      <c r="R20" s="9">
        <f>'REV-REVCALC_CWS'!Q95</f>
        <v>10755905</v>
      </c>
      <c r="S20" s="9">
        <f>'REV-REVCALC_CWS'!R95</f>
        <v>10755905</v>
      </c>
      <c r="T20" s="9">
        <f>'REV-REVCALC_CWS'!S95</f>
        <v>10755905</v>
      </c>
      <c r="U20" s="9">
        <f>'REV-REVCALC_CWS'!T95</f>
        <v>10755905</v>
      </c>
      <c r="V20" s="9">
        <f>'REV-REVCALC_CWS'!U95</f>
        <v>10755905</v>
      </c>
      <c r="W20" s="9">
        <f>'REV-REVCALC_CWS'!V95</f>
        <v>10755905</v>
      </c>
      <c r="X20" s="9">
        <f>'REV-REVCALC_CWS'!W95</f>
        <v>10755905</v>
      </c>
      <c r="Y20" s="9">
        <f>'REV-REVCALC_CWS'!X95</f>
        <v>10755905</v>
      </c>
      <c r="Z20" s="9">
        <f>'REV-REVCALC_CWS'!Y95</f>
        <v>10755905</v>
      </c>
      <c r="AA20" s="9">
        <f>'REV-REVCALC_CWS'!Z95</f>
        <v>7171705</v>
      </c>
      <c r="AB20" s="9">
        <f>'REV-REVCALC_CWS'!AA95</f>
        <v>14091434.700000001</v>
      </c>
      <c r="AC20" s="9">
        <f>'REV-REVCALC_CWS'!AB95</f>
        <v>22537937.75</v>
      </c>
      <c r="AD20" s="9">
        <f>'REV-REVCALC_CWS'!AC95</f>
        <v>25358972.449999999</v>
      </c>
      <c r="AE20" s="9">
        <f>'REV-REVCALC_CWS'!AD95</f>
        <v>25358972.449999999</v>
      </c>
      <c r="AF20" s="9">
        <f>'REV-REVCALC_CWS'!AE95</f>
        <v>25358972.449999999</v>
      </c>
      <c r="AG20" s="9">
        <f>'REV-REVCALC_CWS'!AF95</f>
        <v>25358972.449999999</v>
      </c>
      <c r="AH20" s="9">
        <f>'REV-REVCALC_CWS'!AG95</f>
        <v>25358972.449999999</v>
      </c>
      <c r="AI20" s="9">
        <f>'REV-REVCALC_CWS'!AH95</f>
        <v>25358972.449999999</v>
      </c>
      <c r="AJ20" s="9">
        <f>'REV-REVCALC_CWS'!AI95</f>
        <v>25358972.449999999</v>
      </c>
      <c r="AK20" s="9">
        <f>'REV-REVCALC_CWS'!AJ95</f>
        <v>25358972.449999999</v>
      </c>
      <c r="AL20" s="9">
        <f>'REV-REVCALC_CWS'!AK95</f>
        <v>25358972.449999999</v>
      </c>
      <c r="AM20" s="9">
        <f>'REV-REVCALC_CWS'!AL95</f>
        <v>16902737.750000004</v>
      </c>
      <c r="AN20" s="9">
        <f>'REV-REVCALC_CWS'!AM95</f>
        <v>21003736.926500004</v>
      </c>
      <c r="AO20" s="9">
        <f>'REV-REVCALC_CWS'!AN95</f>
        <v>33607654.177000009</v>
      </c>
      <c r="AP20" s="9">
        <f>'REV-REVCALC_CWS'!AO95</f>
        <v>37807939.058000013</v>
      </c>
      <c r="AQ20" s="9">
        <f>'REV-REVCALC_CWS'!AP95</f>
        <v>37807939.058000013</v>
      </c>
      <c r="AR20" s="9">
        <f>'REV-REVCALC_CWS'!AQ95</f>
        <v>37807939.058000013</v>
      </c>
      <c r="AS20" s="9">
        <f>'REV-REVCALC_CWS'!AR95</f>
        <v>37807939.058000013</v>
      </c>
      <c r="AT20" s="9">
        <f>'REV-REVCALC_CWS'!AS95</f>
        <v>37807939.058000013</v>
      </c>
      <c r="AU20" s="9">
        <f>'REV-REVCALC_CWS'!AT95</f>
        <v>37807939.058000013</v>
      </c>
      <c r="AV20" s="9">
        <f>'REV-REVCALC_CWS'!AU95</f>
        <v>37807939.058000013</v>
      </c>
      <c r="AW20" s="9">
        <f>'REV-REVCALC_CWS'!AV95</f>
        <v>37807939.058000013</v>
      </c>
      <c r="AX20" s="9">
        <f>'REV-REVCALC_CWS'!AW95</f>
        <v>37807939.058000013</v>
      </c>
      <c r="AY20" s="9">
        <f>'REV-REVCALC_CWS'!AX95</f>
        <v>25204021.807500005</v>
      </c>
      <c r="AZ20" s="9">
        <f>'REV-REVCALC_CWS'!AY95</f>
        <v>19975433.4848</v>
      </c>
      <c r="BA20" s="9">
        <f>'REV-REVCALC_CWS'!AZ95</f>
        <v>31969393.710845008</v>
      </c>
      <c r="BB20" s="9">
        <f>'REV-REVCALC_CWS'!BA95</f>
        <v>35954252.73847001</v>
      </c>
      <c r="BC20" s="9">
        <f>'REV-REVCALC_CWS'!BB95</f>
        <v>35954252.73847001</v>
      </c>
      <c r="BD20" s="9">
        <f>'REV-REVCALC_CWS'!BC95</f>
        <v>35954252.73847001</v>
      </c>
      <c r="BE20" s="9">
        <f>'REV-REVCALC_CWS'!BD95</f>
        <v>35954252.73847001</v>
      </c>
      <c r="BF20" s="9">
        <f>'REV-REVCALC_CWS'!BE95</f>
        <v>35954252.73847001</v>
      </c>
      <c r="BG20" s="9">
        <f>'REV-REVCALC_CWS'!BF95</f>
        <v>35954252.73847001</v>
      </c>
      <c r="BH20" s="9">
        <f>'REV-REVCALC_CWS'!BG95</f>
        <v>35954252.73847001</v>
      </c>
      <c r="BI20" s="9">
        <f>'REV-REVCALC_CWS'!BH95</f>
        <v>35954252.73847001</v>
      </c>
      <c r="BJ20" s="9">
        <f>'REV-REVCALC_CWS'!BI95</f>
        <v>35954252.73847001</v>
      </c>
      <c r="BK20" s="9">
        <f>'REV-REVCALC_CWS'!BJ95</f>
        <v>23980444.880020004</v>
      </c>
    </row>
    <row r="21" spans="2:63" x14ac:dyDescent="0.15">
      <c r="B21" s="190" t="s">
        <v>682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9" t="s">
        <v>35</v>
      </c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 t="s">
        <v>36</v>
      </c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 t="s">
        <v>37</v>
      </c>
      <c r="AC24" s="389"/>
      <c r="AD24" s="389"/>
      <c r="AE24" s="389"/>
      <c r="AF24" s="389"/>
      <c r="AG24" s="389"/>
      <c r="AH24" s="389"/>
      <c r="AI24" s="389"/>
      <c r="AJ24" s="389"/>
      <c r="AK24" s="389"/>
      <c r="AL24" s="389"/>
      <c r="AM24" s="389"/>
      <c r="AN24" s="389" t="s">
        <v>38</v>
      </c>
      <c r="AO24" s="389"/>
      <c r="AP24" s="389"/>
      <c r="AQ24" s="389"/>
      <c r="AR24" s="389"/>
      <c r="AS24" s="389"/>
      <c r="AT24" s="389"/>
      <c r="AU24" s="389"/>
      <c r="AV24" s="389"/>
      <c r="AW24" s="389"/>
      <c r="AX24" s="389"/>
      <c r="AY24" s="389"/>
      <c r="AZ24" s="389" t="s">
        <v>39</v>
      </c>
      <c r="BA24" s="389"/>
      <c r="BB24" s="389"/>
      <c r="BC24" s="389"/>
      <c r="BD24" s="389"/>
      <c r="BE24" s="389"/>
      <c r="BF24" s="389"/>
      <c r="BG24" s="389"/>
      <c r="BH24" s="389"/>
      <c r="BI24" s="389"/>
      <c r="BJ24" s="389"/>
      <c r="BK24" s="38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356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2109800</v>
      </c>
      <c r="H26" s="9">
        <f>'REV-REVCALC_CWS'!G95</f>
        <v>3708000</v>
      </c>
      <c r="I26" s="9">
        <f>'REV-REVCALC_CWS'!H95</f>
        <v>5647400</v>
      </c>
      <c r="J26" s="9">
        <f>'REV-REVCALC_CWS'!I95</f>
        <v>5647400</v>
      </c>
      <c r="K26" s="9">
        <f>'REV-REVCALC_CWS'!J95</f>
        <v>5647400</v>
      </c>
      <c r="L26" s="9">
        <f>'REV-REVCALC_CWS'!K95</f>
        <v>5647400</v>
      </c>
      <c r="M26" s="9">
        <f>'REV-REVCALC_CWS'!L95</f>
        <v>5647400</v>
      </c>
      <c r="N26" s="9">
        <f>'REV-REVCALC_CWS'!M95</f>
        <v>5647400</v>
      </c>
      <c r="O26" s="9">
        <f>'REV-REVCALC_CWS'!N95</f>
        <v>5373300</v>
      </c>
      <c r="P26" s="9">
        <f>'REV-REVCALC_CWS'!O95</f>
        <v>5977800</v>
      </c>
      <c r="Q26" s="9">
        <f>'REV-REVCALC_CWS'!P95</f>
        <v>9562000</v>
      </c>
      <c r="R26" s="9">
        <f>'REV-REVCALC_CWS'!Q95</f>
        <v>10755905</v>
      </c>
      <c r="S26" s="9">
        <f>'REV-REVCALC_CWS'!R95</f>
        <v>10755905</v>
      </c>
      <c r="T26" s="9">
        <f>'REV-REVCALC_CWS'!S95</f>
        <v>10755905</v>
      </c>
      <c r="U26" s="9">
        <f>'REV-REVCALC_CWS'!T95</f>
        <v>10755905</v>
      </c>
      <c r="V26" s="9">
        <f>'REV-REVCALC_CWS'!U95</f>
        <v>10755905</v>
      </c>
      <c r="W26" s="9">
        <f>'REV-REVCALC_CWS'!V95</f>
        <v>10755905</v>
      </c>
      <c r="X26" s="9">
        <f>'REV-REVCALC_CWS'!W95</f>
        <v>10755905</v>
      </c>
      <c r="Y26" s="9">
        <f>'REV-REVCALC_CWS'!X95</f>
        <v>10755905</v>
      </c>
      <c r="Z26" s="9">
        <f>'REV-REVCALC_CWS'!Y95</f>
        <v>10755905</v>
      </c>
      <c r="AA26" s="9">
        <f>'REV-REVCALC_CWS'!Z95</f>
        <v>7171705</v>
      </c>
      <c r="AB26" s="9">
        <f>'REV-REVCALC_CWS'!AA95</f>
        <v>14091434.700000001</v>
      </c>
      <c r="AC26" s="9">
        <f>'REV-REVCALC_CWS'!AB95</f>
        <v>22537937.75</v>
      </c>
      <c r="AD26" s="9">
        <f>'REV-REVCALC_CWS'!AC95</f>
        <v>25358972.449999999</v>
      </c>
      <c r="AE26" s="9">
        <f>'REV-REVCALC_CWS'!AD95</f>
        <v>25358972.449999999</v>
      </c>
      <c r="AF26" s="9">
        <f>'REV-REVCALC_CWS'!AE95</f>
        <v>25358972.449999999</v>
      </c>
      <c r="AG26" s="9">
        <f>'REV-REVCALC_CWS'!AF95</f>
        <v>25358972.449999999</v>
      </c>
      <c r="AH26" s="9">
        <f>'REV-REVCALC_CWS'!AG95</f>
        <v>25358972.449999999</v>
      </c>
      <c r="AI26" s="9">
        <f>'REV-REVCALC_CWS'!AH95</f>
        <v>25358972.449999999</v>
      </c>
      <c r="AJ26" s="9">
        <f>'REV-REVCALC_CWS'!AI95</f>
        <v>25358972.449999999</v>
      </c>
      <c r="AK26" s="9">
        <f>'REV-REVCALC_CWS'!AJ95</f>
        <v>25358972.449999999</v>
      </c>
      <c r="AL26" s="9">
        <f>'REV-REVCALC_CWS'!AK95</f>
        <v>25358972.449999999</v>
      </c>
      <c r="AM26" s="9">
        <f>'REV-REVCALC_CWS'!AL95</f>
        <v>16902737.750000004</v>
      </c>
      <c r="AN26" s="9">
        <f>'REV-REVCALC_CWS'!AM95</f>
        <v>21003736.926500004</v>
      </c>
      <c r="AO26" s="9">
        <f>'REV-REVCALC_CWS'!AN95</f>
        <v>33607654.177000009</v>
      </c>
      <c r="AP26" s="9">
        <f>'REV-REVCALC_CWS'!AO95</f>
        <v>37807939.058000013</v>
      </c>
      <c r="AQ26" s="9">
        <f>'REV-REVCALC_CWS'!AP95</f>
        <v>37807939.058000013</v>
      </c>
      <c r="AR26" s="9">
        <f>'REV-REVCALC_CWS'!AQ95</f>
        <v>37807939.058000013</v>
      </c>
      <c r="AS26" s="9">
        <f>'REV-REVCALC_CWS'!AR95</f>
        <v>37807939.058000013</v>
      </c>
      <c r="AT26" s="9">
        <f>'REV-REVCALC_CWS'!AS95</f>
        <v>37807939.058000013</v>
      </c>
      <c r="AU26" s="9">
        <f>'REV-REVCALC_CWS'!AT95</f>
        <v>37807939.058000013</v>
      </c>
      <c r="AV26" s="9">
        <f>'REV-REVCALC_CWS'!AU95</f>
        <v>37807939.058000013</v>
      </c>
      <c r="AW26" s="9">
        <f>'REV-REVCALC_CWS'!AV95</f>
        <v>37807939.058000013</v>
      </c>
      <c r="AX26" s="9">
        <f>'REV-REVCALC_CWS'!AW95</f>
        <v>37807939.058000013</v>
      </c>
      <c r="AY26" s="9">
        <f>'REV-REVCALC_CWS'!AX95</f>
        <v>25204021.807500005</v>
      </c>
      <c r="AZ26" s="9">
        <f>'REV-REVCALC_CWS'!AY95</f>
        <v>19975433.4848</v>
      </c>
      <c r="BA26" s="9">
        <f>'REV-REVCALC_CWS'!AZ95</f>
        <v>31969393.710845008</v>
      </c>
      <c r="BB26" s="9">
        <f>'REV-REVCALC_CWS'!BA95</f>
        <v>35954252.73847001</v>
      </c>
      <c r="BC26" s="9">
        <f>'REV-REVCALC_CWS'!BB95</f>
        <v>35954252.73847001</v>
      </c>
      <c r="BD26" s="9">
        <f>'REV-REVCALC_CWS'!BC95</f>
        <v>35954252.73847001</v>
      </c>
      <c r="BE26" s="9">
        <f>'REV-REVCALC_CWS'!BD95</f>
        <v>35954252.73847001</v>
      </c>
      <c r="BF26" s="9">
        <f>'REV-REVCALC_CWS'!BE95</f>
        <v>35954252.73847001</v>
      </c>
      <c r="BG26" s="9">
        <f>'REV-REVCALC_CWS'!BF95</f>
        <v>35954252.73847001</v>
      </c>
      <c r="BH26" s="9">
        <f>'REV-REVCALC_CWS'!BG95</f>
        <v>35954252.73847001</v>
      </c>
      <c r="BI26" s="9">
        <f>'REV-REVCALC_CWS'!BH95</f>
        <v>35954252.73847001</v>
      </c>
      <c r="BJ26" s="9">
        <f>'REV-REVCALC_CWS'!BI95</f>
        <v>35954252.73847001</v>
      </c>
      <c r="BK26" s="9">
        <f>'REV-REVCALC_CWS'!BJ95</f>
        <v>23980444.880020004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689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703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9" t="s">
        <v>35</v>
      </c>
      <c r="E31" s="389"/>
      <c r="F31" s="389"/>
      <c r="G31" s="389"/>
      <c r="H31" s="389"/>
      <c r="I31" s="389"/>
      <c r="J31" s="389"/>
      <c r="K31" s="389"/>
      <c r="L31" s="389"/>
      <c r="M31" s="389"/>
      <c r="N31" s="389"/>
      <c r="O31" s="389"/>
      <c r="P31" s="389" t="s">
        <v>36</v>
      </c>
      <c r="Q31" s="389"/>
      <c r="R31" s="389"/>
      <c r="S31" s="389"/>
      <c r="T31" s="389"/>
      <c r="U31" s="389"/>
      <c r="V31" s="389"/>
      <c r="W31" s="389"/>
      <c r="X31" s="389"/>
      <c r="Y31" s="389"/>
      <c r="Z31" s="389"/>
      <c r="AA31" s="389"/>
      <c r="AB31" s="389" t="s">
        <v>37</v>
      </c>
      <c r="AC31" s="389"/>
      <c r="AD31" s="389"/>
      <c r="AE31" s="389"/>
      <c r="AF31" s="389"/>
      <c r="AG31" s="389"/>
      <c r="AH31" s="389"/>
      <c r="AI31" s="389"/>
      <c r="AJ31" s="389"/>
      <c r="AK31" s="389"/>
      <c r="AL31" s="389"/>
      <c r="AM31" s="389"/>
      <c r="AN31" s="389" t="s">
        <v>38</v>
      </c>
      <c r="AO31" s="389"/>
      <c r="AP31" s="389"/>
      <c r="AQ31" s="389"/>
      <c r="AR31" s="389"/>
      <c r="AS31" s="389"/>
      <c r="AT31" s="389"/>
      <c r="AU31" s="389"/>
      <c r="AV31" s="389"/>
      <c r="AW31" s="389"/>
      <c r="AX31" s="389"/>
      <c r="AY31" s="389"/>
      <c r="AZ31" s="389" t="s">
        <v>39</v>
      </c>
      <c r="BA31" s="389"/>
      <c r="BB31" s="389"/>
      <c r="BC31" s="389"/>
      <c r="BD31" s="389"/>
      <c r="BE31" s="389"/>
      <c r="BF31" s="389"/>
      <c r="BG31" s="389"/>
      <c r="BH31" s="389"/>
      <c r="BI31" s="389"/>
      <c r="BJ31" s="389"/>
      <c r="BK31" s="38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672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670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675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664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687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686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9" t="s">
        <v>35</v>
      </c>
      <c r="E40" s="389"/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 t="s">
        <v>36</v>
      </c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 t="s">
        <v>37</v>
      </c>
      <c r="AC40" s="389"/>
      <c r="AD40" s="389"/>
      <c r="AE40" s="389"/>
      <c r="AF40" s="389"/>
      <c r="AG40" s="389"/>
      <c r="AH40" s="389"/>
      <c r="AI40" s="389"/>
      <c r="AJ40" s="389"/>
      <c r="AK40" s="389"/>
      <c r="AL40" s="389"/>
      <c r="AM40" s="389"/>
      <c r="AN40" s="389" t="s">
        <v>38</v>
      </c>
      <c r="AO40" s="389"/>
      <c r="AP40" s="389"/>
      <c r="AQ40" s="389"/>
      <c r="AR40" s="389"/>
      <c r="AS40" s="389"/>
      <c r="AT40" s="389"/>
      <c r="AU40" s="389"/>
      <c r="AV40" s="389"/>
      <c r="AW40" s="389"/>
      <c r="AX40" s="389"/>
      <c r="AY40" s="389"/>
      <c r="AZ40" s="389" t="s">
        <v>39</v>
      </c>
      <c r="BA40" s="389"/>
      <c r="BB40" s="389"/>
      <c r="BC40" s="389"/>
      <c r="BD40" s="389"/>
      <c r="BE40" s="389"/>
      <c r="BF40" s="389"/>
      <c r="BG40" s="389"/>
      <c r="BH40" s="389"/>
      <c r="BI40" s="389"/>
      <c r="BJ40" s="389"/>
      <c r="BK40" s="38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376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393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440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665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677</v>
      </c>
      <c r="C49" s="200"/>
    </row>
    <row r="50" spans="2:3" x14ac:dyDescent="0.15">
      <c r="B50" s="14"/>
      <c r="C50" s="200"/>
    </row>
    <row r="51" spans="2:3" x14ac:dyDescent="0.15">
      <c r="B51" s="14" t="s">
        <v>678</v>
      </c>
      <c r="C51" s="200"/>
    </row>
    <row r="52" spans="2:3" x14ac:dyDescent="0.15">
      <c r="B52" s="14" t="s">
        <v>684</v>
      </c>
      <c r="C52" s="200"/>
    </row>
    <row r="53" spans="2:3" x14ac:dyDescent="0.15">
      <c r="B53" s="14" t="s">
        <v>683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488</v>
      </c>
    </row>
    <row r="4" spans="2:66" hidden="1" x14ac:dyDescent="0.15"/>
    <row r="5" spans="2:66" x14ac:dyDescent="0.15">
      <c r="B5" s="44" t="s">
        <v>489</v>
      </c>
      <c r="E5" s="9">
        <f>SUM(E49)</f>
        <v>0</v>
      </c>
      <c r="F5" s="9">
        <f>SUM(F49:Q49)</f>
        <v>45075500</v>
      </c>
      <c r="G5" s="9">
        <f>SUM(R49:AC49)</f>
        <v>119514650</v>
      </c>
      <c r="H5" s="9">
        <f>SUM(AD49:AO49)</f>
        <v>281762862.24999994</v>
      </c>
      <c r="I5" s="9">
        <f>SUM(AP49:BA49)</f>
        <v>420086864.43300021</v>
      </c>
      <c r="J5" s="9">
        <f>SUM(BB49:BM49)</f>
        <v>399513546.72189516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490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491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492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497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679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680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9" t="s">
        <v>35</v>
      </c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 t="s">
        <v>36</v>
      </c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 t="s">
        <v>37</v>
      </c>
      <c r="AE44" s="389"/>
      <c r="AF44" s="389"/>
      <c r="AG44" s="389"/>
      <c r="AH44" s="389"/>
      <c r="AI44" s="389"/>
      <c r="AJ44" s="389"/>
      <c r="AK44" s="389"/>
      <c r="AL44" s="389"/>
      <c r="AM44" s="389"/>
      <c r="AN44" s="389"/>
      <c r="AO44" s="389"/>
      <c r="AP44" s="389" t="s">
        <v>38</v>
      </c>
      <c r="AQ44" s="389"/>
      <c r="AR44" s="389"/>
      <c r="AS44" s="389"/>
      <c r="AT44" s="389"/>
      <c r="AU44" s="389"/>
      <c r="AV44" s="389"/>
      <c r="AW44" s="389"/>
      <c r="AX44" s="389"/>
      <c r="AY44" s="389"/>
      <c r="AZ44" s="389"/>
      <c r="BA44" s="389"/>
      <c r="BB44" s="389" t="s">
        <v>39</v>
      </c>
      <c r="BC44" s="389"/>
      <c r="BD44" s="389"/>
      <c r="BE44" s="389"/>
      <c r="BF44" s="389"/>
      <c r="BG44" s="389"/>
      <c r="BH44" s="389"/>
      <c r="BI44" s="389"/>
      <c r="BJ44" s="389"/>
      <c r="BK44" s="389"/>
      <c r="BL44" s="389"/>
      <c r="BM44" s="38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488</v>
      </c>
    </row>
    <row r="49" spans="2:66" x14ac:dyDescent="0.15">
      <c r="B49" s="44" t="s">
        <v>489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2109800</v>
      </c>
      <c r="J49" s="9">
        <f>'REV-REVCALC_CWS'!G95</f>
        <v>3708000</v>
      </c>
      <c r="K49" s="9">
        <f>'REV-REVCALC_CWS'!H95</f>
        <v>5647400</v>
      </c>
      <c r="L49" s="9">
        <f>'REV-REVCALC_CWS'!I95</f>
        <v>5647400</v>
      </c>
      <c r="M49" s="9">
        <f>'REV-REVCALC_CWS'!J95</f>
        <v>5647400</v>
      </c>
      <c r="N49" s="9">
        <f>'REV-REVCALC_CWS'!K95</f>
        <v>5647400</v>
      </c>
      <c r="O49" s="9">
        <f>'REV-REVCALC_CWS'!L95</f>
        <v>5647400</v>
      </c>
      <c r="P49" s="9">
        <f>'REV-REVCALC_CWS'!M95</f>
        <v>5647400</v>
      </c>
      <c r="Q49" s="9">
        <f>'REV-REVCALC_CWS'!N95</f>
        <v>5373300</v>
      </c>
      <c r="R49" s="9">
        <f>'REV-REVCALC_CWS'!O95</f>
        <v>5977800</v>
      </c>
      <c r="S49" s="9">
        <f>'REV-REVCALC_CWS'!P95</f>
        <v>9562000</v>
      </c>
      <c r="T49" s="9">
        <f>'REV-REVCALC_CWS'!Q95</f>
        <v>10755905</v>
      </c>
      <c r="U49" s="9">
        <f>'REV-REVCALC_CWS'!R95</f>
        <v>10755905</v>
      </c>
      <c r="V49" s="9">
        <f>'REV-REVCALC_CWS'!S95</f>
        <v>10755905</v>
      </c>
      <c r="W49" s="9">
        <f>'REV-REVCALC_CWS'!T95</f>
        <v>10755905</v>
      </c>
      <c r="X49" s="9">
        <f>'REV-REVCALC_CWS'!U95</f>
        <v>10755905</v>
      </c>
      <c r="Y49" s="9">
        <f>'REV-REVCALC_CWS'!V95</f>
        <v>10755905</v>
      </c>
      <c r="Z49" s="9">
        <f>'REV-REVCALC_CWS'!W95</f>
        <v>10755905</v>
      </c>
      <c r="AA49" s="9">
        <f>'REV-REVCALC_CWS'!X95</f>
        <v>10755905</v>
      </c>
      <c r="AB49" s="9">
        <f>'REV-REVCALC_CWS'!Y95</f>
        <v>10755905</v>
      </c>
      <c r="AC49" s="9">
        <f>'REV-REVCALC_CWS'!Z95</f>
        <v>7171705</v>
      </c>
      <c r="AD49" s="9">
        <f>'REV-REVCALC_CWS'!AA95</f>
        <v>14091434.700000001</v>
      </c>
      <c r="AE49" s="9">
        <f>'REV-REVCALC_CWS'!AB95</f>
        <v>22537937.75</v>
      </c>
      <c r="AF49" s="9">
        <f>'REV-REVCALC_CWS'!AC95</f>
        <v>25358972.449999999</v>
      </c>
      <c r="AG49" s="9">
        <f>'REV-REVCALC_CWS'!AD95</f>
        <v>25358972.449999999</v>
      </c>
      <c r="AH49" s="9">
        <f>'REV-REVCALC_CWS'!AE95</f>
        <v>25358972.449999999</v>
      </c>
      <c r="AI49" s="9">
        <f>'REV-REVCALC_CWS'!AF95</f>
        <v>25358972.449999999</v>
      </c>
      <c r="AJ49" s="9">
        <f>'REV-REVCALC_CWS'!AG95</f>
        <v>25358972.449999999</v>
      </c>
      <c r="AK49" s="9">
        <f>'REV-REVCALC_CWS'!AH95</f>
        <v>25358972.449999999</v>
      </c>
      <c r="AL49" s="9">
        <f>'REV-REVCALC_CWS'!AI95</f>
        <v>25358972.449999999</v>
      </c>
      <c r="AM49" s="9">
        <f>'REV-REVCALC_CWS'!AJ95</f>
        <v>25358972.449999999</v>
      </c>
      <c r="AN49" s="9">
        <f>'REV-REVCALC_CWS'!AK95</f>
        <v>25358972.449999999</v>
      </c>
      <c r="AO49" s="9">
        <f>'REV-REVCALC_CWS'!AL95</f>
        <v>16902737.750000004</v>
      </c>
      <c r="AP49" s="9">
        <f>'REV-REVCALC_CWS'!AM95</f>
        <v>21003736.926500004</v>
      </c>
      <c r="AQ49" s="9">
        <f>'REV-REVCALC_CWS'!AN95</f>
        <v>33607654.177000009</v>
      </c>
      <c r="AR49" s="9">
        <f>'REV-REVCALC_CWS'!AO95</f>
        <v>37807939.058000013</v>
      </c>
      <c r="AS49" s="9">
        <f>'REV-REVCALC_CWS'!AP95</f>
        <v>37807939.058000013</v>
      </c>
      <c r="AT49" s="9">
        <f>'REV-REVCALC_CWS'!AQ95</f>
        <v>37807939.058000013</v>
      </c>
      <c r="AU49" s="9">
        <f>'REV-REVCALC_CWS'!AR95</f>
        <v>37807939.058000013</v>
      </c>
      <c r="AV49" s="9">
        <f>'REV-REVCALC_CWS'!AS95</f>
        <v>37807939.058000013</v>
      </c>
      <c r="AW49" s="9">
        <f>'REV-REVCALC_CWS'!AT95</f>
        <v>37807939.058000013</v>
      </c>
      <c r="AX49" s="9">
        <f>'REV-REVCALC_CWS'!AU95</f>
        <v>37807939.058000013</v>
      </c>
      <c r="AY49" s="9">
        <f>'REV-REVCALC_CWS'!AV95</f>
        <v>37807939.058000013</v>
      </c>
      <c r="AZ49" s="9">
        <f>'REV-REVCALC_CWS'!AW95</f>
        <v>37807939.058000013</v>
      </c>
      <c r="BA49" s="9">
        <f>'REV-REVCALC_CWS'!AX95</f>
        <v>25204021.807500005</v>
      </c>
      <c r="BB49" s="9">
        <f>'REV-REVCALC_CWS'!AY95</f>
        <v>19975433.4848</v>
      </c>
      <c r="BC49" s="9">
        <f>'REV-REVCALC_CWS'!AZ95</f>
        <v>31969393.710845008</v>
      </c>
      <c r="BD49" s="9">
        <f>'REV-REVCALC_CWS'!BA95</f>
        <v>35954252.73847001</v>
      </c>
      <c r="BE49" s="9">
        <f>'REV-REVCALC_CWS'!BB95</f>
        <v>35954252.73847001</v>
      </c>
      <c r="BF49" s="9">
        <f>'REV-REVCALC_CWS'!BC95</f>
        <v>35954252.73847001</v>
      </c>
      <c r="BG49" s="9">
        <f>'REV-REVCALC_CWS'!BD95</f>
        <v>35954252.73847001</v>
      </c>
      <c r="BH49" s="9">
        <f>'REV-REVCALC_CWS'!BE95</f>
        <v>35954252.73847001</v>
      </c>
      <c r="BI49" s="9">
        <f>'REV-REVCALC_CWS'!BF95</f>
        <v>35954252.73847001</v>
      </c>
      <c r="BJ49" s="9">
        <f>'REV-REVCALC_CWS'!BG95</f>
        <v>35954252.73847001</v>
      </c>
      <c r="BK49" s="9">
        <f>'REV-REVCALC_CWS'!BH95</f>
        <v>35954252.73847001</v>
      </c>
      <c r="BL49" s="9">
        <f>'REV-REVCALC_CWS'!BI95</f>
        <v>35954252.73847001</v>
      </c>
      <c r="BM49" s="9">
        <f>'REV-REVCALC_CWS'!BJ95</f>
        <v>23980444.880020004</v>
      </c>
    </row>
    <row r="50" spans="2:66" x14ac:dyDescent="0.15">
      <c r="B50" s="44" t="s">
        <v>490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491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492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497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494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498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676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632</v>
      </c>
      <c r="C3" s="10"/>
      <c r="D3" s="184">
        <f>REV_DB!E20</f>
        <v>8965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351</v>
      </c>
      <c r="C4" s="34"/>
      <c r="D4" s="63">
        <f>REV_DB!E24</f>
        <v>144558000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2603153635.5515404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356</v>
      </c>
      <c r="C5" s="34"/>
      <c r="D5" s="63">
        <f>REV_DB!E17</f>
        <v>74942200</v>
      </c>
      <c r="E5" s="63">
        <f>REV_DB!F17</f>
        <v>204558540</v>
      </c>
      <c r="F5" s="63">
        <f>REV_DB!G17</f>
        <v>536047872.75000024</v>
      </c>
      <c r="G5" s="63">
        <f>REV_DB!H17</f>
        <v>176917565.9429999</v>
      </c>
      <c r="H5" s="63">
        <f>REV_DB!I17</f>
        <v>199563766.8539201</v>
      </c>
      <c r="I5" s="181">
        <f>SUM(D5:H5)</f>
        <v>1192029945.5469203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699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695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696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697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681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671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682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661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672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670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673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674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675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702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701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683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664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700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376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393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419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439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440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686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9" t="s">
        <v>36</v>
      </c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 t="s">
        <v>37</v>
      </c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/>
      <c r="AN34" s="389" t="s">
        <v>38</v>
      </c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/>
      <c r="AZ34" s="389" t="s">
        <v>39</v>
      </c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  <c r="BK34" s="389"/>
      <c r="BL34" s="35"/>
    </row>
    <row r="35" spans="1:75" s="14" customFormat="1" x14ac:dyDescent="0.15">
      <c r="B35" s="47" t="s">
        <v>677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3" t="s">
        <v>35</v>
      </c>
      <c r="E38" s="393"/>
      <c r="F38" s="393"/>
      <c r="G38" s="393"/>
      <c r="H38" s="393"/>
      <c r="I38" s="393"/>
      <c r="J38" s="393"/>
      <c r="K38" s="393"/>
      <c r="L38" s="393"/>
      <c r="M38" s="393"/>
      <c r="N38" s="393"/>
      <c r="O38" s="39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666</v>
      </c>
      <c r="BM39" s="36" t="s">
        <v>599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669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377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378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391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389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384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388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392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390</v>
      </c>
    </row>
    <row r="61" spans="1:63" x14ac:dyDescent="0.15">
      <c r="A61" s="75"/>
      <c r="B61" s="50"/>
    </row>
    <row r="62" spans="1:63" x14ac:dyDescent="0.15">
      <c r="A62" s="75"/>
      <c r="B62" s="128" t="s">
        <v>389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384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388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393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418</v>
      </c>
    </row>
    <row r="73" spans="1:63" x14ac:dyDescent="0.15">
      <c r="A73" s="75"/>
      <c r="B73" s="124" t="s">
        <v>401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440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420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417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667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668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661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662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663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664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661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662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663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664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661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662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663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664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661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662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663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664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661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662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663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664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661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662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663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664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662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664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665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758</v>
      </c>
      <c r="C1" s="75"/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377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378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383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1221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379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382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389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384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375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386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387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388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392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390</v>
      </c>
    </row>
    <row r="22" spans="1:63" x14ac:dyDescent="0.15">
      <c r="B22" s="50"/>
    </row>
    <row r="23" spans="1:63" x14ac:dyDescent="0.15">
      <c r="B23" s="128" t="s">
        <v>389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384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375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386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387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385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388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393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401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394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440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395</v>
      </c>
    </row>
    <row r="46" spans="2:63" x14ac:dyDescent="0.15">
      <c r="B46" s="47" t="s">
        <v>1222</v>
      </c>
      <c r="C46" s="370"/>
      <c r="D46" s="370"/>
      <c r="E46" s="370"/>
      <c r="F46" s="370"/>
      <c r="G46" s="370">
        <f>600000+100000</f>
        <v>700000</v>
      </c>
      <c r="H46" s="370"/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1248</v>
      </c>
      <c r="C47" s="370"/>
      <c r="D47" s="370">
        <v>0</v>
      </c>
      <c r="E47" s="370"/>
      <c r="F47" s="370"/>
      <c r="G47" s="370">
        <v>160000</v>
      </c>
      <c r="H47" s="370">
        <v>160000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417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tabSelected="1" workbookViewId="0">
      <selection activeCell="H18" sqref="H18"/>
    </sheetView>
    <sheetView workbookViewId="1">
      <selection activeCell="B21" sqref="B21"/>
    </sheetView>
    <sheetView workbookViewId="2"/>
    <sheetView workbookViewId="3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9" t="s">
        <v>617</v>
      </c>
      <c r="C2" s="389"/>
      <c r="D2" s="389"/>
      <c r="E2" s="389"/>
      <c r="F2" s="389"/>
      <c r="G2" s="38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1190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1185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1253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1252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1251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9" t="s">
        <v>1246</v>
      </c>
      <c r="C12" s="389"/>
      <c r="D12" s="389"/>
      <c r="E12" s="389"/>
      <c r="F12" s="389"/>
      <c r="G12" s="389"/>
      <c r="H12" s="10"/>
      <c r="I12" s="10"/>
      <c r="J12" s="10"/>
      <c r="K12" s="10"/>
      <c r="L12" s="10"/>
      <c r="M12" s="10"/>
    </row>
    <row r="13" spans="1:14" x14ac:dyDescent="0.15">
      <c r="A13"/>
      <c r="B13" s="377" t="s">
        <v>618</v>
      </c>
      <c r="C13" s="377"/>
      <c r="D13" s="377"/>
      <c r="E13" s="377"/>
      <c r="F13" s="377"/>
      <c r="G13" s="377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1186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1187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406"/>
      <c r="H18" s="407"/>
      <c r="I18" s="98"/>
      <c r="J18" s="98"/>
      <c r="K18" s="98"/>
      <c r="L18" s="98"/>
      <c r="M18" s="98"/>
    </row>
    <row r="19" spans="1:20" x14ac:dyDescent="0.15">
      <c r="B19" s="33" t="s">
        <v>1276</v>
      </c>
      <c r="C19" s="387">
        <f>B10/360</f>
        <v>47.52</v>
      </c>
      <c r="D19" s="33" t="s">
        <v>1275</v>
      </c>
    </row>
    <row r="21" spans="1:20" x14ac:dyDescent="0.15">
      <c r="C21" s="389" t="s">
        <v>619</v>
      </c>
      <c r="D21" s="389"/>
      <c r="E21" s="389"/>
      <c r="F21" s="389"/>
    </row>
    <row r="23" spans="1:20" x14ac:dyDescent="0.15">
      <c r="C23" s="34" t="s">
        <v>321</v>
      </c>
      <c r="D23" s="34" t="s">
        <v>620</v>
      </c>
      <c r="E23" s="34" t="s">
        <v>615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360</v>
      </c>
      <c r="E25" s="180">
        <f>O38</f>
        <v>8965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978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1741.848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2528.6114400000001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2978.9777832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141720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9" t="s">
        <v>621</v>
      </c>
      <c r="C32" s="389"/>
      <c r="D32" s="389"/>
      <c r="E32" s="389"/>
      <c r="F32" s="389"/>
      <c r="G32" s="389"/>
      <c r="H32" s="38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1188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1189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322</v>
      </c>
      <c r="C37" s="361"/>
      <c r="D37" s="361"/>
      <c r="E37" s="361"/>
      <c r="F37" s="361">
        <v>3.5999999999999997E-2</v>
      </c>
      <c r="G37" s="361">
        <v>0.05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0.52400000000000002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855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8965</v>
      </c>
    </row>
    <row r="40" spans="2:15" x14ac:dyDescent="0.15">
      <c r="B40" s="14" t="s">
        <v>323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322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324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322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325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322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322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 C19" unlockedFormula="1"/>
    <ignoredError sqref="I36:N36" formula="1"/>
    <ignoredError sqref="H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1206</v>
      </c>
      <c r="E3" s="66">
        <f>E24</f>
        <v>144558000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2603153635.5515404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73740800</v>
      </c>
      <c r="F5" s="66">
        <f>F31</f>
        <v>168221970</v>
      </c>
      <c r="G5" s="66">
        <f>G31</f>
        <v>228201499.75000003</v>
      </c>
      <c r="H5" s="66">
        <f>H31</f>
        <v>498677722.9980002</v>
      </c>
      <c r="I5" s="66">
        <f>I31</f>
        <v>545029318.84054518</v>
      </c>
      <c r="J5" s="118">
        <f>SUM(E5:I5)</f>
        <v>1513871311.5885453</v>
      </c>
    </row>
    <row r="6" spans="2:11" x14ac:dyDescent="0.15">
      <c r="B6" s="33" t="s">
        <v>330</v>
      </c>
      <c r="E6" s="66">
        <f>E3-E5</f>
        <v>70817200</v>
      </c>
      <c r="F6" s="66">
        <f>F3-F5</f>
        <v>194302590</v>
      </c>
      <c r="G6" s="66">
        <f>G3-G5</f>
        <v>519921956.25000024</v>
      </c>
      <c r="H6" s="66">
        <f>H3-H5</f>
        <v>142548984.57799989</v>
      </c>
      <c r="I6" s="66">
        <f>I3-I5</f>
        <v>161691593.1349951</v>
      </c>
      <c r="J6" s="118">
        <f>SUM(E6:I6)</f>
        <v>1089282323.9629951</v>
      </c>
    </row>
    <row r="7" spans="2:11" x14ac:dyDescent="0.15">
      <c r="B7" s="33" t="s">
        <v>318</v>
      </c>
      <c r="E7" s="116">
        <f>E6/E3</f>
        <v>0.48988779590199089</v>
      </c>
      <c r="F7" s="116">
        <f>F6/F3</f>
        <v>0.53597083187963868</v>
      </c>
      <c r="G7" s="116">
        <f>G6/G3</f>
        <v>0.69496812602277247</v>
      </c>
      <c r="H7" s="116">
        <f>H6/H3</f>
        <v>0.2223066863775392</v>
      </c>
      <c r="I7" s="116">
        <f>I6/I3</f>
        <v>0.22879129567994341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1205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350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1207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1209</v>
      </c>
      <c r="E13" s="66">
        <f t="shared" ref="E13:I14" si="2">E47</f>
        <v>4125000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102747621.58392501</v>
      </c>
    </row>
    <row r="14" spans="2:11" outlineLevel="1" x14ac:dyDescent="0.15">
      <c r="B14" s="33" t="s">
        <v>352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1208</v>
      </c>
      <c r="E15" s="66">
        <f>SUM(E13:E14)</f>
        <v>4125000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102747621.58392501</v>
      </c>
      <c r="K15" s="120">
        <f>J15+J14+J13+J11+J6</f>
        <v>1294777567.1308451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356</v>
      </c>
      <c r="E17" s="66">
        <f>E6+E11+E15</f>
        <v>74942200</v>
      </c>
      <c r="F17" s="66">
        <f>F6+F11+F15</f>
        <v>204558540</v>
      </c>
      <c r="G17" s="66">
        <f>G6+G11+G15</f>
        <v>536047872.75000024</v>
      </c>
      <c r="H17" s="66">
        <f>H6+H11+H15</f>
        <v>176917565.9429999</v>
      </c>
      <c r="I17" s="66">
        <f>I6+I11+I15</f>
        <v>199563766.8539201</v>
      </c>
      <c r="J17" s="118">
        <f t="shared" si="1"/>
        <v>1192029945.5469203</v>
      </c>
      <c r="K17" s="120">
        <f>J15+J11+J3</f>
        <v>2705901257.1354656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1210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'REV-REVCALC_CWS'!C52:N52)</f>
        <v>8965</v>
      </c>
      <c r="F20">
        <f>SUM('REV-REVCALC_CWS'!O13:Z13,'REV-REVCALC_CWS'!O52:Z52)</f>
        <v>20556</v>
      </c>
      <c r="G20">
        <f>SUM('REV-REVCALC_CWS'!AA13:AL13, 'REV-REVCALC_CWS'!AA52:AL52)</f>
        <v>36300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989165874.80000019</v>
      </c>
      <c r="K20" s="120">
        <f>J20-'REV-REVCALC_CWS'!BK13</f>
        <v>989051068.80000019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'REV-REVCALC_CWS'!C53:N53)</f>
        <v>144558000</v>
      </c>
      <c r="F21" s="66">
        <f>SUM('REV-REVCALC_CWS'!O14:Z14, 'REV-REVCALC_CWS'!O53:Z53)</f>
        <v>362524560</v>
      </c>
      <c r="G21" s="66">
        <f>SUM('REV-REVCALC_CWS'!AA14:AL14, 'REV-REVCALC_CWS'!AA53:AL53)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2603153635.5515404</v>
      </c>
      <c r="K21" s="120">
        <f>J21-'REV-REVCALC_CWS'!BK14</f>
        <v>659804628.99999952</v>
      </c>
    </row>
    <row r="22" spans="2:11" outlineLevel="1" x14ac:dyDescent="0.15">
      <c r="B22" s="47" t="s">
        <v>334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335</v>
      </c>
      <c r="C24" s="73"/>
      <c r="E24" s="66">
        <f>SUM('REV-REVCALC_CWS'!C17:N17, 'REV-REVCALC_CWS'!C56:N56)</f>
        <v>144558000</v>
      </c>
      <c r="F24" s="66">
        <f>SUM('REV-REVCALC_CWS'!O17:Z17, 'REV-REVCALC_CWS'!O56:Z56)</f>
        <v>362524560</v>
      </c>
      <c r="G24" s="66">
        <f>SUM('REV-REVCALC_CWS'!AA17:AL17, 'REV-REVCALC_CWS'!AA56:AL56)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2603153635.5515404</v>
      </c>
      <c r="K24" s="120">
        <f>J24-'REV-REVCALC_CWS'!BK17</f>
        <v>659804628.99999952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62548000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1318701111.5885453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333</v>
      </c>
      <c r="C31" s="73"/>
      <c r="E31" s="66">
        <f>SUM('REV-REVCALC_CWS'!C28:N28)</f>
        <v>73740800</v>
      </c>
      <c r="F31" s="66">
        <f>SUM('REV-REVCALC_CWS'!O28:Z28)</f>
        <v>168221970</v>
      </c>
      <c r="G31" s="66">
        <f>SUM('REV-REVCALC_CWS'!AA28:AL28)</f>
        <v>228201499.75000003</v>
      </c>
      <c r="H31" s="66">
        <f>SUM('REV-REVCALC_CWS'!AM28:AX28)</f>
        <v>498677722.9980002</v>
      </c>
      <c r="I31" s="66">
        <f>SUM('REV-REVCALC_CWS'!AY28:BJ28)</f>
        <v>545029318.84054518</v>
      </c>
      <c r="J31" s="118">
        <f>SUM(E31:I31)</f>
        <v>1513871311.5885453</v>
      </c>
      <c r="K31" s="120">
        <f>J31-'REV-REVCALC_CWS'!BK28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330</v>
      </c>
      <c r="C33" s="73"/>
      <c r="E33" s="66">
        <f>SUM('REV-REVCALC_CWS'!C30:N30)</f>
        <v>18435200</v>
      </c>
      <c r="F33" s="66">
        <f>SUM('REV-REVCALC_CWS'!O30:Z30)</f>
        <v>44164470</v>
      </c>
      <c r="G33" s="66">
        <f>SUM('REV-REVCALC_CWS'!AA30:AL30)</f>
        <v>62637447.249999985</v>
      </c>
      <c r="H33" s="66">
        <f>SUM('REV-REVCALC_CWS'!AM30:AX30)</f>
        <v>142548984.57800001</v>
      </c>
      <c r="I33" s="66">
        <f>SUM('REV-REVCALC_CWS'!AY30:BJ30)</f>
        <v>161691593.13499504</v>
      </c>
      <c r="J33" s="118">
        <f>SUM(E33:I33)</f>
        <v>429477694.96299505</v>
      </c>
      <c r="K33" s="120">
        <f>J33-'REV-REVCALC_CWS'!BK30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0.12752805102450226</v>
      </c>
      <c r="F34" s="116">
        <f>F33/F24</f>
        <v>0.12182476685165827</v>
      </c>
      <c r="G34" s="116">
        <f>G33/G24</f>
        <v>8.372608390719935E-2</v>
      </c>
      <c r="H34" s="116">
        <f>H33/H24</f>
        <v>0.22230668637753939</v>
      </c>
      <c r="I34" s="116">
        <f>I33/I24</f>
        <v>0.22879129567994333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'REV-REVCALC_CWS'!A33</f>
        <v>Service Options</v>
      </c>
      <c r="C36" s="16"/>
    </row>
    <row r="37" spans="2:11" outlineLevel="1" x14ac:dyDescent="0.15">
      <c r="B37" s="47" t="s">
        <v>331</v>
      </c>
      <c r="C37" s="47"/>
      <c r="E37" s="98">
        <f>'REV-REVCALC_CWS'!N35</f>
        <v>0.25</v>
      </c>
      <c r="F37" s="98">
        <f>'REV-REVCALC_CWS'!Z35</f>
        <v>0.27</v>
      </c>
      <c r="G37" s="98">
        <f>'REV-REVCALC_CWS'!AL35</f>
        <v>0.31</v>
      </c>
      <c r="H37" s="98">
        <f>'REV-REVCALC_CWS'!AX35</f>
        <v>0.3</v>
      </c>
      <c r="I37" s="98">
        <f>'REV-REVCALC_CWS'!BJ35</f>
        <v>0.3</v>
      </c>
    </row>
    <row r="38" spans="2:11" outlineLevel="1" x14ac:dyDescent="0.15">
      <c r="B38" s="47" t="str">
        <f>'REV-REVCALC_CWS'!A36</f>
        <v>Local Services Units</v>
      </c>
      <c r="C38" s="47"/>
      <c r="E38">
        <f>SUM('REV-REVCALC_CWS'!C36:N36)</f>
        <v>4934</v>
      </c>
      <c r="F38">
        <f>SUM('REV-REVCALC_CWS'!O36:Z36)</f>
        <v>10344</v>
      </c>
      <c r="G38">
        <f>SUM('REV-REVCALC_CWS'!AA36:AL36)</f>
        <v>12511</v>
      </c>
      <c r="H38">
        <f>SUM('REV-REVCALC_CWS'!AM36:AX36)</f>
        <v>26166</v>
      </c>
      <c r="I38">
        <f>SUM('REV-REVCALC_CWS'!AY36:BJ36)</f>
        <v>26954</v>
      </c>
      <c r="J38" s="118">
        <f>SUM(E38:I38)</f>
        <v>80909</v>
      </c>
      <c r="K38" s="120">
        <f>J38-'REV-REVCALC_CWS'!BK36</f>
        <v>0</v>
      </c>
    </row>
    <row r="39" spans="2:11" outlineLevel="1" x14ac:dyDescent="0.15">
      <c r="B39" s="47" t="str">
        <f>'REV-REVCALC_CWS'!A37</f>
        <v>Domicilio Services Units</v>
      </c>
      <c r="C39" s="47"/>
      <c r="E39">
        <f>SUM('REV-REVCALC_CWS'!C37:N37)</f>
        <v>1650</v>
      </c>
      <c r="F39">
        <f>SUM('REV-REVCALC_CWS'!O37:Z37)</f>
        <v>3834</v>
      </c>
      <c r="G39">
        <f>SUM('REV-REVCALC_CWS'!AA37:AL37)</f>
        <v>5634</v>
      </c>
      <c r="H39">
        <f>SUM('REV-REVCALC_CWS'!AM37:AX37)</f>
        <v>11222</v>
      </c>
      <c r="I39">
        <f>SUM('REV-REVCALC_CWS'!AY37:BJ37)</f>
        <v>11557</v>
      </c>
      <c r="J39" s="118">
        <f>SUM(E39:I39)</f>
        <v>33897</v>
      </c>
      <c r="K39" s="120">
        <f>J39-'REV-REVCALC_CWS'!BK37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'REV-REVCALC_CWS'!A39</f>
        <v>Ingreso Local Services Units</v>
      </c>
      <c r="C41" s="14"/>
    </row>
    <row r="42" spans="2:11" outlineLevel="1" x14ac:dyDescent="0.15">
      <c r="B42" s="47" t="str">
        <f>'REV-REVCALC_CWS'!A40</f>
        <v>Servicio</v>
      </c>
      <c r="C42" s="47"/>
      <c r="E42" s="66">
        <f>SUM('REV-REVCALC_CWS'!C40:N40)</f>
        <v>0</v>
      </c>
      <c r="F42" s="66">
        <f>SUM('REV-REVCALC_CWS'!O40:Z40)</f>
        <v>0</v>
      </c>
      <c r="G42" s="66">
        <f>SUM('REV-REVCALC_CWS'!AA40:AL40)</f>
        <v>0</v>
      </c>
      <c r="H42" s="66">
        <f>SUM('REV-REVCALC_CWS'!AM40:AX40)</f>
        <v>0</v>
      </c>
      <c r="I42" s="66">
        <f>SUM('REV-REVCALC_CWS'!AY40:BJ40)</f>
        <v>0</v>
      </c>
      <c r="J42" s="118">
        <f>SUM(E42:I42)</f>
        <v>0</v>
      </c>
      <c r="K42" s="120">
        <f>J42-'REV-REVCALC_CWS'!BK40</f>
        <v>0</v>
      </c>
    </row>
    <row r="43" spans="2:11" outlineLevel="1" x14ac:dyDescent="0.15">
      <c r="B43" s="47" t="s">
        <v>332</v>
      </c>
      <c r="C43" s="47"/>
      <c r="E43" s="98">
        <f>'REV-REVCALC_CWS'!N41</f>
        <v>0</v>
      </c>
      <c r="F43" s="98">
        <f>'REV-REVCALC_CWS'!Z41</f>
        <v>0</v>
      </c>
      <c r="G43" s="98">
        <f>'REV-REVCALC_CWS'!AL41</f>
        <v>0</v>
      </c>
      <c r="H43" s="98">
        <f>'REV-REVCALC_CWS'!AX41</f>
        <v>0</v>
      </c>
      <c r="I43" s="98">
        <f>'REV-REVCALC_CWS'!BJ41</f>
        <v>0</v>
      </c>
    </row>
    <row r="44" spans="2:11" outlineLevel="1" x14ac:dyDescent="0.15">
      <c r="B44" s="47" t="str">
        <f>'REV-REVCALC_CWS'!A42</f>
        <v>Servicio Ingreso</v>
      </c>
      <c r="C44" s="47"/>
      <c r="E44" s="66">
        <f>SUM('REV-REVCALC_CWS'!C42:N42)</f>
        <v>0</v>
      </c>
      <c r="F44" s="66">
        <f>SUM('REV-REVCALC_CWS'!O42:Z42)</f>
        <v>0</v>
      </c>
      <c r="G44" s="66">
        <f>SUM('REV-REVCALC_CWS'!AA42:AL42)</f>
        <v>0</v>
      </c>
      <c r="H44" s="66">
        <f>SUM('REV-REVCALC_CWS'!AM42:AX42)</f>
        <v>0</v>
      </c>
      <c r="I44" s="66">
        <f>SUM('REV-REVCALC_CWS'!AY42:BJ42)</f>
        <v>0</v>
      </c>
      <c r="J44" s="118">
        <f>SUM(E44:I44)</f>
        <v>0</v>
      </c>
      <c r="K44" s="120">
        <f>J44-'REV-REVCALC_CWS'!BK42</f>
        <v>0</v>
      </c>
    </row>
    <row r="45" spans="2:11" outlineLevel="1" x14ac:dyDescent="0.15">
      <c r="B45" s="47" t="s">
        <v>345</v>
      </c>
      <c r="C45" s="47"/>
      <c r="E45" s="66">
        <f>SUM('REV-REVCALC_CWS'!C43:N43)</f>
        <v>0</v>
      </c>
      <c r="F45" s="66">
        <f>SUM('REV-REVCALC_CWS'!O43:Z43)</f>
        <v>0</v>
      </c>
      <c r="G45" s="66">
        <f>SUM('REV-REVCALC_CWS'!AA43:AL43)</f>
        <v>0</v>
      </c>
      <c r="H45" s="66">
        <f>SUM('REV-REVCALC_CWS'!AM43:AX43)</f>
        <v>0</v>
      </c>
      <c r="I45" s="66">
        <f>SUM('REV-REVCALC_CWS'!AY43:BJ43)</f>
        <v>0</v>
      </c>
      <c r="J45" s="118">
        <f>SUM(E45:I45)</f>
        <v>0</v>
      </c>
      <c r="K45" s="120">
        <f>J45-'REV-REVCALC_CWS'!BK43</f>
        <v>0</v>
      </c>
    </row>
    <row r="46" spans="2:11" outlineLevel="1" x14ac:dyDescent="0.15">
      <c r="B46" s="16" t="str">
        <f>'REV-REVCALC_CWS'!A45</f>
        <v>Ingreso 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'REV-REVCALC_CWS'!A46</f>
        <v>Envío</v>
      </c>
      <c r="E47" s="66">
        <f>SUM('REV-REVCALC_CWS'!C46:N46)</f>
        <v>4125000</v>
      </c>
      <c r="F47" s="66">
        <f>SUM('REV-REVCALC_CWS'!O46:Z46)</f>
        <v>10255950</v>
      </c>
      <c r="G47" s="66">
        <f>SUM('REV-REVCALC_CWS'!AA46:AL46)</f>
        <v>16125916.5</v>
      </c>
      <c r="H47" s="66">
        <f>SUM('REV-REVCALC_CWS'!AM46:AX46)</f>
        <v>34368581.364999995</v>
      </c>
      <c r="I47" s="66">
        <f>SUM('REV-REVCALC_CWS'!AY46:BJ46)</f>
        <v>37872173.718925007</v>
      </c>
      <c r="J47" s="118">
        <f>SUM(E47:I47)</f>
        <v>102747621.58392501</v>
      </c>
      <c r="K47" s="120">
        <f>J47-'REV-REVCALC_CWS'!BK46</f>
        <v>0</v>
      </c>
    </row>
    <row r="48" spans="2:11" x14ac:dyDescent="0.15">
      <c r="B48" s="47" t="s">
        <v>344</v>
      </c>
      <c r="E48" s="66">
        <f>SUM('REV-REVCALC_CWS'!C47:N47)</f>
        <v>0</v>
      </c>
      <c r="F48" s="66">
        <f>SUM('REV-REVCALC_CWS'!O47:Z47)</f>
        <v>0</v>
      </c>
      <c r="G48" s="66">
        <f>SUM('REV-REVCALC_CWS'!AA47:AL47)</f>
        <v>0</v>
      </c>
      <c r="H48" s="66">
        <f>SUM('REV-REVCALC_CWS'!AM47:AX47)</f>
        <v>0</v>
      </c>
      <c r="I48" s="66">
        <f>SUM('REV-REVCALC_CWS'!AY47:BJ47)</f>
        <v>0</v>
      </c>
      <c r="J48" s="118">
        <f>SUM(E48:I48)</f>
        <v>0</v>
      </c>
      <c r="K48" s="120">
        <f>J48-'REV-REVCALC_CWS'!BK47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9" t="s">
        <v>690</v>
      </c>
      <c r="C2" s="389"/>
      <c r="D2" s="389"/>
    </row>
    <row r="3" spans="2:4" x14ac:dyDescent="0.15">
      <c r="C3" s="10" t="s">
        <v>364</v>
      </c>
      <c r="D3" s="10" t="s">
        <v>365</v>
      </c>
    </row>
    <row r="4" spans="2:4" x14ac:dyDescent="0.15">
      <c r="B4" s="14" t="s">
        <v>422</v>
      </c>
      <c r="C4" s="375">
        <v>3</v>
      </c>
      <c r="D4" s="375">
        <v>2</v>
      </c>
    </row>
    <row r="5" spans="2:4" x14ac:dyDescent="0.15">
      <c r="B5" s="17" t="s">
        <v>366</v>
      </c>
      <c r="C5" s="93"/>
      <c r="D5" s="374">
        <v>0</v>
      </c>
    </row>
    <row r="6" spans="2:4" x14ac:dyDescent="0.15">
      <c r="B6" s="17" t="s">
        <v>367</v>
      </c>
      <c r="C6" s="280">
        <v>0</v>
      </c>
      <c r="D6" s="90">
        <f>C6*$D$4</f>
        <v>0</v>
      </c>
    </row>
    <row r="7" spans="2:4" x14ac:dyDescent="0.15">
      <c r="B7" s="17" t="s">
        <v>368</v>
      </c>
      <c r="C7" s="280">
        <v>0</v>
      </c>
      <c r="D7" s="90">
        <f>C7*$C$4</f>
        <v>0</v>
      </c>
    </row>
    <row r="8" spans="2:4" x14ac:dyDescent="0.15">
      <c r="B8" s="17" t="s">
        <v>369</v>
      </c>
      <c r="C8" s="280">
        <v>0</v>
      </c>
      <c r="D8" s="90">
        <f>C8*$C$4</f>
        <v>0</v>
      </c>
    </row>
    <row r="9" spans="2:4" x14ac:dyDescent="0.15">
      <c r="B9" s="73" t="s">
        <v>370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371</v>
      </c>
      <c r="C11" s="375">
        <v>2</v>
      </c>
      <c r="D11" s="375">
        <v>2</v>
      </c>
    </row>
    <row r="12" spans="2:4" x14ac:dyDescent="0.15">
      <c r="B12" s="17" t="s">
        <v>366</v>
      </c>
      <c r="C12" s="93"/>
      <c r="D12" s="374">
        <v>0</v>
      </c>
    </row>
    <row r="13" spans="2:4" x14ac:dyDescent="0.15">
      <c r="B13" s="17" t="s">
        <v>367</v>
      </c>
      <c r="C13" s="280">
        <v>0</v>
      </c>
      <c r="D13" s="90">
        <f>C13*$D$11</f>
        <v>0</v>
      </c>
    </row>
    <row r="14" spans="2:4" x14ac:dyDescent="0.15">
      <c r="B14" s="17" t="s">
        <v>368</v>
      </c>
      <c r="C14" s="280">
        <v>0</v>
      </c>
      <c r="D14" s="90">
        <f>C14*$C$11</f>
        <v>0</v>
      </c>
    </row>
    <row r="15" spans="2:4" x14ac:dyDescent="0.15">
      <c r="B15" s="17" t="s">
        <v>369</v>
      </c>
      <c r="C15" s="280">
        <v>0</v>
      </c>
      <c r="D15" s="90">
        <f>C15*$C$11</f>
        <v>0</v>
      </c>
    </row>
    <row r="16" spans="2:4" x14ac:dyDescent="0.15">
      <c r="B16" s="73" t="s">
        <v>370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423</v>
      </c>
      <c r="C18" s="375">
        <v>4</v>
      </c>
      <c r="D18" s="375">
        <v>3</v>
      </c>
    </row>
    <row r="19" spans="2:4" x14ac:dyDescent="0.15">
      <c r="B19" s="17" t="s">
        <v>366</v>
      </c>
      <c r="C19" s="93"/>
      <c r="D19" s="374">
        <v>0</v>
      </c>
    </row>
    <row r="20" spans="2:4" x14ac:dyDescent="0.15">
      <c r="B20" s="17" t="s">
        <v>367</v>
      </c>
      <c r="C20" s="280">
        <v>0</v>
      </c>
      <c r="D20" s="90">
        <f>C20*$D$18</f>
        <v>0</v>
      </c>
    </row>
    <row r="21" spans="2:4" x14ac:dyDescent="0.15">
      <c r="B21" s="17" t="s">
        <v>368</v>
      </c>
      <c r="C21" s="280">
        <v>0</v>
      </c>
      <c r="D21" s="90">
        <f>C21*$C$18</f>
        <v>0</v>
      </c>
    </row>
    <row r="22" spans="2:4" x14ac:dyDescent="0.15">
      <c r="B22" s="17" t="s">
        <v>369</v>
      </c>
      <c r="C22" s="280">
        <v>0</v>
      </c>
      <c r="D22" s="90">
        <f>C22*$C$18</f>
        <v>0</v>
      </c>
    </row>
    <row r="23" spans="2:4" x14ac:dyDescent="0.15">
      <c r="B23" s="73" t="s">
        <v>370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421</v>
      </c>
      <c r="C25" s="375">
        <v>3</v>
      </c>
      <c r="D25" s="375">
        <v>2</v>
      </c>
    </row>
    <row r="26" spans="2:4" x14ac:dyDescent="0.15">
      <c r="B26" s="17" t="s">
        <v>366</v>
      </c>
      <c r="C26" s="93"/>
      <c r="D26" s="374">
        <v>0</v>
      </c>
    </row>
    <row r="27" spans="2:4" x14ac:dyDescent="0.15">
      <c r="B27" s="47" t="s">
        <v>367</v>
      </c>
      <c r="C27" s="280">
        <v>0</v>
      </c>
      <c r="D27" s="90">
        <f>C27*$D$25</f>
        <v>0</v>
      </c>
    </row>
    <row r="28" spans="2:4" x14ac:dyDescent="0.15">
      <c r="B28" s="17" t="s">
        <v>368</v>
      </c>
      <c r="C28" s="280">
        <v>0</v>
      </c>
      <c r="D28" s="90">
        <f>C28*$C$25</f>
        <v>0</v>
      </c>
    </row>
    <row r="29" spans="2:4" x14ac:dyDescent="0.15">
      <c r="B29" s="17" t="s">
        <v>369</v>
      </c>
      <c r="C29" s="280">
        <v>0</v>
      </c>
      <c r="D29" s="90">
        <f>C29*$C$25</f>
        <v>0</v>
      </c>
    </row>
    <row r="30" spans="2:4" x14ac:dyDescent="0.15">
      <c r="B30" s="73" t="s">
        <v>370</v>
      </c>
      <c r="C30" s="27"/>
      <c r="D30" s="117">
        <f>SUM(D26:D29)</f>
        <v>0</v>
      </c>
    </row>
    <row r="32" spans="2:4" x14ac:dyDescent="0.15">
      <c r="B32" s="73" t="s">
        <v>424</v>
      </c>
      <c r="C32" s="375">
        <v>3</v>
      </c>
      <c r="D32" s="375">
        <v>2</v>
      </c>
    </row>
    <row r="33" spans="2:4" x14ac:dyDescent="0.15">
      <c r="B33" s="17" t="s">
        <v>366</v>
      </c>
      <c r="C33" s="93"/>
      <c r="D33" s="374">
        <v>0</v>
      </c>
    </row>
    <row r="34" spans="2:4" x14ac:dyDescent="0.15">
      <c r="B34" s="47" t="s">
        <v>1070</v>
      </c>
      <c r="C34" s="280">
        <v>0</v>
      </c>
      <c r="D34" s="90">
        <f>C34*$D$25</f>
        <v>0</v>
      </c>
    </row>
    <row r="35" spans="2:4" x14ac:dyDescent="0.15">
      <c r="B35" s="17" t="s">
        <v>368</v>
      </c>
      <c r="C35" s="280">
        <v>0</v>
      </c>
      <c r="D35" s="90">
        <f>C35*$C$25</f>
        <v>0</v>
      </c>
    </row>
    <row r="36" spans="2:4" x14ac:dyDescent="0.15">
      <c r="B36" s="17" t="s">
        <v>369</v>
      </c>
      <c r="C36" s="280">
        <v>0</v>
      </c>
      <c r="D36" s="90">
        <f>C36*$C$25</f>
        <v>0</v>
      </c>
    </row>
    <row r="37" spans="2:4" x14ac:dyDescent="0.15">
      <c r="B37" s="73" t="s">
        <v>370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9" t="s">
        <v>35</v>
      </c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 t="s">
        <v>36</v>
      </c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 t="s">
        <v>37</v>
      </c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 t="s">
        <v>38</v>
      </c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 t="s">
        <v>39</v>
      </c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5"/>
    </row>
    <row r="2" spans="1:76" s="14" customFormat="1" x14ac:dyDescent="0.15">
      <c r="A2" s="10"/>
      <c r="B2" s="14" t="s">
        <v>723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426</v>
      </c>
    </row>
    <row r="25" spans="2:64" x14ac:dyDescent="0.15">
      <c r="B25" s="14"/>
    </row>
    <row r="26" spans="2:64" s="102" customFormat="1" x14ac:dyDescent="0.15">
      <c r="B26" s="298" t="s">
        <v>422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371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423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421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424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427</v>
      </c>
    </row>
    <row r="35" spans="2:64" x14ac:dyDescent="0.15">
      <c r="B35" s="14"/>
    </row>
    <row r="36" spans="2:64" x14ac:dyDescent="0.15">
      <c r="B36" s="47" t="s">
        <v>422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428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429</v>
      </c>
    </row>
    <row r="63" spans="2:64" x14ac:dyDescent="0.15">
      <c r="B63" s="14"/>
    </row>
    <row r="64" spans="2:64" s="102" customFormat="1" x14ac:dyDescent="0.15">
      <c r="B64" s="298" t="s">
        <v>422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371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423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421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424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430</v>
      </c>
    </row>
    <row r="73" spans="2:64" x14ac:dyDescent="0.15">
      <c r="B73" s="14"/>
    </row>
    <row r="74" spans="2:64" x14ac:dyDescent="0.15">
      <c r="B74" s="47" t="s">
        <v>422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947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946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432</v>
      </c>
    </row>
    <row r="107" spans="2:64" x14ac:dyDescent="0.15">
      <c r="B107" s="14"/>
    </row>
    <row r="108" spans="2:64" s="102" customFormat="1" x14ac:dyDescent="0.15">
      <c r="B108" s="298" t="s">
        <v>422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371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423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421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424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433</v>
      </c>
    </row>
    <row r="117" spans="2:64" x14ac:dyDescent="0.15">
      <c r="B117" s="14"/>
    </row>
    <row r="118" spans="2:64" x14ac:dyDescent="0.15">
      <c r="B118" s="47" t="s">
        <v>422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437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438</v>
      </c>
    </row>
    <row r="182" spans="2:64" hidden="1" x14ac:dyDescent="0.15">
      <c r="B182" s="14"/>
    </row>
    <row r="183" spans="2:64" s="102" customFormat="1" x14ac:dyDescent="0.15">
      <c r="B183" s="298" t="s">
        <v>422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371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423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421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424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435</v>
      </c>
    </row>
    <row r="192" spans="2:64" x14ac:dyDescent="0.15">
      <c r="B192" s="14"/>
    </row>
    <row r="193" spans="2:64" x14ac:dyDescent="0.15">
      <c r="B193" s="47" t="s">
        <v>422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371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436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651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358</v>
      </c>
      <c r="C3" s="169">
        <f>C25</f>
        <v>0</v>
      </c>
      <c r="D3" s="169">
        <f>SUM(D25:O25)</f>
        <v>6584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114806</v>
      </c>
    </row>
    <row r="5" spans="2:63" x14ac:dyDescent="0.15">
      <c r="B5" s="16" t="s">
        <v>339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1053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1054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1059</v>
      </c>
    </row>
    <row r="9" spans="2:63" s="169" customFormat="1" x14ac:dyDescent="0.15">
      <c r="B9" s="314" t="s">
        <v>1053</v>
      </c>
      <c r="C9" s="169">
        <f>C34</f>
        <v>0</v>
      </c>
      <c r="D9" s="169">
        <f>SUM(D34:O34)</f>
        <v>6584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1055</v>
      </c>
      <c r="C10" s="9">
        <f>C35</f>
        <v>0</v>
      </c>
      <c r="D10" s="9">
        <f>SUM(D35:O35)</f>
        <v>62548000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338</v>
      </c>
      <c r="C11" s="107"/>
    </row>
    <row r="12" spans="2:63" s="169" customFormat="1" x14ac:dyDescent="0.15">
      <c r="B12" s="314" t="s">
        <v>1053</v>
      </c>
      <c r="C12" s="169">
        <v>0</v>
      </c>
      <c r="D12" s="169">
        <f>SUM(D38:O38)</f>
        <v>6584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1056</v>
      </c>
      <c r="C13" s="9">
        <v>0</v>
      </c>
      <c r="D13" s="9">
        <f>SUM(D39:O39)</f>
        <v>62548000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340</v>
      </c>
      <c r="C14" s="97"/>
    </row>
    <row r="15" spans="2:63" s="169" customFormat="1" ht="16.5" customHeight="1" x14ac:dyDescent="0.15">
      <c r="B15" s="314" t="s">
        <v>1053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1056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341</v>
      </c>
    </row>
    <row r="18" spans="2:69" x14ac:dyDescent="0.15">
      <c r="B18" s="106" t="s">
        <v>1053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1055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9" t="s">
        <v>35</v>
      </c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/>
      <c r="P21" s="389" t="s">
        <v>36</v>
      </c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/>
      <c r="AB21" s="389" t="s">
        <v>37</v>
      </c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/>
      <c r="AN21" s="389" t="s">
        <v>38</v>
      </c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/>
      <c r="AZ21" s="389" t="s">
        <v>39</v>
      </c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  <c r="BK21" s="389"/>
      <c r="BM21" s="10" t="s">
        <v>630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650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357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616</v>
      </c>
      <c r="H25" s="313">
        <f>'REV-REVCALC_CWS'!G13</f>
        <v>726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342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1053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1054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1059</v>
      </c>
    </row>
    <row r="34" spans="2:66" s="169" customFormat="1" x14ac:dyDescent="0.15">
      <c r="B34" s="314" t="s">
        <v>1053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616</v>
      </c>
      <c r="H34" s="169">
        <f t="shared" si="7"/>
        <v>726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114806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1056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5852000</v>
      </c>
      <c r="H35" s="145">
        <f t="shared" si="9"/>
        <v>6897000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1248693199.3000002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338</v>
      </c>
      <c r="C37" s="107"/>
    </row>
    <row r="38" spans="2:66" s="169" customFormat="1" x14ac:dyDescent="0.15">
      <c r="B38" s="314" t="s">
        <v>1053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616</v>
      </c>
      <c r="H38" s="169">
        <f>'REV-REVCALC_CWS'!G13</f>
        <v>726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114806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1055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5852000</v>
      </c>
      <c r="H39" s="145">
        <f t="shared" si="11"/>
        <v>6897000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1248693199.3000002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340</v>
      </c>
      <c r="C41" s="97"/>
    </row>
    <row r="42" spans="2:66" s="169" customFormat="1" ht="16.5" customHeight="1" x14ac:dyDescent="0.15">
      <c r="B42" s="314" t="s">
        <v>1057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1058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341</v>
      </c>
    </row>
    <row r="47" spans="2:66" s="169" customFormat="1" x14ac:dyDescent="0.15">
      <c r="B47" s="314" t="s">
        <v>1053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1055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652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363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359</v>
      </c>
      <c r="C54" s="9">
        <f t="shared" si="19"/>
        <v>0</v>
      </c>
      <c r="D54" s="66">
        <f>SUM(D66:O66)</f>
        <v>62548000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360</v>
      </c>
      <c r="C55" s="9">
        <f t="shared" si="19"/>
        <v>0</v>
      </c>
      <c r="D55" s="9">
        <f>D53+D54</f>
        <v>62548000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361</v>
      </c>
      <c r="C56" s="9">
        <f t="shared" si="19"/>
        <v>0</v>
      </c>
      <c r="D56" s="66">
        <f>SUM(D68:O68)</f>
        <v>62548000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362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529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9" t="s">
        <v>35</v>
      </c>
      <c r="E60" s="389"/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 t="s">
        <v>36</v>
      </c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 t="s">
        <v>37</v>
      </c>
      <c r="AC60" s="389"/>
      <c r="AD60" s="389"/>
      <c r="AE60" s="389"/>
      <c r="AF60" s="389"/>
      <c r="AG60" s="389"/>
      <c r="AH60" s="389"/>
      <c r="AI60" s="389"/>
      <c r="AJ60" s="389"/>
      <c r="AK60" s="389"/>
      <c r="AL60" s="389"/>
      <c r="AM60" s="389"/>
      <c r="AN60" s="389" t="s">
        <v>38</v>
      </c>
      <c r="AO60" s="389"/>
      <c r="AP60" s="389"/>
      <c r="AQ60" s="389"/>
      <c r="AR60" s="389"/>
      <c r="AS60" s="389"/>
      <c r="AT60" s="389"/>
      <c r="AU60" s="389"/>
      <c r="AV60" s="389"/>
      <c r="AW60" s="389"/>
      <c r="AX60" s="389"/>
      <c r="AY60" s="389"/>
      <c r="AZ60" s="389" t="s">
        <v>39</v>
      </c>
      <c r="BA60" s="389"/>
      <c r="BB60" s="389"/>
      <c r="BC60" s="389"/>
      <c r="BD60" s="389"/>
      <c r="BE60" s="389"/>
      <c r="BF60" s="389"/>
      <c r="BG60" s="389"/>
      <c r="BH60" s="389"/>
      <c r="BI60" s="389"/>
      <c r="BJ60" s="389"/>
      <c r="BK60" s="389"/>
      <c r="BM60" s="10" t="s">
        <v>630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835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363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359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5852000</v>
      </c>
      <c r="H66" s="9">
        <f t="shared" si="22"/>
        <v>6897000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1248693199.3000002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360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5852000</v>
      </c>
      <c r="H67" s="9">
        <f t="shared" si="24"/>
        <v>6897000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1248693199.3000002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361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5852000</v>
      </c>
      <c r="H68" s="9">
        <f t="shared" ref="H68:BN68" si="27">H67</f>
        <v>6897000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1248693199.3000002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362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529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  <sheetView tabSelected="1" topLeftCell="A33" workbookViewId="3">
      <selection activeCell="A51" sqref="A51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1245</v>
      </c>
    </row>
    <row r="2" spans="1:7" x14ac:dyDescent="0.15">
      <c r="B2" s="10" t="s">
        <v>314</v>
      </c>
      <c r="C2" s="10" t="s">
        <v>315</v>
      </c>
      <c r="D2" s="10" t="s">
        <v>622</v>
      </c>
      <c r="E2" s="10" t="s">
        <v>329</v>
      </c>
      <c r="F2" s="10" t="s">
        <v>330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1196</v>
      </c>
    </row>
    <row r="5" spans="1:7" outlineLevel="1" x14ac:dyDescent="0.15">
      <c r="A5" s="47" t="s">
        <v>1195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1270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1197</v>
      </c>
      <c r="B11" s="91"/>
      <c r="D11" s="91"/>
      <c r="E11" s="91"/>
      <c r="F11" s="3"/>
      <c r="G11" s="94"/>
    </row>
    <row r="12" spans="1:7" outlineLevel="1" x14ac:dyDescent="0.15">
      <c r="A12" s="47" t="s">
        <v>1200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1194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328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1198</v>
      </c>
      <c r="B19" s="91"/>
      <c r="D19" s="91"/>
      <c r="E19" s="91"/>
      <c r="F19" s="3"/>
      <c r="G19" s="94"/>
    </row>
    <row r="20" spans="1:7" outlineLevel="1" x14ac:dyDescent="0.15">
      <c r="A20" s="47" t="s">
        <v>1193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1191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1192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1213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1201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1195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1194</v>
      </c>
      <c r="B30" s="280" t="s">
        <v>320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1212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11500</v>
      </c>
      <c r="F34" s="93">
        <f>SUM(F29:F32)</f>
        <v>10500</v>
      </c>
      <c r="G34" s="4">
        <f>F34/D34</f>
        <v>0.47727272727272729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1197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1200</v>
      </c>
      <c r="B37" s="280">
        <v>0</v>
      </c>
      <c r="C37" s="312">
        <v>0</v>
      </c>
      <c r="D37" s="93">
        <f>B37*(1-C37)</f>
        <v>0</v>
      </c>
      <c r="E37" s="280">
        <v>500</v>
      </c>
      <c r="F37" s="93">
        <f>D37-E37</f>
        <v>-500</v>
      </c>
      <c r="G37" s="4">
        <f>IFERROR(F37/D37, 0)</f>
        <v>0</v>
      </c>
    </row>
    <row r="38" spans="1:7" s="14" customFormat="1" outlineLevel="1" x14ac:dyDescent="0.15">
      <c r="A38" s="47" t="s">
        <v>1194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328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500</v>
      </c>
      <c r="F40" s="92">
        <f>SUM(F37:F39)</f>
        <v>-500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1198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1193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1191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1192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1213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12700</v>
      </c>
      <c r="F51" s="27">
        <f>F49+F34</f>
        <v>11800</v>
      </c>
      <c r="G51" s="179">
        <f>F51/D51</f>
        <v>0.48163265306122449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1196</v>
      </c>
    </row>
    <row r="55" spans="1:7" outlineLevel="2" x14ac:dyDescent="0.15">
      <c r="A55" s="47" t="s">
        <v>1195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1194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1197</v>
      </c>
      <c r="B61" s="91"/>
      <c r="D61" s="91"/>
      <c r="E61" s="91"/>
      <c r="F61" s="3"/>
      <c r="G61" s="94"/>
    </row>
    <row r="62" spans="1:7" outlineLevel="2" x14ac:dyDescent="0.15">
      <c r="A62" s="47" t="s">
        <v>1200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1194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328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1198</v>
      </c>
      <c r="B69" s="91"/>
      <c r="D69" s="91"/>
      <c r="E69" s="91"/>
      <c r="F69" s="3"/>
      <c r="G69" s="94"/>
    </row>
    <row r="70" spans="1:7" outlineLevel="2" x14ac:dyDescent="0.15">
      <c r="A70" s="47" t="s">
        <v>1193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1191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1192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1213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1201</v>
      </c>
    </row>
    <row r="79" spans="1:7" outlineLevel="2" x14ac:dyDescent="0.15">
      <c r="A79" s="47" t="s">
        <v>1195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1194</v>
      </c>
      <c r="B80" s="280" t="s">
        <v>320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1212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12305</v>
      </c>
      <c r="F84" s="93">
        <f>SUM(F79:F82)</f>
        <v>11235</v>
      </c>
      <c r="G84" s="4">
        <f>F84/D84</f>
        <v>0.47727272727272729</v>
      </c>
    </row>
    <row r="85" spans="1:7" outlineLevel="2" x14ac:dyDescent="0.15"/>
    <row r="86" spans="1:7" s="14" customFormat="1" outlineLevel="2" x14ac:dyDescent="0.15">
      <c r="A86" s="14" t="s">
        <v>1197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1200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1194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328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12305</v>
      </c>
      <c r="F92" s="27">
        <f>F90+F84</f>
        <v>11235</v>
      </c>
      <c r="G92" s="179">
        <f>F92/D92</f>
        <v>0.47727272727272729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1198</v>
      </c>
      <c r="B94" s="91"/>
      <c r="D94" s="91"/>
      <c r="E94" s="91"/>
      <c r="F94" s="3"/>
      <c r="G94" s="94"/>
    </row>
    <row r="95" spans="1:7" outlineLevel="2" x14ac:dyDescent="0.15">
      <c r="A95" s="47" t="s">
        <v>1193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1191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1192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1213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13589</v>
      </c>
      <c r="F101" s="27">
        <f>F99+F84</f>
        <v>12626</v>
      </c>
      <c r="G101" s="179">
        <f>F101/D101</f>
        <v>0.48163265306122449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1196</v>
      </c>
    </row>
    <row r="105" spans="1:7" outlineLevel="2" x14ac:dyDescent="0.15">
      <c r="A105" s="47" t="s">
        <v>1195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1194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1197</v>
      </c>
      <c r="B111" s="91"/>
      <c r="D111" s="91"/>
      <c r="E111" s="91"/>
      <c r="F111" s="3"/>
      <c r="G111" s="94"/>
    </row>
    <row r="112" spans="1:7" outlineLevel="2" x14ac:dyDescent="0.15">
      <c r="A112" s="47" t="s">
        <v>1200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1194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328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1198</v>
      </c>
      <c r="B119" s="91"/>
      <c r="D119" s="91"/>
      <c r="E119" s="91"/>
      <c r="F119" s="3"/>
      <c r="G119" s="94"/>
    </row>
    <row r="120" spans="1:7" outlineLevel="2" x14ac:dyDescent="0.15">
      <c r="A120" s="47" t="s">
        <v>1193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1191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1192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1213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1201</v>
      </c>
    </row>
    <row r="129" spans="1:7" outlineLevel="2" x14ac:dyDescent="0.15">
      <c r="A129" s="47" t="s">
        <v>1195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1194</v>
      </c>
      <c r="B130" s="280" t="s">
        <v>320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1212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13166.35</v>
      </c>
      <c r="F134" s="93">
        <f>SUM(F129:F132)</f>
        <v>12021.450000000003</v>
      </c>
      <c r="G134" s="4">
        <f>F134/D134</f>
        <v>0.47727272727272729</v>
      </c>
    </row>
    <row r="135" spans="1:7" outlineLevel="2" x14ac:dyDescent="0.15"/>
    <row r="136" spans="1:7" outlineLevel="2" x14ac:dyDescent="0.15">
      <c r="A136" s="14" t="s">
        <v>1197</v>
      </c>
      <c r="B136" s="91"/>
      <c r="D136" s="91"/>
      <c r="E136" s="91"/>
      <c r="F136" s="3"/>
      <c r="G136" s="94"/>
    </row>
    <row r="137" spans="1:7" outlineLevel="2" x14ac:dyDescent="0.15">
      <c r="A137" s="47" t="s">
        <v>1200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1194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328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13166.35</v>
      </c>
      <c r="F142" s="27">
        <f>F140+F134</f>
        <v>12021.450000000003</v>
      </c>
      <c r="G142" s="179">
        <f>F142/D142</f>
        <v>0.47727272727272729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1198</v>
      </c>
      <c r="B144" s="91"/>
      <c r="D144" s="91"/>
      <c r="E144" s="91"/>
      <c r="F144" s="3"/>
      <c r="G144" s="94"/>
    </row>
    <row r="145" spans="1:7" outlineLevel="2" x14ac:dyDescent="0.15">
      <c r="A145" s="47" t="s">
        <v>1193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1191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1192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331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14540.23</v>
      </c>
      <c r="F151" s="27">
        <f>F149+F134</f>
        <v>13509.820000000003</v>
      </c>
      <c r="G151" s="179">
        <f>F151/D151</f>
        <v>0.48163265306122455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1196</v>
      </c>
    </row>
    <row r="155" spans="1:7" outlineLevel="1" x14ac:dyDescent="0.15">
      <c r="A155" s="47" t="s">
        <v>1195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1194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1197</v>
      </c>
      <c r="B161" s="91"/>
      <c r="D161" s="91"/>
      <c r="E161" s="91"/>
      <c r="F161" s="3"/>
      <c r="G161" s="94"/>
    </row>
    <row r="162" spans="1:7" outlineLevel="1" x14ac:dyDescent="0.15">
      <c r="A162" s="47" t="s">
        <v>1200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1194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328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1198</v>
      </c>
      <c r="B169" s="91"/>
      <c r="D169" s="91"/>
      <c r="E169" s="91"/>
      <c r="F169" s="3"/>
      <c r="G169" s="94"/>
    </row>
    <row r="170" spans="1:7" outlineLevel="1" x14ac:dyDescent="0.15">
      <c r="A170" s="47" t="s">
        <v>1193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1191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1192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331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1" t="s">
        <v>1201</v>
      </c>
    </row>
    <row r="179" spans="1:7" outlineLevel="1" x14ac:dyDescent="0.15">
      <c r="A179" s="47" t="s">
        <v>1195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1194</v>
      </c>
      <c r="B180" s="280" t="s">
        <v>320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1212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14087.994500000001</v>
      </c>
      <c r="F184" s="93">
        <f>SUM(F179:F182)</f>
        <v>12862.951500000003</v>
      </c>
      <c r="G184" s="4">
        <f>F184/D184</f>
        <v>0.47727272727272729</v>
      </c>
    </row>
    <row r="185" spans="1:7" outlineLevel="1" x14ac:dyDescent="0.15"/>
    <row r="186" spans="1:7" outlineLevel="1" x14ac:dyDescent="0.15">
      <c r="A186" s="14" t="s">
        <v>1197</v>
      </c>
      <c r="B186" s="91"/>
      <c r="D186" s="91"/>
      <c r="E186" s="91"/>
      <c r="F186" s="3"/>
      <c r="G186" s="94"/>
    </row>
    <row r="187" spans="1:7" outlineLevel="1" x14ac:dyDescent="0.15">
      <c r="A187" s="47" t="s">
        <v>1200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1194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328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14087.994500000001</v>
      </c>
      <c r="F192" s="27">
        <f>F190+F184</f>
        <v>12862.951500000003</v>
      </c>
      <c r="G192" s="179">
        <f>F192/D192</f>
        <v>0.47727272727272729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1198</v>
      </c>
      <c r="B194" s="91"/>
      <c r="D194" s="91"/>
      <c r="E194" s="91"/>
      <c r="F194" s="3"/>
      <c r="G194" s="94"/>
    </row>
    <row r="195" spans="1:7" outlineLevel="1" x14ac:dyDescent="0.15">
      <c r="A195" s="47" t="s">
        <v>1193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1191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1192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331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15558.046100000001</v>
      </c>
      <c r="F201" s="27">
        <f>F199+F184</f>
        <v>14455.507400000002</v>
      </c>
      <c r="G201" s="179">
        <f>F201/D201</f>
        <v>0.48163265306122455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1196</v>
      </c>
    </row>
    <row r="205" spans="1:7" outlineLevel="1" x14ac:dyDescent="0.15">
      <c r="A205" s="47" t="s">
        <v>1195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1194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1197</v>
      </c>
      <c r="B211" s="91"/>
      <c r="D211" s="91"/>
      <c r="E211" s="91"/>
      <c r="F211" s="3"/>
      <c r="G211" s="94"/>
    </row>
    <row r="212" spans="1:7" outlineLevel="1" x14ac:dyDescent="0.15">
      <c r="A212" s="47" t="s">
        <v>1200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1194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328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1198</v>
      </c>
      <c r="B219" s="91"/>
      <c r="D219" s="91"/>
      <c r="E219" s="91"/>
      <c r="F219" s="3"/>
      <c r="G219" s="94"/>
    </row>
    <row r="220" spans="1:7" outlineLevel="1" x14ac:dyDescent="0.15">
      <c r="A220" s="47" t="s">
        <v>1193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1191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1192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1212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1201</v>
      </c>
    </row>
    <row r="229" spans="1:7" outlineLevel="1" x14ac:dyDescent="0.15">
      <c r="A229" s="47" t="s">
        <v>1195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1194</v>
      </c>
      <c r="B230" s="280" t="s">
        <v>320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331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15074.154115000001</v>
      </c>
      <c r="F234" s="93">
        <f>SUM(F229:F232)</f>
        <v>13763.358105000003</v>
      </c>
      <c r="G234" s="4">
        <f>F234/D234</f>
        <v>0.47727272727272729</v>
      </c>
    </row>
    <row r="235" spans="1:7" outlineLevel="1" x14ac:dyDescent="0.15"/>
    <row r="236" spans="1:7" outlineLevel="1" x14ac:dyDescent="0.15">
      <c r="A236" s="14" t="s">
        <v>1197</v>
      </c>
      <c r="B236" s="91"/>
      <c r="D236" s="91"/>
      <c r="E236" s="91"/>
      <c r="F236" s="3"/>
      <c r="G236" s="94"/>
    </row>
    <row r="237" spans="1:7" outlineLevel="1" x14ac:dyDescent="0.15">
      <c r="A237" s="47" t="s">
        <v>1200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1194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328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15074.154115000001</v>
      </c>
      <c r="F242" s="27">
        <f>F240+F234</f>
        <v>13763.358105000003</v>
      </c>
      <c r="G242" s="179">
        <f>F242/D242</f>
        <v>0.47727272727272729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1198</v>
      </c>
      <c r="B244" s="91"/>
      <c r="D244" s="91"/>
      <c r="E244" s="91"/>
      <c r="F244" s="3"/>
      <c r="G244" s="94"/>
    </row>
    <row r="245" spans="1:7" outlineLevel="1" x14ac:dyDescent="0.15">
      <c r="A245" s="47" t="s">
        <v>1193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1191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1192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331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16647.109327000002</v>
      </c>
      <c r="F251" s="27">
        <f>F249+F234</f>
        <v>15467.392918000003</v>
      </c>
      <c r="G251" s="179">
        <f>F251/D251</f>
        <v>0.48163265306122455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528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1216</v>
      </c>
      <c r="B3" s="75"/>
      <c r="C3" s="63">
        <f>SUM(C12:N12)</f>
        <v>152759500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3114996954.017025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1214</v>
      </c>
      <c r="B4" s="75"/>
      <c r="C4" s="63">
        <f>SUM(C13:N13)</f>
        <v>62204000</v>
      </c>
      <c r="D4" s="63"/>
      <c r="E4" s="63">
        <f>SUM(O13:Z13)</f>
        <v>154398325</v>
      </c>
      <c r="F4" s="63"/>
      <c r="G4" s="63">
        <f>SUM(AA13:AL13)</f>
        <v>343472862.24999994</v>
      </c>
      <c r="H4" s="63"/>
      <c r="I4" s="63">
        <f>SUM(AM13:AX13)</f>
        <v>377933115.75800008</v>
      </c>
      <c r="J4" s="63"/>
      <c r="K4" s="63">
        <f>SUM(AY13:BJ13)</f>
        <v>416484459.44134009</v>
      </c>
      <c r="M4" s="322">
        <f>SUM(C4:K4)</f>
        <v>1354492762.4493403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1215</v>
      </c>
      <c r="B5" s="75"/>
      <c r="C5" s="96">
        <f>C4/C3</f>
        <v>0.40720217073242582</v>
      </c>
      <c r="D5" s="96"/>
      <c r="E5" s="96">
        <f>E4/E3</f>
        <v>0.40956898007609654</v>
      </c>
      <c r="F5" s="96"/>
      <c r="G5" s="96">
        <f>G4/G3</f>
        <v>0.44042721083441905</v>
      </c>
      <c r="H5" s="96"/>
      <c r="I5" s="96">
        <f>I4/I3</f>
        <v>0.44003640035829839</v>
      </c>
      <c r="J5" s="96"/>
      <c r="K5" s="96">
        <f>K4/K3</f>
        <v>0.44001232512004884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640</v>
      </c>
      <c r="B6" s="75"/>
      <c r="C6" s="63">
        <f>SUM(C15:N15)</f>
        <v>32149500</v>
      </c>
      <c r="D6" s="96">
        <f>C6/TotalIngresosAñ1</f>
        <v>0.21045826937113568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641</v>
      </c>
      <c r="B7" s="75"/>
      <c r="C7" s="63">
        <f>SUM(C16:N16)</f>
        <v>30054500</v>
      </c>
      <c r="D7" s="96">
        <f>C7/TotalIngresosAñ1</f>
        <v>0.19674390136129014</v>
      </c>
      <c r="E7" s="63">
        <f>SUM(O16:Z16)</f>
        <v>75819130</v>
      </c>
      <c r="F7" s="96">
        <f>E7/E3</f>
        <v>0.20112370872130236</v>
      </c>
      <c r="G7" s="63">
        <f>SUM(AA16:AL16)</f>
        <v>233862998.50000006</v>
      </c>
      <c r="H7" s="96">
        <f>G7/G3</f>
        <v>0.29987704842823859</v>
      </c>
      <c r="I7" s="63">
        <f>SUM(AM16:AX16)</f>
        <v>257724546.34000003</v>
      </c>
      <c r="J7" s="96">
        <f>I7/I3</f>
        <v>0.30007474054760297</v>
      </c>
      <c r="K7" s="63">
        <f>SUM(AY16:BJ16)</f>
        <v>283978712.38246</v>
      </c>
      <c r="L7" s="96">
        <f>K7/K3</f>
        <v>0.30002111888547678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4" t="s">
        <v>35</v>
      </c>
      <c r="D9" s="394"/>
      <c r="E9" s="394"/>
      <c r="F9" s="394"/>
      <c r="G9" s="394"/>
      <c r="H9" s="394"/>
      <c r="I9" s="394"/>
      <c r="J9" s="394"/>
      <c r="K9" s="394"/>
      <c r="L9" s="394"/>
      <c r="M9" s="394"/>
      <c r="N9" s="394"/>
      <c r="O9" s="394" t="s">
        <v>36</v>
      </c>
      <c r="P9" s="394"/>
      <c r="Q9" s="394"/>
      <c r="R9" s="394"/>
      <c r="S9" s="394"/>
      <c r="T9" s="394"/>
      <c r="U9" s="394"/>
      <c r="V9" s="394"/>
      <c r="W9" s="394"/>
      <c r="X9" s="394"/>
      <c r="Y9" s="394"/>
      <c r="Z9" s="394"/>
      <c r="AA9" s="394" t="s">
        <v>37</v>
      </c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 t="s">
        <v>38</v>
      </c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 t="s">
        <v>39</v>
      </c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1216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14568500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1214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4274500</v>
      </c>
      <c r="G13" s="63">
        <f t="shared" si="3"/>
        <v>5932000</v>
      </c>
      <c r="H13" s="63">
        <f t="shared" si="3"/>
        <v>7480000</v>
      </c>
      <c r="I13" s="63">
        <f t="shared" si="3"/>
        <v>7480000</v>
      </c>
      <c r="J13" s="63">
        <f t="shared" si="3"/>
        <v>7480000</v>
      </c>
      <c r="K13" s="63">
        <f t="shared" si="3"/>
        <v>7480000</v>
      </c>
      <c r="L13" s="63">
        <f t="shared" si="3"/>
        <v>7480000</v>
      </c>
      <c r="M13" s="63">
        <f t="shared" ref="M13:AH13" si="4">M133</f>
        <v>7480000</v>
      </c>
      <c r="N13" s="63">
        <f t="shared" si="4"/>
        <v>7117500</v>
      </c>
      <c r="O13" s="63">
        <f t="shared" si="4"/>
        <v>7663875</v>
      </c>
      <c r="P13" s="63">
        <f t="shared" si="4"/>
        <v>12358500</v>
      </c>
      <c r="Q13" s="63">
        <f t="shared" si="4"/>
        <v>13900905</v>
      </c>
      <c r="R13" s="63">
        <f t="shared" si="4"/>
        <v>13900905</v>
      </c>
      <c r="S13" s="63">
        <f t="shared" si="4"/>
        <v>13900905</v>
      </c>
      <c r="T13" s="63">
        <f t="shared" si="4"/>
        <v>13900905</v>
      </c>
      <c r="U13" s="63">
        <f t="shared" si="4"/>
        <v>13900905</v>
      </c>
      <c r="V13" s="63">
        <f t="shared" si="4"/>
        <v>13900905</v>
      </c>
      <c r="W13" s="63">
        <f t="shared" si="4"/>
        <v>13900905</v>
      </c>
      <c r="X13" s="63">
        <f t="shared" si="4"/>
        <v>13900905</v>
      </c>
      <c r="Y13" s="63">
        <f t="shared" si="4"/>
        <v>13900905</v>
      </c>
      <c r="Z13" s="63">
        <f t="shared" si="4"/>
        <v>9267805</v>
      </c>
      <c r="AA13" s="63">
        <f t="shared" si="4"/>
        <v>17176934.700000003</v>
      </c>
      <c r="AB13" s="63">
        <f t="shared" si="4"/>
        <v>27474737.75</v>
      </c>
      <c r="AC13" s="63">
        <f t="shared" si="4"/>
        <v>30912872.449999999</v>
      </c>
      <c r="AD13" s="63">
        <f t="shared" si="4"/>
        <v>30912872.449999999</v>
      </c>
      <c r="AE13" s="63">
        <f t="shared" si="4"/>
        <v>30912872.449999999</v>
      </c>
      <c r="AF13" s="63">
        <f t="shared" si="4"/>
        <v>30912872.449999999</v>
      </c>
      <c r="AG13" s="63">
        <f t="shared" si="4"/>
        <v>30912872.449999999</v>
      </c>
      <c r="AH13" s="63">
        <f t="shared" si="4"/>
        <v>30912872.449999999</v>
      </c>
      <c r="AI13" s="63">
        <f t="shared" ref="AI13:BJ13" si="5">AI133</f>
        <v>30912872.449999999</v>
      </c>
      <c r="AJ13" s="63">
        <f t="shared" si="5"/>
        <v>30912872.449999999</v>
      </c>
      <c r="AK13" s="63">
        <f t="shared" si="5"/>
        <v>30912872.449999999</v>
      </c>
      <c r="AL13" s="63">
        <f t="shared" si="5"/>
        <v>20605337.750000004</v>
      </c>
      <c r="AM13" s="63">
        <f t="shared" si="5"/>
        <v>18896900.796500001</v>
      </c>
      <c r="AN13" s="63">
        <f t="shared" si="5"/>
        <v>30234673.761500001</v>
      </c>
      <c r="AO13" s="63">
        <f t="shared" si="5"/>
        <v>34013931.41650001</v>
      </c>
      <c r="AP13" s="63">
        <f t="shared" si="5"/>
        <v>34013931.41650001</v>
      </c>
      <c r="AQ13" s="63">
        <f t="shared" si="5"/>
        <v>34013931.41650001</v>
      </c>
      <c r="AR13" s="63">
        <f t="shared" si="5"/>
        <v>34013931.41650001</v>
      </c>
      <c r="AS13" s="63">
        <f t="shared" si="5"/>
        <v>34013931.41650001</v>
      </c>
      <c r="AT13" s="63">
        <f t="shared" si="5"/>
        <v>34013931.41650001</v>
      </c>
      <c r="AU13" s="63">
        <f t="shared" si="5"/>
        <v>34013931.41650001</v>
      </c>
      <c r="AV13" s="63">
        <f t="shared" si="5"/>
        <v>34013931.41650001</v>
      </c>
      <c r="AW13" s="63">
        <f t="shared" si="5"/>
        <v>34013931.41650001</v>
      </c>
      <c r="AX13" s="63">
        <f t="shared" si="5"/>
        <v>22676158.451500006</v>
      </c>
      <c r="AY13" s="63">
        <f t="shared" si="5"/>
        <v>20822650.016855001</v>
      </c>
      <c r="AZ13" s="63">
        <f t="shared" si="5"/>
        <v>33324366.962230008</v>
      </c>
      <c r="BA13" s="63">
        <f t="shared" si="5"/>
        <v>37482211.905950002</v>
      </c>
      <c r="BB13" s="63">
        <f t="shared" si="5"/>
        <v>37482211.905950002</v>
      </c>
      <c r="BC13" s="63">
        <f t="shared" si="5"/>
        <v>37482211.905950002</v>
      </c>
      <c r="BD13" s="63">
        <f t="shared" si="5"/>
        <v>37482211.905950002</v>
      </c>
      <c r="BE13" s="63">
        <f t="shared" si="5"/>
        <v>37482211.905950002</v>
      </c>
      <c r="BF13" s="63">
        <f t="shared" si="5"/>
        <v>37482211.905950002</v>
      </c>
      <c r="BG13" s="63">
        <f t="shared" si="5"/>
        <v>37482211.905950002</v>
      </c>
      <c r="BH13" s="63">
        <f t="shared" si="5"/>
        <v>37482211.905950002</v>
      </c>
      <c r="BI13" s="63">
        <f t="shared" si="5"/>
        <v>37482211.905950002</v>
      </c>
      <c r="BJ13" s="63">
        <f t="shared" si="5"/>
        <v>24997535.308705002</v>
      </c>
    </row>
    <row r="14" spans="1:62" x14ac:dyDescent="0.15">
      <c r="A14" s="33" t="s">
        <v>1217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0.4072309817558234</v>
      </c>
      <c r="G14" s="96">
        <f>IF(G12&gt;0,G13/G12,0)</f>
        <v>0.40717987438651887</v>
      </c>
      <c r="H14" s="96">
        <f t="shared" ref="H14:BJ14" si="6">IF(H12&gt;0,H13/H12,0)</f>
        <v>0.40720779574282762</v>
      </c>
      <c r="I14" s="96">
        <f t="shared" si="6"/>
        <v>0.40720779574282762</v>
      </c>
      <c r="J14" s="96">
        <f t="shared" si="6"/>
        <v>0.40720779574282762</v>
      </c>
      <c r="K14" s="96">
        <f t="shared" si="6"/>
        <v>0.40720779574282762</v>
      </c>
      <c r="L14" s="96">
        <f t="shared" si="6"/>
        <v>0.40720779574282762</v>
      </c>
      <c r="M14" s="96">
        <f t="shared" si="6"/>
        <v>0.40720779574282762</v>
      </c>
      <c r="N14" s="96">
        <f t="shared" si="6"/>
        <v>0.40716798718572123</v>
      </c>
      <c r="O14" s="96">
        <f t="shared" si="6"/>
        <v>0.40820106573960618</v>
      </c>
      <c r="P14" s="96">
        <f t="shared" si="6"/>
        <v>0.40961078109761506</v>
      </c>
      <c r="Q14" s="96">
        <f t="shared" si="6"/>
        <v>0.40963912405997255</v>
      </c>
      <c r="R14" s="96">
        <f t="shared" si="6"/>
        <v>0.40963912405997255</v>
      </c>
      <c r="S14" s="96">
        <f t="shared" si="6"/>
        <v>0.40963912405997255</v>
      </c>
      <c r="T14" s="96">
        <f t="shared" si="6"/>
        <v>0.40963912405997255</v>
      </c>
      <c r="U14" s="96">
        <f t="shared" si="6"/>
        <v>0.40963912405997255</v>
      </c>
      <c r="V14" s="96">
        <f t="shared" si="6"/>
        <v>0.40963912405997255</v>
      </c>
      <c r="W14" s="96">
        <f t="shared" si="6"/>
        <v>0.40963912405997255</v>
      </c>
      <c r="X14" s="96">
        <f t="shared" si="6"/>
        <v>0.40963912405997255</v>
      </c>
      <c r="Y14" s="96">
        <f t="shared" si="6"/>
        <v>0.40963912405997255</v>
      </c>
      <c r="Z14" s="96">
        <f t="shared" si="6"/>
        <v>0.40970152783690461</v>
      </c>
      <c r="AA14" s="96">
        <f t="shared" si="6"/>
        <v>0.4404679770415279</v>
      </c>
      <c r="AB14" s="96">
        <f t="shared" si="6"/>
        <v>0.44040594977013925</v>
      </c>
      <c r="AC14" s="96">
        <f t="shared" si="6"/>
        <v>0.44042900252834188</v>
      </c>
      <c r="AD14" s="96">
        <f t="shared" si="6"/>
        <v>0.44042900252834188</v>
      </c>
      <c r="AE14" s="96">
        <f t="shared" si="6"/>
        <v>0.44042900252834188</v>
      </c>
      <c r="AF14" s="96">
        <f t="shared" si="6"/>
        <v>0.44042900252834188</v>
      </c>
      <c r="AG14" s="96">
        <f t="shared" si="6"/>
        <v>0.44042900252834188</v>
      </c>
      <c r="AH14" s="96">
        <f t="shared" si="6"/>
        <v>0.44042900252834188</v>
      </c>
      <c r="AI14" s="96">
        <f t="shared" si="6"/>
        <v>0.44042900252834188</v>
      </c>
      <c r="AJ14" s="96">
        <f t="shared" si="6"/>
        <v>0.44042900252834188</v>
      </c>
      <c r="AK14" s="96">
        <f t="shared" si="6"/>
        <v>0.44042900252834188</v>
      </c>
      <c r="AL14" s="96">
        <f t="shared" si="6"/>
        <v>0.44039739150649065</v>
      </c>
      <c r="AM14" s="96">
        <f t="shared" si="6"/>
        <v>0.44008730136087404</v>
      </c>
      <c r="AN14" s="96">
        <f t="shared" si="6"/>
        <v>0.44003958136466553</v>
      </c>
      <c r="AO14" s="96">
        <f t="shared" si="6"/>
        <v>0.44003074533669329</v>
      </c>
      <c r="AP14" s="96">
        <f t="shared" si="6"/>
        <v>0.44003074533669329</v>
      </c>
      <c r="AQ14" s="96">
        <f t="shared" si="6"/>
        <v>0.44003074533669329</v>
      </c>
      <c r="AR14" s="96">
        <f t="shared" si="6"/>
        <v>0.44003074533669329</v>
      </c>
      <c r="AS14" s="96">
        <f t="shared" si="6"/>
        <v>0.44003074533669329</v>
      </c>
      <c r="AT14" s="96">
        <f t="shared" si="6"/>
        <v>0.44003074533669329</v>
      </c>
      <c r="AU14" s="96">
        <f t="shared" si="6"/>
        <v>0.44003074533669329</v>
      </c>
      <c r="AV14" s="96">
        <f t="shared" si="6"/>
        <v>0.44003074533669329</v>
      </c>
      <c r="AW14" s="96">
        <f t="shared" si="6"/>
        <v>0.44003074533669329</v>
      </c>
      <c r="AX14" s="96">
        <f t="shared" si="6"/>
        <v>0.44006609133918179</v>
      </c>
      <c r="AY14" s="96">
        <f t="shared" si="6"/>
        <v>0.44005374110086154</v>
      </c>
      <c r="AZ14" s="96">
        <f t="shared" si="6"/>
        <v>0.44003842525681752</v>
      </c>
      <c r="BA14" s="96">
        <f t="shared" si="6"/>
        <v>0.44000430848772082</v>
      </c>
      <c r="BB14" s="96">
        <f t="shared" si="6"/>
        <v>0.44000430848772082</v>
      </c>
      <c r="BC14" s="96">
        <f t="shared" si="6"/>
        <v>0.44000430848772082</v>
      </c>
      <c r="BD14" s="96">
        <f t="shared" si="6"/>
        <v>0.44000430848772082</v>
      </c>
      <c r="BE14" s="96">
        <f t="shared" si="6"/>
        <v>0.44000430848772082</v>
      </c>
      <c r="BF14" s="96">
        <f t="shared" si="6"/>
        <v>0.44000430848772082</v>
      </c>
      <c r="BG14" s="96">
        <f t="shared" si="6"/>
        <v>0.44000430848772082</v>
      </c>
      <c r="BH14" s="96">
        <f t="shared" si="6"/>
        <v>0.44000430848772082</v>
      </c>
      <c r="BI14" s="96">
        <f t="shared" si="6"/>
        <v>0.44000430848772082</v>
      </c>
      <c r="BJ14" s="96">
        <f t="shared" si="6"/>
        <v>0.4400512264346863</v>
      </c>
    </row>
    <row r="15" spans="1:62" x14ac:dyDescent="0.15">
      <c r="A15" s="33" t="s">
        <v>640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3066000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641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2065000</v>
      </c>
      <c r="G16" s="63">
        <f t="shared" si="9"/>
        <v>2866000</v>
      </c>
      <c r="H16" s="63">
        <f t="shared" si="9"/>
        <v>3614500</v>
      </c>
      <c r="I16" s="63">
        <f t="shared" si="9"/>
        <v>3614500</v>
      </c>
      <c r="J16" s="63">
        <f t="shared" si="9"/>
        <v>3614500</v>
      </c>
      <c r="K16" s="63">
        <f t="shared" si="9"/>
        <v>3614500</v>
      </c>
      <c r="L16" s="63">
        <f t="shared" si="9"/>
        <v>3614500</v>
      </c>
      <c r="M16" s="63">
        <f t="shared" si="9"/>
        <v>3614500</v>
      </c>
      <c r="N16" s="63">
        <f t="shared" si="9"/>
        <v>3436500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11696870.850000001</v>
      </c>
      <c r="AB16" s="63">
        <f t="shared" si="9"/>
        <v>18703086.400000002</v>
      </c>
      <c r="AC16" s="63">
        <f t="shared" si="9"/>
        <v>21048414.050000001</v>
      </c>
      <c r="AD16" s="63">
        <f t="shared" si="9"/>
        <v>21048414.050000001</v>
      </c>
      <c r="AE16" s="63">
        <f t="shared" si="9"/>
        <v>21048414.050000001</v>
      </c>
      <c r="AF16" s="63">
        <f t="shared" si="9"/>
        <v>21048414.050000001</v>
      </c>
      <c r="AG16" s="63">
        <f t="shared" si="9"/>
        <v>21048414.050000001</v>
      </c>
      <c r="AH16" s="63">
        <f t="shared" si="9"/>
        <v>21048414.050000001</v>
      </c>
      <c r="AI16" s="63">
        <f t="shared" ref="AI16:BJ16" si="10">AI31</f>
        <v>21048414.050000001</v>
      </c>
      <c r="AJ16" s="63">
        <f t="shared" si="10"/>
        <v>21048414.050000001</v>
      </c>
      <c r="AK16" s="63">
        <f t="shared" si="10"/>
        <v>21048414.050000001</v>
      </c>
      <c r="AL16" s="63">
        <f t="shared" si="10"/>
        <v>14027314.800000003</v>
      </c>
      <c r="AM16" s="63">
        <f t="shared" si="10"/>
        <v>12887452.360000001</v>
      </c>
      <c r="AN16" s="63">
        <f t="shared" si="10"/>
        <v>20618086.211500004</v>
      </c>
      <c r="AO16" s="63">
        <f t="shared" si="10"/>
        <v>23194964.162000008</v>
      </c>
      <c r="AP16" s="63">
        <f t="shared" si="10"/>
        <v>23194964.162000008</v>
      </c>
      <c r="AQ16" s="63">
        <f t="shared" si="10"/>
        <v>23194964.162000008</v>
      </c>
      <c r="AR16" s="63">
        <f t="shared" si="10"/>
        <v>23194964.162000008</v>
      </c>
      <c r="AS16" s="63">
        <f t="shared" si="10"/>
        <v>23194964.162000008</v>
      </c>
      <c r="AT16" s="63">
        <f t="shared" si="10"/>
        <v>23194964.162000008</v>
      </c>
      <c r="AU16" s="63">
        <f t="shared" si="10"/>
        <v>23194964.162000008</v>
      </c>
      <c r="AV16" s="63">
        <f t="shared" si="10"/>
        <v>23194964.162000008</v>
      </c>
      <c r="AW16" s="63">
        <f t="shared" si="10"/>
        <v>23194964.162000008</v>
      </c>
      <c r="AX16" s="63">
        <f t="shared" si="10"/>
        <v>15464330.310500007</v>
      </c>
      <c r="AY16" s="63">
        <f t="shared" si="10"/>
        <v>14201163.972340003</v>
      </c>
      <c r="AZ16" s="63">
        <f t="shared" si="10"/>
        <v>22726581.221380003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632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431</v>
      </c>
      <c r="G19" s="367">
        <f t="shared" si="11"/>
        <v>598</v>
      </c>
      <c r="H19" s="367">
        <f t="shared" si="11"/>
        <v>754</v>
      </c>
      <c r="I19" s="367">
        <f t="shared" si="11"/>
        <v>754</v>
      </c>
      <c r="J19" s="367">
        <f t="shared" si="11"/>
        <v>754</v>
      </c>
      <c r="K19" s="367">
        <f t="shared" si="11"/>
        <v>754</v>
      </c>
      <c r="L19" s="367">
        <f t="shared" si="11"/>
        <v>754</v>
      </c>
      <c r="M19" s="367">
        <f t="shared" si="11"/>
        <v>754</v>
      </c>
      <c r="N19" s="367">
        <f t="shared" si="11"/>
        <v>718</v>
      </c>
      <c r="O19" s="367">
        <f t="shared" si="11"/>
        <v>719</v>
      </c>
      <c r="P19" s="367">
        <f t="shared" si="11"/>
        <v>1135</v>
      </c>
      <c r="Q19" s="367">
        <f t="shared" si="11"/>
        <v>1276</v>
      </c>
      <c r="R19" s="367">
        <f t="shared" si="11"/>
        <v>1276</v>
      </c>
      <c r="S19" s="367">
        <f t="shared" si="11"/>
        <v>1276</v>
      </c>
      <c r="T19" s="367">
        <f t="shared" si="11"/>
        <v>1276</v>
      </c>
      <c r="U19" s="367">
        <f t="shared" si="11"/>
        <v>1276</v>
      </c>
      <c r="V19" s="367">
        <f t="shared" si="11"/>
        <v>1276</v>
      </c>
      <c r="W19" s="367">
        <f t="shared" si="11"/>
        <v>1276</v>
      </c>
      <c r="X19" s="367">
        <f t="shared" si="11"/>
        <v>1276</v>
      </c>
      <c r="Y19" s="367">
        <f t="shared" si="11"/>
        <v>1276</v>
      </c>
      <c r="Z19" s="367">
        <f t="shared" si="11"/>
        <v>850</v>
      </c>
      <c r="AA19" s="367">
        <f t="shared" si="11"/>
        <v>907</v>
      </c>
      <c r="AB19" s="367">
        <f t="shared" si="11"/>
        <v>1452</v>
      </c>
      <c r="AC19" s="367">
        <f t="shared" si="11"/>
        <v>1633</v>
      </c>
      <c r="AD19" s="367">
        <f t="shared" si="11"/>
        <v>1633</v>
      </c>
      <c r="AE19" s="367">
        <f t="shared" si="11"/>
        <v>1633</v>
      </c>
      <c r="AF19" s="367">
        <f t="shared" si="11"/>
        <v>1633</v>
      </c>
      <c r="AG19" s="367">
        <f t="shared" si="11"/>
        <v>1633</v>
      </c>
      <c r="AH19" s="367">
        <f t="shared" si="11"/>
        <v>1633</v>
      </c>
      <c r="AI19" s="367">
        <f t="shared" si="11"/>
        <v>1633</v>
      </c>
      <c r="AJ19" s="367">
        <f t="shared" si="11"/>
        <v>1633</v>
      </c>
      <c r="AK19" s="367">
        <f t="shared" si="11"/>
        <v>1633</v>
      </c>
      <c r="AL19" s="367">
        <f t="shared" si="11"/>
        <v>1089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643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8372000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631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2691000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633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375000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1220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3066000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0.35052017834686178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632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185</v>
      </c>
      <c r="G27" s="367">
        <f t="shared" si="19"/>
        <v>257</v>
      </c>
      <c r="H27" s="367">
        <f t="shared" si="19"/>
        <v>324</v>
      </c>
      <c r="I27" s="367">
        <f t="shared" si="19"/>
        <v>324</v>
      </c>
      <c r="J27" s="367">
        <f t="shared" si="19"/>
        <v>324</v>
      </c>
      <c r="K27" s="367">
        <f t="shared" si="19"/>
        <v>324</v>
      </c>
      <c r="L27" s="367">
        <f t="shared" si="19"/>
        <v>324</v>
      </c>
      <c r="M27" s="367">
        <f t="shared" si="19"/>
        <v>324</v>
      </c>
      <c r="N27" s="367">
        <f t="shared" si="19"/>
        <v>308</v>
      </c>
      <c r="O27" s="367">
        <f t="shared" si="19"/>
        <v>309</v>
      </c>
      <c r="P27" s="367">
        <f t="shared" si="19"/>
        <v>510</v>
      </c>
      <c r="Q27" s="367">
        <f t="shared" si="19"/>
        <v>574</v>
      </c>
      <c r="R27" s="367">
        <f t="shared" si="19"/>
        <v>574</v>
      </c>
      <c r="S27" s="367">
        <f t="shared" si="19"/>
        <v>574</v>
      </c>
      <c r="T27" s="367">
        <f t="shared" si="19"/>
        <v>574</v>
      </c>
      <c r="U27" s="367">
        <f t="shared" si="19"/>
        <v>574</v>
      </c>
      <c r="V27" s="367">
        <f t="shared" si="19"/>
        <v>574</v>
      </c>
      <c r="W27" s="367">
        <f t="shared" si="19"/>
        <v>574</v>
      </c>
      <c r="X27" s="367">
        <f t="shared" si="19"/>
        <v>574</v>
      </c>
      <c r="Y27" s="367">
        <f t="shared" si="19"/>
        <v>574</v>
      </c>
      <c r="Z27" s="367">
        <f t="shared" si="19"/>
        <v>383</v>
      </c>
      <c r="AA27" s="367">
        <f t="shared" si="19"/>
        <v>908</v>
      </c>
      <c r="AB27" s="367">
        <f t="shared" si="19"/>
        <v>1452</v>
      </c>
      <c r="AC27" s="367">
        <f t="shared" si="19"/>
        <v>1634</v>
      </c>
      <c r="AD27" s="367">
        <f t="shared" si="19"/>
        <v>1634</v>
      </c>
      <c r="AE27" s="367">
        <f t="shared" si="19"/>
        <v>1634</v>
      </c>
      <c r="AF27" s="367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643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5654000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631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1942500</v>
      </c>
      <c r="G29" s="63">
        <f t="shared" si="21"/>
        <v>2698500</v>
      </c>
      <c r="H29" s="63">
        <f t="shared" si="21"/>
        <v>3402000</v>
      </c>
      <c r="I29" s="63">
        <f t="shared" si="21"/>
        <v>3402000</v>
      </c>
      <c r="J29" s="63">
        <f t="shared" si="21"/>
        <v>3402000</v>
      </c>
      <c r="K29" s="63">
        <f t="shared" si="21"/>
        <v>3402000</v>
      </c>
      <c r="L29" s="63">
        <f t="shared" si="21"/>
        <v>3402000</v>
      </c>
      <c r="M29" s="63">
        <f t="shared" si="21"/>
        <v>3402000</v>
      </c>
      <c r="N29" s="63">
        <f t="shared" si="21"/>
        <v>3234000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10915476.600000001</v>
      </c>
      <c r="AB29" s="63">
        <f t="shared" si="21"/>
        <v>17455145.400000002</v>
      </c>
      <c r="AC29" s="63">
        <f t="shared" si="21"/>
        <v>19643049.300000001</v>
      </c>
      <c r="AD29" s="63">
        <f t="shared" si="21"/>
        <v>19643049.300000001</v>
      </c>
      <c r="AE29" s="63">
        <f t="shared" si="21"/>
        <v>19643049.300000001</v>
      </c>
      <c r="AF29" s="63">
        <f t="shared" si="21"/>
        <v>19643049.300000001</v>
      </c>
      <c r="AG29" s="63">
        <f t="shared" si="21"/>
        <v>19643049.300000001</v>
      </c>
      <c r="AH29" s="63">
        <f t="shared" si="21"/>
        <v>19643049.300000001</v>
      </c>
      <c r="AI29" s="63">
        <f t="shared" si="21"/>
        <v>19643049.300000001</v>
      </c>
      <c r="AJ29" s="63">
        <f t="shared" si="21"/>
        <v>19643049.300000001</v>
      </c>
      <c r="AK29" s="63">
        <f t="shared" si="21"/>
        <v>19643049.300000001</v>
      </c>
      <c r="AL29" s="63">
        <f t="shared" si="21"/>
        <v>13091359.050000003</v>
      </c>
      <c r="AM29" s="63">
        <f t="shared" si="21"/>
        <v>12026859.652500002</v>
      </c>
      <c r="AN29" s="63">
        <f t="shared" si="21"/>
        <v>19242975.444000006</v>
      </c>
      <c r="AO29" s="63">
        <f t="shared" si="21"/>
        <v>21648347.374500006</v>
      </c>
      <c r="AP29" s="63">
        <f t="shared" si="21"/>
        <v>21648347.374500006</v>
      </c>
      <c r="AQ29" s="63">
        <f t="shared" si="21"/>
        <v>21648347.374500006</v>
      </c>
      <c r="AR29" s="63">
        <f t="shared" si="21"/>
        <v>21648347.374500006</v>
      </c>
      <c r="AS29" s="63">
        <f t="shared" si="21"/>
        <v>21648347.374500006</v>
      </c>
      <c r="AT29" s="63">
        <f t="shared" si="21"/>
        <v>21648347.374500006</v>
      </c>
      <c r="AU29" s="63">
        <f t="shared" si="21"/>
        <v>21648347.374500006</v>
      </c>
      <c r="AV29" s="63">
        <f t="shared" si="21"/>
        <v>21648347.374500006</v>
      </c>
      <c r="AW29" s="63">
        <f t="shared" si="21"/>
        <v>21648347.374500006</v>
      </c>
      <c r="AX29" s="63">
        <f t="shared" si="21"/>
        <v>14432231.583000006</v>
      </c>
      <c r="AY29" s="63">
        <f t="shared" si="21"/>
        <v>13254113.855115002</v>
      </c>
      <c r="AZ29" s="63">
        <f t="shared" si="21"/>
        <v>21209334.839805003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34473279.664995007</v>
      </c>
    </row>
    <row r="30" spans="1:64" x14ac:dyDescent="0.15">
      <c r="A30" s="47" t="s">
        <v>637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167500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1220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2065000</v>
      </c>
      <c r="G31" s="63">
        <f t="shared" si="23"/>
        <v>2866000</v>
      </c>
      <c r="H31" s="63">
        <f t="shared" si="23"/>
        <v>3614500</v>
      </c>
      <c r="I31" s="63">
        <f t="shared" si="23"/>
        <v>3614500</v>
      </c>
      <c r="J31" s="63">
        <f t="shared" si="23"/>
        <v>3614500</v>
      </c>
      <c r="K31" s="63">
        <f t="shared" si="23"/>
        <v>3614500</v>
      </c>
      <c r="L31" s="63">
        <f t="shared" si="23"/>
        <v>3614500</v>
      </c>
      <c r="M31" s="63">
        <f t="shared" si="23"/>
        <v>3614500</v>
      </c>
      <c r="N31" s="63">
        <f t="shared" si="23"/>
        <v>3436500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11696870.850000001</v>
      </c>
      <c r="AB31" s="63">
        <f t="shared" si="23"/>
        <v>18703086.400000002</v>
      </c>
      <c r="AC31" s="63">
        <f t="shared" si="23"/>
        <v>21048414.050000001</v>
      </c>
      <c r="AD31" s="63">
        <f t="shared" si="23"/>
        <v>21048414.050000001</v>
      </c>
      <c r="AE31" s="63">
        <f t="shared" si="23"/>
        <v>21048414.050000001</v>
      </c>
      <c r="AF31" s="63">
        <f t="shared" si="23"/>
        <v>21048414.050000001</v>
      </c>
      <c r="AG31" s="63">
        <f t="shared" si="23"/>
        <v>21048414.050000001</v>
      </c>
      <c r="AH31" s="63">
        <f t="shared" si="23"/>
        <v>21048414.050000001</v>
      </c>
      <c r="AI31" s="63">
        <f t="shared" si="23"/>
        <v>21048414.050000001</v>
      </c>
      <c r="AJ31" s="63">
        <f t="shared" si="23"/>
        <v>21048414.050000001</v>
      </c>
      <c r="AK31" s="63">
        <f t="shared" si="23"/>
        <v>21048414.050000001</v>
      </c>
      <c r="AL31" s="63">
        <f t="shared" si="23"/>
        <v>14027314.800000003</v>
      </c>
      <c r="AM31" s="63">
        <f t="shared" si="23"/>
        <v>12887452.360000001</v>
      </c>
      <c r="AN31" s="63">
        <f t="shared" si="23"/>
        <v>20618086.211500004</v>
      </c>
      <c r="AO31" s="63">
        <f t="shared" si="23"/>
        <v>23194964.162000008</v>
      </c>
      <c r="AP31" s="63">
        <f t="shared" si="23"/>
        <v>23194964.162000008</v>
      </c>
      <c r="AQ31" s="63">
        <f t="shared" si="23"/>
        <v>23194964.162000008</v>
      </c>
      <c r="AR31" s="63">
        <f t="shared" si="23"/>
        <v>23194964.162000008</v>
      </c>
      <c r="AS31" s="63">
        <f t="shared" si="23"/>
        <v>23194964.162000008</v>
      </c>
      <c r="AT31" s="63">
        <f t="shared" si="23"/>
        <v>23194964.162000008</v>
      </c>
      <c r="AU31" s="63">
        <f t="shared" si="23"/>
        <v>23194964.162000008</v>
      </c>
      <c r="AV31" s="63">
        <f t="shared" si="23"/>
        <v>23194964.162000008</v>
      </c>
      <c r="AW31" s="63">
        <f t="shared" si="23"/>
        <v>23194964.162000008</v>
      </c>
      <c r="AX31" s="63">
        <f t="shared" si="23"/>
        <v>15464330.310500007</v>
      </c>
      <c r="AY31" s="63">
        <f t="shared" si="23"/>
        <v>14201163.972340003</v>
      </c>
      <c r="AZ31" s="63">
        <f t="shared" si="23"/>
        <v>22726581.221380003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0.49451510484990213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0.49254621347644606</v>
      </c>
      <c r="G32" s="96">
        <f t="shared" si="24"/>
        <v>0.49231297775487415</v>
      </c>
      <c r="H32" s="96">
        <f t="shared" si="24"/>
        <v>0.49240514951297598</v>
      </c>
      <c r="I32" s="96">
        <f t="shared" si="24"/>
        <v>0.49240514951297598</v>
      </c>
      <c r="J32" s="96">
        <f t="shared" si="24"/>
        <v>0.49240514951297598</v>
      </c>
      <c r="K32" s="96">
        <f t="shared" si="24"/>
        <v>0.49240514951297598</v>
      </c>
      <c r="L32" s="96">
        <f t="shared" si="24"/>
        <v>0.49240514951297598</v>
      </c>
      <c r="M32" s="96">
        <f t="shared" si="24"/>
        <v>0.49240514951297598</v>
      </c>
      <c r="N32" s="96">
        <f t="shared" si="24"/>
        <v>0.49244106899763562</v>
      </c>
      <c r="O32" s="96">
        <f t="shared" si="24"/>
        <v>0.49184899184899183</v>
      </c>
      <c r="P32" s="96">
        <f t="shared" si="24"/>
        <v>0.4917677642980936</v>
      </c>
      <c r="Q32" s="96">
        <f t="shared" si="24"/>
        <v>0.49176162611641516</v>
      </c>
      <c r="R32" s="96">
        <f t="shared" si="24"/>
        <v>0.49176162611641516</v>
      </c>
      <c r="S32" s="96">
        <f t="shared" si="24"/>
        <v>0.49176162611641516</v>
      </c>
      <c r="T32" s="96">
        <f t="shared" si="24"/>
        <v>0.49176162611641516</v>
      </c>
      <c r="U32" s="96">
        <f t="shared" si="24"/>
        <v>0.49176162611641516</v>
      </c>
      <c r="V32" s="96">
        <f t="shared" si="24"/>
        <v>0.49176162611641516</v>
      </c>
      <c r="W32" s="96">
        <f t="shared" si="24"/>
        <v>0.49176162611641516</v>
      </c>
      <c r="X32" s="96">
        <f t="shared" si="24"/>
        <v>0.49176162611641516</v>
      </c>
      <c r="Y32" s="96">
        <f t="shared" si="24"/>
        <v>0.49176162611641516</v>
      </c>
      <c r="Z32" s="96">
        <f t="shared" si="24"/>
        <v>0.49174936533579505</v>
      </c>
      <c r="AA32" s="96">
        <f t="shared" si="24"/>
        <v>0.4945421981266791</v>
      </c>
      <c r="AB32" s="96">
        <f t="shared" si="24"/>
        <v>0.49452079675485866</v>
      </c>
      <c r="AC32" s="96">
        <f t="shared" si="24"/>
        <v>0.49453268954015411</v>
      </c>
      <c r="AD32" s="96">
        <f t="shared" si="24"/>
        <v>0.49453268954015411</v>
      </c>
      <c r="AE32" s="96">
        <f t="shared" si="24"/>
        <v>0.49453268954015411</v>
      </c>
      <c r="AF32" s="96">
        <f t="shared" si="24"/>
        <v>0.49453268954015411</v>
      </c>
      <c r="AG32" s="96">
        <f t="shared" si="24"/>
        <v>0.49453268954015411</v>
      </c>
      <c r="AH32" s="96">
        <f t="shared" si="24"/>
        <v>0.49453268954015411</v>
      </c>
      <c r="AI32" s="96">
        <f t="shared" ref="AI32:BJ32" si="25">IF(AI30+AI28&gt;0,(+AI31/(AI30+AI28)),0)</f>
        <v>0.49453268954015411</v>
      </c>
      <c r="AJ32" s="96">
        <f t="shared" si="25"/>
        <v>0.49453268954015411</v>
      </c>
      <c r="AK32" s="96">
        <f t="shared" si="25"/>
        <v>0.49453268954015411</v>
      </c>
      <c r="AL32" s="96">
        <f t="shared" si="25"/>
        <v>0.49452079675485866</v>
      </c>
      <c r="AM32" s="96">
        <f t="shared" si="25"/>
        <v>0.49453519802561996</v>
      </c>
      <c r="AN32" s="96">
        <f t="shared" si="25"/>
        <v>0.49451292071280617</v>
      </c>
      <c r="AO32" s="96">
        <f t="shared" si="25"/>
        <v>0.49450879506901557</v>
      </c>
      <c r="AP32" s="96">
        <f t="shared" si="25"/>
        <v>0.49450879506901557</v>
      </c>
      <c r="AQ32" s="96">
        <f t="shared" si="25"/>
        <v>0.49450879506901557</v>
      </c>
      <c r="AR32" s="96">
        <f t="shared" si="25"/>
        <v>0.49450879506901557</v>
      </c>
      <c r="AS32" s="96">
        <f t="shared" si="25"/>
        <v>0.49450879506901557</v>
      </c>
      <c r="AT32" s="96">
        <f t="shared" si="25"/>
        <v>0.49450879506901557</v>
      </c>
      <c r="AU32" s="96">
        <f t="shared" si="25"/>
        <v>0.49450879506901557</v>
      </c>
      <c r="AV32" s="96">
        <f t="shared" si="25"/>
        <v>0.49450879506901557</v>
      </c>
      <c r="AW32" s="96">
        <f t="shared" si="25"/>
        <v>0.49450879506901557</v>
      </c>
      <c r="AX32" s="96">
        <f t="shared" si="25"/>
        <v>0.49452529724012317</v>
      </c>
      <c r="AY32" s="96">
        <f t="shared" si="25"/>
        <v>0.49451126275189999</v>
      </c>
      <c r="AZ32" s="96">
        <f t="shared" si="25"/>
        <v>0.49453072633665623</v>
      </c>
      <c r="BA32" s="96">
        <f t="shared" si="25"/>
        <v>0.49450869984274337</v>
      </c>
      <c r="BB32" s="96">
        <f t="shared" si="25"/>
        <v>0.49450869984274337</v>
      </c>
      <c r="BC32" s="96">
        <f t="shared" si="25"/>
        <v>0.49450869984274337</v>
      </c>
      <c r="BD32" s="96">
        <f t="shared" si="25"/>
        <v>0.49450869984274337</v>
      </c>
      <c r="BE32" s="96">
        <f t="shared" si="25"/>
        <v>0.49450869984274337</v>
      </c>
      <c r="BF32" s="96">
        <f t="shared" si="25"/>
        <v>0.49450869984274337</v>
      </c>
      <c r="BG32" s="96">
        <f t="shared" si="25"/>
        <v>0.49450869984274337</v>
      </c>
      <c r="BH32" s="96">
        <f t="shared" si="25"/>
        <v>0.49450869984274337</v>
      </c>
      <c r="BI32" s="96">
        <f t="shared" si="25"/>
        <v>0.49450869984274337</v>
      </c>
      <c r="BJ32" s="96">
        <f t="shared" si="25"/>
        <v>0.49451510484990213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632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616</v>
      </c>
      <c r="G35" s="367">
        <f t="shared" si="26"/>
        <v>855</v>
      </c>
      <c r="H35" s="367">
        <f t="shared" si="26"/>
        <v>1078</v>
      </c>
      <c r="I35" s="367">
        <f t="shared" si="26"/>
        <v>1078</v>
      </c>
      <c r="J35" s="367">
        <f t="shared" si="26"/>
        <v>1078</v>
      </c>
      <c r="K35" s="367">
        <f t="shared" si="26"/>
        <v>1078</v>
      </c>
      <c r="L35" s="367">
        <f t="shared" si="26"/>
        <v>1078</v>
      </c>
      <c r="M35" s="367">
        <f t="shared" si="26"/>
        <v>1078</v>
      </c>
      <c r="N35" s="367">
        <f t="shared" si="26"/>
        <v>1026</v>
      </c>
      <c r="O35" s="367">
        <f t="shared" si="26"/>
        <v>1028</v>
      </c>
      <c r="P35" s="367">
        <f t="shared" si="26"/>
        <v>1645</v>
      </c>
      <c r="Q35" s="367">
        <f t="shared" si="26"/>
        <v>1850</v>
      </c>
      <c r="R35" s="367">
        <f t="shared" si="26"/>
        <v>1850</v>
      </c>
      <c r="S35" s="367">
        <f t="shared" si="26"/>
        <v>1850</v>
      </c>
      <c r="T35" s="367">
        <f t="shared" si="26"/>
        <v>1850</v>
      </c>
      <c r="U35" s="367">
        <f t="shared" si="26"/>
        <v>1850</v>
      </c>
      <c r="V35" s="367">
        <f t="shared" si="26"/>
        <v>1850</v>
      </c>
      <c r="W35" s="367">
        <f t="shared" si="26"/>
        <v>1850</v>
      </c>
      <c r="X35" s="367">
        <f t="shared" si="26"/>
        <v>1850</v>
      </c>
      <c r="Y35" s="367">
        <f t="shared" si="26"/>
        <v>1850</v>
      </c>
      <c r="Z35" s="367">
        <f t="shared" si="26"/>
        <v>1233</v>
      </c>
      <c r="AA35" s="367">
        <f t="shared" si="26"/>
        <v>1815</v>
      </c>
      <c r="AB35" s="367">
        <f t="shared" si="26"/>
        <v>2904</v>
      </c>
      <c r="AC35" s="367">
        <f t="shared" si="26"/>
        <v>3267</v>
      </c>
      <c r="AD35" s="367">
        <f t="shared" si="26"/>
        <v>3267</v>
      </c>
      <c r="AE35" s="367">
        <f t="shared" si="26"/>
        <v>3267</v>
      </c>
      <c r="AF35" s="367">
        <f t="shared" si="26"/>
        <v>3267</v>
      </c>
      <c r="AG35" s="367">
        <f t="shared" si="26"/>
        <v>3267</v>
      </c>
      <c r="AH35" s="367">
        <f t="shared" si="26"/>
        <v>3267</v>
      </c>
      <c r="AI35" s="367">
        <f t="shared" ref="AI35:BJ35" si="27">AI19+AI27</f>
        <v>3267</v>
      </c>
      <c r="AJ35" s="367">
        <f t="shared" si="27"/>
        <v>3267</v>
      </c>
      <c r="AK35" s="367">
        <f t="shared" si="27"/>
        <v>3267</v>
      </c>
      <c r="AL35" s="367">
        <f t="shared" si="27"/>
        <v>2178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1218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14026000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1219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3882000</v>
      </c>
      <c r="G37" s="63">
        <f t="shared" si="30"/>
        <v>5389500</v>
      </c>
      <c r="H37" s="63">
        <f t="shared" si="30"/>
        <v>6795000</v>
      </c>
      <c r="I37" s="63">
        <f t="shared" si="30"/>
        <v>6795000</v>
      </c>
      <c r="J37" s="63">
        <f t="shared" si="30"/>
        <v>6795000</v>
      </c>
      <c r="K37" s="63">
        <f t="shared" si="30"/>
        <v>6795000</v>
      </c>
      <c r="L37" s="63">
        <f t="shared" si="30"/>
        <v>6795000</v>
      </c>
      <c r="M37" s="63">
        <f t="shared" si="30"/>
        <v>6795000</v>
      </c>
      <c r="N37" s="63">
        <f t="shared" si="30"/>
        <v>6465000</v>
      </c>
      <c r="O37" s="63">
        <f t="shared" si="30"/>
        <v>6933600</v>
      </c>
      <c r="P37" s="63">
        <f t="shared" si="30"/>
        <v>11194875</v>
      </c>
      <c r="Q37" s="63">
        <f t="shared" si="30"/>
        <v>12592830</v>
      </c>
      <c r="R37" s="63">
        <f t="shared" si="30"/>
        <v>12592830</v>
      </c>
      <c r="S37" s="63">
        <f t="shared" si="30"/>
        <v>12592830</v>
      </c>
      <c r="T37" s="63">
        <f t="shared" si="30"/>
        <v>12592830</v>
      </c>
      <c r="U37" s="63">
        <f t="shared" si="30"/>
        <v>12592830</v>
      </c>
      <c r="V37" s="63">
        <f t="shared" si="30"/>
        <v>12592830</v>
      </c>
      <c r="W37" s="63">
        <f t="shared" si="30"/>
        <v>12592830</v>
      </c>
      <c r="X37" s="63">
        <f t="shared" si="30"/>
        <v>12592830</v>
      </c>
      <c r="Y37" s="63">
        <f t="shared" si="30"/>
        <v>12592830</v>
      </c>
      <c r="Z37" s="63">
        <f t="shared" si="30"/>
        <v>8395755</v>
      </c>
      <c r="AA37" s="63">
        <f t="shared" si="30"/>
        <v>15588385.950000001</v>
      </c>
      <c r="AB37" s="63">
        <f t="shared" si="30"/>
        <v>24935922</v>
      </c>
      <c r="AC37" s="63">
        <f t="shared" si="30"/>
        <v>28056346.949999999</v>
      </c>
      <c r="AD37" s="63">
        <f t="shared" si="30"/>
        <v>28056346.949999999</v>
      </c>
      <c r="AE37" s="63">
        <f t="shared" si="30"/>
        <v>28056346.949999999</v>
      </c>
      <c r="AF37" s="63">
        <f t="shared" si="30"/>
        <v>28056346.949999999</v>
      </c>
      <c r="AG37" s="63">
        <f t="shared" si="30"/>
        <v>28056346.949999999</v>
      </c>
      <c r="AH37" s="63">
        <f t="shared" si="30"/>
        <v>28056346.949999999</v>
      </c>
      <c r="AI37" s="63">
        <f t="shared" ref="AI37:BJ37" si="31">AI21+AI29</f>
        <v>28056346.949999999</v>
      </c>
      <c r="AJ37" s="63">
        <f t="shared" si="31"/>
        <v>28056346.949999999</v>
      </c>
      <c r="AK37" s="63">
        <f t="shared" si="31"/>
        <v>28056346.949999999</v>
      </c>
      <c r="AL37" s="63">
        <f t="shared" si="31"/>
        <v>18701941.500000004</v>
      </c>
      <c r="AM37" s="63">
        <f t="shared" si="31"/>
        <v>17175715.381500006</v>
      </c>
      <c r="AN37" s="63">
        <f t="shared" si="31"/>
        <v>27484452.226500005</v>
      </c>
      <c r="AO37" s="63">
        <f t="shared" si="31"/>
        <v>30920697.841500007</v>
      </c>
      <c r="AP37" s="63">
        <f t="shared" si="31"/>
        <v>30920697.841500007</v>
      </c>
      <c r="AQ37" s="63">
        <f t="shared" si="31"/>
        <v>30920697.841500007</v>
      </c>
      <c r="AR37" s="63">
        <f t="shared" si="31"/>
        <v>30920697.841500007</v>
      </c>
      <c r="AS37" s="63">
        <f t="shared" si="31"/>
        <v>30920697.841500007</v>
      </c>
      <c r="AT37" s="63">
        <f t="shared" si="31"/>
        <v>30920697.841500007</v>
      </c>
      <c r="AU37" s="63">
        <f t="shared" si="31"/>
        <v>30920697.841500007</v>
      </c>
      <c r="AV37" s="63">
        <f t="shared" si="31"/>
        <v>30920697.841500007</v>
      </c>
      <c r="AW37" s="63">
        <f t="shared" si="31"/>
        <v>30920697.841500007</v>
      </c>
      <c r="AX37" s="63">
        <f t="shared" si="31"/>
        <v>20611960.996500008</v>
      </c>
      <c r="AY37" s="63">
        <f t="shared" si="31"/>
        <v>18928549.782405004</v>
      </c>
      <c r="AZ37" s="63">
        <f t="shared" si="31"/>
        <v>30293151.189105008</v>
      </c>
      <c r="BA37" s="63">
        <f t="shared" si="31"/>
        <v>34074142.279950008</v>
      </c>
      <c r="BB37" s="63">
        <f t="shared" si="31"/>
        <v>34074142.279950008</v>
      </c>
      <c r="BC37" s="63">
        <f t="shared" si="31"/>
        <v>34074142.279950008</v>
      </c>
      <c r="BD37" s="63">
        <f t="shared" si="31"/>
        <v>34074142.279950008</v>
      </c>
      <c r="BE37" s="63">
        <f t="shared" si="31"/>
        <v>34074142.279950008</v>
      </c>
      <c r="BF37" s="63">
        <f t="shared" si="31"/>
        <v>34074142.279950008</v>
      </c>
      <c r="BG37" s="63">
        <f t="shared" si="31"/>
        <v>34074142.279950008</v>
      </c>
      <c r="BH37" s="63">
        <f t="shared" si="31"/>
        <v>34074142.279950008</v>
      </c>
      <c r="BI37" s="63">
        <f t="shared" si="31"/>
        <v>34074142.279950008</v>
      </c>
      <c r="BJ37" s="63">
        <f t="shared" si="31"/>
        <v>22723304.231355004</v>
      </c>
    </row>
    <row r="38" spans="1:62" x14ac:dyDescent="0.15">
      <c r="A38" s="47" t="s">
        <v>638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542500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1220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4274500</v>
      </c>
      <c r="G39" s="63">
        <f t="shared" si="34"/>
        <v>5932000</v>
      </c>
      <c r="H39" s="63">
        <f t="shared" si="34"/>
        <v>7480000</v>
      </c>
      <c r="I39" s="63">
        <f t="shared" si="34"/>
        <v>7480000</v>
      </c>
      <c r="J39" s="63">
        <f t="shared" si="34"/>
        <v>7480000</v>
      </c>
      <c r="K39" s="63">
        <f t="shared" si="34"/>
        <v>7480000</v>
      </c>
      <c r="L39" s="63">
        <f t="shared" si="34"/>
        <v>7480000</v>
      </c>
      <c r="M39" s="63">
        <f t="shared" si="34"/>
        <v>7480000</v>
      </c>
      <c r="N39" s="63">
        <f t="shared" si="34"/>
        <v>7117500</v>
      </c>
      <c r="O39" s="63">
        <f t="shared" si="34"/>
        <v>7663875</v>
      </c>
      <c r="P39" s="63">
        <f t="shared" si="34"/>
        <v>12358500</v>
      </c>
      <c r="Q39" s="63">
        <f t="shared" si="34"/>
        <v>13900905</v>
      </c>
      <c r="R39" s="63">
        <f t="shared" si="34"/>
        <v>13900905</v>
      </c>
      <c r="S39" s="63">
        <f t="shared" si="34"/>
        <v>13900905</v>
      </c>
      <c r="T39" s="63">
        <f t="shared" si="34"/>
        <v>13900905</v>
      </c>
      <c r="U39" s="63">
        <f t="shared" si="34"/>
        <v>13900905</v>
      </c>
      <c r="V39" s="63">
        <f t="shared" si="34"/>
        <v>13900905</v>
      </c>
      <c r="W39" s="63">
        <f t="shared" si="34"/>
        <v>13900905</v>
      </c>
      <c r="X39" s="63">
        <f t="shared" si="34"/>
        <v>13900905</v>
      </c>
      <c r="Y39" s="63">
        <f t="shared" si="34"/>
        <v>13900905</v>
      </c>
      <c r="Z39" s="63">
        <f t="shared" si="34"/>
        <v>9267805</v>
      </c>
      <c r="AA39" s="63">
        <f t="shared" si="34"/>
        <v>17176934.700000003</v>
      </c>
      <c r="AB39" s="63">
        <f t="shared" si="34"/>
        <v>27474737.75</v>
      </c>
      <c r="AC39" s="63">
        <f t="shared" si="34"/>
        <v>30912872.449999999</v>
      </c>
      <c r="AD39" s="63">
        <f t="shared" si="34"/>
        <v>30912872.449999999</v>
      </c>
      <c r="AE39" s="63">
        <f t="shared" si="34"/>
        <v>30912872.449999999</v>
      </c>
      <c r="AF39" s="63">
        <f t="shared" si="34"/>
        <v>30912872.449999999</v>
      </c>
      <c r="AG39" s="63">
        <f t="shared" si="34"/>
        <v>30912872.449999999</v>
      </c>
      <c r="AH39" s="63">
        <f t="shared" si="34"/>
        <v>30912872.449999999</v>
      </c>
      <c r="AI39" s="63">
        <f t="shared" ref="AI39:BJ39" si="35">AI23+AI31</f>
        <v>30912872.449999999</v>
      </c>
      <c r="AJ39" s="63">
        <f t="shared" si="35"/>
        <v>30912872.449999999</v>
      </c>
      <c r="AK39" s="63">
        <f t="shared" si="35"/>
        <v>30912872.449999999</v>
      </c>
      <c r="AL39" s="63">
        <f t="shared" si="35"/>
        <v>20605337.750000004</v>
      </c>
      <c r="AM39" s="63">
        <f t="shared" si="35"/>
        <v>18896900.796500005</v>
      </c>
      <c r="AN39" s="63">
        <f t="shared" si="35"/>
        <v>30234673.761500001</v>
      </c>
      <c r="AO39" s="63">
        <f t="shared" si="35"/>
        <v>34013931.41650001</v>
      </c>
      <c r="AP39" s="63">
        <f t="shared" si="35"/>
        <v>34013931.41650001</v>
      </c>
      <c r="AQ39" s="63">
        <f t="shared" si="35"/>
        <v>34013931.41650001</v>
      </c>
      <c r="AR39" s="63">
        <f t="shared" si="35"/>
        <v>34013931.41650001</v>
      </c>
      <c r="AS39" s="63">
        <f t="shared" si="35"/>
        <v>34013931.41650001</v>
      </c>
      <c r="AT39" s="63">
        <f t="shared" si="35"/>
        <v>34013931.41650001</v>
      </c>
      <c r="AU39" s="63">
        <f t="shared" si="35"/>
        <v>34013931.41650001</v>
      </c>
      <c r="AV39" s="63">
        <f t="shared" si="35"/>
        <v>34013931.41650001</v>
      </c>
      <c r="AW39" s="63">
        <f t="shared" si="35"/>
        <v>34013931.41650001</v>
      </c>
      <c r="AX39" s="63">
        <f t="shared" si="35"/>
        <v>22676158.45150001</v>
      </c>
      <c r="AY39" s="63">
        <f t="shared" si="35"/>
        <v>20822650.016855001</v>
      </c>
      <c r="AZ39" s="63">
        <f t="shared" si="35"/>
        <v>33324366.962230008</v>
      </c>
      <c r="BA39" s="63">
        <f t="shared" si="35"/>
        <v>37482211.90595001</v>
      </c>
      <c r="BB39" s="63">
        <f t="shared" si="35"/>
        <v>37482211.90595001</v>
      </c>
      <c r="BC39" s="63">
        <f t="shared" si="35"/>
        <v>37482211.90595001</v>
      </c>
      <c r="BD39" s="63">
        <f t="shared" si="35"/>
        <v>37482211.90595001</v>
      </c>
      <c r="BE39" s="63">
        <f t="shared" si="35"/>
        <v>37482211.90595001</v>
      </c>
      <c r="BF39" s="63">
        <f t="shared" si="35"/>
        <v>37482211.90595001</v>
      </c>
      <c r="BG39" s="63">
        <f t="shared" si="35"/>
        <v>37482211.90595001</v>
      </c>
      <c r="BH39" s="63">
        <f t="shared" si="35"/>
        <v>37482211.90595001</v>
      </c>
      <c r="BI39" s="63">
        <f t="shared" si="35"/>
        <v>37482211.90595001</v>
      </c>
      <c r="BJ39" s="63">
        <f t="shared" si="35"/>
        <v>24997535.308705006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1203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1202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855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7">
        <v>2178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598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257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598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76546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8372000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1265012566.4475603</v>
      </c>
    </row>
    <row r="53" spans="1:63" outlineLevel="1" x14ac:dyDescent="0.15">
      <c r="A53" s="47" t="s">
        <v>334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642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335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8372000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1265012566.4475603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5681000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858401384.37513018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333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5681000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858401384.37513018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635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636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2691000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406611182.07243007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448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54113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150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22433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1268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375000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66441693.154450022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1269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375000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257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65174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5654000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1725761892.0205398</v>
      </c>
    </row>
    <row r="94" spans="1:64" customFormat="1" outlineLevel="1" x14ac:dyDescent="0.15">
      <c r="A94" s="47" t="s">
        <v>334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642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335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5654000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1725761892.0205398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2955500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902102807.19255507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333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2127500</v>
      </c>
      <c r="G106" s="63">
        <f t="shared" si="69"/>
        <v>2955500</v>
      </c>
      <c r="H106" s="63">
        <f t="shared" si="69"/>
        <v>3726000</v>
      </c>
      <c r="I106" s="63">
        <f t="shared" si="69"/>
        <v>3726000</v>
      </c>
      <c r="J106" s="63">
        <f t="shared" si="69"/>
        <v>3726000</v>
      </c>
      <c r="K106" s="63">
        <f t="shared" si="69"/>
        <v>3726000</v>
      </c>
      <c r="L106" s="63">
        <f t="shared" si="69"/>
        <v>3726000</v>
      </c>
      <c r="M106" s="63">
        <f t="shared" si="69"/>
        <v>3726000</v>
      </c>
      <c r="N106" s="63">
        <f t="shared" si="69"/>
        <v>3542000</v>
      </c>
      <c r="O106" s="63">
        <f t="shared" si="69"/>
        <v>3802245</v>
      </c>
      <c r="P106" s="63">
        <f t="shared" si="69"/>
        <v>6275550</v>
      </c>
      <c r="Q106" s="63">
        <f t="shared" si="69"/>
        <v>7063070</v>
      </c>
      <c r="R106" s="63">
        <f t="shared" si="69"/>
        <v>7063070</v>
      </c>
      <c r="S106" s="63">
        <f t="shared" si="69"/>
        <v>7063070</v>
      </c>
      <c r="T106" s="63">
        <f t="shared" si="69"/>
        <v>7063070</v>
      </c>
      <c r="U106" s="63">
        <f t="shared" si="69"/>
        <v>7063070</v>
      </c>
      <c r="V106" s="63">
        <f t="shared" si="69"/>
        <v>7063070</v>
      </c>
      <c r="W106" s="63">
        <f t="shared" si="69"/>
        <v>7063070</v>
      </c>
      <c r="X106" s="63">
        <f t="shared" si="69"/>
        <v>7063070</v>
      </c>
      <c r="Y106" s="63">
        <f t="shared" si="69"/>
        <v>7063070</v>
      </c>
      <c r="Z106" s="63">
        <f t="shared" si="69"/>
        <v>4712815</v>
      </c>
      <c r="AA106" s="63">
        <f t="shared" si="69"/>
        <v>11955045.800000001</v>
      </c>
      <c r="AB106" s="63">
        <f t="shared" si="69"/>
        <v>19117540.199999999</v>
      </c>
      <c r="AC106" s="63">
        <f t="shared" si="69"/>
        <v>21513815.900000002</v>
      </c>
      <c r="AD106" s="63">
        <f t="shared" si="69"/>
        <v>21513815.900000002</v>
      </c>
      <c r="AE106" s="63">
        <f t="shared" si="69"/>
        <v>21513815.900000002</v>
      </c>
      <c r="AF106" s="63">
        <f t="shared" si="69"/>
        <v>21513815.900000002</v>
      </c>
      <c r="AG106" s="63">
        <f t="shared" si="69"/>
        <v>21513815.900000002</v>
      </c>
      <c r="AH106" s="63">
        <f t="shared" si="69"/>
        <v>21513815.900000002</v>
      </c>
      <c r="AI106" s="63">
        <f t="shared" si="69"/>
        <v>21513815.900000002</v>
      </c>
      <c r="AJ106" s="63">
        <f t="shared" si="69"/>
        <v>21513815.900000002</v>
      </c>
      <c r="AK106" s="63">
        <f t="shared" si="69"/>
        <v>21513815.900000002</v>
      </c>
      <c r="AL106" s="63">
        <f t="shared" si="69"/>
        <v>14338155.15</v>
      </c>
      <c r="AM106" s="63">
        <f t="shared" si="69"/>
        <v>13172274.8575</v>
      </c>
      <c r="AN106" s="63">
        <f t="shared" si="69"/>
        <v>21075639.772</v>
      </c>
      <c r="AO106" s="63">
        <f t="shared" si="69"/>
        <v>23710094.743500002</v>
      </c>
      <c r="AP106" s="63">
        <f t="shared" si="69"/>
        <v>23710094.743500002</v>
      </c>
      <c r="AQ106" s="63">
        <f t="shared" si="69"/>
        <v>23710094.743500002</v>
      </c>
      <c r="AR106" s="63">
        <f t="shared" si="69"/>
        <v>23710094.743500002</v>
      </c>
      <c r="AS106" s="63">
        <f t="shared" si="69"/>
        <v>23710094.743500002</v>
      </c>
      <c r="AT106" s="63">
        <f t="shared" si="69"/>
        <v>23710094.743500002</v>
      </c>
      <c r="AU106" s="63">
        <f t="shared" si="69"/>
        <v>23710094.743500002</v>
      </c>
      <c r="AV106" s="63">
        <f t="shared" si="69"/>
        <v>23710094.743500002</v>
      </c>
      <c r="AW106" s="63">
        <f t="shared" si="69"/>
        <v>23710094.743500002</v>
      </c>
      <c r="AX106" s="63">
        <f t="shared" si="69"/>
        <v>15806729.829</v>
      </c>
      <c r="AY106" s="63">
        <f t="shared" si="69"/>
        <v>14516410.412745001</v>
      </c>
      <c r="AZ106" s="63">
        <f t="shared" si="69"/>
        <v>23229271.491215002</v>
      </c>
      <c r="BA106" s="63">
        <f t="shared" si="69"/>
        <v>26123509.081295002</v>
      </c>
      <c r="BB106" s="63">
        <f t="shared" si="69"/>
        <v>26123509.081295002</v>
      </c>
      <c r="BC106" s="63">
        <f t="shared" si="69"/>
        <v>26123509.081295002</v>
      </c>
      <c r="BD106" s="63">
        <f t="shared" si="69"/>
        <v>26123509.081295002</v>
      </c>
      <c r="BE106" s="63">
        <f t="shared" si="69"/>
        <v>26123509.081295002</v>
      </c>
      <c r="BF106" s="63">
        <f t="shared" si="69"/>
        <v>26123509.081295002</v>
      </c>
      <c r="BG106" s="63">
        <f t="shared" si="69"/>
        <v>26123509.081295002</v>
      </c>
      <c r="BH106" s="63">
        <f t="shared" si="69"/>
        <v>26123509.081295002</v>
      </c>
      <c r="BI106" s="63">
        <f t="shared" si="69"/>
        <v>26123509.081295002</v>
      </c>
      <c r="BJ106" s="63">
        <f t="shared" si="69"/>
        <v>17425722.156940002</v>
      </c>
      <c r="BK106" s="118">
        <f>SUM(C106:BJ106)</f>
        <v>902102807.19255507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635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10500</v>
      </c>
      <c r="G108" s="63">
        <f t="shared" si="70"/>
        <v>10500</v>
      </c>
      <c r="H108" s="63">
        <f t="shared" si="70"/>
        <v>10500</v>
      </c>
      <c r="I108" s="63">
        <f t="shared" si="70"/>
        <v>10500</v>
      </c>
      <c r="J108" s="63">
        <f t="shared" si="70"/>
        <v>10500</v>
      </c>
      <c r="K108" s="63">
        <f t="shared" si="70"/>
        <v>10500</v>
      </c>
      <c r="L108" s="63">
        <f t="shared" si="70"/>
        <v>10500</v>
      </c>
      <c r="M108" s="63">
        <f t="shared" si="70"/>
        <v>10500</v>
      </c>
      <c r="N108" s="63">
        <f t="shared" si="70"/>
        <v>10500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12021.450000000003</v>
      </c>
      <c r="AB108" s="63">
        <f t="shared" si="70"/>
        <v>12021.45</v>
      </c>
      <c r="AC108" s="63">
        <f t="shared" si="70"/>
        <v>12021.45</v>
      </c>
      <c r="AD108" s="63">
        <f t="shared" si="70"/>
        <v>12021.45</v>
      </c>
      <c r="AE108" s="63">
        <f t="shared" si="70"/>
        <v>12021.45</v>
      </c>
      <c r="AF108" s="63">
        <f t="shared" si="70"/>
        <v>12021.45</v>
      </c>
      <c r="AG108" s="63">
        <f t="shared" si="70"/>
        <v>12021.45</v>
      </c>
      <c r="AH108" s="63">
        <f t="shared" si="70"/>
        <v>12021.45</v>
      </c>
      <c r="AI108" s="63">
        <f t="shared" si="70"/>
        <v>12021.45</v>
      </c>
      <c r="AJ108" s="63">
        <f t="shared" si="70"/>
        <v>12021.45</v>
      </c>
      <c r="AK108" s="63">
        <f t="shared" si="70"/>
        <v>12021.45</v>
      </c>
      <c r="AL108" s="63">
        <f t="shared" si="70"/>
        <v>12021.450000000003</v>
      </c>
      <c r="AM108" s="63">
        <f t="shared" si="70"/>
        <v>12862.951500000001</v>
      </c>
      <c r="AN108" s="63">
        <f t="shared" si="70"/>
        <v>12862.951500000005</v>
      </c>
      <c r="AO108" s="63">
        <f t="shared" si="70"/>
        <v>12862.951500000005</v>
      </c>
      <c r="AP108" s="63">
        <f t="shared" si="70"/>
        <v>12862.951500000005</v>
      </c>
      <c r="AQ108" s="63">
        <f t="shared" si="70"/>
        <v>12862.951500000005</v>
      </c>
      <c r="AR108" s="63">
        <f t="shared" si="70"/>
        <v>12862.951500000005</v>
      </c>
      <c r="AS108" s="63">
        <f t="shared" si="70"/>
        <v>12862.951500000005</v>
      </c>
      <c r="AT108" s="63">
        <f t="shared" si="70"/>
        <v>12862.951500000005</v>
      </c>
      <c r="AU108" s="63">
        <f t="shared" si="70"/>
        <v>12862.951500000005</v>
      </c>
      <c r="AV108" s="63">
        <f t="shared" si="70"/>
        <v>12862.951500000005</v>
      </c>
      <c r="AW108" s="63">
        <f t="shared" si="70"/>
        <v>12862.951500000005</v>
      </c>
      <c r="AX108" s="63">
        <f t="shared" si="70"/>
        <v>12862.951500000005</v>
      </c>
      <c r="AY108" s="63">
        <f t="shared" si="70"/>
        <v>13763.358105000003</v>
      </c>
      <c r="AZ108" s="63">
        <f t="shared" si="70"/>
        <v>13763.358105000003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636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1942500</v>
      </c>
      <c r="G109" s="63">
        <f t="shared" ref="G109:BJ109" si="72">G97-G106</f>
        <v>2698500</v>
      </c>
      <c r="H109" s="63">
        <f t="shared" si="72"/>
        <v>3402000</v>
      </c>
      <c r="I109" s="63">
        <f t="shared" si="72"/>
        <v>3402000</v>
      </c>
      <c r="J109" s="63">
        <f t="shared" si="72"/>
        <v>3402000</v>
      </c>
      <c r="K109" s="63">
        <f t="shared" si="72"/>
        <v>3402000</v>
      </c>
      <c r="L109" s="63">
        <f t="shared" si="72"/>
        <v>3402000</v>
      </c>
      <c r="M109" s="63">
        <f t="shared" si="72"/>
        <v>3402000</v>
      </c>
      <c r="N109" s="63">
        <f t="shared" si="72"/>
        <v>3234000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10915476.600000001</v>
      </c>
      <c r="AB109" s="63">
        <f t="shared" si="72"/>
        <v>17455145.400000002</v>
      </c>
      <c r="AC109" s="63">
        <f t="shared" si="72"/>
        <v>19643049.300000001</v>
      </c>
      <c r="AD109" s="63">
        <f t="shared" si="72"/>
        <v>19643049.300000001</v>
      </c>
      <c r="AE109" s="63">
        <f t="shared" si="72"/>
        <v>19643049.300000001</v>
      </c>
      <c r="AF109" s="63">
        <f t="shared" si="72"/>
        <v>19643049.300000001</v>
      </c>
      <c r="AG109" s="63">
        <f t="shared" si="72"/>
        <v>19643049.300000001</v>
      </c>
      <c r="AH109" s="63">
        <f t="shared" si="72"/>
        <v>19643049.300000001</v>
      </c>
      <c r="AI109" s="63">
        <f t="shared" si="72"/>
        <v>19643049.300000001</v>
      </c>
      <c r="AJ109" s="63">
        <f t="shared" si="72"/>
        <v>19643049.300000001</v>
      </c>
      <c r="AK109" s="63">
        <f t="shared" si="72"/>
        <v>19643049.300000001</v>
      </c>
      <c r="AL109" s="63">
        <f t="shared" si="72"/>
        <v>13091359.050000003</v>
      </c>
      <c r="AM109" s="63">
        <f t="shared" si="72"/>
        <v>12026859.652500002</v>
      </c>
      <c r="AN109" s="63">
        <f t="shared" si="72"/>
        <v>19242975.444000006</v>
      </c>
      <c r="AO109" s="63">
        <f t="shared" si="72"/>
        <v>21648347.374500006</v>
      </c>
      <c r="AP109" s="63">
        <f t="shared" si="72"/>
        <v>21648347.374500006</v>
      </c>
      <c r="AQ109" s="63">
        <f t="shared" si="72"/>
        <v>21648347.374500006</v>
      </c>
      <c r="AR109" s="63">
        <f t="shared" si="72"/>
        <v>21648347.374500006</v>
      </c>
      <c r="AS109" s="63">
        <f t="shared" si="72"/>
        <v>21648347.374500006</v>
      </c>
      <c r="AT109" s="63">
        <f t="shared" si="72"/>
        <v>21648347.374500006</v>
      </c>
      <c r="AU109" s="63">
        <f t="shared" si="72"/>
        <v>21648347.374500006</v>
      </c>
      <c r="AV109" s="63">
        <f t="shared" si="72"/>
        <v>21648347.374500006</v>
      </c>
      <c r="AW109" s="63">
        <f t="shared" si="72"/>
        <v>21648347.374500006</v>
      </c>
      <c r="AX109" s="63">
        <f t="shared" si="72"/>
        <v>14432231.583000004</v>
      </c>
      <c r="AY109" s="63">
        <f t="shared" si="72"/>
        <v>13254113.855115002</v>
      </c>
      <c r="AZ109" s="63">
        <f t="shared" si="72"/>
        <v>21209334.839805003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823659084.82798576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0.47727272727272729</v>
      </c>
      <c r="G110" s="46">
        <f t="shared" si="73"/>
        <v>0.47727272727272729</v>
      </c>
      <c r="H110" s="46">
        <f t="shared" si="73"/>
        <v>0.47727272727272729</v>
      </c>
      <c r="I110" s="46">
        <f t="shared" si="73"/>
        <v>0.47727272727272729</v>
      </c>
      <c r="J110" s="46">
        <f t="shared" si="73"/>
        <v>0.47727272727272729</v>
      </c>
      <c r="K110" s="46">
        <f t="shared" si="73"/>
        <v>0.47727272727272729</v>
      </c>
      <c r="L110" s="46">
        <f t="shared" si="73"/>
        <v>0.47727272727272729</v>
      </c>
      <c r="M110" s="46">
        <f t="shared" si="73"/>
        <v>0.47727272727272729</v>
      </c>
      <c r="N110" s="46">
        <f t="shared" si="73"/>
        <v>0.47727272727272729</v>
      </c>
      <c r="O110" s="46">
        <f t="shared" si="73"/>
        <v>0.47727272727272729</v>
      </c>
      <c r="P110" s="46">
        <f t="shared" si="73"/>
        <v>0.47727272727272729</v>
      </c>
      <c r="Q110" s="46">
        <f t="shared" si="73"/>
        <v>0.47727272727272729</v>
      </c>
      <c r="R110" s="46">
        <f t="shared" si="73"/>
        <v>0.47727272727272729</v>
      </c>
      <c r="S110" s="46">
        <f t="shared" si="73"/>
        <v>0.47727272727272729</v>
      </c>
      <c r="T110" s="46">
        <f t="shared" si="73"/>
        <v>0.47727272727272729</v>
      </c>
      <c r="U110" s="46">
        <f t="shared" si="73"/>
        <v>0.47727272727272729</v>
      </c>
      <c r="V110" s="46">
        <f t="shared" si="73"/>
        <v>0.47727272727272729</v>
      </c>
      <c r="W110" s="46">
        <f t="shared" si="73"/>
        <v>0.47727272727272729</v>
      </c>
      <c r="X110" s="46">
        <f t="shared" si="73"/>
        <v>0.47727272727272729</v>
      </c>
      <c r="Y110" s="46">
        <f t="shared" si="73"/>
        <v>0.47727272727272729</v>
      </c>
      <c r="Z110" s="46">
        <f t="shared" si="73"/>
        <v>0.47727272727272729</v>
      </c>
      <c r="AA110" s="46">
        <f t="shared" si="73"/>
        <v>0.47727272727272729</v>
      </c>
      <c r="AB110" s="46">
        <f t="shared" si="73"/>
        <v>0.47727272727272729</v>
      </c>
      <c r="AC110" s="46">
        <f t="shared" si="73"/>
        <v>0.47727272727272724</v>
      </c>
      <c r="AD110" s="46">
        <f t="shared" si="73"/>
        <v>0.47727272727272724</v>
      </c>
      <c r="AE110" s="46">
        <f t="shared" si="73"/>
        <v>0.47727272727272724</v>
      </c>
      <c r="AF110" s="46">
        <f t="shared" si="73"/>
        <v>0.47727272727272724</v>
      </c>
      <c r="AG110" s="46">
        <f t="shared" si="73"/>
        <v>0.47727272727272724</v>
      </c>
      <c r="AH110" s="46">
        <f t="shared" si="73"/>
        <v>0.47727272727272724</v>
      </c>
      <c r="AI110" s="46">
        <f t="shared" ref="AI110:BJ110" si="74">IF(AI109&gt;0,(AI109/AI97),0)</f>
        <v>0.47727272727272724</v>
      </c>
      <c r="AJ110" s="46">
        <f t="shared" si="74"/>
        <v>0.47727272727272724</v>
      </c>
      <c r="AK110" s="46">
        <f t="shared" si="74"/>
        <v>0.47727272727272724</v>
      </c>
      <c r="AL110" s="46">
        <f t="shared" si="74"/>
        <v>0.47727272727272729</v>
      </c>
      <c r="AM110" s="46">
        <f t="shared" si="74"/>
        <v>0.47727272727272729</v>
      </c>
      <c r="AN110" s="46">
        <f t="shared" si="74"/>
        <v>0.47727272727272735</v>
      </c>
      <c r="AO110" s="46">
        <f t="shared" si="74"/>
        <v>0.47727272727272735</v>
      </c>
      <c r="AP110" s="46">
        <f t="shared" si="74"/>
        <v>0.47727272727272735</v>
      </c>
      <c r="AQ110" s="46">
        <f t="shared" si="74"/>
        <v>0.47727272727272735</v>
      </c>
      <c r="AR110" s="46">
        <f t="shared" si="74"/>
        <v>0.47727272727272735</v>
      </c>
      <c r="AS110" s="46">
        <f t="shared" si="74"/>
        <v>0.47727272727272735</v>
      </c>
      <c r="AT110" s="46">
        <f t="shared" si="74"/>
        <v>0.47727272727272735</v>
      </c>
      <c r="AU110" s="46">
        <f t="shared" si="74"/>
        <v>0.47727272727272735</v>
      </c>
      <c r="AV110" s="46">
        <f t="shared" si="74"/>
        <v>0.47727272727272735</v>
      </c>
      <c r="AW110" s="46">
        <f t="shared" si="74"/>
        <v>0.47727272727272735</v>
      </c>
      <c r="AX110" s="46">
        <f t="shared" si="74"/>
        <v>0.47727272727272735</v>
      </c>
      <c r="AY110" s="46">
        <f t="shared" si="74"/>
        <v>0.47727272727272729</v>
      </c>
      <c r="AZ110" s="46">
        <f t="shared" si="74"/>
        <v>0.47727272727272729</v>
      </c>
      <c r="BA110" s="46">
        <f t="shared" si="74"/>
        <v>0.47727272727272729</v>
      </c>
      <c r="BB110" s="46">
        <f t="shared" si="74"/>
        <v>0.47727272727272729</v>
      </c>
      <c r="BC110" s="46">
        <f t="shared" si="74"/>
        <v>0.47727272727272729</v>
      </c>
      <c r="BD110" s="46">
        <f t="shared" si="74"/>
        <v>0.47727272727272729</v>
      </c>
      <c r="BE110" s="46">
        <f t="shared" si="74"/>
        <v>0.47727272727272729</v>
      </c>
      <c r="BF110" s="46">
        <f t="shared" si="74"/>
        <v>0.47727272727272729</v>
      </c>
      <c r="BG110" s="46">
        <f t="shared" si="74"/>
        <v>0.47727272727272729</v>
      </c>
      <c r="BH110" s="46">
        <f t="shared" si="74"/>
        <v>0.47727272727272729</v>
      </c>
      <c r="BI110" s="46">
        <f t="shared" si="74"/>
        <v>0.47727272727272729</v>
      </c>
      <c r="BJ110" s="46">
        <f t="shared" si="74"/>
        <v>0.47727272727272729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1199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190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46023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67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19151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1268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167500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57780802.394475028</v>
      </c>
    </row>
    <row r="127" spans="1:64" customFormat="1" outlineLevel="1" x14ac:dyDescent="0.15">
      <c r="A127" s="47" t="s">
        <v>344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1269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167500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351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14568500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3114996954.0170236</v>
      </c>
      <c r="BL132" s="178">
        <f>BK87+BK86+BK82+BK81+BK56</f>
        <v>1331454259.6020103</v>
      </c>
    </row>
    <row r="133" spans="1:64" x14ac:dyDescent="0.15">
      <c r="A133" s="33" t="s">
        <v>634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4274500</v>
      </c>
      <c r="G133" s="63">
        <f t="shared" si="83"/>
        <v>5932000</v>
      </c>
      <c r="H133" s="63">
        <f t="shared" si="83"/>
        <v>7480000</v>
      </c>
      <c r="I133" s="63">
        <f t="shared" si="83"/>
        <v>7480000</v>
      </c>
      <c r="J133" s="63">
        <f t="shared" si="83"/>
        <v>7480000</v>
      </c>
      <c r="K133" s="63">
        <f t="shared" si="83"/>
        <v>7480000</v>
      </c>
      <c r="L133" s="63">
        <f t="shared" si="83"/>
        <v>7480000</v>
      </c>
      <c r="M133" s="63">
        <f t="shared" si="83"/>
        <v>7480000</v>
      </c>
      <c r="N133" s="63">
        <f t="shared" si="83"/>
        <v>7117500</v>
      </c>
      <c r="O133" s="63">
        <f t="shared" si="83"/>
        <v>7663875</v>
      </c>
      <c r="P133" s="63">
        <f t="shared" si="83"/>
        <v>12358500</v>
      </c>
      <c r="Q133" s="63">
        <f t="shared" si="83"/>
        <v>13900905</v>
      </c>
      <c r="R133" s="63">
        <f t="shared" si="83"/>
        <v>13900905</v>
      </c>
      <c r="S133" s="63">
        <f t="shared" si="83"/>
        <v>13900905</v>
      </c>
      <c r="T133" s="63">
        <f t="shared" si="83"/>
        <v>13900905</v>
      </c>
      <c r="U133" s="63">
        <f t="shared" si="83"/>
        <v>13900905</v>
      </c>
      <c r="V133" s="63">
        <f t="shared" si="83"/>
        <v>13900905</v>
      </c>
      <c r="W133" s="63">
        <f t="shared" si="83"/>
        <v>13900905</v>
      </c>
      <c r="X133" s="63">
        <f t="shared" si="83"/>
        <v>13900905</v>
      </c>
      <c r="Y133" s="63">
        <f t="shared" si="83"/>
        <v>13900905</v>
      </c>
      <c r="Z133" s="63">
        <f t="shared" si="83"/>
        <v>9267805</v>
      </c>
      <c r="AA133" s="63">
        <f t="shared" si="83"/>
        <v>17176934.700000003</v>
      </c>
      <c r="AB133" s="63">
        <f t="shared" si="83"/>
        <v>27474737.75</v>
      </c>
      <c r="AC133" s="63">
        <f t="shared" si="83"/>
        <v>30912872.449999999</v>
      </c>
      <c r="AD133" s="63">
        <f t="shared" si="83"/>
        <v>30912872.449999999</v>
      </c>
      <c r="AE133" s="63">
        <f t="shared" si="83"/>
        <v>30912872.449999999</v>
      </c>
      <c r="AF133" s="63">
        <f t="shared" si="83"/>
        <v>30912872.449999999</v>
      </c>
      <c r="AG133" s="63">
        <f t="shared" si="83"/>
        <v>30912872.449999999</v>
      </c>
      <c r="AH133" s="63">
        <f t="shared" si="83"/>
        <v>30912872.449999999</v>
      </c>
      <c r="AI133" s="63">
        <f t="shared" si="83"/>
        <v>30912872.449999999</v>
      </c>
      <c r="AJ133" s="63">
        <f t="shared" si="83"/>
        <v>30912872.449999999</v>
      </c>
      <c r="AK133" s="63">
        <f t="shared" si="83"/>
        <v>30912872.449999999</v>
      </c>
      <c r="AL133" s="63">
        <f t="shared" si="83"/>
        <v>20605337.750000004</v>
      </c>
      <c r="AM133" s="63">
        <f t="shared" si="83"/>
        <v>18896900.796500001</v>
      </c>
      <c r="AN133" s="63">
        <f t="shared" si="83"/>
        <v>30234673.761500001</v>
      </c>
      <c r="AO133" s="63">
        <f t="shared" si="83"/>
        <v>34013931.41650001</v>
      </c>
      <c r="AP133" s="63">
        <f t="shared" si="83"/>
        <v>34013931.41650001</v>
      </c>
      <c r="AQ133" s="63">
        <f t="shared" si="83"/>
        <v>34013931.41650001</v>
      </c>
      <c r="AR133" s="63">
        <f t="shared" si="83"/>
        <v>34013931.41650001</v>
      </c>
      <c r="AS133" s="63">
        <f t="shared" si="83"/>
        <v>34013931.41650001</v>
      </c>
      <c r="AT133" s="63">
        <f t="shared" si="83"/>
        <v>34013931.41650001</v>
      </c>
      <c r="AU133" s="63">
        <f t="shared" si="83"/>
        <v>34013931.41650001</v>
      </c>
      <c r="AV133" s="63">
        <f t="shared" si="83"/>
        <v>34013931.41650001</v>
      </c>
      <c r="AW133" s="63">
        <f t="shared" si="83"/>
        <v>34013931.41650001</v>
      </c>
      <c r="AX133" s="63">
        <f t="shared" si="83"/>
        <v>22676158.451500006</v>
      </c>
      <c r="AY133" s="63">
        <f t="shared" si="83"/>
        <v>20822650.016855001</v>
      </c>
      <c r="AZ133" s="63">
        <f t="shared" si="83"/>
        <v>33324366.962230008</v>
      </c>
      <c r="BA133" s="63">
        <f t="shared" si="83"/>
        <v>37482211.905950002</v>
      </c>
      <c r="BB133" s="63">
        <f t="shared" si="83"/>
        <v>37482211.905950002</v>
      </c>
      <c r="BC133" s="63">
        <f t="shared" si="83"/>
        <v>37482211.905950002</v>
      </c>
      <c r="BD133" s="63">
        <f t="shared" si="83"/>
        <v>37482211.905950002</v>
      </c>
      <c r="BE133" s="63">
        <f t="shared" si="83"/>
        <v>37482211.905950002</v>
      </c>
      <c r="BF133" s="63">
        <f t="shared" si="83"/>
        <v>37482211.905950002</v>
      </c>
      <c r="BG133" s="63">
        <f t="shared" si="83"/>
        <v>37482211.905950002</v>
      </c>
      <c r="BH133" s="63">
        <f t="shared" si="83"/>
        <v>37482211.905950002</v>
      </c>
      <c r="BI133" s="63">
        <f t="shared" si="83"/>
        <v>37482211.905950002</v>
      </c>
      <c r="BJ133" s="63">
        <f t="shared" si="83"/>
        <v>24997535.308705002</v>
      </c>
      <c r="BK133" s="118">
        <f>SUM(C133:BJ133)</f>
        <v>1354492762.4493401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389" t="s">
        <v>347</v>
      </c>
      <c r="B4" s="38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348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8624000</v>
      </c>
      <c r="G7" s="9">
        <f>'REV-REVCALC_CWS'!G17</f>
        <v>10164000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349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350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1048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385000</v>
      </c>
      <c r="G10" s="9">
        <f>'REV-REVCALC_CWS'!G46</f>
        <v>455000</v>
      </c>
      <c r="H10" s="9">
        <f>'REV-REVCALC_CWS'!H46</f>
        <v>472500</v>
      </c>
      <c r="I10" s="9">
        <f>'REV-REVCALC_CWS'!I46</f>
        <v>472500</v>
      </c>
      <c r="J10" s="9">
        <f>'REV-REVCALC_CWS'!J46</f>
        <v>472500</v>
      </c>
      <c r="K10" s="9">
        <f>'REV-REVCALC_CWS'!K46</f>
        <v>472500</v>
      </c>
      <c r="L10" s="9">
        <f>'REV-REVCALC_CWS'!L46</f>
        <v>472500</v>
      </c>
      <c r="M10" s="9">
        <f>'REV-REVCALC_CWS'!M46</f>
        <v>472500</v>
      </c>
      <c r="N10" s="9">
        <f>'REV-REVCALC_CWS'!N46</f>
        <v>450000</v>
      </c>
      <c r="O10" s="9">
        <f>'REV-REVCALC_CWS'!O46</f>
        <v>513600</v>
      </c>
      <c r="P10" s="9">
        <f>'REV-REVCALC_CWS'!P46</f>
        <v>821225</v>
      </c>
      <c r="Q10" s="9">
        <f>'REV-REVCALC_CWS'!Q46</f>
        <v>922875</v>
      </c>
      <c r="R10" s="9">
        <f>'REV-REVCALC_CWS'!R46</f>
        <v>922875</v>
      </c>
      <c r="S10" s="9">
        <f>'REV-REVCALC_CWS'!S46</f>
        <v>922875</v>
      </c>
      <c r="T10" s="9">
        <f>'REV-REVCALC_CWS'!T46</f>
        <v>922875</v>
      </c>
      <c r="U10" s="9">
        <f>'REV-REVCALC_CWS'!U46</f>
        <v>922875</v>
      </c>
      <c r="V10" s="9">
        <f>'REV-REVCALC_CWS'!V46</f>
        <v>922875</v>
      </c>
      <c r="W10" s="9">
        <f>'REV-REVCALC_CWS'!W46</f>
        <v>922875</v>
      </c>
      <c r="X10" s="9">
        <f>'REV-REVCALC_CWS'!X46</f>
        <v>922875</v>
      </c>
      <c r="Y10" s="9">
        <f>'REV-REVCALC_CWS'!Y46</f>
        <v>922875</v>
      </c>
      <c r="Z10" s="9">
        <f>'REV-REVCALC_CWS'!Z46</f>
        <v>615250</v>
      </c>
      <c r="AA10" s="9">
        <f>'REV-REVCALC_CWS'!AA46</f>
        <v>807154.5</v>
      </c>
      <c r="AB10" s="9">
        <f>'REV-REVCALC_CWS'!AB46</f>
        <v>1290874.75</v>
      </c>
      <c r="AC10" s="9">
        <f>'REV-REVCALC_CWS'!AC46</f>
        <v>1451160.75</v>
      </c>
      <c r="AD10" s="9">
        <f>'REV-REVCALC_CWS'!AD46</f>
        <v>1451160.75</v>
      </c>
      <c r="AE10" s="9">
        <f>'REV-REVCALC_CWS'!AE46</f>
        <v>1451160.75</v>
      </c>
      <c r="AF10" s="9">
        <f>'REV-REVCALC_CWS'!AF46</f>
        <v>1451160.75</v>
      </c>
      <c r="AG10" s="9">
        <f>'REV-REVCALC_CWS'!AG46</f>
        <v>1451160.75</v>
      </c>
      <c r="AH10" s="9">
        <f>'REV-REVCALC_CWS'!AH46</f>
        <v>1451160.75</v>
      </c>
      <c r="AI10" s="9">
        <f>'REV-REVCALC_CWS'!AI46</f>
        <v>1451160.75</v>
      </c>
      <c r="AJ10" s="9">
        <f>'REV-REVCALC_CWS'!AJ46</f>
        <v>1451160.75</v>
      </c>
      <c r="AK10" s="9">
        <f>'REV-REVCALC_CWS'!AK46</f>
        <v>1451160.75</v>
      </c>
      <c r="AL10" s="9">
        <f>'REV-REVCALC_CWS'!AL46</f>
        <v>967440.5</v>
      </c>
      <c r="AM10" s="9">
        <f>'REV-REVCALC_CWS'!AM46</f>
        <v>1718122.8075000001</v>
      </c>
      <c r="AN10" s="9">
        <f>'REV-REVCALC_CWS'!AN46</f>
        <v>2750221.5350000001</v>
      </c>
      <c r="AO10" s="9">
        <f>'REV-REVCALC_CWS'!AO46</f>
        <v>3093233.5750000002</v>
      </c>
      <c r="AP10" s="9">
        <f>'REV-REVCALC_CWS'!AP46</f>
        <v>3093233.5750000002</v>
      </c>
      <c r="AQ10" s="9">
        <f>'REV-REVCALC_CWS'!AQ46</f>
        <v>3093233.5750000002</v>
      </c>
      <c r="AR10" s="9">
        <f>'REV-REVCALC_CWS'!AR46</f>
        <v>3093233.5750000002</v>
      </c>
      <c r="AS10" s="9">
        <f>'REV-REVCALC_CWS'!AS46</f>
        <v>3093233.5750000002</v>
      </c>
      <c r="AT10" s="9">
        <f>'REV-REVCALC_CWS'!AT46</f>
        <v>3093233.5750000002</v>
      </c>
      <c r="AU10" s="9">
        <f>'REV-REVCALC_CWS'!AU46</f>
        <v>3093233.5750000002</v>
      </c>
      <c r="AV10" s="9">
        <f>'REV-REVCALC_CWS'!AV46</f>
        <v>3093233.5750000002</v>
      </c>
      <c r="AW10" s="9">
        <f>'REV-REVCALC_CWS'!AW46</f>
        <v>3093233.5750000002</v>
      </c>
      <c r="AX10" s="9">
        <f>'REV-REVCALC_CWS'!AX46</f>
        <v>2061134.8475000001</v>
      </c>
      <c r="AY10" s="9">
        <f>'REV-REVCALC_CWS'!AY46</f>
        <v>1894100.2344500001</v>
      </c>
      <c r="AZ10" s="9">
        <f>'REV-REVCALC_CWS'!AZ46</f>
        <v>3031215.7731249998</v>
      </c>
      <c r="BA10" s="9">
        <f>'REV-REVCALC_CWS'!BA46</f>
        <v>3408069.6260000002</v>
      </c>
      <c r="BB10" s="9">
        <f>'REV-REVCALC_CWS'!BB46</f>
        <v>3408069.6260000002</v>
      </c>
      <c r="BC10" s="9">
        <f>'REV-REVCALC_CWS'!BC46</f>
        <v>3408069.6260000002</v>
      </c>
      <c r="BD10" s="9">
        <f>'REV-REVCALC_CWS'!BD46</f>
        <v>3408069.6260000002</v>
      </c>
      <c r="BE10" s="9">
        <f>'REV-REVCALC_CWS'!BE46</f>
        <v>3408069.6260000002</v>
      </c>
      <c r="BF10" s="9">
        <f>'REV-REVCALC_CWS'!BF46</f>
        <v>3408069.6260000002</v>
      </c>
      <c r="BG10" s="9">
        <f>'REV-REVCALC_CWS'!BG46</f>
        <v>3408069.6260000002</v>
      </c>
      <c r="BH10" s="9">
        <f>'REV-REVCALC_CWS'!BH46</f>
        <v>3408069.6260000002</v>
      </c>
      <c r="BI10" s="9">
        <f>'REV-REVCALC_CWS'!BI46</f>
        <v>3408069.6260000002</v>
      </c>
      <c r="BJ10" s="9">
        <f>'REV-REVCALC_CWS'!BJ46</f>
        <v>2274231.0773499999</v>
      </c>
    </row>
    <row r="11" spans="1:63" x14ac:dyDescent="0.15">
      <c r="B11" s="33" t="s">
        <v>352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351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9009000</v>
      </c>
      <c r="G12" s="9">
        <f t="shared" si="0"/>
        <v>10619000</v>
      </c>
      <c r="H12" s="9">
        <f t="shared" si="0"/>
        <v>11028500</v>
      </c>
      <c r="I12" s="9">
        <f t="shared" si="0"/>
        <v>11028500</v>
      </c>
      <c r="J12" s="9">
        <f t="shared" si="0"/>
        <v>11028500</v>
      </c>
      <c r="K12" s="9">
        <f t="shared" si="0"/>
        <v>11028500</v>
      </c>
      <c r="L12" s="9">
        <f t="shared" si="0"/>
        <v>11028500</v>
      </c>
      <c r="M12" s="9">
        <f t="shared" si="0"/>
        <v>11028500</v>
      </c>
      <c r="N12" s="9">
        <f t="shared" si="0"/>
        <v>10502000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2046096628.1354654</v>
      </c>
    </row>
    <row r="13" spans="1:63" s="37" customFormat="1" x14ac:dyDescent="0.15">
      <c r="B13" s="37" t="s">
        <v>301</v>
      </c>
      <c r="N13" s="38">
        <f>SUM(C7:N11)</f>
        <v>96301000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2046096628.1354661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616</v>
      </c>
    </row>
    <row r="17" spans="2:62" x14ac:dyDescent="0.15">
      <c r="C17" s="389" t="s">
        <v>35</v>
      </c>
      <c r="D17" s="389"/>
      <c r="E17" s="389"/>
      <c r="F17" s="389"/>
      <c r="G17" s="389"/>
      <c r="H17" s="389"/>
      <c r="I17" s="389"/>
      <c r="J17" s="389"/>
      <c r="K17" s="389"/>
      <c r="L17" s="389"/>
      <c r="M17" s="389"/>
      <c r="N17" s="389"/>
      <c r="O17" s="389" t="s">
        <v>36</v>
      </c>
      <c r="P17" s="389"/>
      <c r="Q17" s="389"/>
      <c r="R17" s="389"/>
      <c r="S17" s="389"/>
      <c r="T17" s="389"/>
      <c r="U17" s="389"/>
      <c r="V17" s="389"/>
      <c r="W17" s="389"/>
      <c r="X17" s="389"/>
      <c r="Y17" s="389"/>
      <c r="Z17" s="389"/>
      <c r="AA17" s="389" t="s">
        <v>37</v>
      </c>
      <c r="AB17" s="389"/>
      <c r="AC17" s="389"/>
      <c r="AD17" s="389"/>
      <c r="AE17" s="389"/>
      <c r="AF17" s="389"/>
      <c r="AG17" s="389"/>
      <c r="AH17" s="389"/>
      <c r="AI17" s="389"/>
      <c r="AJ17" s="389"/>
      <c r="AK17" s="389"/>
      <c r="AL17" s="389"/>
      <c r="AM17" s="389" t="s">
        <v>38</v>
      </c>
      <c r="AN17" s="389"/>
      <c r="AO17" s="389"/>
      <c r="AP17" s="389"/>
      <c r="AQ17" s="389"/>
      <c r="AR17" s="389"/>
      <c r="AS17" s="389"/>
      <c r="AT17" s="389"/>
      <c r="AU17" s="389"/>
      <c r="AV17" s="389"/>
      <c r="AW17" s="389"/>
      <c r="AX17" s="389"/>
      <c r="AY17" s="389" t="s">
        <v>39</v>
      </c>
      <c r="AZ17" s="389"/>
      <c r="BA17" s="389"/>
      <c r="BB17" s="389"/>
      <c r="BC17" s="389"/>
      <c r="BD17" s="389"/>
      <c r="BE17" s="389"/>
      <c r="BF17" s="389"/>
      <c r="BG17" s="389"/>
      <c r="BH17" s="389"/>
      <c r="BI17" s="389"/>
      <c r="BJ17" s="38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2109800</v>
      </c>
      <c r="G20" s="9">
        <f>'FIN-P&amp;L_CWS'!I129</f>
        <v>3708000</v>
      </c>
      <c r="H20" s="9">
        <f>'FIN-P&amp;L_CWS'!J129</f>
        <v>5647400</v>
      </c>
      <c r="I20" s="9">
        <f>'FIN-P&amp;L_CWS'!K129</f>
        <v>5647400</v>
      </c>
      <c r="J20" s="9">
        <f>'FIN-P&amp;L_CWS'!L129</f>
        <v>5647400</v>
      </c>
      <c r="K20" s="9">
        <f>'FIN-P&amp;L_CWS'!M129</f>
        <v>5647400</v>
      </c>
      <c r="L20" s="9">
        <f>'FIN-P&amp;L_CWS'!N129</f>
        <v>5647400</v>
      </c>
      <c r="M20" s="9">
        <f>'FIN-P&amp;L_CWS'!O129</f>
        <v>5647400</v>
      </c>
      <c r="N20" s="9">
        <f>'FIN-P&amp;L_CWS'!P129</f>
        <v>5373300</v>
      </c>
      <c r="O20" s="9">
        <f>'FIN-P&amp;L_CWS'!Q129</f>
        <v>5977800</v>
      </c>
      <c r="P20" s="9">
        <f>'FIN-P&amp;L_CWS'!R129</f>
        <v>9562000</v>
      </c>
      <c r="Q20" s="9">
        <f>'FIN-P&amp;L_CWS'!S129</f>
        <v>10755905</v>
      </c>
      <c r="R20" s="9">
        <f>'FIN-P&amp;L_CWS'!T129</f>
        <v>10755905</v>
      </c>
      <c r="S20" s="9">
        <f>'FIN-P&amp;L_CWS'!U129</f>
        <v>10755905</v>
      </c>
      <c r="T20" s="9">
        <f>'FIN-P&amp;L_CWS'!V129</f>
        <v>10755905</v>
      </c>
      <c r="U20" s="9">
        <f>'FIN-P&amp;L_CWS'!W129</f>
        <v>10755905</v>
      </c>
      <c r="V20" s="9">
        <f>'FIN-P&amp;L_CWS'!X129</f>
        <v>10755905</v>
      </c>
      <c r="W20" s="9">
        <f>'FIN-P&amp;L_CWS'!Y129</f>
        <v>10755905</v>
      </c>
      <c r="X20" s="9">
        <f>'FIN-P&amp;L_CWS'!Z129</f>
        <v>10755905</v>
      </c>
      <c r="Y20" s="9">
        <f>'FIN-P&amp;L_CWS'!AA129</f>
        <v>10755905</v>
      </c>
      <c r="Z20" s="9">
        <f>'FIN-P&amp;L_CWS'!AB129</f>
        <v>7171705</v>
      </c>
      <c r="AA20" s="9">
        <f>'FIN-P&amp;L_CWS'!AC129</f>
        <v>14091434.700000001</v>
      </c>
      <c r="AB20" s="9">
        <f>'FIN-P&amp;L_CWS'!AD129</f>
        <v>22537937.75</v>
      </c>
      <c r="AC20" s="9">
        <f>'FIN-P&amp;L_CWS'!AE129</f>
        <v>25358972.449999999</v>
      </c>
      <c r="AD20" s="9">
        <f>'FIN-P&amp;L_CWS'!AF129</f>
        <v>25358972.449999999</v>
      </c>
      <c r="AE20" s="9">
        <f>'FIN-P&amp;L_CWS'!AG129</f>
        <v>25358972.449999999</v>
      </c>
      <c r="AF20" s="9">
        <f>'FIN-P&amp;L_CWS'!AH129</f>
        <v>25358972.449999999</v>
      </c>
      <c r="AG20" s="9">
        <f>'FIN-P&amp;L_CWS'!AI129</f>
        <v>25358972.449999999</v>
      </c>
      <c r="AH20" s="9">
        <f>'FIN-P&amp;L_CWS'!AJ129</f>
        <v>25358972.449999999</v>
      </c>
      <c r="AI20" s="9">
        <f>'FIN-P&amp;L_CWS'!AK129</f>
        <v>25358972.449999999</v>
      </c>
      <c r="AJ20" s="9">
        <f>'FIN-P&amp;L_CWS'!AL129</f>
        <v>25358972.449999999</v>
      </c>
      <c r="AK20" s="9">
        <f>'FIN-P&amp;L_CWS'!AM129</f>
        <v>25358972.449999999</v>
      </c>
      <c r="AL20" s="9">
        <f>'FIN-P&amp;L_CWS'!AN129</f>
        <v>16902737.750000004</v>
      </c>
      <c r="AM20" s="9">
        <f>'FIN-P&amp;L_CWS'!AO129</f>
        <v>21003736.926500004</v>
      </c>
      <c r="AN20" s="9">
        <f>'FIN-P&amp;L_CWS'!AP129</f>
        <v>33607654.177000009</v>
      </c>
      <c r="AO20" s="9">
        <f>'FIN-P&amp;L_CWS'!AQ129</f>
        <v>37807939.058000013</v>
      </c>
      <c r="AP20" s="9">
        <f>'FIN-P&amp;L_CWS'!AR129</f>
        <v>37807939.058000013</v>
      </c>
      <c r="AQ20" s="9">
        <f>'FIN-P&amp;L_CWS'!AS129</f>
        <v>37807939.058000013</v>
      </c>
      <c r="AR20" s="9">
        <f>'FIN-P&amp;L_CWS'!AT129</f>
        <v>37807939.058000013</v>
      </c>
      <c r="AS20" s="9">
        <f>'FIN-P&amp;L_CWS'!AU129</f>
        <v>37807939.058000013</v>
      </c>
      <c r="AT20" s="9">
        <f>'FIN-P&amp;L_CWS'!AV129</f>
        <v>37807939.058000013</v>
      </c>
      <c r="AU20" s="9">
        <f>'FIN-P&amp;L_CWS'!AW129</f>
        <v>37807939.058000013</v>
      </c>
      <c r="AV20" s="9">
        <f>'FIN-P&amp;L_CWS'!AX129</f>
        <v>37807939.058000013</v>
      </c>
      <c r="AW20" s="9">
        <f>'FIN-P&amp;L_CWS'!AY129</f>
        <v>37807939.058000013</v>
      </c>
      <c r="AX20" s="9">
        <f>'FIN-P&amp;L_CWS'!AZ129</f>
        <v>25204021.807500008</v>
      </c>
      <c r="AY20" s="9">
        <f>'FIN-P&amp;L_CWS'!BA129</f>
        <v>19975433.4848</v>
      </c>
      <c r="AZ20" s="9">
        <f>'FIN-P&amp;L_CWS'!BB129</f>
        <v>31969393.710845008</v>
      </c>
      <c r="BA20" s="9">
        <f>'FIN-P&amp;L_CWS'!BC129</f>
        <v>35954252.73847001</v>
      </c>
      <c r="BB20" s="9">
        <f>'FIN-P&amp;L_CWS'!BD129</f>
        <v>35954252.73847001</v>
      </c>
      <c r="BC20" s="9">
        <f>'FIN-P&amp;L_CWS'!BE129</f>
        <v>35954252.73847001</v>
      </c>
      <c r="BD20" s="9">
        <f>'FIN-P&amp;L_CWS'!BF129</f>
        <v>35954252.73847001</v>
      </c>
      <c r="BE20" s="9">
        <f>'FIN-P&amp;L_CWS'!BG129</f>
        <v>35954252.73847001</v>
      </c>
      <c r="BF20" s="9">
        <f>'FIN-P&amp;L_CWS'!BH129</f>
        <v>35954252.73847001</v>
      </c>
      <c r="BG20" s="9">
        <f>'FIN-P&amp;L_CWS'!BI129</f>
        <v>35954252.73847001</v>
      </c>
      <c r="BH20" s="9">
        <f>'FIN-P&amp;L_CWS'!BJ129</f>
        <v>35954252.73847001</v>
      </c>
      <c r="BI20" s="9">
        <f>'FIN-P&amp;L_CWS'!BK129</f>
        <v>35954252.73847001</v>
      </c>
      <c r="BJ20" s="9">
        <f>'FIN-P&amp;L_CWS'!BL129</f>
        <v>23980444.880020007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526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-19953450</v>
      </c>
      <c r="G22" s="9">
        <f>'FIN-P&amp;L_CWS'!I208</f>
        <v>-13357916.666666668</v>
      </c>
      <c r="H22" s="9">
        <f>'FIN-P&amp;L_CWS'!J208</f>
        <v>-13418516.666666668</v>
      </c>
      <c r="I22" s="9">
        <f>'FIN-P&amp;L_CWS'!K208</f>
        <v>-12449850</v>
      </c>
      <c r="J22" s="9">
        <f>'FIN-P&amp;L_CWS'!L208</f>
        <v>-12449850</v>
      </c>
      <c r="K22" s="9">
        <f>'FIN-P&amp;L_CWS'!M208</f>
        <v>-12449850</v>
      </c>
      <c r="L22" s="9">
        <f>'FIN-P&amp;L_CWS'!N208</f>
        <v>-12449850</v>
      </c>
      <c r="M22" s="9">
        <f>'FIN-P&amp;L_CWS'!O208</f>
        <v>-12449850</v>
      </c>
      <c r="N22" s="9">
        <f>'FIN-P&amp;L_CWS'!P208</f>
        <v>-12723950</v>
      </c>
      <c r="O22" s="9">
        <f>'FIN-P&amp;L_CWS'!Q208</f>
        <v>-14459450</v>
      </c>
      <c r="P22" s="9">
        <f>'FIN-P&amp;L_CWS'!R208</f>
        <v>-10875250</v>
      </c>
      <c r="Q22" s="9">
        <f>'FIN-P&amp;L_CWS'!S208</f>
        <v>-9681345</v>
      </c>
      <c r="R22" s="9">
        <f>'FIN-P&amp;L_CWS'!T208</f>
        <v>-8681345</v>
      </c>
      <c r="S22" s="9">
        <f>'FIN-P&amp;L_CWS'!U208</f>
        <v>-8681345</v>
      </c>
      <c r="T22" s="9">
        <f>'FIN-P&amp;L_CWS'!V208</f>
        <v>-8681345</v>
      </c>
      <c r="U22" s="9">
        <f>'FIN-P&amp;L_CWS'!W208</f>
        <v>-8681345</v>
      </c>
      <c r="V22" s="9">
        <f>'FIN-P&amp;L_CWS'!X208</f>
        <v>-8681345</v>
      </c>
      <c r="W22" s="9">
        <f>'FIN-P&amp;L_CWS'!Y208</f>
        <v>-8681345</v>
      </c>
      <c r="X22" s="9">
        <f>'FIN-P&amp;L_CWS'!Z208</f>
        <v>-8681345</v>
      </c>
      <c r="Y22" s="9">
        <f>'FIN-P&amp;L_CWS'!AA208</f>
        <v>-8681345</v>
      </c>
      <c r="Z22" s="9">
        <f>'FIN-P&amp;L_CWS'!AB208</f>
        <v>-12265545</v>
      </c>
      <c r="AA22" s="9">
        <f>'FIN-P&amp;L_CWS'!AC208</f>
        <v>-10148615.299999999</v>
      </c>
      <c r="AB22" s="9">
        <f>'FIN-P&amp;L_CWS'!AD208</f>
        <v>-1702112.25</v>
      </c>
      <c r="AC22" s="9">
        <f>'FIN-P&amp;L_CWS'!AE208</f>
        <v>1118922.4499999993</v>
      </c>
      <c r="AD22" s="9">
        <f>'FIN-P&amp;L_CWS'!AF208</f>
        <v>1118922.4499999993</v>
      </c>
      <c r="AE22" s="9">
        <f>'FIN-P&amp;L_CWS'!AG208</f>
        <v>1118922.4499999993</v>
      </c>
      <c r="AF22" s="9">
        <f>'FIN-P&amp;L_CWS'!AH208</f>
        <v>1118922.4499999993</v>
      </c>
      <c r="AG22" s="9">
        <f>'FIN-P&amp;L_CWS'!AI208</f>
        <v>1118922.4499999993</v>
      </c>
      <c r="AH22" s="9">
        <f>'FIN-P&amp;L_CWS'!AJ208</f>
        <v>1118922.4499999993</v>
      </c>
      <c r="AI22" s="9">
        <f>'FIN-P&amp;L_CWS'!AK208</f>
        <v>1118922.4499999993</v>
      </c>
      <c r="AJ22" s="9">
        <f>'FIN-P&amp;L_CWS'!AL208</f>
        <v>1118922.4499999993</v>
      </c>
      <c r="AK22" s="9">
        <f>'FIN-P&amp;L_CWS'!AM208</f>
        <v>1118922.4499999993</v>
      </c>
      <c r="AL22" s="9">
        <f>'FIN-P&amp;L_CWS'!AN208</f>
        <v>-7337312.2499999963</v>
      </c>
      <c r="AM22" s="9">
        <f>'FIN-P&amp;L_CWS'!AO208</f>
        <v>-4533389.0734999962</v>
      </c>
      <c r="AN22" s="9">
        <f>'FIN-P&amp;L_CWS'!AP208</f>
        <v>8070528.1770000085</v>
      </c>
      <c r="AO22" s="9">
        <f>'FIN-P&amp;L_CWS'!AQ208</f>
        <v>12270813.058000013</v>
      </c>
      <c r="AP22" s="9">
        <f>'FIN-P&amp;L_CWS'!AR208</f>
        <v>12270813.058000013</v>
      </c>
      <c r="AQ22" s="9">
        <f>'FIN-P&amp;L_CWS'!AS208</f>
        <v>12270813.058000013</v>
      </c>
      <c r="AR22" s="9">
        <f>'FIN-P&amp;L_CWS'!AT208</f>
        <v>12270813.058000013</v>
      </c>
      <c r="AS22" s="9">
        <f>'FIN-P&amp;L_CWS'!AU208</f>
        <v>12270813.058000013</v>
      </c>
      <c r="AT22" s="9">
        <f>'FIN-P&amp;L_CWS'!AV208</f>
        <v>12270813.058000013</v>
      </c>
      <c r="AU22" s="9">
        <f>'FIN-P&amp;L_CWS'!AW208</f>
        <v>12270813.058000013</v>
      </c>
      <c r="AV22" s="9">
        <f>'FIN-P&amp;L_CWS'!AX208</f>
        <v>12270813.058000013</v>
      </c>
      <c r="AW22" s="9">
        <f>'FIN-P&amp;L_CWS'!AY208</f>
        <v>12270813.058000013</v>
      </c>
      <c r="AX22" s="9">
        <f>'FIN-P&amp;L_CWS'!AZ208</f>
        <v>-333104.19249999151</v>
      </c>
      <c r="AY22" s="9">
        <f>'FIN-P&amp;L_CWS'!BA208</f>
        <v>-6967713.8352000043</v>
      </c>
      <c r="AZ22" s="9">
        <f>'FIN-P&amp;L_CWS'!BB208</f>
        <v>5026246.3908450045</v>
      </c>
      <c r="BA22" s="9">
        <f>'FIN-P&amp;L_CWS'!BC208</f>
        <v>9011105.4184700064</v>
      </c>
      <c r="BB22" s="9">
        <f>'FIN-P&amp;L_CWS'!BD208</f>
        <v>9011105.4184700064</v>
      </c>
      <c r="BC22" s="9">
        <f>'FIN-P&amp;L_CWS'!BE208</f>
        <v>9011105.4184700064</v>
      </c>
      <c r="BD22" s="9">
        <f>'FIN-P&amp;L_CWS'!BF208</f>
        <v>9011105.4184700064</v>
      </c>
      <c r="BE22" s="9">
        <f>'FIN-P&amp;L_CWS'!BG208</f>
        <v>9011105.4184700064</v>
      </c>
      <c r="BF22" s="9">
        <f>'FIN-P&amp;L_CWS'!BH208</f>
        <v>9011105.4184700064</v>
      </c>
      <c r="BG22" s="9">
        <f>'FIN-P&amp;L_CWS'!BI208</f>
        <v>9011105.4184700064</v>
      </c>
      <c r="BH22" s="9">
        <f>'FIN-P&amp;L_CWS'!BJ208</f>
        <v>9011105.4184700064</v>
      </c>
      <c r="BI22" s="9">
        <f>'FIN-P&amp;L_CWS'!BK208</f>
        <v>9011105.4184700064</v>
      </c>
      <c r="BJ22" s="9">
        <f>'FIN-P&amp;L_CWS'!BL208</f>
        <v>-2962702.4399799965</v>
      </c>
    </row>
    <row r="23" spans="2:62" x14ac:dyDescent="0.15">
      <c r="B23" s="33" t="s">
        <v>527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-19953450</v>
      </c>
      <c r="G23" s="9">
        <f>'FIN-P&amp;L_CWS'!I209</f>
        <v>-33311366.666666668</v>
      </c>
      <c r="H23" s="9">
        <f>'FIN-P&amp;L_CWS'!J209</f>
        <v>-46729883.333333336</v>
      </c>
      <c r="I23" s="9">
        <f>'FIN-P&amp;L_CWS'!K209</f>
        <v>-59179733.333333336</v>
      </c>
      <c r="J23" s="9">
        <f>'FIN-P&amp;L_CWS'!L209</f>
        <v>-71629583.333333343</v>
      </c>
      <c r="K23" s="9">
        <f>'FIN-P&amp;L_CWS'!M209</f>
        <v>-84079433.333333343</v>
      </c>
      <c r="L23" s="9">
        <f>'FIN-P&amp;L_CWS'!N209</f>
        <v>-96529283.333333343</v>
      </c>
      <c r="M23" s="9">
        <f>'FIN-P&amp;L_CWS'!O209</f>
        <v>-108979133.33333334</v>
      </c>
      <c r="N23" s="9">
        <f>'FIN-P&amp;L_CWS'!P209</f>
        <v>-121703083.33333334</v>
      </c>
      <c r="O23" s="9">
        <f>'FIN-P&amp;L_CWS'!Q209</f>
        <v>-136162533.33333334</v>
      </c>
      <c r="P23" s="9">
        <f>'FIN-P&amp;L_CWS'!R209</f>
        <v>-147037783.33333334</v>
      </c>
      <c r="Q23" s="9">
        <f>'FIN-P&amp;L_CWS'!S209</f>
        <v>-156719128.33333334</v>
      </c>
      <c r="R23" s="9">
        <f>'FIN-P&amp;L_CWS'!T209</f>
        <v>-165400473.33333334</v>
      </c>
      <c r="S23" s="9">
        <f>'FIN-P&amp;L_CWS'!U209</f>
        <v>-174081818.33333334</v>
      </c>
      <c r="T23" s="9">
        <f>'FIN-P&amp;L_CWS'!V209</f>
        <v>-182763163.33333334</v>
      </c>
      <c r="U23" s="9">
        <f>'FIN-P&amp;L_CWS'!W209</f>
        <v>-191444508.33333334</v>
      </c>
      <c r="V23" s="9">
        <f>'FIN-P&amp;L_CWS'!X209</f>
        <v>-200125853.33333334</v>
      </c>
      <c r="W23" s="9">
        <f>'FIN-P&amp;L_CWS'!Y209</f>
        <v>-208807198.33333334</v>
      </c>
      <c r="X23" s="9">
        <f>'FIN-P&amp;L_CWS'!Z209</f>
        <v>-217488543.33333334</v>
      </c>
      <c r="Y23" s="9">
        <f>'FIN-P&amp;L_CWS'!AA209</f>
        <v>-226169888.33333334</v>
      </c>
      <c r="Z23" s="9">
        <f>'FIN-P&amp;L_CWS'!AB209</f>
        <v>-238435433.33333334</v>
      </c>
      <c r="AA23" s="9">
        <f>'FIN-P&amp;L_CWS'!AC209</f>
        <v>-248584048.63333336</v>
      </c>
      <c r="AB23" s="9">
        <f>'FIN-P&amp;L_CWS'!AD209</f>
        <v>-250286160.88333336</v>
      </c>
      <c r="AC23" s="9">
        <f>'FIN-P&amp;L_CWS'!AE209</f>
        <v>-249167238.43333337</v>
      </c>
      <c r="AD23" s="9">
        <f>'FIN-P&amp;L_CWS'!AF209</f>
        <v>-248048315.98333338</v>
      </c>
      <c r="AE23" s="9">
        <f>'FIN-P&amp;L_CWS'!AG209</f>
        <v>-246929393.53333339</v>
      </c>
      <c r="AF23" s="9">
        <f>'FIN-P&amp;L_CWS'!AH209</f>
        <v>-245810471.0833334</v>
      </c>
      <c r="AG23" s="9">
        <f>'FIN-P&amp;L_CWS'!AI209</f>
        <v>-244691548.63333341</v>
      </c>
      <c r="AH23" s="9">
        <f>'FIN-P&amp;L_CWS'!AJ209</f>
        <v>-243572626.18333343</v>
      </c>
      <c r="AI23" s="9">
        <f>'FIN-P&amp;L_CWS'!AK209</f>
        <v>-242453703.73333344</v>
      </c>
      <c r="AJ23" s="9">
        <f>'FIN-P&amp;L_CWS'!AL209</f>
        <v>-241334781.28333345</v>
      </c>
      <c r="AK23" s="9">
        <f>'FIN-P&amp;L_CWS'!AM209</f>
        <v>-240215858.83333346</v>
      </c>
      <c r="AL23" s="9">
        <f>'FIN-P&amp;L_CWS'!AN209</f>
        <v>-247553171.08333346</v>
      </c>
      <c r="AM23" s="9">
        <f>'FIN-P&amp;L_CWS'!AO209</f>
        <v>-252086560.15683347</v>
      </c>
      <c r="AN23" s="9">
        <f>'FIN-P&amp;L_CWS'!AP209</f>
        <v>-244016031.97983345</v>
      </c>
      <c r="AO23" s="9">
        <f>'FIN-P&amp;L_CWS'!AQ209</f>
        <v>-231745218.92183346</v>
      </c>
      <c r="AP23" s="9">
        <f>'FIN-P&amp;L_CWS'!AR209</f>
        <v>-219474405.86383343</v>
      </c>
      <c r="AQ23" s="9">
        <f>'FIN-P&amp;L_CWS'!AS209</f>
        <v>-207203592.8058334</v>
      </c>
      <c r="AR23" s="9">
        <f>'FIN-P&amp;L_CWS'!AT209</f>
        <v>-194932779.74783337</v>
      </c>
      <c r="AS23" s="9">
        <f>'FIN-P&amp;L_CWS'!AU209</f>
        <v>-182661966.68983334</v>
      </c>
      <c r="AT23" s="9">
        <f>'FIN-P&amp;L_CWS'!AV209</f>
        <v>-170391153.63183331</v>
      </c>
      <c r="AU23" s="9">
        <f>'FIN-P&amp;L_CWS'!AW209</f>
        <v>-158120340.57383329</v>
      </c>
      <c r="AV23" s="9">
        <f>'FIN-P&amp;L_CWS'!AX209</f>
        <v>-145849527.51583326</v>
      </c>
      <c r="AW23" s="9">
        <f>'FIN-P&amp;L_CWS'!AY209</f>
        <v>-133578714.45783325</v>
      </c>
      <c r="AX23" s="9">
        <f>'FIN-P&amp;L_CWS'!AZ209</f>
        <v>-133911818.65033324</v>
      </c>
      <c r="AY23" s="9">
        <f>'FIN-P&amp;L_CWS'!BA209</f>
        <v>-140879532.48553324</v>
      </c>
      <c r="AZ23" s="9">
        <f>'FIN-P&amp;L_CWS'!BB209</f>
        <v>-135853286.09468824</v>
      </c>
      <c r="BA23" s="9">
        <f>'FIN-P&amp;L_CWS'!BC209</f>
        <v>-126842180.67621823</v>
      </c>
      <c r="BB23" s="9">
        <f>'FIN-P&amp;L_CWS'!BD209</f>
        <v>-117831075.25774822</v>
      </c>
      <c r="BC23" s="9">
        <f>'FIN-P&amp;L_CWS'!BE209</f>
        <v>-108819969.83927821</v>
      </c>
      <c r="BD23" s="9">
        <f>'FIN-P&amp;L_CWS'!BF209</f>
        <v>-99808864.420808196</v>
      </c>
      <c r="BE23" s="9">
        <f>'FIN-P&amp;L_CWS'!BG209</f>
        <v>-90797759.002338186</v>
      </c>
      <c r="BF23" s="9">
        <f>'FIN-P&amp;L_CWS'!BH209</f>
        <v>-81786653.583868176</v>
      </c>
      <c r="BG23" s="9">
        <f>'FIN-P&amp;L_CWS'!BI209</f>
        <v>-72775548.165398166</v>
      </c>
      <c r="BH23" s="9">
        <f>'FIN-P&amp;L_CWS'!BJ209</f>
        <v>-63764442.746928155</v>
      </c>
      <c r="BI23" s="9">
        <f>'FIN-P&amp;L_CWS'!BK209</f>
        <v>-54753337.328458145</v>
      </c>
      <c r="BJ23" s="9">
        <f>'FIN-P&amp;L_CWS'!BL209</f>
        <v>-57716039.768438146</v>
      </c>
    </row>
    <row r="25" spans="2:62" x14ac:dyDescent="0.15">
      <c r="B25" s="14" t="s">
        <v>646</v>
      </c>
    </row>
    <row r="26" spans="2:62" x14ac:dyDescent="0.15">
      <c r="C26" s="389" t="s">
        <v>35</v>
      </c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 t="s">
        <v>36</v>
      </c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 t="s">
        <v>37</v>
      </c>
      <c r="AB26" s="389"/>
      <c r="AC26" s="389"/>
      <c r="AD26" s="389"/>
      <c r="AE26" s="389"/>
      <c r="AF26" s="389"/>
      <c r="AG26" s="389"/>
      <c r="AH26" s="389"/>
      <c r="AI26" s="389"/>
      <c r="AJ26" s="389"/>
      <c r="AK26" s="389"/>
      <c r="AL26" s="389"/>
      <c r="AM26" s="389" t="s">
        <v>38</v>
      </c>
      <c r="AN26" s="389"/>
      <c r="AO26" s="389"/>
      <c r="AP26" s="389"/>
      <c r="AQ26" s="389"/>
      <c r="AR26" s="389"/>
      <c r="AS26" s="389"/>
      <c r="AT26" s="389"/>
      <c r="AU26" s="389"/>
      <c r="AV26" s="389"/>
      <c r="AW26" s="389"/>
      <c r="AX26" s="389"/>
      <c r="AY26" s="389" t="s">
        <v>39</v>
      </c>
      <c r="AZ26" s="389"/>
      <c r="BA26" s="389"/>
      <c r="BB26" s="389"/>
      <c r="BC26" s="389"/>
      <c r="BD26" s="389"/>
      <c r="BE26" s="389"/>
      <c r="BF26" s="389"/>
      <c r="BG26" s="389"/>
      <c r="BH26" s="389"/>
      <c r="BI26" s="389"/>
      <c r="BJ26" s="38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634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4274500</v>
      </c>
      <c r="G28" s="9">
        <f>COGS_DB!G13</f>
        <v>5932000</v>
      </c>
      <c r="H28" s="9">
        <f>COGS_DB!H13</f>
        <v>7480000</v>
      </c>
      <c r="I28" s="9">
        <f>COGS_DB!I13</f>
        <v>7480000</v>
      </c>
      <c r="J28" s="9">
        <f>COGS_DB!J13</f>
        <v>7480000</v>
      </c>
      <c r="K28" s="9">
        <f>COGS_DB!K13</f>
        <v>7480000</v>
      </c>
      <c r="L28" s="9">
        <f>COGS_DB!L13</f>
        <v>7480000</v>
      </c>
      <c r="M28" s="9">
        <f>COGS_DB!M13</f>
        <v>7480000</v>
      </c>
      <c r="N28" s="9">
        <f>COGS_DB!N13</f>
        <v>7117500</v>
      </c>
      <c r="O28" s="9">
        <f>COGS_DB!O13</f>
        <v>7663875</v>
      </c>
      <c r="P28" s="9">
        <f>COGS_DB!P13</f>
        <v>12358500</v>
      </c>
      <c r="Q28" s="9">
        <f>COGS_DB!Q13</f>
        <v>13900905</v>
      </c>
      <c r="R28" s="9">
        <f>COGS_DB!R13</f>
        <v>13900905</v>
      </c>
      <c r="S28" s="9">
        <f>COGS_DB!S13</f>
        <v>13900905</v>
      </c>
      <c r="T28" s="9">
        <f>COGS_DB!T13</f>
        <v>13900905</v>
      </c>
      <c r="U28" s="9">
        <f>COGS_DB!U13</f>
        <v>13900905</v>
      </c>
      <c r="V28" s="9">
        <f>COGS_DB!V13</f>
        <v>13900905</v>
      </c>
      <c r="W28" s="9">
        <f>COGS_DB!W13</f>
        <v>13900905</v>
      </c>
      <c r="X28" s="9">
        <f>COGS_DB!X13</f>
        <v>13900905</v>
      </c>
      <c r="Y28" s="9">
        <f>COGS_DB!Y13</f>
        <v>13900905</v>
      </c>
      <c r="Z28" s="9">
        <f>COGS_DB!Z13</f>
        <v>9267805</v>
      </c>
      <c r="AA28" s="9">
        <f>COGS_DB!AA13</f>
        <v>17176934.700000003</v>
      </c>
      <c r="AB28" s="9">
        <f>COGS_DB!AB13</f>
        <v>27474737.75</v>
      </c>
      <c r="AC28" s="9">
        <f>COGS_DB!AC13</f>
        <v>30912872.449999999</v>
      </c>
      <c r="AD28" s="9">
        <f>COGS_DB!AD13</f>
        <v>30912872.449999999</v>
      </c>
      <c r="AE28" s="9">
        <f>COGS_DB!AE13</f>
        <v>30912872.449999999</v>
      </c>
      <c r="AF28" s="9">
        <f>COGS_DB!AF13</f>
        <v>30912872.449999999</v>
      </c>
      <c r="AG28" s="9">
        <f>COGS_DB!AG13</f>
        <v>30912872.449999999</v>
      </c>
      <c r="AH28" s="9">
        <f>COGS_DB!AH13</f>
        <v>30912872.449999999</v>
      </c>
      <c r="AI28" s="9">
        <f>COGS_DB!AI13</f>
        <v>30912872.449999999</v>
      </c>
      <c r="AJ28" s="9">
        <f>COGS_DB!AJ13</f>
        <v>30912872.449999999</v>
      </c>
      <c r="AK28" s="9">
        <f>COGS_DB!AK13</f>
        <v>30912872.449999999</v>
      </c>
      <c r="AL28" s="9">
        <f>COGS_DB!AL13</f>
        <v>20605337.750000004</v>
      </c>
      <c r="AM28" s="9">
        <f>COGS_DB!AM13</f>
        <v>18896900.796500001</v>
      </c>
      <c r="AN28" s="9">
        <f>COGS_DB!AN13</f>
        <v>30234673.761500001</v>
      </c>
      <c r="AO28" s="9">
        <f>COGS_DB!AO13</f>
        <v>34013931.41650001</v>
      </c>
      <c r="AP28" s="9">
        <f>COGS_DB!AP13</f>
        <v>34013931.41650001</v>
      </c>
      <c r="AQ28" s="9">
        <f>COGS_DB!AQ13</f>
        <v>34013931.41650001</v>
      </c>
      <c r="AR28" s="9">
        <f>COGS_DB!AR13</f>
        <v>34013931.41650001</v>
      </c>
      <c r="AS28" s="9">
        <f>COGS_DB!AS13</f>
        <v>34013931.41650001</v>
      </c>
      <c r="AT28" s="9">
        <f>COGS_DB!AT13</f>
        <v>34013931.41650001</v>
      </c>
      <c r="AU28" s="9">
        <f>COGS_DB!AU13</f>
        <v>34013931.41650001</v>
      </c>
      <c r="AV28" s="9">
        <f>COGS_DB!AV13</f>
        <v>34013931.41650001</v>
      </c>
      <c r="AW28" s="9">
        <f>COGS_DB!AW13</f>
        <v>34013931.41650001</v>
      </c>
      <c r="AX28" s="9">
        <f>COGS_DB!AX13</f>
        <v>22676158.451500006</v>
      </c>
      <c r="AY28" s="9">
        <f>COGS_DB!AY13</f>
        <v>20822650.016855001</v>
      </c>
      <c r="AZ28" s="9">
        <f>COGS_DB!AZ13</f>
        <v>33324366.962230008</v>
      </c>
      <c r="BA28" s="9">
        <f>COGS_DB!BA13</f>
        <v>37482211.905950002</v>
      </c>
      <c r="BB28" s="9">
        <f>COGS_DB!BB13</f>
        <v>37482211.905950002</v>
      </c>
      <c r="BC28" s="9">
        <f>COGS_DB!BC13</f>
        <v>37482211.905950002</v>
      </c>
      <c r="BD28" s="9">
        <f>COGS_DB!BD13</f>
        <v>37482211.905950002</v>
      </c>
      <c r="BE28" s="9">
        <f>COGS_DB!BE13</f>
        <v>37482211.905950002</v>
      </c>
      <c r="BF28" s="9">
        <f>COGS_DB!BF13</f>
        <v>37482211.905950002</v>
      </c>
      <c r="BG28" s="9">
        <f>COGS_DB!BG13</f>
        <v>37482211.905950002</v>
      </c>
      <c r="BH28" s="9">
        <f>COGS_DB!BH13</f>
        <v>37482211.905950002</v>
      </c>
      <c r="BI28" s="9">
        <f>COGS_DB!BI13</f>
        <v>37482211.905950002</v>
      </c>
      <c r="BJ28" s="9">
        <f>COGS_DB!BJ13</f>
        <v>24997535.308705002</v>
      </c>
    </row>
    <row r="29" spans="2:62" x14ac:dyDescent="0.15">
      <c r="B29" s="14" t="s">
        <v>640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3066000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641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2065000</v>
      </c>
      <c r="G30" s="9">
        <f>COGS_DB!G16</f>
        <v>2866000</v>
      </c>
      <c r="H30" s="9">
        <f>COGS_DB!H16</f>
        <v>3614500</v>
      </c>
      <c r="I30" s="9">
        <f>COGS_DB!I16</f>
        <v>3614500</v>
      </c>
      <c r="J30" s="9">
        <f>COGS_DB!J16</f>
        <v>3614500</v>
      </c>
      <c r="K30" s="9">
        <f>COGS_DB!K16</f>
        <v>3614500</v>
      </c>
      <c r="L30" s="9">
        <f>COGS_DB!L16</f>
        <v>3614500</v>
      </c>
      <c r="M30" s="9">
        <f>COGS_DB!M16</f>
        <v>3614500</v>
      </c>
      <c r="N30" s="9">
        <f>COGS_DB!N16</f>
        <v>3436500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11696870.850000001</v>
      </c>
      <c r="AB30" s="9">
        <f>COGS_DB!AB16</f>
        <v>18703086.400000002</v>
      </c>
      <c r="AC30" s="9">
        <f>COGS_DB!AC16</f>
        <v>21048414.050000001</v>
      </c>
      <c r="AD30" s="9">
        <f>COGS_DB!AD16</f>
        <v>21048414.050000001</v>
      </c>
      <c r="AE30" s="9">
        <f>COGS_DB!AE16</f>
        <v>21048414.050000001</v>
      </c>
      <c r="AF30" s="9">
        <f>COGS_DB!AF16</f>
        <v>21048414.050000001</v>
      </c>
      <c r="AG30" s="9">
        <f>COGS_DB!AG16</f>
        <v>21048414.050000001</v>
      </c>
      <c r="AH30" s="9">
        <f>COGS_DB!AH16</f>
        <v>21048414.050000001</v>
      </c>
      <c r="AI30" s="9">
        <f>COGS_DB!AI16</f>
        <v>21048414.050000001</v>
      </c>
      <c r="AJ30" s="9">
        <f>COGS_DB!AJ16</f>
        <v>21048414.050000001</v>
      </c>
      <c r="AK30" s="9">
        <f>COGS_DB!AK16</f>
        <v>21048414.050000001</v>
      </c>
      <c r="AL30" s="9">
        <f>COGS_DB!AL16</f>
        <v>14027314.800000003</v>
      </c>
      <c r="AM30" s="9">
        <f>COGS_DB!AM16</f>
        <v>12887452.360000001</v>
      </c>
      <c r="AN30" s="9">
        <f>COGS_DB!AN16</f>
        <v>20618086.211500004</v>
      </c>
      <c r="AO30" s="9">
        <f>COGS_DB!AO16</f>
        <v>23194964.162000008</v>
      </c>
      <c r="AP30" s="9">
        <f>COGS_DB!AP16</f>
        <v>23194964.162000008</v>
      </c>
      <c r="AQ30" s="9">
        <f>COGS_DB!AQ16</f>
        <v>23194964.162000008</v>
      </c>
      <c r="AR30" s="9">
        <f>COGS_DB!AR16</f>
        <v>23194964.162000008</v>
      </c>
      <c r="AS30" s="9">
        <f>COGS_DB!AS16</f>
        <v>23194964.162000008</v>
      </c>
      <c r="AT30" s="9">
        <f>COGS_DB!AT16</f>
        <v>23194964.162000008</v>
      </c>
      <c r="AU30" s="9">
        <f>COGS_DB!AU16</f>
        <v>23194964.162000008</v>
      </c>
      <c r="AV30" s="9">
        <f>COGS_DB!AV16</f>
        <v>23194964.162000008</v>
      </c>
      <c r="AW30" s="9">
        <f>COGS_DB!AW16</f>
        <v>23194964.162000008</v>
      </c>
      <c r="AX30" s="9">
        <f>COGS_DB!AX16</f>
        <v>15464330.310500007</v>
      </c>
      <c r="AY30" s="9">
        <f>COGS_DB!AY16</f>
        <v>14201163.972340003</v>
      </c>
      <c r="AZ30" s="9">
        <f>COGS_DB!AZ16</f>
        <v>22726581.221380003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639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0.4072309817558234</v>
      </c>
      <c r="G31" s="98">
        <f>COGS_DB!G14</f>
        <v>0.40717987438651887</v>
      </c>
      <c r="H31" s="98">
        <f>COGS_DB!H14</f>
        <v>0.40720779574282762</v>
      </c>
      <c r="I31" s="98">
        <f>COGS_DB!I14</f>
        <v>0.40720779574282762</v>
      </c>
      <c r="J31" s="98">
        <f>COGS_DB!J14</f>
        <v>0.40720779574282762</v>
      </c>
      <c r="K31" s="98">
        <f>COGS_DB!K14</f>
        <v>0.40720779574282762</v>
      </c>
      <c r="L31" s="98">
        <f>COGS_DB!L14</f>
        <v>0.40720779574282762</v>
      </c>
      <c r="M31" s="98">
        <f>COGS_DB!M14</f>
        <v>0.40720779574282762</v>
      </c>
      <c r="N31" s="98">
        <f>COGS_DB!N14</f>
        <v>0.40716798718572123</v>
      </c>
      <c r="O31" s="98">
        <f>COGS_DB!O14</f>
        <v>0.40820106573960618</v>
      </c>
      <c r="P31" s="98">
        <f>COGS_DB!P14</f>
        <v>0.40961078109761506</v>
      </c>
      <c r="Q31" s="98">
        <f>COGS_DB!Q14</f>
        <v>0.40963912405997255</v>
      </c>
      <c r="R31" s="98">
        <f>COGS_DB!R14</f>
        <v>0.40963912405997255</v>
      </c>
      <c r="S31" s="98">
        <f>COGS_DB!S14</f>
        <v>0.40963912405997255</v>
      </c>
      <c r="T31" s="98">
        <f>COGS_DB!T14</f>
        <v>0.40963912405997255</v>
      </c>
      <c r="U31" s="98">
        <f>COGS_DB!U14</f>
        <v>0.40963912405997255</v>
      </c>
      <c r="V31" s="98">
        <f>COGS_DB!V14</f>
        <v>0.40963912405997255</v>
      </c>
      <c r="W31" s="98">
        <f>COGS_DB!W14</f>
        <v>0.40963912405997255</v>
      </c>
      <c r="X31" s="98">
        <f>COGS_DB!X14</f>
        <v>0.40963912405997255</v>
      </c>
      <c r="Y31" s="98">
        <f>COGS_DB!Y14</f>
        <v>0.40963912405997255</v>
      </c>
      <c r="Z31" s="98">
        <f>COGS_DB!Z14</f>
        <v>0.40970152783690461</v>
      </c>
      <c r="AA31" s="98">
        <f>COGS_DB!AA14</f>
        <v>0.4404679770415279</v>
      </c>
      <c r="AB31" s="98">
        <f>COGS_DB!AB14</f>
        <v>0.44040594977013925</v>
      </c>
      <c r="AC31" s="98">
        <f>COGS_DB!AC14</f>
        <v>0.44042900252834188</v>
      </c>
      <c r="AD31" s="98">
        <f>COGS_DB!AD14</f>
        <v>0.44042900252834188</v>
      </c>
      <c r="AE31" s="98">
        <f>COGS_DB!AE14</f>
        <v>0.44042900252834188</v>
      </c>
      <c r="AF31" s="98">
        <f>COGS_DB!AF14</f>
        <v>0.44042900252834188</v>
      </c>
      <c r="AG31" s="98">
        <f>COGS_DB!AG14</f>
        <v>0.44042900252834188</v>
      </c>
      <c r="AH31" s="98">
        <f>COGS_DB!AH14</f>
        <v>0.44042900252834188</v>
      </c>
      <c r="AI31" s="98">
        <f>COGS_DB!AI14</f>
        <v>0.44042900252834188</v>
      </c>
      <c r="AJ31" s="98">
        <f>COGS_DB!AJ14</f>
        <v>0.44042900252834188</v>
      </c>
      <c r="AK31" s="98">
        <f>COGS_DB!AK14</f>
        <v>0.44042900252834188</v>
      </c>
      <c r="AL31" s="98">
        <f>COGS_DB!AL14</f>
        <v>0.44039739150649065</v>
      </c>
      <c r="AM31" s="98">
        <f>COGS_DB!AM14</f>
        <v>0.44008730136087404</v>
      </c>
      <c r="AN31" s="98">
        <f>COGS_DB!AN14</f>
        <v>0.44003958136466553</v>
      </c>
      <c r="AO31" s="98">
        <f>COGS_DB!AO14</f>
        <v>0.44003074533669329</v>
      </c>
      <c r="AP31" s="98">
        <f>COGS_DB!AP14</f>
        <v>0.44003074533669329</v>
      </c>
      <c r="AQ31" s="98">
        <f>COGS_DB!AQ14</f>
        <v>0.44003074533669329</v>
      </c>
      <c r="AR31" s="98">
        <f>COGS_DB!AR14</f>
        <v>0.44003074533669329</v>
      </c>
      <c r="AS31" s="98">
        <f>COGS_DB!AS14</f>
        <v>0.44003074533669329</v>
      </c>
      <c r="AT31" s="98">
        <f>COGS_DB!AT14</f>
        <v>0.44003074533669329</v>
      </c>
      <c r="AU31" s="98">
        <f>COGS_DB!AU14</f>
        <v>0.44003074533669329</v>
      </c>
      <c r="AV31" s="98">
        <f>COGS_DB!AV14</f>
        <v>0.44003074533669329</v>
      </c>
      <c r="AW31" s="98">
        <f>COGS_DB!AW14</f>
        <v>0.44003074533669329</v>
      </c>
      <c r="AX31" s="98">
        <f>COGS_DB!AX14</f>
        <v>0.44006609133918179</v>
      </c>
      <c r="AY31" s="98">
        <f>COGS_DB!AY14</f>
        <v>0.44005374110086154</v>
      </c>
      <c r="AZ31" s="98">
        <f>COGS_DB!AZ14</f>
        <v>0.44003842525681752</v>
      </c>
      <c r="BA31" s="98">
        <f>COGS_DB!BA14</f>
        <v>0.44000430848772082</v>
      </c>
      <c r="BB31" s="98">
        <f>COGS_DB!BB14</f>
        <v>0.44000430848772082</v>
      </c>
      <c r="BC31" s="98">
        <f>COGS_DB!BC14</f>
        <v>0.44000430848772082</v>
      </c>
      <c r="BD31" s="98">
        <f>COGS_DB!BD14</f>
        <v>0.44000430848772082</v>
      </c>
      <c r="BE31" s="98">
        <f>COGS_DB!BE14</f>
        <v>0.44000430848772082</v>
      </c>
      <c r="BF31" s="98">
        <f>COGS_DB!BF14</f>
        <v>0.44000430848772082</v>
      </c>
      <c r="BG31" s="98">
        <f>COGS_DB!BG14</f>
        <v>0.44000430848772082</v>
      </c>
      <c r="BH31" s="98">
        <f>COGS_DB!BH14</f>
        <v>0.44000430848772082</v>
      </c>
      <c r="BI31" s="98">
        <f>COGS_DB!BI14</f>
        <v>0.44000430848772082</v>
      </c>
      <c r="BJ31" s="98">
        <f>COGS_DB!BJ14</f>
        <v>0.4400512264346863</v>
      </c>
    </row>
    <row r="32" spans="2:62" x14ac:dyDescent="0.15">
      <c r="B32" s="14" t="s">
        <v>351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14568500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647</v>
      </c>
      <c r="C34" s="389"/>
      <c r="D34" s="389"/>
      <c r="E34" s="389"/>
      <c r="F34" s="389"/>
      <c r="G34" s="389"/>
      <c r="H34" s="389"/>
      <c r="I34" s="389"/>
      <c r="J34" s="389"/>
      <c r="K34" s="389"/>
      <c r="L34" s="389"/>
      <c r="M34" s="389"/>
      <c r="N34" s="389"/>
      <c r="O34" s="389" t="s">
        <v>36</v>
      </c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 t="s">
        <v>37</v>
      </c>
      <c r="AB34" s="389"/>
      <c r="AC34" s="389"/>
      <c r="AD34" s="389"/>
      <c r="AE34" s="389"/>
      <c r="AF34" s="389"/>
      <c r="AG34" s="389"/>
      <c r="AH34" s="389"/>
      <c r="AI34" s="389"/>
      <c r="AJ34" s="389"/>
      <c r="AK34" s="389"/>
      <c r="AL34" s="389"/>
      <c r="AM34" s="389" t="s">
        <v>38</v>
      </c>
      <c r="AN34" s="389"/>
      <c r="AO34" s="389"/>
      <c r="AP34" s="389"/>
      <c r="AQ34" s="389"/>
      <c r="AR34" s="389"/>
      <c r="AS34" s="389"/>
      <c r="AT34" s="389"/>
      <c r="AU34" s="389"/>
      <c r="AV34" s="389"/>
      <c r="AW34" s="389"/>
      <c r="AX34" s="389"/>
      <c r="AY34" s="389" t="s">
        <v>39</v>
      </c>
      <c r="AZ34" s="389"/>
      <c r="BA34" s="389"/>
      <c r="BB34" s="389"/>
      <c r="BC34" s="389"/>
      <c r="BD34" s="389"/>
      <c r="BE34" s="389"/>
      <c r="BF34" s="389"/>
      <c r="BG34" s="389"/>
      <c r="BH34" s="389"/>
      <c r="BI34" s="389"/>
      <c r="BJ34" s="38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351</v>
      </c>
      <c r="C36" s="9">
        <f>COGS_DB!C3</f>
        <v>152759500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634</v>
      </c>
      <c r="C37" s="9">
        <f>COGS_DB!C4</f>
        <v>62204000</v>
      </c>
      <c r="D37" s="9">
        <f>COGS_DB!E4</f>
        <v>154398325</v>
      </c>
      <c r="E37" s="9">
        <f>COGS_DB!G4</f>
        <v>343472862.24999994</v>
      </c>
      <c r="F37" s="9">
        <f>COGS_DB!I4</f>
        <v>377933115.75800008</v>
      </c>
      <c r="G37" s="9">
        <f>COGS_DB!K4</f>
        <v>416484459.44134009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640</v>
      </c>
      <c r="C38" s="9">
        <f>COGS_DB!C6</f>
        <v>32149500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641</v>
      </c>
      <c r="C39" s="9">
        <f>COGS_DB!C7</f>
        <v>30054500</v>
      </c>
      <c r="D39" s="9">
        <f>COGS_DB!E7</f>
        <v>75819130</v>
      </c>
      <c r="E39" s="9">
        <f>COGS_DB!G7</f>
        <v>233862998.50000006</v>
      </c>
      <c r="F39" s="9">
        <f>COGS_DB!I7</f>
        <v>257724546.34000003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644</v>
      </c>
      <c r="C42" s="116">
        <f>COGS_DB!C5</f>
        <v>0.40720217073242582</v>
      </c>
      <c r="D42" s="116">
        <f>COGS_DB!E5</f>
        <v>0.40956898007609654</v>
      </c>
      <c r="E42" s="116">
        <f>COGS_DB!G5</f>
        <v>0.44042721083441905</v>
      </c>
      <c r="F42" s="116">
        <f>COGS_DB!I5</f>
        <v>0.44003640035829839</v>
      </c>
      <c r="G42" s="116">
        <f>COGS_DB!K5</f>
        <v>0.44001232512004884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645</v>
      </c>
      <c r="C43" s="116">
        <f>COGS_DB!D6</f>
        <v>0.21045826937113568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648</v>
      </c>
      <c r="C44" s="98">
        <f>COGS_DB!D7</f>
        <v>0.19674390136129014</v>
      </c>
      <c r="D44" s="116">
        <f>COGS_DB!F7</f>
        <v>0.20112370872130236</v>
      </c>
      <c r="E44" s="98">
        <f>COGS_DB!H7</f>
        <v>0.29987704842823859</v>
      </c>
      <c r="F44" s="98">
        <f>COGS_DB!J7</f>
        <v>0.30007474054760297</v>
      </c>
      <c r="G44" s="98">
        <f>COGS_DB!L7</f>
        <v>0.30002111888547678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653</v>
      </c>
    </row>
    <row r="47" spans="2:66" x14ac:dyDescent="0.15">
      <c r="C47" s="75"/>
      <c r="D47" s="389" t="s">
        <v>35</v>
      </c>
      <c r="E47" s="389"/>
      <c r="F47" s="389"/>
      <c r="G47" s="389"/>
      <c r="H47" s="389"/>
      <c r="I47" s="389"/>
      <c r="J47" s="389"/>
      <c r="K47" s="389"/>
      <c r="L47" s="389"/>
      <c r="M47" s="389"/>
      <c r="N47" s="389"/>
      <c r="O47" s="389"/>
      <c r="P47" s="389" t="s">
        <v>36</v>
      </c>
      <c r="Q47" s="389"/>
      <c r="R47" s="389"/>
      <c r="S47" s="389"/>
      <c r="T47" s="389"/>
      <c r="U47" s="389"/>
      <c r="V47" s="389"/>
      <c r="W47" s="389"/>
      <c r="X47" s="389"/>
      <c r="Y47" s="389"/>
      <c r="Z47" s="389"/>
      <c r="AA47" s="389"/>
      <c r="AB47" s="389" t="s">
        <v>37</v>
      </c>
      <c r="AC47" s="389"/>
      <c r="AD47" s="389"/>
      <c r="AE47" s="389"/>
      <c r="AF47" s="389"/>
      <c r="AG47" s="389"/>
      <c r="AH47" s="389"/>
      <c r="AI47" s="389"/>
      <c r="AJ47" s="389"/>
      <c r="AK47" s="389"/>
      <c r="AL47" s="389"/>
      <c r="AM47" s="389"/>
      <c r="AN47" s="389" t="s">
        <v>38</v>
      </c>
      <c r="AO47" s="389"/>
      <c r="AP47" s="389"/>
      <c r="AQ47" s="389"/>
      <c r="AR47" s="389"/>
      <c r="AS47" s="389"/>
      <c r="AT47" s="389"/>
      <c r="AU47" s="389"/>
      <c r="AV47" s="389"/>
      <c r="AW47" s="389"/>
      <c r="AX47" s="389"/>
      <c r="AY47" s="389"/>
      <c r="AZ47" s="389" t="s">
        <v>39</v>
      </c>
      <c r="BA47" s="389"/>
      <c r="BB47" s="389"/>
      <c r="BC47" s="389"/>
      <c r="BD47" s="389"/>
      <c r="BE47" s="389"/>
      <c r="BF47" s="389"/>
      <c r="BG47" s="389"/>
      <c r="BH47" s="389"/>
      <c r="BI47" s="389"/>
      <c r="BJ47" s="389"/>
      <c r="BK47" s="389"/>
      <c r="BM47" s="10" t="s">
        <v>630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339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1059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5852000</v>
      </c>
      <c r="H50" s="9">
        <f>'COGS-INVENTORY_CWS'!H35</f>
        <v>6897000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5852000</v>
      </c>
      <c r="H51" s="9">
        <f>'COGS-INVENTORY_CWS'!H39</f>
        <v>6897000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341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362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9" t="s">
        <v>35</v>
      </c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 t="s">
        <v>36</v>
      </c>
      <c r="Q55" s="389"/>
      <c r="R55" s="389"/>
      <c r="S55" s="389"/>
      <c r="T55" s="389"/>
      <c r="U55" s="389"/>
      <c r="V55" s="389"/>
      <c r="W55" s="389"/>
      <c r="X55" s="389"/>
      <c r="Y55" s="389"/>
      <c r="Z55" s="389"/>
      <c r="AA55" s="389"/>
      <c r="AB55" s="389" t="s">
        <v>37</v>
      </c>
      <c r="AC55" s="389"/>
      <c r="AD55" s="389"/>
      <c r="AE55" s="389"/>
      <c r="AF55" s="389"/>
      <c r="AG55" s="389"/>
      <c r="AH55" s="389"/>
      <c r="AI55" s="389"/>
      <c r="AJ55" s="389"/>
      <c r="AK55" s="389"/>
      <c r="AL55" s="389"/>
      <c r="AM55" s="389"/>
      <c r="AN55" s="389" t="s">
        <v>38</v>
      </c>
      <c r="AO55" s="389"/>
      <c r="AP55" s="389"/>
      <c r="AQ55" s="389"/>
      <c r="AR55" s="389"/>
      <c r="AS55" s="389"/>
      <c r="AT55" s="389"/>
      <c r="AU55" s="389"/>
      <c r="AV55" s="389"/>
      <c r="AW55" s="389"/>
      <c r="AX55" s="389"/>
      <c r="AY55" s="389"/>
      <c r="AZ55" s="389" t="s">
        <v>39</v>
      </c>
      <c r="BA55" s="389"/>
      <c r="BB55" s="389"/>
      <c r="BC55" s="389"/>
      <c r="BD55" s="389"/>
      <c r="BE55" s="389"/>
      <c r="BF55" s="389"/>
      <c r="BG55" s="389"/>
      <c r="BH55" s="389"/>
      <c r="BI55" s="389"/>
      <c r="BJ55" s="389"/>
      <c r="BK55" s="389"/>
      <c r="BM55" s="10" t="s">
        <v>630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341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362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1050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  <sheetView workbookViewId="1"/>
    <sheetView tabSelected="1" workbookViewId="2">
      <pane ySplit="3" topLeftCell="A4" activePane="bottomLeft" state="frozen"/>
      <selection pane="bottomLeft" activeCell="A7" sqref="A7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1244</v>
      </c>
      <c r="C1" s="366" t="s">
        <v>597</v>
      </c>
    </row>
    <row r="2" spans="1:63" x14ac:dyDescent="0.15">
      <c r="B2" s="75"/>
      <c r="C2" s="389" t="s">
        <v>35</v>
      </c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/>
      <c r="O2" s="389" t="s">
        <v>36</v>
      </c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/>
      <c r="AA2" s="389" t="s">
        <v>37</v>
      </c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/>
      <c r="AM2" s="389" t="s">
        <v>38</v>
      </c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/>
      <c r="AY2" s="389" t="s">
        <v>39</v>
      </c>
      <c r="AZ2" s="389"/>
      <c r="BA2" s="389"/>
      <c r="BB2" s="389"/>
      <c r="BC2" s="389"/>
      <c r="BD2" s="389"/>
      <c r="BE2" s="389"/>
      <c r="BF2" s="389"/>
      <c r="BG2" s="389"/>
      <c r="BH2" s="389"/>
      <c r="BI2" s="389"/>
      <c r="BJ2" s="389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1203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1202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616</v>
      </c>
      <c r="G6" s="169">
        <f>'REV-SALES-FCAST_CWS'!G38</f>
        <v>855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98">
        <v>0</v>
      </c>
      <c r="G7" s="398">
        <v>0.15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616</v>
      </c>
      <c r="G8" s="169">
        <f t="shared" si="2"/>
        <v>726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129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616</v>
      </c>
      <c r="G13" s="169">
        <f t="shared" si="9"/>
        <v>726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114806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99">
        <f>'COGS-PRICE-MARGIN_CWS'!$B5*F13</f>
        <v>8624000</v>
      </c>
      <c r="G14" s="399">
        <f>'COGS-PRICE-MARGIN_CWS'!$B5*G13</f>
        <v>10164000</v>
      </c>
      <c r="H14" s="399">
        <f>'COGS-PRICE-MARGIN_CWS'!$B5*H13</f>
        <v>10556000</v>
      </c>
      <c r="I14" s="399">
        <f>'COGS-PRICE-MARGIN_CWS'!$B5*I13</f>
        <v>10556000</v>
      </c>
      <c r="J14" s="399">
        <f>'COGS-PRICE-MARGIN_CWS'!$B5*J13</f>
        <v>10556000</v>
      </c>
      <c r="K14" s="399">
        <f>'COGS-PRICE-MARGIN_CWS'!$B5*K13</f>
        <v>10556000</v>
      </c>
      <c r="L14" s="399">
        <f>'COGS-PRICE-MARGIN_CWS'!$B5*L13</f>
        <v>10556000</v>
      </c>
      <c r="M14" s="401">
        <f>'COGS-PRICE-MARGIN_CWS'!$B5*M13</f>
        <v>10556000</v>
      </c>
      <c r="N14" s="401">
        <f>'COGS-PRICE-MARGIN_CWS'!$B5*N13</f>
        <v>10052000</v>
      </c>
      <c r="O14" s="401">
        <f>'COGS-PRICE-MARGIN_CWS'!$B55*O13</f>
        <v>10620820</v>
      </c>
      <c r="P14" s="401">
        <f>'COGS-PRICE-MARGIN_CWS'!$B55*P13</f>
        <v>17002300</v>
      </c>
      <c r="Q14" s="401">
        <f>'COGS-PRICE-MARGIN_CWS'!$B55*Q13</f>
        <v>19114480</v>
      </c>
      <c r="R14" s="401">
        <f>'COGS-PRICE-MARGIN_CWS'!$B55*R13</f>
        <v>19114480</v>
      </c>
      <c r="S14" s="401">
        <f>'COGS-PRICE-MARGIN_CWS'!$B55*S13</f>
        <v>19114480</v>
      </c>
      <c r="T14" s="401">
        <f>'COGS-PRICE-MARGIN_CWS'!$B55*T13</f>
        <v>19114480</v>
      </c>
      <c r="U14" s="401">
        <f>'COGS-PRICE-MARGIN_CWS'!$B55*U13</f>
        <v>19114480</v>
      </c>
      <c r="V14" s="401">
        <f>'COGS-PRICE-MARGIN_CWS'!$B55*V13</f>
        <v>19114480</v>
      </c>
      <c r="W14" s="401">
        <f>'COGS-PRICE-MARGIN_CWS'!$B55*W13</f>
        <v>19114480</v>
      </c>
      <c r="X14" s="401">
        <f>'COGS-PRICE-MARGIN_CWS'!$B55*X13</f>
        <v>19114480</v>
      </c>
      <c r="Y14" s="401">
        <f>'COGS-PRICE-MARGIN_CWS'!$B55*Y13</f>
        <v>19114480</v>
      </c>
      <c r="Z14" s="401">
        <f>'COGS-PRICE-MARGIN_CWS'!$B55*Z13</f>
        <v>12733000</v>
      </c>
      <c r="AA14" s="401">
        <f>'COGS-PRICE-MARGIN_CWS'!$B105*AA13</f>
        <v>14537940.200000001</v>
      </c>
      <c r="AB14" s="401">
        <f>'COGS-PRICE-MARGIN_CWS'!$B105*AB13</f>
        <v>23273527.199999999</v>
      </c>
      <c r="AC14" s="401">
        <f>'COGS-PRICE-MARGIN_CWS'!$B105*AC13</f>
        <v>26174703.800000001</v>
      </c>
      <c r="AD14" s="401">
        <f>'COGS-PRICE-MARGIN_CWS'!$B105*AD13</f>
        <v>26174703.800000001</v>
      </c>
      <c r="AE14" s="401">
        <f>'COGS-PRICE-MARGIN_CWS'!$B105*AE13</f>
        <v>26174703.800000001</v>
      </c>
      <c r="AF14" s="401">
        <f>'COGS-PRICE-MARGIN_CWS'!$B105*AF13</f>
        <v>26174703.800000001</v>
      </c>
      <c r="AG14" s="401">
        <f>'COGS-PRICE-MARGIN_CWS'!$B105*AG13</f>
        <v>26174703.800000001</v>
      </c>
      <c r="AH14" s="401">
        <f>'COGS-PRICE-MARGIN_CWS'!$B105*AH13</f>
        <v>26174703.800000001</v>
      </c>
      <c r="AI14" s="401">
        <f>'COGS-PRICE-MARGIN_CWS'!$B105*AI13</f>
        <v>26174703.800000001</v>
      </c>
      <c r="AJ14" s="401">
        <f>'COGS-PRICE-MARGIN_CWS'!$B105*AJ13</f>
        <v>26174703.800000001</v>
      </c>
      <c r="AK14" s="401">
        <f>'COGS-PRICE-MARGIN_CWS'!$B105*AK13</f>
        <v>26174703.800000001</v>
      </c>
      <c r="AL14" s="401">
        <f>'COGS-PRICE-MARGIN_CWS'!$B105*AL13</f>
        <v>17455145.400000002</v>
      </c>
      <c r="AM14" s="401">
        <f>'COGS-PRICE-MARGIN_CWS'!$B155*AM13</f>
        <v>32054475.138000004</v>
      </c>
      <c r="AN14" s="401">
        <f>'COGS-PRICE-MARGIN_CWS'!$B155*AN13</f>
        <v>51297450.58200001</v>
      </c>
      <c r="AO14" s="401">
        <f>'COGS-PRICE-MARGIN_CWS'!$B155*AO13</f>
        <v>57711775.730000012</v>
      </c>
      <c r="AP14" s="401">
        <f>'COGS-PRICE-MARGIN_CWS'!$B155*AP13</f>
        <v>57711775.730000012</v>
      </c>
      <c r="AQ14" s="401">
        <f>'COGS-PRICE-MARGIN_CWS'!$B155*AQ13</f>
        <v>57711775.730000012</v>
      </c>
      <c r="AR14" s="401">
        <f>'COGS-PRICE-MARGIN_CWS'!$B155*AR13</f>
        <v>57711775.730000012</v>
      </c>
      <c r="AS14" s="401">
        <f>'COGS-PRICE-MARGIN_CWS'!$B155*AS13</f>
        <v>57711775.730000012</v>
      </c>
      <c r="AT14" s="401">
        <f>'COGS-PRICE-MARGIN_CWS'!$B155*AT13</f>
        <v>57711775.730000012</v>
      </c>
      <c r="AU14" s="401">
        <f>'COGS-PRICE-MARGIN_CWS'!$B155*AU13</f>
        <v>57711775.730000012</v>
      </c>
      <c r="AV14" s="401">
        <f>'COGS-PRICE-MARGIN_CWS'!$B155*AV13</f>
        <v>57711775.730000012</v>
      </c>
      <c r="AW14" s="401">
        <f>'COGS-PRICE-MARGIN_CWS'!$B155*AW13</f>
        <v>57711775.730000012</v>
      </c>
      <c r="AX14" s="401">
        <f>'COGS-PRICE-MARGIN_CWS'!$B155*AX13</f>
        <v>38468800.286000006</v>
      </c>
      <c r="AY14" s="401">
        <f>'COGS-PRICE-MARGIN_CWS'!$B205*AY13</f>
        <v>35325952.469500005</v>
      </c>
      <c r="AZ14" s="401">
        <f>'COGS-PRICE-MARGIN_CWS'!$B205*AZ13</f>
        <v>56539875.095340014</v>
      </c>
      <c r="BA14" s="401">
        <f>'COGS-PRICE-MARGIN_CWS'!$B205*BA13</f>
        <v>63605065.589240015</v>
      </c>
      <c r="BB14" s="401">
        <f>'COGS-PRICE-MARGIN_CWS'!$B205*BB13</f>
        <v>63605065.589240015</v>
      </c>
      <c r="BC14" s="401">
        <f>'COGS-PRICE-MARGIN_CWS'!$B205*BC13</f>
        <v>63605065.589240015</v>
      </c>
      <c r="BD14" s="401">
        <f>'COGS-PRICE-MARGIN_CWS'!$B205*BD13</f>
        <v>63605065.589240015</v>
      </c>
      <c r="BE14" s="401">
        <f>'COGS-PRICE-MARGIN_CWS'!$B205*BE13</f>
        <v>63605065.589240015</v>
      </c>
      <c r="BF14" s="401">
        <f>'COGS-PRICE-MARGIN_CWS'!$B205*BF13</f>
        <v>63605065.589240015</v>
      </c>
      <c r="BG14" s="401">
        <f>'COGS-PRICE-MARGIN_CWS'!$B205*BG13</f>
        <v>63605065.589240015</v>
      </c>
      <c r="BH14" s="401">
        <f>'COGS-PRICE-MARGIN_CWS'!$B205*BH13</f>
        <v>63605065.589240015</v>
      </c>
      <c r="BI14" s="401">
        <f>'COGS-PRICE-MARGIN_CWS'!$B205*BI13</f>
        <v>63605065.589240015</v>
      </c>
      <c r="BJ14" s="401">
        <f>'COGS-PRICE-MARGIN_CWS'!$B205*BJ13</f>
        <v>42409494.107540011</v>
      </c>
      <c r="BK14" s="402">
        <f>SUM(C14:BJ14)</f>
        <v>1943349006.5515409</v>
      </c>
    </row>
    <row r="15" spans="1:63" outlineLevel="1" x14ac:dyDescent="0.15">
      <c r="A15" s="47" t="s">
        <v>334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335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400">
        <f t="shared" si="10"/>
        <v>8624000</v>
      </c>
      <c r="G17" s="400">
        <f t="shared" si="10"/>
        <v>10164000</v>
      </c>
      <c r="H17" s="400">
        <f t="shared" si="10"/>
        <v>10556000</v>
      </c>
      <c r="I17" s="400">
        <f t="shared" si="10"/>
        <v>10556000</v>
      </c>
      <c r="J17" s="400">
        <f t="shared" si="10"/>
        <v>10556000</v>
      </c>
      <c r="K17" s="400">
        <f t="shared" si="10"/>
        <v>10556000</v>
      </c>
      <c r="L17" s="400">
        <f t="shared" si="10"/>
        <v>10556000</v>
      </c>
      <c r="M17" s="400">
        <f t="shared" si="10"/>
        <v>10556000</v>
      </c>
      <c r="N17" s="400">
        <f t="shared" si="10"/>
        <v>10052000</v>
      </c>
      <c r="O17" s="400">
        <f t="shared" si="10"/>
        <v>10620820</v>
      </c>
      <c r="P17" s="400">
        <f t="shared" si="10"/>
        <v>17002300</v>
      </c>
      <c r="Q17" s="400">
        <f t="shared" si="10"/>
        <v>19114480</v>
      </c>
      <c r="R17" s="400">
        <f t="shared" si="10"/>
        <v>19114480</v>
      </c>
      <c r="S17" s="400">
        <f t="shared" si="10"/>
        <v>19114480</v>
      </c>
      <c r="T17" s="400">
        <f t="shared" si="10"/>
        <v>19114480</v>
      </c>
      <c r="U17" s="400">
        <f t="shared" si="10"/>
        <v>19114480</v>
      </c>
      <c r="V17" s="400">
        <f t="shared" si="10"/>
        <v>19114480</v>
      </c>
      <c r="W17" s="400">
        <f t="shared" si="10"/>
        <v>19114480</v>
      </c>
      <c r="X17" s="400">
        <f t="shared" si="10"/>
        <v>19114480</v>
      </c>
      <c r="Y17" s="400">
        <f t="shared" si="10"/>
        <v>19114480</v>
      </c>
      <c r="Z17" s="400">
        <f t="shared" si="10"/>
        <v>12733000</v>
      </c>
      <c r="AA17" s="400">
        <f t="shared" si="10"/>
        <v>14537940.200000001</v>
      </c>
      <c r="AB17" s="400">
        <f t="shared" si="10"/>
        <v>23273527.199999999</v>
      </c>
      <c r="AC17" s="400">
        <f t="shared" si="10"/>
        <v>26174703.800000001</v>
      </c>
      <c r="AD17" s="400">
        <f t="shared" si="10"/>
        <v>26174703.800000001</v>
      </c>
      <c r="AE17" s="400">
        <f t="shared" si="10"/>
        <v>26174703.800000001</v>
      </c>
      <c r="AF17" s="400">
        <f t="shared" si="10"/>
        <v>26174703.800000001</v>
      </c>
      <c r="AG17" s="400">
        <f t="shared" si="10"/>
        <v>26174703.800000001</v>
      </c>
      <c r="AH17" s="400">
        <f t="shared" si="10"/>
        <v>26174703.800000001</v>
      </c>
      <c r="AI17" s="400">
        <f t="shared" ref="AI17:BJ17" si="11">AI14*(1-AI15)</f>
        <v>26174703.800000001</v>
      </c>
      <c r="AJ17" s="400">
        <f t="shared" si="11"/>
        <v>26174703.800000001</v>
      </c>
      <c r="AK17" s="400">
        <f t="shared" si="11"/>
        <v>26174703.800000001</v>
      </c>
      <c r="AL17" s="400">
        <f t="shared" si="11"/>
        <v>17455145.400000002</v>
      </c>
      <c r="AM17" s="400">
        <f t="shared" si="11"/>
        <v>32054475.138000004</v>
      </c>
      <c r="AN17" s="400">
        <f t="shared" si="11"/>
        <v>51297450.58200001</v>
      </c>
      <c r="AO17" s="400">
        <f t="shared" si="11"/>
        <v>57711775.730000012</v>
      </c>
      <c r="AP17" s="400">
        <f t="shared" si="11"/>
        <v>57711775.730000012</v>
      </c>
      <c r="AQ17" s="400">
        <f t="shared" si="11"/>
        <v>57711775.730000012</v>
      </c>
      <c r="AR17" s="400">
        <f t="shared" si="11"/>
        <v>57711775.730000012</v>
      </c>
      <c r="AS17" s="400">
        <f t="shared" si="11"/>
        <v>57711775.730000012</v>
      </c>
      <c r="AT17" s="400">
        <f t="shared" si="11"/>
        <v>57711775.730000012</v>
      </c>
      <c r="AU17" s="400">
        <f t="shared" si="11"/>
        <v>57711775.730000012</v>
      </c>
      <c r="AV17" s="400">
        <f t="shared" si="11"/>
        <v>57711775.730000012</v>
      </c>
      <c r="AW17" s="400">
        <f t="shared" si="11"/>
        <v>57711775.730000012</v>
      </c>
      <c r="AX17" s="400">
        <f t="shared" si="11"/>
        <v>38468800.286000006</v>
      </c>
      <c r="AY17" s="400">
        <f t="shared" si="11"/>
        <v>35325952.469500005</v>
      </c>
      <c r="AZ17" s="400">
        <f t="shared" si="11"/>
        <v>56539875.095340014</v>
      </c>
      <c r="BA17" s="400">
        <f t="shared" si="11"/>
        <v>63605065.589240015</v>
      </c>
      <c r="BB17" s="400">
        <f t="shared" si="11"/>
        <v>63605065.589240015</v>
      </c>
      <c r="BC17" s="400">
        <f t="shared" si="11"/>
        <v>63605065.589240015</v>
      </c>
      <c r="BD17" s="400">
        <f t="shared" si="11"/>
        <v>63605065.589240015</v>
      </c>
      <c r="BE17" s="400">
        <f t="shared" si="11"/>
        <v>63605065.589240015</v>
      </c>
      <c r="BF17" s="400">
        <f t="shared" si="11"/>
        <v>63605065.589240015</v>
      </c>
      <c r="BG17" s="400">
        <f t="shared" si="11"/>
        <v>63605065.589240015</v>
      </c>
      <c r="BH17" s="400">
        <f t="shared" si="11"/>
        <v>63605065.589240015</v>
      </c>
      <c r="BI17" s="400">
        <f t="shared" si="11"/>
        <v>63605065.589240015</v>
      </c>
      <c r="BJ17" s="400">
        <f t="shared" si="11"/>
        <v>42409494.107540011</v>
      </c>
      <c r="BK17" s="402">
        <f>SUM(C17:BJ17)</f>
        <v>1943349006.5515409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401">
        <f>'COGS-PRICE-MARGIN_CWS'!$E5*C13</f>
        <v>0</v>
      </c>
      <c r="D21" s="401">
        <f>'COGS-PRICE-MARGIN_CWS'!$E5*D13</f>
        <v>0</v>
      </c>
      <c r="E21" s="401">
        <f>'COGS-PRICE-MARGIN_CWS'!$E5*E13</f>
        <v>0</v>
      </c>
      <c r="F21" s="401">
        <f>CostoVentaDiarioAN1*F13</f>
        <v>5852000</v>
      </c>
      <c r="G21" s="401">
        <f>'COGS-PRICE-MARGIN_CWS'!$E5*G13</f>
        <v>6897000</v>
      </c>
      <c r="H21" s="401">
        <f>'COGS-PRICE-MARGIN_CWS'!$E5*H13</f>
        <v>7163000</v>
      </c>
      <c r="I21" s="401">
        <f>'COGS-PRICE-MARGIN_CWS'!$E5*I13</f>
        <v>7163000</v>
      </c>
      <c r="J21" s="401">
        <f>'COGS-PRICE-MARGIN_CWS'!$E5*J13</f>
        <v>7163000</v>
      </c>
      <c r="K21" s="401">
        <f>'COGS-PRICE-MARGIN_CWS'!$E5*K13</f>
        <v>7163000</v>
      </c>
      <c r="L21" s="401">
        <f>'COGS-PRICE-MARGIN_CWS'!$E5*L13</f>
        <v>7163000</v>
      </c>
      <c r="M21" s="401">
        <f>'COGS-PRICE-MARGIN_CWS'!$E5*M13</f>
        <v>7163000</v>
      </c>
      <c r="N21" s="401">
        <f>'COGS-PRICE-MARGIN_CWS'!$E5*N13</f>
        <v>6821000</v>
      </c>
      <c r="O21" s="401">
        <f>'COGS-PRICE-MARGIN_CWS'!$E55*O13</f>
        <v>7206985</v>
      </c>
      <c r="P21" s="401">
        <f>'COGS-PRICE-MARGIN_CWS'!$E55*P13</f>
        <v>11537275</v>
      </c>
      <c r="Q21" s="401">
        <f>'COGS-PRICE-MARGIN_CWS'!$E55*Q13</f>
        <v>12970540</v>
      </c>
      <c r="R21" s="401">
        <f>'COGS-PRICE-MARGIN_CWS'!$E55*R13</f>
        <v>12970540</v>
      </c>
      <c r="S21" s="401">
        <f>'COGS-PRICE-MARGIN_CWS'!$E55*S13</f>
        <v>12970540</v>
      </c>
      <c r="T21" s="401">
        <f>'COGS-PRICE-MARGIN_CWS'!$E55*T13</f>
        <v>12970540</v>
      </c>
      <c r="U21" s="401">
        <f>'COGS-PRICE-MARGIN_CWS'!$E55*U13</f>
        <v>12970540</v>
      </c>
      <c r="V21" s="401">
        <f>'COGS-PRICE-MARGIN_CWS'!$E55*V13</f>
        <v>12970540</v>
      </c>
      <c r="W21" s="401">
        <f>'COGS-PRICE-MARGIN_CWS'!$E55*W13</f>
        <v>12970540</v>
      </c>
      <c r="X21" s="401">
        <f>'COGS-PRICE-MARGIN_CWS'!$E55*X13</f>
        <v>12970540</v>
      </c>
      <c r="Y21" s="401">
        <f>'COGS-PRICE-MARGIN_CWS'!$E55*Y13</f>
        <v>12970540</v>
      </c>
      <c r="Z21" s="401">
        <f>'COGS-PRICE-MARGIN_CWS'!$E55*Z$13</f>
        <v>8640250</v>
      </c>
      <c r="AA21" s="401">
        <f>'COGS-PRICE-MARGIN_CWS'!$E105*AA$13</f>
        <v>9865030.8500000015</v>
      </c>
      <c r="AB21" s="401">
        <f>'COGS-PRICE-MARGIN_CWS'!$E105*AB$13</f>
        <v>15792750.600000001</v>
      </c>
      <c r="AC21" s="401">
        <f>'COGS-PRICE-MARGIN_CWS'!$E105*AC$13</f>
        <v>17761406.150000002</v>
      </c>
      <c r="AD21" s="401">
        <f>'COGS-PRICE-MARGIN_CWS'!$E105*AD$13</f>
        <v>17761406.150000002</v>
      </c>
      <c r="AE21" s="401">
        <f>'COGS-PRICE-MARGIN_CWS'!$E105*AE$13</f>
        <v>17761406.150000002</v>
      </c>
      <c r="AF21" s="401">
        <f>'COGS-PRICE-MARGIN_CWS'!$E105*AF$13</f>
        <v>17761406.150000002</v>
      </c>
      <c r="AG21" s="401">
        <f>'COGS-PRICE-MARGIN_CWS'!$E105*AG$13</f>
        <v>17761406.150000002</v>
      </c>
      <c r="AH21" s="401">
        <f>'COGS-PRICE-MARGIN_CWS'!$E105*AH$13</f>
        <v>17761406.150000002</v>
      </c>
      <c r="AI21" s="401">
        <f>'COGS-PRICE-MARGIN_CWS'!$E105*AI$13</f>
        <v>17761406.150000002</v>
      </c>
      <c r="AJ21" s="401">
        <f>'COGS-PRICE-MARGIN_CWS'!$E105*AJ$13</f>
        <v>17761406.150000002</v>
      </c>
      <c r="AK21" s="401">
        <f>'COGS-PRICE-MARGIN_CWS'!$E105*AK$13</f>
        <v>17761406.150000002</v>
      </c>
      <c r="AL21" s="401">
        <f>'COGS-PRICE-MARGIN_CWS'!$E105*AL$13</f>
        <v>11844562.950000001</v>
      </c>
      <c r="AM21" s="401">
        <f>'COGS-PRICE-MARGIN_CWS'!$E155*AM$13</f>
        <v>21751250.986500002</v>
      </c>
      <c r="AN21" s="401">
        <f>'COGS-PRICE-MARGIN_CWS'!$E155*AN$13</f>
        <v>34808984.323500007</v>
      </c>
      <c r="AO21" s="401">
        <f>'COGS-PRICE-MARGIN_CWS'!$E155*AO$13</f>
        <v>39161562.102500007</v>
      </c>
      <c r="AP21" s="401">
        <f>'COGS-PRICE-MARGIN_CWS'!$E155*AP$13</f>
        <v>39161562.102500007</v>
      </c>
      <c r="AQ21" s="401">
        <f>'COGS-PRICE-MARGIN_CWS'!$E155*AQ$13</f>
        <v>39161562.102500007</v>
      </c>
      <c r="AR21" s="401">
        <f>'COGS-PRICE-MARGIN_CWS'!$E155*AR$13</f>
        <v>39161562.102500007</v>
      </c>
      <c r="AS21" s="401">
        <f>'COGS-PRICE-MARGIN_CWS'!$E155*AS$13</f>
        <v>39161562.102500007</v>
      </c>
      <c r="AT21" s="401">
        <f>'COGS-PRICE-MARGIN_CWS'!$E155*AT$13</f>
        <v>39161562.102500007</v>
      </c>
      <c r="AU21" s="401">
        <f>'COGS-PRICE-MARGIN_CWS'!$E155*AU$13</f>
        <v>39161562.102500007</v>
      </c>
      <c r="AV21" s="401">
        <f>'COGS-PRICE-MARGIN_CWS'!$E155*AV$13</f>
        <v>39161562.102500007</v>
      </c>
      <c r="AW21" s="401">
        <f>'COGS-PRICE-MARGIN_CWS'!$E155*AW$13</f>
        <v>39161562.102500007</v>
      </c>
      <c r="AX21" s="401">
        <f>'COGS-PRICE-MARGIN_CWS'!$E155*AX$13</f>
        <v>26103828.765500002</v>
      </c>
      <c r="AY21" s="401">
        <f>'COGS-PRICE-MARGIN_CWS'!$E205*AY$13</f>
        <v>23971182.032875005</v>
      </c>
      <c r="AZ21" s="401">
        <f>'COGS-PRICE-MARGIN_CWS'!$E205*AZ$13</f>
        <v>38366343.814695008</v>
      </c>
      <c r="BA21" s="401">
        <f>'COGS-PRICE-MARGIN_CWS'!$E205*BA$13</f>
        <v>43160580.22127001</v>
      </c>
      <c r="BB21" s="401">
        <f>'COGS-PRICE-MARGIN_CWS'!$E205*BB$13</f>
        <v>43160580.22127001</v>
      </c>
      <c r="BC21" s="401">
        <f>'COGS-PRICE-MARGIN_CWS'!$E205*BC$13</f>
        <v>43160580.22127001</v>
      </c>
      <c r="BD21" s="401">
        <f>'COGS-PRICE-MARGIN_CWS'!$E205*BD$13</f>
        <v>43160580.22127001</v>
      </c>
      <c r="BE21" s="401">
        <f>'COGS-PRICE-MARGIN_CWS'!$E205*BE$13</f>
        <v>43160580.22127001</v>
      </c>
      <c r="BF21" s="401">
        <f>'COGS-PRICE-MARGIN_CWS'!$E205*BF$13</f>
        <v>43160580.22127001</v>
      </c>
      <c r="BG21" s="401">
        <f>'COGS-PRICE-MARGIN_CWS'!$E205*BG$13</f>
        <v>43160580.22127001</v>
      </c>
      <c r="BH21" s="401">
        <f>'COGS-PRICE-MARGIN_CWS'!$E205*BH$13</f>
        <v>43160580.22127001</v>
      </c>
      <c r="BI21" s="401">
        <f>'COGS-PRICE-MARGIN_CWS'!$E205*BI$13</f>
        <v>43160580.22127001</v>
      </c>
      <c r="BJ21" s="401">
        <f>'COGS-PRICE-MARGIN_CWS'!$E205*BJ$13</f>
        <v>28777871.001545008</v>
      </c>
      <c r="BK21" s="402">
        <f>SUM(C21:BJ21)</f>
        <v>1318701111.5885448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47" t="s">
        <v>177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>CostoVentaDiarioLocalAN1*F$13</f>
        <v>308000</v>
      </c>
      <c r="G25" s="12">
        <f>'COGS-PRICE-MARGIN_CWS'!$E15*G$13</f>
        <v>363000</v>
      </c>
      <c r="H25" s="12">
        <f>'COGS-PRICE-MARGIN_CWS'!$E15*H$13</f>
        <v>377000</v>
      </c>
      <c r="I25" s="12">
        <f>'COGS-PRICE-MARGIN_CWS'!$E15*I$13</f>
        <v>377000</v>
      </c>
      <c r="J25" s="12">
        <f>'COGS-PRICE-MARGIN_CWS'!$E15*J$13</f>
        <v>377000</v>
      </c>
      <c r="K25" s="12">
        <f>'COGS-PRICE-MARGIN_CWS'!$E15*K$13</f>
        <v>377000</v>
      </c>
      <c r="L25" s="12">
        <f>'COGS-PRICE-MARGIN_CWS'!$E15*L$13</f>
        <v>377000</v>
      </c>
      <c r="M25" s="12">
        <f>'COGS-PRICE-MARGIN_CWS'!$E15*M$13</f>
        <v>377000</v>
      </c>
      <c r="N25" s="12">
        <f>'COGS-PRICE-MARGIN_CWS'!$E15*N$13</f>
        <v>359000</v>
      </c>
      <c r="O25" s="12">
        <f>'COGS-PRICE-MARGIN_CWS'!$E15*O$13</f>
        <v>354500</v>
      </c>
      <c r="P25" s="12">
        <f>'COGS-PRICE-MARGIN_CWS'!$E15*P$13</f>
        <v>567500</v>
      </c>
      <c r="Q25" s="12">
        <f>'COGS-PRICE-MARGIN_CWS'!$E15*Q$13</f>
        <v>638000</v>
      </c>
      <c r="R25" s="12">
        <f>'COGS-PRICE-MARGIN_CWS'!$E15*R$13</f>
        <v>638000</v>
      </c>
      <c r="S25" s="12">
        <f>'COGS-PRICE-MARGIN_CWS'!$E15*S$13</f>
        <v>638000</v>
      </c>
      <c r="T25" s="12">
        <f>'COGS-PRICE-MARGIN_CWS'!$E15*T$13</f>
        <v>638000</v>
      </c>
      <c r="U25" s="12">
        <f>'COGS-PRICE-MARGIN_CWS'!$E15*U$13</f>
        <v>638000</v>
      </c>
      <c r="V25" s="12">
        <f>'COGS-PRICE-MARGIN_CWS'!$E15*V$13</f>
        <v>638000</v>
      </c>
      <c r="W25" s="12">
        <f>'COGS-PRICE-MARGIN_CWS'!$E15*W$13</f>
        <v>638000</v>
      </c>
      <c r="X25" s="12">
        <f>'COGS-PRICE-MARGIN_CWS'!$E15*X$13</f>
        <v>638000</v>
      </c>
      <c r="Y25" s="12">
        <f>'COGS-PRICE-MARGIN_CWS'!$E15*Y$13</f>
        <v>638000</v>
      </c>
      <c r="Z25" s="12">
        <f>'COGS-PRICE-MARGIN_CWS'!$E15*Z$13</f>
        <v>425000</v>
      </c>
      <c r="AA25" s="12">
        <f>'COGS-PRICE-MARGIN_CWS'!$E15*AA$13</f>
        <v>453500</v>
      </c>
      <c r="AB25" s="12">
        <f>'COGS-PRICE-MARGIN_CWS'!$E15*AB$13</f>
        <v>726000</v>
      </c>
      <c r="AC25" s="12">
        <f>'COGS-PRICE-MARGIN_CWS'!$E15*AC$13</f>
        <v>816500</v>
      </c>
      <c r="AD25" s="12">
        <f>'COGS-PRICE-MARGIN_CWS'!$E15*AD$13</f>
        <v>816500</v>
      </c>
      <c r="AE25" s="12">
        <f>'COGS-PRICE-MARGIN_CWS'!$E15*AE$13</f>
        <v>816500</v>
      </c>
      <c r="AF25" s="12">
        <f>'COGS-PRICE-MARGIN_CWS'!$E15*AF$13</f>
        <v>816500</v>
      </c>
      <c r="AG25" s="12">
        <f>'COGS-PRICE-MARGIN_CWS'!$E15*AG$13</f>
        <v>816500</v>
      </c>
      <c r="AH25" s="12">
        <f>'COGS-PRICE-MARGIN_CWS'!$E15*AH$13</f>
        <v>816500</v>
      </c>
      <c r="AI25" s="12">
        <f>'COGS-PRICE-MARGIN_CWS'!$E15*AI$13</f>
        <v>816500</v>
      </c>
      <c r="AJ25" s="12">
        <f>'COGS-PRICE-MARGIN_CWS'!$E15*AJ$13</f>
        <v>816500</v>
      </c>
      <c r="AK25" s="12">
        <f>'COGS-PRICE-MARGIN_CWS'!$E15*AK$13</f>
        <v>816500</v>
      </c>
      <c r="AL25" s="12">
        <f>'COGS-PRICE-MARGIN_CWS'!$E15*AL$13</f>
        <v>544500</v>
      </c>
      <c r="AM25" s="12">
        <f>'COGS-PRICE-MARGIN_CWS'!$E15*AM$13</f>
        <v>934500</v>
      </c>
      <c r="AN25" s="12">
        <f>'COGS-PRICE-MARGIN_CWS'!$E15*AN$13</f>
        <v>1495500</v>
      </c>
      <c r="AO25" s="12">
        <f>'COGS-PRICE-MARGIN_CWS'!$E15*AO$13</f>
        <v>1682500</v>
      </c>
      <c r="AP25" s="12">
        <f>'COGS-PRICE-MARGIN_CWS'!$E15*AP$13</f>
        <v>1682500</v>
      </c>
      <c r="AQ25" s="12">
        <f>'COGS-PRICE-MARGIN_CWS'!$E15*AQ$13</f>
        <v>1682500</v>
      </c>
      <c r="AR25" s="12">
        <f>'COGS-PRICE-MARGIN_CWS'!$E15*AR$13</f>
        <v>1682500</v>
      </c>
      <c r="AS25" s="12">
        <f>'COGS-PRICE-MARGIN_CWS'!$E15*AS$13</f>
        <v>1682500</v>
      </c>
      <c r="AT25" s="12">
        <f>'COGS-PRICE-MARGIN_CWS'!$E15*AT$13</f>
        <v>1682500</v>
      </c>
      <c r="AU25" s="12">
        <f>'COGS-PRICE-MARGIN_CWS'!$E15*AU$13</f>
        <v>1682500</v>
      </c>
      <c r="AV25" s="12">
        <f>'COGS-PRICE-MARGIN_CWS'!$E15*AV$13</f>
        <v>1682500</v>
      </c>
      <c r="AW25" s="12">
        <f>'COGS-PRICE-MARGIN_CWS'!$E15*AW$13</f>
        <v>1682500</v>
      </c>
      <c r="AX25" s="12">
        <f>'COGS-PRICE-MARGIN_CWS'!$E15*AX$13</f>
        <v>1121500</v>
      </c>
      <c r="AY25" s="12">
        <f>'COGS-PRICE-MARGIN_CWS'!$E15*AY$13</f>
        <v>962500</v>
      </c>
      <c r="AZ25" s="12">
        <f>'COGS-PRICE-MARGIN_CWS'!$E15*AZ$13</f>
        <v>1540500</v>
      </c>
      <c r="BA25" s="12">
        <f>'COGS-PRICE-MARGIN_CWS'!$E15*BA$13</f>
        <v>1733000</v>
      </c>
      <c r="BB25" s="12">
        <f>'COGS-PRICE-MARGIN_CWS'!$E15*BB$13</f>
        <v>1733000</v>
      </c>
      <c r="BC25" s="12">
        <f>'COGS-PRICE-MARGIN_CWS'!$E15*BC$13</f>
        <v>1733000</v>
      </c>
      <c r="BD25" s="12">
        <f>'COGS-PRICE-MARGIN_CWS'!$E15*BD$13</f>
        <v>1733000</v>
      </c>
      <c r="BE25" s="12">
        <f>'COGS-PRICE-MARGIN_CWS'!$E15*BE$13</f>
        <v>1733000</v>
      </c>
      <c r="BF25" s="12">
        <f>'COGS-PRICE-MARGIN_CWS'!$E15*BF$13</f>
        <v>1733000</v>
      </c>
      <c r="BG25" s="12">
        <f>'COGS-PRICE-MARGIN_CWS'!$E15*BG$13</f>
        <v>1733000</v>
      </c>
      <c r="BH25" s="12">
        <f>'COGS-PRICE-MARGIN_CWS'!$E15*BH$13</f>
        <v>1733000</v>
      </c>
      <c r="BI25" s="12">
        <f>'COGS-PRICE-MARGIN_CWS'!$E15*BI$13</f>
        <v>1733000</v>
      </c>
      <c r="BJ25" s="12">
        <f>'COGS-PRICE-MARGIN_CWS'!$E15*BJ$13</f>
        <v>1155500</v>
      </c>
      <c r="BK25" s="118">
        <f>SUM(C25:BJ25)</f>
        <v>57403000</v>
      </c>
    </row>
    <row r="26" spans="1:63" outlineLevel="1" x14ac:dyDescent="0.15">
      <c r="A26" s="47" t="s">
        <v>1277</v>
      </c>
      <c r="C26" s="12">
        <f>'COGS-PRICE-MARGIN_CWS'!$E49*C$13</f>
        <v>0</v>
      </c>
      <c r="D26" s="12">
        <f>'COGS-PRICE-MARGIN_CWS'!$E49*D$13</f>
        <v>0</v>
      </c>
      <c r="E26" s="12">
        <f>'COGS-PRICE-MARGIN_CWS'!$E49*E$13</f>
        <v>0</v>
      </c>
      <c r="F26" s="12">
        <f>CostoVentaDiarioDomicilioAN1*F$13</f>
        <v>739200</v>
      </c>
      <c r="G26" s="12">
        <f>'COGS-PRICE-MARGIN_CWS'!$E49*G$13</f>
        <v>871200</v>
      </c>
      <c r="H26" s="12">
        <f>'COGS-PRICE-MARGIN_CWS'!$E49*H$13</f>
        <v>904800</v>
      </c>
      <c r="I26" s="12">
        <f>'COGS-PRICE-MARGIN_CWS'!$E49*I$13</f>
        <v>904800</v>
      </c>
      <c r="J26" s="12">
        <f>'COGS-PRICE-MARGIN_CWS'!$E49*J$13</f>
        <v>904800</v>
      </c>
      <c r="K26" s="12">
        <f>'COGS-PRICE-MARGIN_CWS'!$E49*K$13</f>
        <v>904800</v>
      </c>
      <c r="L26" s="12">
        <f>'COGS-PRICE-MARGIN_CWS'!$E49*L$13</f>
        <v>904800</v>
      </c>
      <c r="M26" s="12">
        <f>'COGS-PRICE-MARGIN_CWS'!$E49*M$13</f>
        <v>904800</v>
      </c>
      <c r="N26" s="12">
        <f>'COGS-PRICE-MARGIN_CWS'!$E49*N$13</f>
        <v>861600</v>
      </c>
      <c r="O26" s="12">
        <f>'COGS-PRICE-MARGIN_CWS'!$E49*O$13</f>
        <v>850800</v>
      </c>
      <c r="P26" s="12">
        <f>'COGS-PRICE-MARGIN_CWS'!$E49*P$13</f>
        <v>1362000</v>
      </c>
      <c r="Q26" s="12">
        <f>'COGS-PRICE-MARGIN_CWS'!$E49*Q$13</f>
        <v>1531200</v>
      </c>
      <c r="R26" s="12">
        <f>'COGS-PRICE-MARGIN_CWS'!$E49*R$13</f>
        <v>1531200</v>
      </c>
      <c r="S26" s="12">
        <f>'COGS-PRICE-MARGIN_CWS'!$E49*S$13</f>
        <v>1531200</v>
      </c>
      <c r="T26" s="12">
        <f>'COGS-PRICE-MARGIN_CWS'!$E49*T$13</f>
        <v>1531200</v>
      </c>
      <c r="U26" s="12">
        <f>'COGS-PRICE-MARGIN_CWS'!$E49*U$13</f>
        <v>1531200</v>
      </c>
      <c r="V26" s="12">
        <f>'COGS-PRICE-MARGIN_CWS'!$E49*V$13</f>
        <v>1531200</v>
      </c>
      <c r="W26" s="12">
        <f>'COGS-PRICE-MARGIN_CWS'!$E49*W$13</f>
        <v>1531200</v>
      </c>
      <c r="X26" s="12">
        <f>'COGS-PRICE-MARGIN_CWS'!$E49*X$13</f>
        <v>1531200</v>
      </c>
      <c r="Y26" s="12">
        <f>'COGS-PRICE-MARGIN_CWS'!$E49*Y$13</f>
        <v>1531200</v>
      </c>
      <c r="Z26" s="12">
        <f>'COGS-PRICE-MARGIN_CWS'!$E49*Z$13</f>
        <v>1020000</v>
      </c>
      <c r="AA26" s="12">
        <f>'COGS-PRICE-MARGIN_CWS'!$E49*AA$13</f>
        <v>1088400</v>
      </c>
      <c r="AB26" s="12">
        <f>'COGS-PRICE-MARGIN_CWS'!$E49*AB$13</f>
        <v>1742400</v>
      </c>
      <c r="AC26" s="12">
        <f>'COGS-PRICE-MARGIN_CWS'!$E49*AC$13</f>
        <v>1959600</v>
      </c>
      <c r="AD26" s="12">
        <f>'COGS-PRICE-MARGIN_CWS'!$E49*AD$13</f>
        <v>1959600</v>
      </c>
      <c r="AE26" s="12">
        <f>'COGS-PRICE-MARGIN_CWS'!$E49*AE$13</f>
        <v>1959600</v>
      </c>
      <c r="AF26" s="12">
        <f>'COGS-PRICE-MARGIN_CWS'!$E49*AF$13</f>
        <v>1959600</v>
      </c>
      <c r="AG26" s="12">
        <f>'COGS-PRICE-MARGIN_CWS'!$E49*AG$13</f>
        <v>1959600</v>
      </c>
      <c r="AH26" s="12">
        <f>'COGS-PRICE-MARGIN_CWS'!$E49*AH$13</f>
        <v>1959600</v>
      </c>
      <c r="AI26" s="12">
        <f>'COGS-PRICE-MARGIN_CWS'!$E49*AI$13</f>
        <v>1959600</v>
      </c>
      <c r="AJ26" s="12">
        <f>'COGS-PRICE-MARGIN_CWS'!$E49*AJ$13</f>
        <v>1959600</v>
      </c>
      <c r="AK26" s="12">
        <f>'COGS-PRICE-MARGIN_CWS'!$E49*AK$13</f>
        <v>1959600</v>
      </c>
      <c r="AL26" s="12">
        <f>'COGS-PRICE-MARGIN_CWS'!$E49*AL$13</f>
        <v>1306800</v>
      </c>
      <c r="AM26" s="12">
        <f>'COGS-PRICE-MARGIN_CWS'!$E49*AM$13</f>
        <v>2242800</v>
      </c>
      <c r="AN26" s="12">
        <f>'COGS-PRICE-MARGIN_CWS'!$E49*AN$13</f>
        <v>3589200</v>
      </c>
      <c r="AO26" s="12">
        <f>'COGS-PRICE-MARGIN_CWS'!$E49*AO$13</f>
        <v>4038000</v>
      </c>
      <c r="AP26" s="12">
        <f>'COGS-PRICE-MARGIN_CWS'!$E49*AP$13</f>
        <v>4038000</v>
      </c>
      <c r="AQ26" s="12">
        <f>'COGS-PRICE-MARGIN_CWS'!$E49*AQ$13</f>
        <v>4038000</v>
      </c>
      <c r="AR26" s="12">
        <f>'COGS-PRICE-MARGIN_CWS'!$E49*AR$13</f>
        <v>4038000</v>
      </c>
      <c r="AS26" s="12">
        <f>'COGS-PRICE-MARGIN_CWS'!$E49*AS$13</f>
        <v>4038000</v>
      </c>
      <c r="AT26" s="12">
        <f>'COGS-PRICE-MARGIN_CWS'!$E49*AT$13</f>
        <v>4038000</v>
      </c>
      <c r="AU26" s="12">
        <f>'COGS-PRICE-MARGIN_CWS'!$E49*AU$13</f>
        <v>4038000</v>
      </c>
      <c r="AV26" s="12">
        <f>'COGS-PRICE-MARGIN_CWS'!$E49*AV$13</f>
        <v>4038000</v>
      </c>
      <c r="AW26" s="12">
        <f>'COGS-PRICE-MARGIN_CWS'!$E49*AW$13</f>
        <v>4038000</v>
      </c>
      <c r="AX26" s="12">
        <f>'COGS-PRICE-MARGIN_CWS'!$E49*AX$13</f>
        <v>2691600</v>
      </c>
      <c r="AY26" s="12">
        <f>'COGS-PRICE-MARGIN_CWS'!$E49*AY$13</f>
        <v>2310000</v>
      </c>
      <c r="AZ26" s="12">
        <f>'COGS-PRICE-MARGIN_CWS'!$E49*AZ$13</f>
        <v>3697200</v>
      </c>
      <c r="BA26" s="12">
        <f>'COGS-PRICE-MARGIN_CWS'!$E49*BA$13</f>
        <v>4159200</v>
      </c>
      <c r="BB26" s="12">
        <f>'COGS-PRICE-MARGIN_CWS'!$E49*BB$13</f>
        <v>4159200</v>
      </c>
      <c r="BC26" s="12">
        <f>'COGS-PRICE-MARGIN_CWS'!$E49*BC$13</f>
        <v>4159200</v>
      </c>
      <c r="BD26" s="12">
        <f>'COGS-PRICE-MARGIN_CWS'!$E49*BD$13</f>
        <v>4159200</v>
      </c>
      <c r="BE26" s="12">
        <f>'COGS-PRICE-MARGIN_CWS'!$E49*BE$13</f>
        <v>4159200</v>
      </c>
      <c r="BF26" s="12">
        <f>'COGS-PRICE-MARGIN_CWS'!$E49*BF$13</f>
        <v>4159200</v>
      </c>
      <c r="BG26" s="12">
        <f>'COGS-PRICE-MARGIN_CWS'!$E49*BG$13</f>
        <v>4159200</v>
      </c>
      <c r="BH26" s="12">
        <f>'COGS-PRICE-MARGIN_CWS'!$E49*BH$13</f>
        <v>4159200</v>
      </c>
      <c r="BI26" s="12">
        <f>'COGS-PRICE-MARGIN_CWS'!$E49*BI$13</f>
        <v>4159200</v>
      </c>
      <c r="BJ26" s="12">
        <f>'COGS-PRICE-MARGIN_CWS'!$E49*BJ$13</f>
        <v>2773200</v>
      </c>
      <c r="BK26" s="118">
        <f>SUM(C26:BJ26)</f>
        <v>137767200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333</v>
      </c>
      <c r="C28" s="400">
        <f>SUM(C21:C26)</f>
        <v>0</v>
      </c>
      <c r="D28" s="400">
        <f>SUM(D21:D26)</f>
        <v>0</v>
      </c>
      <c r="E28" s="400">
        <f>SUM(E21:E26)</f>
        <v>0</v>
      </c>
      <c r="F28" s="400">
        <f>SUM(F21:F26)</f>
        <v>6899200</v>
      </c>
      <c r="G28" s="400">
        <f>SUM(G21:G26)</f>
        <v>8131200</v>
      </c>
      <c r="H28" s="400">
        <f>SUM(H21:H26)</f>
        <v>8444800</v>
      </c>
      <c r="I28" s="400">
        <f>SUM(I21:I26)</f>
        <v>8444800</v>
      </c>
      <c r="J28" s="400">
        <f>SUM(J21:J26)</f>
        <v>8444800</v>
      </c>
      <c r="K28" s="400">
        <f>SUM(K21:K26)</f>
        <v>8444800</v>
      </c>
      <c r="L28" s="400">
        <f>SUM(L21:L26)</f>
        <v>8444800</v>
      </c>
      <c r="M28" s="400">
        <f>SUM(M21:M26)</f>
        <v>8444800</v>
      </c>
      <c r="N28" s="400">
        <f>SUM(N21:N26)</f>
        <v>8041600</v>
      </c>
      <c r="O28" s="400">
        <f>SUM(O21:O26)</f>
        <v>8412285</v>
      </c>
      <c r="P28" s="400">
        <f>SUM(P21:P26)</f>
        <v>13466775</v>
      </c>
      <c r="Q28" s="400">
        <f>SUM(Q21:Q26)</f>
        <v>15139740</v>
      </c>
      <c r="R28" s="400">
        <f>SUM(R21:R26)</f>
        <v>15139740</v>
      </c>
      <c r="S28" s="400">
        <f>SUM(S21:S26)</f>
        <v>15139740</v>
      </c>
      <c r="T28" s="400">
        <f>SUM(T21:T26)</f>
        <v>15139740</v>
      </c>
      <c r="U28" s="400">
        <f>SUM(U21:U26)</f>
        <v>15139740</v>
      </c>
      <c r="V28" s="400">
        <f>SUM(V21:V26)</f>
        <v>15139740</v>
      </c>
      <c r="W28" s="400">
        <f>SUM(W21:W26)</f>
        <v>15139740</v>
      </c>
      <c r="X28" s="400">
        <f>SUM(X21:X26)</f>
        <v>15139740</v>
      </c>
      <c r="Y28" s="400">
        <f>SUM(Y21:Y26)</f>
        <v>15139740</v>
      </c>
      <c r="Z28" s="400">
        <f>SUM(Z21:Z26)</f>
        <v>10085250</v>
      </c>
      <c r="AA28" s="400">
        <f>SUM(AA21:AA26)</f>
        <v>11406930.850000001</v>
      </c>
      <c r="AB28" s="400">
        <f>SUM(AB21:AB26)</f>
        <v>18261150.600000001</v>
      </c>
      <c r="AC28" s="400">
        <f>SUM(AC21:AC26)</f>
        <v>20537506.150000002</v>
      </c>
      <c r="AD28" s="400">
        <f>SUM(AD21:AD26)</f>
        <v>20537506.150000002</v>
      </c>
      <c r="AE28" s="400">
        <f>SUM(AE21:AE26)</f>
        <v>20537506.150000002</v>
      </c>
      <c r="AF28" s="400">
        <f>SUM(AF21:AF26)</f>
        <v>20537506.150000002</v>
      </c>
      <c r="AG28" s="400">
        <f>SUM(AG21:AG26)</f>
        <v>20537506.150000002</v>
      </c>
      <c r="AH28" s="400">
        <f>SUM(AH21:AH26)</f>
        <v>20537506.150000002</v>
      </c>
      <c r="AI28" s="400">
        <f>SUM(AI21:AI26)</f>
        <v>20537506.150000002</v>
      </c>
      <c r="AJ28" s="400">
        <f>SUM(AJ21:AJ26)</f>
        <v>20537506.150000002</v>
      </c>
      <c r="AK28" s="400">
        <f>SUM(AK21:AK26)</f>
        <v>20537506.150000002</v>
      </c>
      <c r="AL28" s="400">
        <f>SUM(AL21:AL26)</f>
        <v>13695862.950000001</v>
      </c>
      <c r="AM28" s="400">
        <f>SUM(AM21:AM26)</f>
        <v>24928550.986500002</v>
      </c>
      <c r="AN28" s="400">
        <f>SUM(AN21:AN26)</f>
        <v>39893684.323500007</v>
      </c>
      <c r="AO28" s="400">
        <f>SUM(AO21:AO26)</f>
        <v>44882062.102500007</v>
      </c>
      <c r="AP28" s="400">
        <f>SUM(AP21:AP26)</f>
        <v>44882062.102500007</v>
      </c>
      <c r="AQ28" s="400">
        <f>SUM(AQ21:AQ26)</f>
        <v>44882062.102500007</v>
      </c>
      <c r="AR28" s="400">
        <f>SUM(AR21:AR26)</f>
        <v>44882062.102500007</v>
      </c>
      <c r="AS28" s="400">
        <f>SUM(AS21:AS26)</f>
        <v>44882062.102500007</v>
      </c>
      <c r="AT28" s="400">
        <f>SUM(AT21:AT26)</f>
        <v>44882062.102500007</v>
      </c>
      <c r="AU28" s="400">
        <f>SUM(AU21:AU26)</f>
        <v>44882062.102500007</v>
      </c>
      <c r="AV28" s="400">
        <f>SUM(AV21:AV26)</f>
        <v>44882062.102500007</v>
      </c>
      <c r="AW28" s="400">
        <f>SUM(AW21:AW26)</f>
        <v>44882062.102500007</v>
      </c>
      <c r="AX28" s="400">
        <f>SUM(AX21:AX26)</f>
        <v>29916928.765500002</v>
      </c>
      <c r="AY28" s="400">
        <f>SUM(AY21:AY26)</f>
        <v>27243682.032875005</v>
      </c>
      <c r="AZ28" s="400">
        <f>SUM(AZ21:AZ26)</f>
        <v>43604043.814695008</v>
      </c>
      <c r="BA28" s="400">
        <f>SUM(BA21:BA26)</f>
        <v>49052780.22127001</v>
      </c>
      <c r="BB28" s="400">
        <f>SUM(BB21:BB26)</f>
        <v>49052780.22127001</v>
      </c>
      <c r="BC28" s="400">
        <f>SUM(BC21:BC26)</f>
        <v>49052780.22127001</v>
      </c>
      <c r="BD28" s="400">
        <f>SUM(BD21:BD26)</f>
        <v>49052780.22127001</v>
      </c>
      <c r="BE28" s="400">
        <f>SUM(BE21:BE26)</f>
        <v>49052780.22127001</v>
      </c>
      <c r="BF28" s="400">
        <f>SUM(BF21:BF26)</f>
        <v>49052780.22127001</v>
      </c>
      <c r="BG28" s="400">
        <f>SUM(BG21:BG26)</f>
        <v>49052780.22127001</v>
      </c>
      <c r="BH28" s="400">
        <f>SUM(BH21:BH26)</f>
        <v>49052780.22127001</v>
      </c>
      <c r="BI28" s="400">
        <f>SUM(BI21:BI26)</f>
        <v>49052780.22127001</v>
      </c>
      <c r="BJ28" s="400">
        <f>SUM(BJ21:BJ26)</f>
        <v>32706571.001545008</v>
      </c>
      <c r="BK28" s="402">
        <f>SUM(C28:BJ28)</f>
        <v>1513871311.5885451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330</v>
      </c>
      <c r="C30" s="400">
        <f>C17-C28</f>
        <v>0</v>
      </c>
      <c r="D30" s="400">
        <f>D17-D28</f>
        <v>0</v>
      </c>
      <c r="E30" s="400">
        <f>E17-E28</f>
        <v>0</v>
      </c>
      <c r="F30" s="400">
        <f>F17-F28</f>
        <v>1724800</v>
      </c>
      <c r="G30" s="400">
        <f>G17-G28</f>
        <v>2032800</v>
      </c>
      <c r="H30" s="400">
        <f>H17-H28</f>
        <v>2111200</v>
      </c>
      <c r="I30" s="400">
        <f>I17-I28</f>
        <v>2111200</v>
      </c>
      <c r="J30" s="400">
        <f>J17-J28</f>
        <v>2111200</v>
      </c>
      <c r="K30" s="400">
        <f>K17-K28</f>
        <v>2111200</v>
      </c>
      <c r="L30" s="400">
        <f>L17-L28</f>
        <v>2111200</v>
      </c>
      <c r="M30" s="400">
        <f>M17-M28</f>
        <v>2111200</v>
      </c>
      <c r="N30" s="400">
        <f>N17-N28</f>
        <v>2010400</v>
      </c>
      <c r="O30" s="400">
        <f>O17-O28</f>
        <v>2208535</v>
      </c>
      <c r="P30" s="400">
        <f>P17-P28</f>
        <v>3535525</v>
      </c>
      <c r="Q30" s="400">
        <f>Q17-Q28</f>
        <v>3974740</v>
      </c>
      <c r="R30" s="400">
        <f>R17-R28</f>
        <v>3974740</v>
      </c>
      <c r="S30" s="400">
        <f>S17-S28</f>
        <v>3974740</v>
      </c>
      <c r="T30" s="400">
        <f>T17-T28</f>
        <v>3974740</v>
      </c>
      <c r="U30" s="400">
        <f>U17-U28</f>
        <v>3974740</v>
      </c>
      <c r="V30" s="400">
        <f>V17-V28</f>
        <v>3974740</v>
      </c>
      <c r="W30" s="400">
        <f>W17-W28</f>
        <v>3974740</v>
      </c>
      <c r="X30" s="400">
        <f>X17-X28</f>
        <v>3974740</v>
      </c>
      <c r="Y30" s="400">
        <f>Y17-Y28</f>
        <v>3974740</v>
      </c>
      <c r="Z30" s="400">
        <f>Z17-Z28</f>
        <v>2647750</v>
      </c>
      <c r="AA30" s="400">
        <f>AA17-AA28</f>
        <v>3131009.3499999996</v>
      </c>
      <c r="AB30" s="400">
        <f>AB17-AB28</f>
        <v>5012376.5999999978</v>
      </c>
      <c r="AC30" s="400">
        <f>AC17-AC28</f>
        <v>5637197.6499999985</v>
      </c>
      <c r="AD30" s="400">
        <f>AD17-AD28</f>
        <v>5637197.6499999985</v>
      </c>
      <c r="AE30" s="400">
        <f>AE17-AE28</f>
        <v>5637197.6499999985</v>
      </c>
      <c r="AF30" s="400">
        <f>AF17-AF28</f>
        <v>5637197.6499999985</v>
      </c>
      <c r="AG30" s="400">
        <f>AG17-AG28</f>
        <v>5637197.6499999985</v>
      </c>
      <c r="AH30" s="400">
        <f>AH17-AH28</f>
        <v>5637197.6499999985</v>
      </c>
      <c r="AI30" s="400">
        <f>AI17-AI28</f>
        <v>5637197.6499999985</v>
      </c>
      <c r="AJ30" s="400">
        <f>AJ17-AJ28</f>
        <v>5637197.6499999985</v>
      </c>
      <c r="AK30" s="400">
        <f>AK17-AK28</f>
        <v>5637197.6499999985</v>
      </c>
      <c r="AL30" s="400">
        <f>AL17-AL28</f>
        <v>3759282.4500000011</v>
      </c>
      <c r="AM30" s="400">
        <f>AM17-AM28</f>
        <v>7125924.1515000015</v>
      </c>
      <c r="AN30" s="400">
        <f>AN17-AN28</f>
        <v>11403766.258500002</v>
      </c>
      <c r="AO30" s="400">
        <f>AO17-AO28</f>
        <v>12829713.627500005</v>
      </c>
      <c r="AP30" s="400">
        <f>AP17-AP28</f>
        <v>12829713.627500005</v>
      </c>
      <c r="AQ30" s="400">
        <f>AQ17-AQ28</f>
        <v>12829713.627500005</v>
      </c>
      <c r="AR30" s="400">
        <f>AR17-AR28</f>
        <v>12829713.627500005</v>
      </c>
      <c r="AS30" s="400">
        <f>AS17-AS28</f>
        <v>12829713.627500005</v>
      </c>
      <c r="AT30" s="400">
        <f>AT17-AT28</f>
        <v>12829713.627500005</v>
      </c>
      <c r="AU30" s="400">
        <f>AU17-AU28</f>
        <v>12829713.627500005</v>
      </c>
      <c r="AV30" s="400">
        <f>AV17-AV28</f>
        <v>12829713.627500005</v>
      </c>
      <c r="AW30" s="400">
        <f>AW17-AW28</f>
        <v>12829713.627500005</v>
      </c>
      <c r="AX30" s="400">
        <f>AX17-AX28</f>
        <v>8551871.5205000043</v>
      </c>
      <c r="AY30" s="400">
        <f>AY17-AY28</f>
        <v>8082270.4366250001</v>
      </c>
      <c r="AZ30" s="400">
        <f>AZ17-AZ28</f>
        <v>12935831.280645005</v>
      </c>
      <c r="BA30" s="400">
        <f>BA17-BA28</f>
        <v>14552285.367970005</v>
      </c>
      <c r="BB30" s="400">
        <f>BB17-BB28</f>
        <v>14552285.367970005</v>
      </c>
      <c r="BC30" s="400">
        <f>BC17-BC28</f>
        <v>14552285.367970005</v>
      </c>
      <c r="BD30" s="400">
        <f>BD17-BD28</f>
        <v>14552285.367970005</v>
      </c>
      <c r="BE30" s="400">
        <f>BE17-BE28</f>
        <v>14552285.367970005</v>
      </c>
      <c r="BF30" s="400">
        <f>BF17-BF28</f>
        <v>14552285.367970005</v>
      </c>
      <c r="BG30" s="400">
        <f>BG17-BG28</f>
        <v>14552285.367970005</v>
      </c>
      <c r="BH30" s="400">
        <f>BH17-BH28</f>
        <v>14552285.367970005</v>
      </c>
      <c r="BI30" s="400">
        <f>BI17-BI28</f>
        <v>14552285.367970005</v>
      </c>
      <c r="BJ30" s="400">
        <f>BJ17-BJ28</f>
        <v>9702923.1059950031</v>
      </c>
      <c r="BK30" s="402">
        <f>SUM(C30:BJ30)</f>
        <v>429477694.96299493</v>
      </c>
    </row>
    <row r="31" spans="1:63" s="14" customFormat="1" outlineLevel="1" x14ac:dyDescent="0.15">
      <c r="A31" s="73" t="s">
        <v>318</v>
      </c>
      <c r="C31" s="100">
        <f>IF(C30&gt;0,(C30/C17),0)</f>
        <v>0</v>
      </c>
      <c r="D31" s="100">
        <f>IF(D30&gt;0,(D30/D17),0)</f>
        <v>0</v>
      </c>
      <c r="E31" s="100">
        <f>IF(E30&gt;0,(E30/E17),0)</f>
        <v>0</v>
      </c>
      <c r="F31" s="100">
        <f>IF(F30&gt;0,(F30/F17),0)</f>
        <v>0.2</v>
      </c>
      <c r="G31" s="100">
        <f>IF(G30&gt;0,(G30/G17),0)</f>
        <v>0.2</v>
      </c>
      <c r="H31" s="100">
        <f>IF(H30&gt;0,(H30/H17),0)</f>
        <v>0.2</v>
      </c>
      <c r="I31" s="100">
        <f>IF(I30&gt;0,(I30/I17),0)</f>
        <v>0.2</v>
      </c>
      <c r="J31" s="100">
        <f>IF(J30&gt;0,(J30/J17),0)</f>
        <v>0.2</v>
      </c>
      <c r="K31" s="100">
        <f>IF(K30&gt;0,(K30/K17),0)</f>
        <v>0.2</v>
      </c>
      <c r="L31" s="100">
        <f>IF(L30&gt;0,(L30/L17),0)</f>
        <v>0.2</v>
      </c>
      <c r="M31" s="100">
        <f>IF(M30&gt;0,(M30/M17),0)</f>
        <v>0.2</v>
      </c>
      <c r="N31" s="100">
        <f>IF(N30&gt;0,(N30/N17),0)</f>
        <v>0.2</v>
      </c>
      <c r="O31" s="100">
        <f>IF(O30&gt;0,(O30/O17),0)</f>
        <v>0.20794392523364486</v>
      </c>
      <c r="P31" s="100">
        <f>IF(P30&gt;0,(P30/P17),0)</f>
        <v>0.20794392523364486</v>
      </c>
      <c r="Q31" s="100">
        <f>IF(Q30&gt;0,(Q30/Q17),0)</f>
        <v>0.20794392523364486</v>
      </c>
      <c r="R31" s="100">
        <f>IF(R30&gt;0,(R30/R17),0)</f>
        <v>0.20794392523364486</v>
      </c>
      <c r="S31" s="100">
        <f>IF(S30&gt;0,(S30/S17),0)</f>
        <v>0.20794392523364486</v>
      </c>
      <c r="T31" s="100">
        <f>IF(T30&gt;0,(T30/T17),0)</f>
        <v>0.20794392523364486</v>
      </c>
      <c r="U31" s="100">
        <f>IF(U30&gt;0,(U30/U17),0)</f>
        <v>0.20794392523364486</v>
      </c>
      <c r="V31" s="100">
        <f>IF(V30&gt;0,(V30/V17),0)</f>
        <v>0.20794392523364486</v>
      </c>
      <c r="W31" s="100">
        <f>IF(W30&gt;0,(W30/W17),0)</f>
        <v>0.20794392523364486</v>
      </c>
      <c r="X31" s="100">
        <f>IF(X30&gt;0,(X30/X17),0)</f>
        <v>0.20794392523364486</v>
      </c>
      <c r="Y31" s="100">
        <f>IF(Y30&gt;0,(Y30/Y17),0)</f>
        <v>0.20794392523364486</v>
      </c>
      <c r="Z31" s="100">
        <f>IF(Z30&gt;0,(Z30/Z17),0)</f>
        <v>0.20794392523364486</v>
      </c>
      <c r="AA31" s="100">
        <f>IF(AA30&gt;0,(AA30/AA17),0)</f>
        <v>0.21536815442396712</v>
      </c>
      <c r="AB31" s="100">
        <f>IF(AB30&gt;0,(AB30/AB17),0)</f>
        <v>0.21536815442396706</v>
      </c>
      <c r="AC31" s="100">
        <f>IF(AC30&gt;0,(AC30/AC17),0)</f>
        <v>0.21536815442396709</v>
      </c>
      <c r="AD31" s="100">
        <f>IF(AD30&gt;0,(AD30/AD17),0)</f>
        <v>0.21536815442396709</v>
      </c>
      <c r="AE31" s="100">
        <f>IF(AE30&gt;0,(AE30/AE17),0)</f>
        <v>0.21536815442396709</v>
      </c>
      <c r="AF31" s="100">
        <f>IF(AF30&gt;0,(AF30/AF17),0)</f>
        <v>0.21536815442396709</v>
      </c>
      <c r="AG31" s="100">
        <f>IF(AG30&gt;0,(AG30/AG17),0)</f>
        <v>0.21536815442396709</v>
      </c>
      <c r="AH31" s="100">
        <f>IF(AH30&gt;0,(AH30/AH17),0)</f>
        <v>0.21536815442396709</v>
      </c>
      <c r="AI31" s="100">
        <f>IF(AI30&gt;0,(AI30/AI17),0)</f>
        <v>0.21536815442396709</v>
      </c>
      <c r="AJ31" s="100">
        <f>IF(AJ30&gt;0,(AJ30/AJ17),0)</f>
        <v>0.21536815442396709</v>
      </c>
      <c r="AK31" s="100">
        <f>IF(AK30&gt;0,(AK30/AK17),0)</f>
        <v>0.21536815442396709</v>
      </c>
      <c r="AL31" s="100">
        <f>IF(AL30&gt;0,(AL30/AL17),0)</f>
        <v>0.2153681544239672</v>
      </c>
      <c r="AM31" s="100">
        <f>IF(AM30&gt;0,(AM30/AM17),0)</f>
        <v>0.22230668637753942</v>
      </c>
      <c r="AN31" s="100">
        <f>IF(AN30&gt;0,(AN30/AN17),0)</f>
        <v>0.22230668637753939</v>
      </c>
      <c r="AO31" s="100">
        <f>IF(AO30&gt;0,(AO30/AO17),0)</f>
        <v>0.22230668637753945</v>
      </c>
      <c r="AP31" s="100">
        <f>IF(AP30&gt;0,(AP30/AP17),0)</f>
        <v>0.22230668637753945</v>
      </c>
      <c r="AQ31" s="100">
        <f>IF(AQ30&gt;0,(AQ30/AQ17),0)</f>
        <v>0.22230668637753945</v>
      </c>
      <c r="AR31" s="100">
        <f>IF(AR30&gt;0,(AR30/AR17),0)</f>
        <v>0.22230668637753945</v>
      </c>
      <c r="AS31" s="100">
        <f>IF(AS30&gt;0,(AS30/AS17),0)</f>
        <v>0.22230668637753945</v>
      </c>
      <c r="AT31" s="100">
        <f>IF(AT30&gt;0,(AT30/AT17),0)</f>
        <v>0.22230668637753945</v>
      </c>
      <c r="AU31" s="100">
        <f>IF(AU30&gt;0,(AU30/AU17),0)</f>
        <v>0.22230668637753945</v>
      </c>
      <c r="AV31" s="100">
        <f>IF(AV30&gt;0,(AV30/AV17),0)</f>
        <v>0.22230668637753945</v>
      </c>
      <c r="AW31" s="100">
        <f>IF(AW30&gt;0,(AW30/AW17),0)</f>
        <v>0.22230668637753945</v>
      </c>
      <c r="AX31" s="100">
        <f>IF(AX30&gt;0,(AX30/AX17),0)</f>
        <v>0.22230668637753948</v>
      </c>
      <c r="AY31" s="100">
        <f>IF(AY30&gt;0,(AY30/AY17),0)</f>
        <v>0.22879129567994333</v>
      </c>
      <c r="AZ31" s="100">
        <f>IF(AZ30&gt;0,(AZ30/AZ17),0)</f>
        <v>0.22879129567994341</v>
      </c>
      <c r="BA31" s="100">
        <f>IF(BA30&gt;0,(BA30/BA17),0)</f>
        <v>0.22879129567994339</v>
      </c>
      <c r="BB31" s="100">
        <f>IF(BB30&gt;0,(BB30/BB17),0)</f>
        <v>0.22879129567994339</v>
      </c>
      <c r="BC31" s="100">
        <f>IF(BC30&gt;0,(BC30/BC17),0)</f>
        <v>0.22879129567994339</v>
      </c>
      <c r="BD31" s="100">
        <f>IF(BD30&gt;0,(BD30/BD17),0)</f>
        <v>0.22879129567994339</v>
      </c>
      <c r="BE31" s="100">
        <f>IF(BE30&gt;0,(BE30/BE17),0)</f>
        <v>0.22879129567994339</v>
      </c>
      <c r="BF31" s="100">
        <f>IF(BF30&gt;0,(BF30/BF17),0)</f>
        <v>0.22879129567994339</v>
      </c>
      <c r="BG31" s="100">
        <f>IF(BG30&gt;0,(BG30/BG17),0)</f>
        <v>0.22879129567994339</v>
      </c>
      <c r="BH31" s="100">
        <f>IF(BH30&gt;0,(BH30/BH17),0)</f>
        <v>0.22879129567994339</v>
      </c>
      <c r="BI31" s="100">
        <f>IF(BI30&gt;0,(BI30/BI17),0)</f>
        <v>0.22879129567994339</v>
      </c>
      <c r="BJ31" s="100">
        <f>IF(BJ30&gt;0,(BJ30/BJ17),0)</f>
        <v>0.22879129567994339</v>
      </c>
      <c r="BK31" s="119"/>
    </row>
    <row r="32" spans="1:63" outlineLevel="1" x14ac:dyDescent="0.15"/>
    <row r="33" spans="1:63" outlineLevel="1" x14ac:dyDescent="0.15">
      <c r="A33" s="16" t="s">
        <v>1199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98">
        <f>'COGS-PRICE-MARGIN_CWS'!$B23</f>
        <v>0.25</v>
      </c>
      <c r="G35" s="98">
        <f>'COGS-PRICE-MARGIN_CWS'!$B23</f>
        <v>0.25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>C13-C37</f>
        <v>0</v>
      </c>
      <c r="D36" s="169">
        <f>D13-D37</f>
        <v>0</v>
      </c>
      <c r="E36" s="169">
        <f>E13-E37</f>
        <v>0</v>
      </c>
      <c r="F36" s="169">
        <f>F13-F37</f>
        <v>462</v>
      </c>
      <c r="G36" s="169">
        <f>G13-G37</f>
        <v>544</v>
      </c>
      <c r="H36" s="169">
        <f>H13-H37</f>
        <v>565</v>
      </c>
      <c r="I36" s="169">
        <f>I13-I37</f>
        <v>565</v>
      </c>
      <c r="J36" s="169">
        <f>J13-J37</f>
        <v>565</v>
      </c>
      <c r="K36" s="169">
        <f>K13-K37</f>
        <v>565</v>
      </c>
      <c r="L36" s="169">
        <f>L13-L37</f>
        <v>565</v>
      </c>
      <c r="M36" s="169">
        <f>M13-M37</f>
        <v>565</v>
      </c>
      <c r="N36" s="169">
        <f>N13-N37</f>
        <v>538</v>
      </c>
      <c r="O36" s="169">
        <f>O13-O37</f>
        <v>517</v>
      </c>
      <c r="P36" s="169">
        <f>P13-P37</f>
        <v>828</v>
      </c>
      <c r="Q36" s="169">
        <f>Q13-Q37</f>
        <v>931</v>
      </c>
      <c r="R36" s="169">
        <f>R13-R37</f>
        <v>931</v>
      </c>
      <c r="S36" s="169">
        <f>S13-S37</f>
        <v>931</v>
      </c>
      <c r="T36" s="169">
        <f>T13-T37</f>
        <v>931</v>
      </c>
      <c r="U36" s="169">
        <f>U13-U37</f>
        <v>931</v>
      </c>
      <c r="V36" s="169">
        <f>V13-V37</f>
        <v>931</v>
      </c>
      <c r="W36" s="169">
        <f>W13-W37</f>
        <v>931</v>
      </c>
      <c r="X36" s="169">
        <f>X13-X37</f>
        <v>931</v>
      </c>
      <c r="Y36" s="169">
        <f>Y13-Y37</f>
        <v>931</v>
      </c>
      <c r="Z36" s="169">
        <f>Z13-Z37</f>
        <v>620</v>
      </c>
      <c r="AA36" s="102">
        <f>AA13-AA37</f>
        <v>625</v>
      </c>
      <c r="AB36" s="102">
        <f>AB13-AB37</f>
        <v>1001</v>
      </c>
      <c r="AC36" s="102">
        <f>AC13-AC37</f>
        <v>1126</v>
      </c>
      <c r="AD36" s="102">
        <f>AD13-AD37</f>
        <v>1126</v>
      </c>
      <c r="AE36" s="102">
        <f>AE13-AE37</f>
        <v>1126</v>
      </c>
      <c r="AF36" s="102">
        <f>AF13-AF37</f>
        <v>1126</v>
      </c>
      <c r="AG36" s="102">
        <f>AG13-AG37</f>
        <v>1126</v>
      </c>
      <c r="AH36" s="102">
        <f>AH13-AH37</f>
        <v>1126</v>
      </c>
      <c r="AI36" s="102">
        <f>AI13-AI37</f>
        <v>1126</v>
      </c>
      <c r="AJ36" s="102">
        <f>AJ13-AJ37</f>
        <v>1126</v>
      </c>
      <c r="AK36" s="102">
        <f>AK13-AK37</f>
        <v>1126</v>
      </c>
      <c r="AL36" s="102">
        <f>AL13-AL37</f>
        <v>751</v>
      </c>
      <c r="AM36" s="102">
        <f>AM13-AM37</f>
        <v>1308</v>
      </c>
      <c r="AN36" s="102">
        <f>AN13-AN37</f>
        <v>2093</v>
      </c>
      <c r="AO36" s="102">
        <f>AO13-AO37</f>
        <v>2355</v>
      </c>
      <c r="AP36" s="102">
        <f>AP13-AP37</f>
        <v>2355</v>
      </c>
      <c r="AQ36" s="102">
        <f>AQ13-AQ37</f>
        <v>2355</v>
      </c>
      <c r="AR36" s="102">
        <f>AR13-AR37</f>
        <v>2355</v>
      </c>
      <c r="AS36" s="102">
        <f>AS13-AS37</f>
        <v>2355</v>
      </c>
      <c r="AT36" s="102">
        <f>AT13-AT37</f>
        <v>2355</v>
      </c>
      <c r="AU36" s="102">
        <f>AU13-AU37</f>
        <v>2355</v>
      </c>
      <c r="AV36" s="102">
        <f>AV13-AV37</f>
        <v>2355</v>
      </c>
      <c r="AW36" s="102">
        <f>AW13-AW37</f>
        <v>2355</v>
      </c>
      <c r="AX36" s="102">
        <f>AX13-AX37</f>
        <v>1570</v>
      </c>
      <c r="AY36" s="102">
        <f>AY13-AY37</f>
        <v>1347</v>
      </c>
      <c r="AZ36" s="102">
        <f>AZ13-AZ37</f>
        <v>2156</v>
      </c>
      <c r="BA36" s="102">
        <f>BA13-BA37</f>
        <v>2426</v>
      </c>
      <c r="BB36" s="102">
        <f>BB13-BB37</f>
        <v>2426</v>
      </c>
      <c r="BC36" s="102">
        <f>BC13-BC37</f>
        <v>2426</v>
      </c>
      <c r="BD36" s="102">
        <f>BD13-BD37</f>
        <v>2426</v>
      </c>
      <c r="BE36" s="102">
        <f>BE13-BE37</f>
        <v>2426</v>
      </c>
      <c r="BF36" s="102">
        <f>BF13-BF37</f>
        <v>2426</v>
      </c>
      <c r="BG36" s="102">
        <f>BG13-BG37</f>
        <v>2426</v>
      </c>
      <c r="BH36" s="102">
        <f>BH13-BH37</f>
        <v>2426</v>
      </c>
      <c r="BI36" s="102">
        <f>BI13-BI37</f>
        <v>2426</v>
      </c>
      <c r="BJ36" s="102">
        <f>BJ13-BJ37</f>
        <v>1617</v>
      </c>
      <c r="BK36" s="103">
        <f>SUM(C36:BJ36)</f>
        <v>80909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>ROUNDUP(+C13*C35,0)</f>
        <v>0</v>
      </c>
      <c r="D37" s="169">
        <f>ROUNDUP(+D13*D35,0)</f>
        <v>0</v>
      </c>
      <c r="E37" s="169">
        <f>ROUNDUP(+E13*E35,0)</f>
        <v>0</v>
      </c>
      <c r="F37" s="169">
        <f>ROUNDUP(+F13*F35,0)</f>
        <v>154</v>
      </c>
      <c r="G37" s="169">
        <f>ROUNDUP(+G13*G35,0)</f>
        <v>182</v>
      </c>
      <c r="H37" s="169">
        <f>ROUNDUP(+H13*H35,0)</f>
        <v>189</v>
      </c>
      <c r="I37" s="169">
        <f>ROUNDUP(+I13*I35,0)</f>
        <v>189</v>
      </c>
      <c r="J37" s="169">
        <f>ROUNDUP(+J13*J35,0)</f>
        <v>189</v>
      </c>
      <c r="K37" s="169">
        <f>ROUNDUP(+K13*K35,0)</f>
        <v>189</v>
      </c>
      <c r="L37" s="169">
        <f>ROUNDUP(+L13*L35,0)</f>
        <v>189</v>
      </c>
      <c r="M37" s="169">
        <f>ROUNDUP(+M13*M35,0)</f>
        <v>189</v>
      </c>
      <c r="N37" s="169">
        <f>ROUNDUP(+N13*N35,0)</f>
        <v>180</v>
      </c>
      <c r="O37" s="169">
        <f>ROUNDUP(+O13*O35,0)</f>
        <v>192</v>
      </c>
      <c r="P37" s="169">
        <f>ROUNDUP(+P13*P35,0)</f>
        <v>307</v>
      </c>
      <c r="Q37" s="169">
        <f>ROUNDUP(+Q13*Q35,0)</f>
        <v>345</v>
      </c>
      <c r="R37" s="169">
        <f>ROUNDUP(+R13*R35,0)</f>
        <v>345</v>
      </c>
      <c r="S37" s="169">
        <f>ROUNDUP(+S13*S35,0)</f>
        <v>345</v>
      </c>
      <c r="T37" s="169">
        <f>ROUNDUP(+T13*T35,0)</f>
        <v>345</v>
      </c>
      <c r="U37" s="169">
        <f>ROUNDUP(+U13*U35,0)</f>
        <v>345</v>
      </c>
      <c r="V37" s="169">
        <f>ROUNDUP(+V13*V35,0)</f>
        <v>345</v>
      </c>
      <c r="W37" s="169">
        <f>ROUNDUP(+W13*W35,0)</f>
        <v>345</v>
      </c>
      <c r="X37" s="169">
        <f>ROUNDUP(+X13*X35,0)</f>
        <v>345</v>
      </c>
      <c r="Y37" s="169">
        <f>ROUNDUP(+Y13*Y35,0)</f>
        <v>345</v>
      </c>
      <c r="Z37" s="169">
        <f>ROUNDUP(+Z13*Z35,0)</f>
        <v>230</v>
      </c>
      <c r="AA37" s="102">
        <f>ROUNDUP(+AA13*AA35,0)</f>
        <v>282</v>
      </c>
      <c r="AB37" s="102">
        <f>ROUNDUP(+AB13*AB35,0)</f>
        <v>451</v>
      </c>
      <c r="AC37" s="102">
        <f>ROUNDUP(+AC13*AC35,0)</f>
        <v>507</v>
      </c>
      <c r="AD37" s="102">
        <f>ROUNDUP(+AD13*AD35,0)</f>
        <v>507</v>
      </c>
      <c r="AE37" s="102">
        <f>ROUNDUP(+AE13*AE35,0)</f>
        <v>507</v>
      </c>
      <c r="AF37" s="102">
        <f>ROUNDUP(+AF13*AF35,0)</f>
        <v>507</v>
      </c>
      <c r="AG37" s="102">
        <f>ROUNDUP(+AG13*AG35,0)</f>
        <v>507</v>
      </c>
      <c r="AH37" s="102">
        <f>ROUNDUP(+AH13*AH35,0)</f>
        <v>507</v>
      </c>
      <c r="AI37" s="102">
        <f>ROUNDUP(+AI13*AI35,0)</f>
        <v>507</v>
      </c>
      <c r="AJ37" s="102">
        <f>ROUNDUP(+AJ13*AJ35,0)</f>
        <v>507</v>
      </c>
      <c r="AK37" s="102">
        <f>ROUNDUP(+AK13*AK35,0)</f>
        <v>507</v>
      </c>
      <c r="AL37" s="102">
        <f>ROUNDUP(+AL13*AL35,0)</f>
        <v>338</v>
      </c>
      <c r="AM37" s="102">
        <f>ROUNDUP(+AM13*AM35,0)</f>
        <v>561</v>
      </c>
      <c r="AN37" s="102">
        <f>ROUNDUP(+AN13*AN35,0)</f>
        <v>898</v>
      </c>
      <c r="AO37" s="102">
        <f>ROUNDUP(+AO13*AO35,0)</f>
        <v>1010</v>
      </c>
      <c r="AP37" s="102">
        <f>ROUNDUP(+AP13*AP35,0)</f>
        <v>1010</v>
      </c>
      <c r="AQ37" s="102">
        <f>ROUNDUP(+AQ13*AQ35,0)</f>
        <v>1010</v>
      </c>
      <c r="AR37" s="102">
        <f>ROUNDUP(+AR13*AR35,0)</f>
        <v>1010</v>
      </c>
      <c r="AS37" s="102">
        <f>ROUNDUP(+AS13*AS35,0)</f>
        <v>1010</v>
      </c>
      <c r="AT37" s="102">
        <f>ROUNDUP(+AT13*AT35,0)</f>
        <v>1010</v>
      </c>
      <c r="AU37" s="102">
        <f>ROUNDUP(+AU13*AU35,0)</f>
        <v>1010</v>
      </c>
      <c r="AV37" s="102">
        <f>ROUNDUP(+AV13*AV35,0)</f>
        <v>1010</v>
      </c>
      <c r="AW37" s="102">
        <f>ROUNDUP(+AW13*AW35,0)</f>
        <v>1010</v>
      </c>
      <c r="AX37" s="102">
        <f>ROUNDUP(+AX13*AX35,0)</f>
        <v>673</v>
      </c>
      <c r="AY37" s="102">
        <f>ROUNDUP(+AY13*AY35,0)</f>
        <v>578</v>
      </c>
      <c r="AZ37" s="102">
        <f>ROUNDUP(+AZ13*AZ35,0)</f>
        <v>925</v>
      </c>
      <c r="BA37" s="102">
        <f>ROUNDUP(+BA13*BA35,0)</f>
        <v>1040</v>
      </c>
      <c r="BB37" s="102">
        <f>ROUNDUP(+BB13*BB35,0)</f>
        <v>1040</v>
      </c>
      <c r="BC37" s="102">
        <f>ROUNDUP(+BC13*BC35,0)</f>
        <v>1040</v>
      </c>
      <c r="BD37" s="102">
        <f>ROUNDUP(+BD13*BD35,0)</f>
        <v>1040</v>
      </c>
      <c r="BE37" s="102">
        <f>ROUNDUP(+BE13*BE35,0)</f>
        <v>1040</v>
      </c>
      <c r="BF37" s="102">
        <f>ROUNDUP(+BF13*BF35,0)</f>
        <v>1040</v>
      </c>
      <c r="BG37" s="102">
        <f>ROUNDUP(+BG13*BG35,0)</f>
        <v>1040</v>
      </c>
      <c r="BH37" s="102">
        <f>ROUNDUP(+BH13*BH35,0)</f>
        <v>1040</v>
      </c>
      <c r="BI37" s="102">
        <f>ROUNDUP(+BI13*BI35,0)</f>
        <v>1040</v>
      </c>
      <c r="BJ37" s="102">
        <f>ROUNDUP(+BJ13*BJ35,0)</f>
        <v>694</v>
      </c>
      <c r="BK37" s="103">
        <f>SUM(C37:BJ37)</f>
        <v>33897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332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12">C40*(1-C41)</f>
        <v>0</v>
      </c>
      <c r="D42" s="12">
        <f t="shared" si="12"/>
        <v>0</v>
      </c>
      <c r="E42" s="12">
        <f t="shared" si="12"/>
        <v>0</v>
      </c>
      <c r="F42" s="12">
        <f t="shared" si="12"/>
        <v>0</v>
      </c>
      <c r="G42" s="12">
        <f t="shared" si="12"/>
        <v>0</v>
      </c>
      <c r="H42" s="12">
        <f t="shared" si="12"/>
        <v>0</v>
      </c>
      <c r="I42" s="12">
        <f t="shared" si="12"/>
        <v>0</v>
      </c>
      <c r="J42" s="12">
        <f t="shared" si="12"/>
        <v>0</v>
      </c>
      <c r="K42" s="12">
        <f t="shared" si="12"/>
        <v>0</v>
      </c>
      <c r="L42" s="12">
        <f t="shared" si="12"/>
        <v>0</v>
      </c>
      <c r="M42" s="12">
        <f t="shared" si="12"/>
        <v>0</v>
      </c>
      <c r="N42" s="12">
        <f t="shared" si="12"/>
        <v>0</v>
      </c>
      <c r="O42" s="90">
        <f t="shared" si="12"/>
        <v>0</v>
      </c>
      <c r="P42" s="90">
        <f t="shared" si="12"/>
        <v>0</v>
      </c>
      <c r="Q42" s="90">
        <f t="shared" si="12"/>
        <v>0</v>
      </c>
      <c r="R42" s="90">
        <f t="shared" si="12"/>
        <v>0</v>
      </c>
      <c r="S42" s="90">
        <f t="shared" si="12"/>
        <v>0</v>
      </c>
      <c r="T42" s="90">
        <f t="shared" si="12"/>
        <v>0</v>
      </c>
      <c r="U42" s="90">
        <f t="shared" si="12"/>
        <v>0</v>
      </c>
      <c r="V42" s="90">
        <f t="shared" si="12"/>
        <v>0</v>
      </c>
      <c r="W42" s="90">
        <f t="shared" si="12"/>
        <v>0</v>
      </c>
      <c r="X42" s="90">
        <f t="shared" si="12"/>
        <v>0</v>
      </c>
      <c r="Y42" s="90">
        <f t="shared" si="12"/>
        <v>0</v>
      </c>
      <c r="Z42" s="90">
        <f t="shared" si="12"/>
        <v>0</v>
      </c>
      <c r="AA42" s="90">
        <f t="shared" si="12"/>
        <v>0</v>
      </c>
      <c r="AB42" s="90">
        <f t="shared" si="12"/>
        <v>0</v>
      </c>
      <c r="AC42" s="90">
        <f t="shared" si="12"/>
        <v>0</v>
      </c>
      <c r="AD42" s="90">
        <f t="shared" si="12"/>
        <v>0</v>
      </c>
      <c r="AE42" s="90">
        <f t="shared" si="12"/>
        <v>0</v>
      </c>
      <c r="AF42" s="90">
        <f t="shared" si="12"/>
        <v>0</v>
      </c>
      <c r="AG42" s="90">
        <f t="shared" si="12"/>
        <v>0</v>
      </c>
      <c r="AH42" s="90">
        <f t="shared" si="12"/>
        <v>0</v>
      </c>
      <c r="AI42" s="90">
        <f t="shared" ref="AI42:BJ42" si="13">AI40*(1-AI41)</f>
        <v>0</v>
      </c>
      <c r="AJ42" s="90">
        <f t="shared" si="13"/>
        <v>0</v>
      </c>
      <c r="AK42" s="90">
        <f t="shared" si="13"/>
        <v>0</v>
      </c>
      <c r="AL42" s="90">
        <f t="shared" si="13"/>
        <v>0</v>
      </c>
      <c r="AM42" s="90">
        <f t="shared" si="13"/>
        <v>0</v>
      </c>
      <c r="AN42" s="90">
        <f t="shared" si="13"/>
        <v>0</v>
      </c>
      <c r="AO42" s="90">
        <f t="shared" si="13"/>
        <v>0</v>
      </c>
      <c r="AP42" s="90">
        <f t="shared" si="13"/>
        <v>0</v>
      </c>
      <c r="AQ42" s="90">
        <f t="shared" si="13"/>
        <v>0</v>
      </c>
      <c r="AR42" s="90">
        <f t="shared" si="13"/>
        <v>0</v>
      </c>
      <c r="AS42" s="90">
        <f t="shared" si="13"/>
        <v>0</v>
      </c>
      <c r="AT42" s="90">
        <f t="shared" si="13"/>
        <v>0</v>
      </c>
      <c r="AU42" s="90">
        <f t="shared" si="13"/>
        <v>0</v>
      </c>
      <c r="AV42" s="90">
        <f t="shared" si="13"/>
        <v>0</v>
      </c>
      <c r="AW42" s="90">
        <f t="shared" si="13"/>
        <v>0</v>
      </c>
      <c r="AX42" s="90">
        <f t="shared" si="13"/>
        <v>0</v>
      </c>
      <c r="AY42" s="90">
        <f t="shared" si="13"/>
        <v>0</v>
      </c>
      <c r="AZ42" s="90">
        <f t="shared" si="13"/>
        <v>0</v>
      </c>
      <c r="BA42" s="90">
        <f t="shared" si="13"/>
        <v>0</v>
      </c>
      <c r="BB42" s="90">
        <f t="shared" si="13"/>
        <v>0</v>
      </c>
      <c r="BC42" s="90">
        <f t="shared" si="13"/>
        <v>0</v>
      </c>
      <c r="BD42" s="90">
        <f t="shared" si="13"/>
        <v>0</v>
      </c>
      <c r="BE42" s="90">
        <f t="shared" si="13"/>
        <v>0</v>
      </c>
      <c r="BF42" s="90">
        <f t="shared" si="13"/>
        <v>0</v>
      </c>
      <c r="BG42" s="90">
        <f t="shared" si="13"/>
        <v>0</v>
      </c>
      <c r="BH42" s="90">
        <f t="shared" si="13"/>
        <v>0</v>
      </c>
      <c r="BI42" s="90">
        <f t="shared" si="13"/>
        <v>0</v>
      </c>
      <c r="BJ42" s="90">
        <f t="shared" si="13"/>
        <v>0</v>
      </c>
      <c r="BK42" s="118">
        <f>SUM(C42:BJ42)</f>
        <v>0</v>
      </c>
    </row>
    <row r="43" spans="1:63" outlineLevel="1" x14ac:dyDescent="0.15">
      <c r="A43" s="47" t="s">
        <v>345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90">
        <f>'COGS-PRICE-MARGIN_CWS'!$B20*C37</f>
        <v>0</v>
      </c>
      <c r="D46" s="90">
        <f>'COGS-PRICE-MARGIN_CWS'!$B20*D37</f>
        <v>0</v>
      </c>
      <c r="E46" s="90">
        <f>'COGS-PRICE-MARGIN_CWS'!$B20*E37</f>
        <v>0</v>
      </c>
      <c r="F46" s="90">
        <f>'COGS-PRICE-MARGIN_CWS'!$B20*F37</f>
        <v>385000</v>
      </c>
      <c r="G46" s="90">
        <f>'COGS-PRICE-MARGIN_CWS'!$B20*G37</f>
        <v>455000</v>
      </c>
      <c r="H46" s="90">
        <f>'COGS-PRICE-MARGIN_CWS'!$B20*H37</f>
        <v>472500</v>
      </c>
      <c r="I46" s="90">
        <f>'COGS-PRICE-MARGIN_CWS'!$B20*I37</f>
        <v>472500</v>
      </c>
      <c r="J46" s="90">
        <f>'COGS-PRICE-MARGIN_CWS'!$B20*J37</f>
        <v>472500</v>
      </c>
      <c r="K46" s="90">
        <f>'COGS-PRICE-MARGIN_CWS'!$B20*K37</f>
        <v>472500</v>
      </c>
      <c r="L46" s="90">
        <f>'COGS-PRICE-MARGIN_CWS'!$B20*L37</f>
        <v>472500</v>
      </c>
      <c r="M46" s="90">
        <f>'COGS-PRICE-MARGIN_CWS'!$B20*M37</f>
        <v>472500</v>
      </c>
      <c r="N46" s="90">
        <f>'COGS-PRICE-MARGIN_CWS'!$B20*N37</f>
        <v>450000</v>
      </c>
      <c r="O46" s="90">
        <f>'COGS-PRICE-MARGIN_CWS'!$B70*O37</f>
        <v>513600</v>
      </c>
      <c r="P46" s="90">
        <f>'COGS-PRICE-MARGIN_CWS'!$B70*P37</f>
        <v>821225</v>
      </c>
      <c r="Q46" s="90">
        <f>'COGS-PRICE-MARGIN_CWS'!$B70*Q37</f>
        <v>922875</v>
      </c>
      <c r="R46" s="90">
        <f>'COGS-PRICE-MARGIN_CWS'!$B70*R37</f>
        <v>922875</v>
      </c>
      <c r="S46" s="90">
        <f>'COGS-PRICE-MARGIN_CWS'!$B70*S37</f>
        <v>922875</v>
      </c>
      <c r="T46" s="90">
        <f>'COGS-PRICE-MARGIN_CWS'!$B70*T37</f>
        <v>922875</v>
      </c>
      <c r="U46" s="90">
        <f>'COGS-PRICE-MARGIN_CWS'!$B70*U37</f>
        <v>922875</v>
      </c>
      <c r="V46" s="90">
        <f>'COGS-PRICE-MARGIN_CWS'!$B70*V37</f>
        <v>922875</v>
      </c>
      <c r="W46" s="90">
        <f>'COGS-PRICE-MARGIN_CWS'!$B70*W37</f>
        <v>922875</v>
      </c>
      <c r="X46" s="90">
        <f>'COGS-PRICE-MARGIN_CWS'!$B70*X37</f>
        <v>922875</v>
      </c>
      <c r="Y46" s="90">
        <f>'COGS-PRICE-MARGIN_CWS'!$B70*Y37</f>
        <v>922875</v>
      </c>
      <c r="Z46" s="90">
        <f>'COGS-PRICE-MARGIN_CWS'!$B70*Z37</f>
        <v>615250</v>
      </c>
      <c r="AA46" s="90">
        <f>'COGS-PRICE-MARGIN_CWS'!$B120*AA37</f>
        <v>807154.5</v>
      </c>
      <c r="AB46" s="90">
        <f>'COGS-PRICE-MARGIN_CWS'!$B120*AB37</f>
        <v>1290874.75</v>
      </c>
      <c r="AC46" s="90">
        <f>'COGS-PRICE-MARGIN_CWS'!$B120*AC37</f>
        <v>1451160.75</v>
      </c>
      <c r="AD46" s="90">
        <f>'COGS-PRICE-MARGIN_CWS'!$B120*AD37</f>
        <v>1451160.75</v>
      </c>
      <c r="AE46" s="90">
        <f>'COGS-PRICE-MARGIN_CWS'!$B120*AE37</f>
        <v>1451160.75</v>
      </c>
      <c r="AF46" s="90">
        <f>'COGS-PRICE-MARGIN_CWS'!$B120*AF37</f>
        <v>1451160.75</v>
      </c>
      <c r="AG46" s="90">
        <f>'COGS-PRICE-MARGIN_CWS'!$B120*AG37</f>
        <v>1451160.75</v>
      </c>
      <c r="AH46" s="90">
        <f>'COGS-PRICE-MARGIN_CWS'!$B120*AH37</f>
        <v>1451160.75</v>
      </c>
      <c r="AI46" s="90">
        <f>'COGS-PRICE-MARGIN_CWS'!$B120*AI37</f>
        <v>1451160.75</v>
      </c>
      <c r="AJ46" s="90">
        <f>'COGS-PRICE-MARGIN_CWS'!$B120*AJ37</f>
        <v>1451160.75</v>
      </c>
      <c r="AK46" s="90">
        <f>'COGS-PRICE-MARGIN_CWS'!$B120*AK37</f>
        <v>1451160.75</v>
      </c>
      <c r="AL46" s="90">
        <f>'COGS-PRICE-MARGIN_CWS'!$B120*AL37</f>
        <v>967440.5</v>
      </c>
      <c r="AM46" s="90">
        <f>'COGS-PRICE-MARGIN_CWS'!$B170*AM37</f>
        <v>1718122.8075000001</v>
      </c>
      <c r="AN46" s="90">
        <f>'COGS-PRICE-MARGIN_CWS'!$B170*AN37</f>
        <v>2750221.5350000001</v>
      </c>
      <c r="AO46" s="90">
        <f>'COGS-PRICE-MARGIN_CWS'!$B170*AO37</f>
        <v>3093233.5750000002</v>
      </c>
      <c r="AP46" s="90">
        <f>'COGS-PRICE-MARGIN_CWS'!$B170*AP37</f>
        <v>3093233.5750000002</v>
      </c>
      <c r="AQ46" s="90">
        <f>'COGS-PRICE-MARGIN_CWS'!$B170*AQ37</f>
        <v>3093233.5750000002</v>
      </c>
      <c r="AR46" s="90">
        <f>'COGS-PRICE-MARGIN_CWS'!$B170*AR37</f>
        <v>3093233.5750000002</v>
      </c>
      <c r="AS46" s="90">
        <f>'COGS-PRICE-MARGIN_CWS'!$B170*AS37</f>
        <v>3093233.5750000002</v>
      </c>
      <c r="AT46" s="90">
        <f>'COGS-PRICE-MARGIN_CWS'!$B170*AT37</f>
        <v>3093233.5750000002</v>
      </c>
      <c r="AU46" s="90">
        <f>'COGS-PRICE-MARGIN_CWS'!$B170*AU37</f>
        <v>3093233.5750000002</v>
      </c>
      <c r="AV46" s="90">
        <f>'COGS-PRICE-MARGIN_CWS'!$B170*AV37</f>
        <v>3093233.5750000002</v>
      </c>
      <c r="AW46" s="90">
        <f>'COGS-PRICE-MARGIN_CWS'!$B170*AW37</f>
        <v>3093233.5750000002</v>
      </c>
      <c r="AX46" s="90">
        <f>'COGS-PRICE-MARGIN_CWS'!$B170*AX37</f>
        <v>2061134.8475000001</v>
      </c>
      <c r="AY46" s="90">
        <f>'COGS-PRICE-MARGIN_CWS'!$B220*AY37</f>
        <v>1894100.2344500001</v>
      </c>
      <c r="AZ46" s="90">
        <f>'COGS-PRICE-MARGIN_CWS'!$B220*AZ37</f>
        <v>3031215.7731249998</v>
      </c>
      <c r="BA46" s="90">
        <f>'COGS-PRICE-MARGIN_CWS'!$B220*BA37</f>
        <v>3408069.6260000002</v>
      </c>
      <c r="BB46" s="90">
        <f>'COGS-PRICE-MARGIN_CWS'!$B220*BB37</f>
        <v>3408069.6260000002</v>
      </c>
      <c r="BC46" s="90">
        <f>'COGS-PRICE-MARGIN_CWS'!$B220*BC37</f>
        <v>3408069.6260000002</v>
      </c>
      <c r="BD46" s="90">
        <f>'COGS-PRICE-MARGIN_CWS'!$B220*BD37</f>
        <v>3408069.6260000002</v>
      </c>
      <c r="BE46" s="90">
        <f>'COGS-PRICE-MARGIN_CWS'!$B220*BE37</f>
        <v>3408069.6260000002</v>
      </c>
      <c r="BF46" s="90">
        <f>'COGS-PRICE-MARGIN_CWS'!$B220*BF37</f>
        <v>3408069.6260000002</v>
      </c>
      <c r="BG46" s="90">
        <f>'COGS-PRICE-MARGIN_CWS'!$B220*BG37</f>
        <v>3408069.6260000002</v>
      </c>
      <c r="BH46" s="90">
        <f>'COGS-PRICE-MARGIN_CWS'!$B220*BH37</f>
        <v>3408069.6260000002</v>
      </c>
      <c r="BI46" s="90">
        <f>'COGS-PRICE-MARGIN_CWS'!$B220*BI37</f>
        <v>3408069.6260000002</v>
      </c>
      <c r="BJ46" s="90">
        <f>'COGS-PRICE-MARGIN_CWS'!$B220*BJ37</f>
        <v>2274231.0773499999</v>
      </c>
      <c r="BK46" s="118">
        <f>SUM(C46:BJ46)</f>
        <v>102747621.58392504</v>
      </c>
    </row>
    <row r="47" spans="1:63" outlineLevel="1" x14ac:dyDescent="0.15">
      <c r="A47" s="47" t="s">
        <v>344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207</v>
      </c>
      <c r="C52" s="169">
        <f>C$9</f>
        <v>0</v>
      </c>
      <c r="D52" s="169">
        <f t="shared" ref="D52:BJ52" si="14">D$9</f>
        <v>0</v>
      </c>
      <c r="E52" s="169">
        <f t="shared" si="14"/>
        <v>0</v>
      </c>
      <c r="F52" s="169">
        <f t="shared" si="14"/>
        <v>0</v>
      </c>
      <c r="G52" s="169">
        <f t="shared" si="14"/>
        <v>129</v>
      </c>
      <c r="H52" s="169">
        <f t="shared" si="14"/>
        <v>324</v>
      </c>
      <c r="I52" s="169">
        <f t="shared" si="14"/>
        <v>324</v>
      </c>
      <c r="J52" s="169">
        <f t="shared" si="14"/>
        <v>324</v>
      </c>
      <c r="K52" s="169">
        <f t="shared" si="14"/>
        <v>324</v>
      </c>
      <c r="L52" s="169">
        <f t="shared" si="14"/>
        <v>324</v>
      </c>
      <c r="M52" s="169">
        <f t="shared" si="14"/>
        <v>324</v>
      </c>
      <c r="N52" s="169">
        <f t="shared" si="14"/>
        <v>308</v>
      </c>
      <c r="O52" s="169">
        <f t="shared" si="14"/>
        <v>319</v>
      </c>
      <c r="P52" s="169">
        <f t="shared" si="14"/>
        <v>510</v>
      </c>
      <c r="Q52" s="169">
        <f t="shared" si="14"/>
        <v>574</v>
      </c>
      <c r="R52" s="169">
        <f t="shared" si="14"/>
        <v>574</v>
      </c>
      <c r="S52" s="169">
        <f t="shared" si="14"/>
        <v>574</v>
      </c>
      <c r="T52" s="169">
        <f t="shared" si="14"/>
        <v>574</v>
      </c>
      <c r="U52" s="169">
        <f t="shared" si="14"/>
        <v>574</v>
      </c>
      <c r="V52" s="169">
        <f t="shared" si="14"/>
        <v>574</v>
      </c>
      <c r="W52" s="169">
        <f t="shared" si="14"/>
        <v>574</v>
      </c>
      <c r="X52" s="169">
        <f t="shared" si="14"/>
        <v>574</v>
      </c>
      <c r="Y52" s="169">
        <f t="shared" si="14"/>
        <v>574</v>
      </c>
      <c r="Z52" s="169">
        <f t="shared" si="14"/>
        <v>383</v>
      </c>
      <c r="AA52" s="169">
        <f t="shared" si="14"/>
        <v>908</v>
      </c>
      <c r="AB52" s="169">
        <f t="shared" si="14"/>
        <v>1452</v>
      </c>
      <c r="AC52" s="169">
        <f t="shared" si="14"/>
        <v>1634</v>
      </c>
      <c r="AD52" s="169">
        <f t="shared" si="14"/>
        <v>1634</v>
      </c>
      <c r="AE52" s="169">
        <f t="shared" si="14"/>
        <v>1634</v>
      </c>
      <c r="AF52" s="169">
        <f t="shared" si="14"/>
        <v>1634</v>
      </c>
      <c r="AG52" s="169">
        <f t="shared" si="14"/>
        <v>1634</v>
      </c>
      <c r="AH52" s="169">
        <f t="shared" si="14"/>
        <v>1634</v>
      </c>
      <c r="AI52" s="169">
        <f t="shared" si="14"/>
        <v>1634</v>
      </c>
      <c r="AJ52" s="169">
        <f t="shared" si="14"/>
        <v>1634</v>
      </c>
      <c r="AK52" s="169">
        <f t="shared" si="14"/>
        <v>1634</v>
      </c>
      <c r="AL52" s="169">
        <f t="shared" si="14"/>
        <v>1089</v>
      </c>
      <c r="AM52" s="169">
        <f t="shared" si="14"/>
        <v>935</v>
      </c>
      <c r="AN52" s="169">
        <f t="shared" si="14"/>
        <v>1496</v>
      </c>
      <c r="AO52" s="169">
        <f t="shared" si="14"/>
        <v>1683</v>
      </c>
      <c r="AP52" s="169">
        <f t="shared" si="14"/>
        <v>1683</v>
      </c>
      <c r="AQ52" s="169">
        <f t="shared" si="14"/>
        <v>1683</v>
      </c>
      <c r="AR52" s="169">
        <f t="shared" si="14"/>
        <v>1683</v>
      </c>
      <c r="AS52" s="169">
        <f t="shared" si="14"/>
        <v>1683</v>
      </c>
      <c r="AT52" s="169">
        <f t="shared" si="14"/>
        <v>1683</v>
      </c>
      <c r="AU52" s="169">
        <f t="shared" si="14"/>
        <v>1683</v>
      </c>
      <c r="AV52" s="169">
        <f t="shared" si="14"/>
        <v>1683</v>
      </c>
      <c r="AW52" s="169">
        <f t="shared" si="14"/>
        <v>1683</v>
      </c>
      <c r="AX52" s="169">
        <f t="shared" si="14"/>
        <v>1122</v>
      </c>
      <c r="AY52" s="169">
        <f t="shared" si="14"/>
        <v>963</v>
      </c>
      <c r="AZ52" s="169">
        <f t="shared" si="14"/>
        <v>1541</v>
      </c>
      <c r="BA52" s="169">
        <f t="shared" si="14"/>
        <v>1733</v>
      </c>
      <c r="BB52" s="169">
        <f t="shared" si="14"/>
        <v>1733</v>
      </c>
      <c r="BC52" s="169">
        <f t="shared" si="14"/>
        <v>1733</v>
      </c>
      <c r="BD52" s="169">
        <f t="shared" si="14"/>
        <v>1733</v>
      </c>
      <c r="BE52" s="169">
        <f t="shared" si="14"/>
        <v>1733</v>
      </c>
      <c r="BF52" s="169">
        <f t="shared" si="14"/>
        <v>1733</v>
      </c>
      <c r="BG52" s="169">
        <f t="shared" si="14"/>
        <v>1733</v>
      </c>
      <c r="BH52" s="169">
        <f t="shared" si="14"/>
        <v>1733</v>
      </c>
      <c r="BI52" s="169">
        <f t="shared" si="14"/>
        <v>1733</v>
      </c>
      <c r="BJ52" s="169">
        <f t="shared" si="14"/>
        <v>1156</v>
      </c>
      <c r="BK52" s="316">
        <f>SUM(C52:BJ52)</f>
        <v>64871</v>
      </c>
    </row>
    <row r="53" spans="1:63" outlineLevel="1" x14ac:dyDescent="0.15">
      <c r="A53" s="47" t="s">
        <v>314</v>
      </c>
      <c r="C53" s="403">
        <f>'COGS-PRICE-MARGIN_CWS'!$B29*C52</f>
        <v>0</v>
      </c>
      <c r="D53" s="403">
        <f>'COGS-PRICE-MARGIN_CWS'!$B29*D52</f>
        <v>0</v>
      </c>
      <c r="E53" s="403">
        <f>'COGS-PRICE-MARGIN_CWS'!$B29*E52</f>
        <v>0</v>
      </c>
      <c r="F53" s="401">
        <f>'COGS-PRICE-MARGIN_CWS'!$B29*F52</f>
        <v>0</v>
      </c>
      <c r="G53" s="401">
        <f>'COGS-PRICE-MARGIN_CWS'!$B29*G52</f>
        <v>2838000</v>
      </c>
      <c r="H53" s="401">
        <f>'COGS-PRICE-MARGIN_CWS'!$B29*H52</f>
        <v>7128000</v>
      </c>
      <c r="I53" s="401">
        <f>'COGS-PRICE-MARGIN_CWS'!$B29*I52</f>
        <v>7128000</v>
      </c>
      <c r="J53" s="401">
        <f>'COGS-PRICE-MARGIN_CWS'!$B29*J52</f>
        <v>7128000</v>
      </c>
      <c r="K53" s="401">
        <f>'COGS-PRICE-MARGIN_CWS'!$B29*K52</f>
        <v>7128000</v>
      </c>
      <c r="L53" s="401">
        <f>'COGS-PRICE-MARGIN_CWS'!$B29*L52</f>
        <v>7128000</v>
      </c>
      <c r="M53" s="401">
        <f>'COGS-PRICE-MARGIN_CWS'!$B29*M52</f>
        <v>7128000</v>
      </c>
      <c r="N53" s="401">
        <f>'COGS-PRICE-MARGIN_CWS'!$B29*N52</f>
        <v>6776000</v>
      </c>
      <c r="O53" s="401">
        <f>'COGS-PRICE-MARGIN_CWS'!$B79*O52</f>
        <v>7509260</v>
      </c>
      <c r="P53" s="401">
        <f>'COGS-PRICE-MARGIN_CWS'!$B79*P52</f>
        <v>12005400</v>
      </c>
      <c r="Q53" s="401">
        <f>'COGS-PRICE-MARGIN_CWS'!$B79*Q52</f>
        <v>13511960</v>
      </c>
      <c r="R53" s="401">
        <f>'COGS-PRICE-MARGIN_CWS'!$B79*R52</f>
        <v>13511960</v>
      </c>
      <c r="S53" s="401">
        <f>'COGS-PRICE-MARGIN_CWS'!$B79*S52</f>
        <v>13511960</v>
      </c>
      <c r="T53" s="401">
        <f>'COGS-PRICE-MARGIN_CWS'!$B79*T52</f>
        <v>13511960</v>
      </c>
      <c r="U53" s="401">
        <f>'COGS-PRICE-MARGIN_CWS'!$B79*U52</f>
        <v>13511960</v>
      </c>
      <c r="V53" s="401">
        <f>'COGS-PRICE-MARGIN_CWS'!$B79*V52</f>
        <v>13511960</v>
      </c>
      <c r="W53" s="401">
        <f>'COGS-PRICE-MARGIN_CWS'!$B79*W52</f>
        <v>13511960</v>
      </c>
      <c r="X53" s="401">
        <f>'COGS-PRICE-MARGIN_CWS'!$B79*X52</f>
        <v>13511960</v>
      </c>
      <c r="Y53" s="401">
        <f>'COGS-PRICE-MARGIN_CWS'!$B79*Y52</f>
        <v>13511960</v>
      </c>
      <c r="Z53" s="401">
        <f>'COGS-PRICE-MARGIN_CWS'!$B79*Z52</f>
        <v>9015820</v>
      </c>
      <c r="AA53" s="401">
        <f>'COGS-PRICE-MARGIN_CWS'!$B129*AA52</f>
        <v>22870522.400000002</v>
      </c>
      <c r="AB53" s="401">
        <f>'COGS-PRICE-MARGIN_CWS'!$B129*AB52</f>
        <v>36572685.600000001</v>
      </c>
      <c r="AC53" s="401">
        <f>'COGS-PRICE-MARGIN_CWS'!$B129*AC52</f>
        <v>41156865.200000003</v>
      </c>
      <c r="AD53" s="401">
        <f>'COGS-PRICE-MARGIN_CWS'!$B129*AD52</f>
        <v>41156865.200000003</v>
      </c>
      <c r="AE53" s="401">
        <f>'COGS-PRICE-MARGIN_CWS'!$B129*AE52</f>
        <v>41156865.200000003</v>
      </c>
      <c r="AF53" s="401">
        <f>'COGS-PRICE-MARGIN_CWS'!$B129*AF52</f>
        <v>41156865.200000003</v>
      </c>
      <c r="AG53" s="401">
        <f>'COGS-PRICE-MARGIN_CWS'!$B129*AG52</f>
        <v>41156865.200000003</v>
      </c>
      <c r="AH53" s="401">
        <f>'COGS-PRICE-MARGIN_CWS'!$B129*AH52</f>
        <v>41156865.200000003</v>
      </c>
      <c r="AI53" s="401">
        <f>'COGS-PRICE-MARGIN_CWS'!$B129*AI52</f>
        <v>41156865.200000003</v>
      </c>
      <c r="AJ53" s="401">
        <f>'COGS-PRICE-MARGIN_CWS'!$B129*AJ52</f>
        <v>41156865.200000003</v>
      </c>
      <c r="AK53" s="401">
        <f>'COGS-PRICE-MARGIN_CWS'!$B129*AK52</f>
        <v>41156865.200000003</v>
      </c>
      <c r="AL53" s="401">
        <f>'COGS-PRICE-MARGIN_CWS'!$B129*AL52</f>
        <v>27429514.200000003</v>
      </c>
      <c r="AM53" s="401">
        <f>'COGS-PRICE-MARGIN_CWS'!$B179*AM52</f>
        <v>25199134.510000002</v>
      </c>
      <c r="AN53" s="401">
        <f>'COGS-PRICE-MARGIN_CWS'!$B179*AN52</f>
        <v>40318615.216000006</v>
      </c>
      <c r="AO53" s="401">
        <f>'COGS-PRICE-MARGIN_CWS'!$B179*AO52</f>
        <v>45358442.118000008</v>
      </c>
      <c r="AP53" s="401">
        <f>'COGS-PRICE-MARGIN_CWS'!$B179*AP52</f>
        <v>45358442.118000008</v>
      </c>
      <c r="AQ53" s="401">
        <f>'COGS-PRICE-MARGIN_CWS'!$B179*AQ52</f>
        <v>45358442.118000008</v>
      </c>
      <c r="AR53" s="401">
        <f>'COGS-PRICE-MARGIN_CWS'!$B179*AR52</f>
        <v>45358442.118000008</v>
      </c>
      <c r="AS53" s="401">
        <f>'COGS-PRICE-MARGIN_CWS'!$B179*AS52</f>
        <v>45358442.118000008</v>
      </c>
      <c r="AT53" s="401">
        <f>'COGS-PRICE-MARGIN_CWS'!$B179*AT52</f>
        <v>45358442.118000008</v>
      </c>
      <c r="AU53" s="401">
        <f>'COGS-PRICE-MARGIN_CWS'!$B179*AU52</f>
        <v>45358442.118000008</v>
      </c>
      <c r="AV53" s="401">
        <f>'COGS-PRICE-MARGIN_CWS'!$B179*AV52</f>
        <v>45358442.118000008</v>
      </c>
      <c r="AW53" s="401">
        <f>'COGS-PRICE-MARGIN_CWS'!$B179*AW52</f>
        <v>45358442.118000008</v>
      </c>
      <c r="AX53" s="401">
        <f>'COGS-PRICE-MARGIN_CWS'!$B179*AX52</f>
        <v>30238961.412000004</v>
      </c>
      <c r="AY53" s="401">
        <f>'COGS-PRICE-MARGIN_CWS'!$B129*AY52</f>
        <v>24255851.400000002</v>
      </c>
      <c r="AZ53" s="401">
        <f>'COGS-PRICE-MARGIN_CWS'!$B129*AZ52</f>
        <v>38814399.800000004</v>
      </c>
      <c r="BA53" s="401">
        <f>'COGS-PRICE-MARGIN_CWS'!$B129*BA52</f>
        <v>43650457.400000006</v>
      </c>
      <c r="BB53" s="401">
        <f>'COGS-PRICE-MARGIN_CWS'!$B129*BB52</f>
        <v>43650457.400000006</v>
      </c>
      <c r="BC53" s="401">
        <f>'COGS-PRICE-MARGIN_CWS'!$B129*BC52</f>
        <v>43650457.400000006</v>
      </c>
      <c r="BD53" s="401">
        <f>'COGS-PRICE-MARGIN_CWS'!$B129*BD52</f>
        <v>43650457.400000006</v>
      </c>
      <c r="BE53" s="401">
        <f>'COGS-PRICE-MARGIN_CWS'!$B129*BE52</f>
        <v>43650457.400000006</v>
      </c>
      <c r="BF53" s="401">
        <f>'COGS-PRICE-MARGIN_CWS'!$B129*BF52</f>
        <v>43650457.400000006</v>
      </c>
      <c r="BG53" s="401">
        <f>'COGS-PRICE-MARGIN_CWS'!$B129*BG52</f>
        <v>43650457.400000006</v>
      </c>
      <c r="BH53" s="401">
        <f>'COGS-PRICE-MARGIN_CWS'!$B129*BH52</f>
        <v>43650457.400000006</v>
      </c>
      <c r="BI53" s="401">
        <f>'COGS-PRICE-MARGIN_CWS'!$B129*BI52</f>
        <v>43650457.400000006</v>
      </c>
      <c r="BJ53" s="401">
        <f>'COGS-PRICE-MARGIN_CWS'!$B129*BJ52</f>
        <v>29117096.800000004</v>
      </c>
      <c r="BK53" s="402">
        <f>SUM(C53:BJ53)</f>
        <v>1648828783.8000011</v>
      </c>
    </row>
    <row r="54" spans="1:63" outlineLevel="1" x14ac:dyDescent="0.15">
      <c r="A54" s="47" t="s">
        <v>334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335</v>
      </c>
      <c r="C56" s="404">
        <f t="shared" ref="C56:BJ56" si="15">C53*(1-C54)</f>
        <v>0</v>
      </c>
      <c r="D56" s="404">
        <f t="shared" si="15"/>
        <v>0</v>
      </c>
      <c r="E56" s="404">
        <f t="shared" si="15"/>
        <v>0</v>
      </c>
      <c r="F56" s="400">
        <f t="shared" si="15"/>
        <v>0</v>
      </c>
      <c r="G56" s="400">
        <f t="shared" si="15"/>
        <v>2838000</v>
      </c>
      <c r="H56" s="400">
        <f t="shared" si="15"/>
        <v>7128000</v>
      </c>
      <c r="I56" s="400">
        <f t="shared" si="15"/>
        <v>7128000</v>
      </c>
      <c r="J56" s="400">
        <f t="shared" si="15"/>
        <v>7128000</v>
      </c>
      <c r="K56" s="400">
        <f t="shared" si="15"/>
        <v>7128000</v>
      </c>
      <c r="L56" s="400">
        <f t="shared" si="15"/>
        <v>7128000</v>
      </c>
      <c r="M56" s="400">
        <f t="shared" si="15"/>
        <v>7128000</v>
      </c>
      <c r="N56" s="400">
        <f t="shared" si="15"/>
        <v>6776000</v>
      </c>
      <c r="O56" s="400">
        <f t="shared" si="15"/>
        <v>7509260</v>
      </c>
      <c r="P56" s="400">
        <f t="shared" si="15"/>
        <v>12005400</v>
      </c>
      <c r="Q56" s="400">
        <f t="shared" si="15"/>
        <v>13511960</v>
      </c>
      <c r="R56" s="400">
        <f t="shared" si="15"/>
        <v>13511960</v>
      </c>
      <c r="S56" s="400">
        <f t="shared" si="15"/>
        <v>13511960</v>
      </c>
      <c r="T56" s="400">
        <f t="shared" si="15"/>
        <v>13511960</v>
      </c>
      <c r="U56" s="400">
        <f t="shared" si="15"/>
        <v>13511960</v>
      </c>
      <c r="V56" s="400">
        <f t="shared" si="15"/>
        <v>13511960</v>
      </c>
      <c r="W56" s="400">
        <f t="shared" si="15"/>
        <v>13511960</v>
      </c>
      <c r="X56" s="400">
        <f t="shared" si="15"/>
        <v>13511960</v>
      </c>
      <c r="Y56" s="400">
        <f t="shared" si="15"/>
        <v>13511960</v>
      </c>
      <c r="Z56" s="400">
        <f t="shared" si="15"/>
        <v>9015820</v>
      </c>
      <c r="AA56" s="400">
        <f t="shared" si="15"/>
        <v>22870522.400000002</v>
      </c>
      <c r="AB56" s="400">
        <f t="shared" si="15"/>
        <v>36572685.600000001</v>
      </c>
      <c r="AC56" s="400">
        <f t="shared" si="15"/>
        <v>41156865.200000003</v>
      </c>
      <c r="AD56" s="400">
        <f t="shared" si="15"/>
        <v>41156865.200000003</v>
      </c>
      <c r="AE56" s="400">
        <f t="shared" si="15"/>
        <v>41156865.200000003</v>
      </c>
      <c r="AF56" s="400">
        <f t="shared" si="15"/>
        <v>41156865.200000003</v>
      </c>
      <c r="AG56" s="400">
        <f t="shared" si="15"/>
        <v>41156865.200000003</v>
      </c>
      <c r="AH56" s="400">
        <f t="shared" si="15"/>
        <v>41156865.200000003</v>
      </c>
      <c r="AI56" s="400">
        <f t="shared" si="15"/>
        <v>41156865.200000003</v>
      </c>
      <c r="AJ56" s="400">
        <f t="shared" si="15"/>
        <v>41156865.200000003</v>
      </c>
      <c r="AK56" s="400">
        <f t="shared" si="15"/>
        <v>41156865.200000003</v>
      </c>
      <c r="AL56" s="400">
        <f t="shared" si="15"/>
        <v>27429514.200000003</v>
      </c>
      <c r="AM56" s="400">
        <f t="shared" si="15"/>
        <v>25199134.510000002</v>
      </c>
      <c r="AN56" s="400">
        <f t="shared" si="15"/>
        <v>40318615.216000006</v>
      </c>
      <c r="AO56" s="400">
        <f t="shared" si="15"/>
        <v>45358442.118000008</v>
      </c>
      <c r="AP56" s="400">
        <f t="shared" si="15"/>
        <v>45358442.118000008</v>
      </c>
      <c r="AQ56" s="400">
        <f t="shared" si="15"/>
        <v>45358442.118000008</v>
      </c>
      <c r="AR56" s="400">
        <f t="shared" si="15"/>
        <v>45358442.118000008</v>
      </c>
      <c r="AS56" s="400">
        <f t="shared" si="15"/>
        <v>45358442.118000008</v>
      </c>
      <c r="AT56" s="400">
        <f t="shared" si="15"/>
        <v>45358442.118000008</v>
      </c>
      <c r="AU56" s="400">
        <f t="shared" si="15"/>
        <v>45358442.118000008</v>
      </c>
      <c r="AV56" s="400">
        <f t="shared" si="15"/>
        <v>45358442.118000008</v>
      </c>
      <c r="AW56" s="400">
        <f t="shared" si="15"/>
        <v>45358442.118000008</v>
      </c>
      <c r="AX56" s="400">
        <f t="shared" si="15"/>
        <v>30238961.412000004</v>
      </c>
      <c r="AY56" s="400">
        <f t="shared" si="15"/>
        <v>24255851.400000002</v>
      </c>
      <c r="AZ56" s="400">
        <f t="shared" si="15"/>
        <v>38814399.800000004</v>
      </c>
      <c r="BA56" s="400">
        <f t="shared" si="15"/>
        <v>43650457.400000006</v>
      </c>
      <c r="BB56" s="400">
        <f t="shared" si="15"/>
        <v>43650457.400000006</v>
      </c>
      <c r="BC56" s="400">
        <f t="shared" si="15"/>
        <v>43650457.400000006</v>
      </c>
      <c r="BD56" s="400">
        <f t="shared" si="15"/>
        <v>43650457.400000006</v>
      </c>
      <c r="BE56" s="400">
        <f t="shared" si="15"/>
        <v>43650457.400000006</v>
      </c>
      <c r="BF56" s="400">
        <f t="shared" si="15"/>
        <v>43650457.400000006</v>
      </c>
      <c r="BG56" s="400">
        <f t="shared" si="15"/>
        <v>43650457.400000006</v>
      </c>
      <c r="BH56" s="400">
        <f t="shared" si="15"/>
        <v>43650457.400000006</v>
      </c>
      <c r="BI56" s="400">
        <f t="shared" si="15"/>
        <v>43650457.400000006</v>
      </c>
      <c r="BJ56" s="400">
        <f t="shared" si="15"/>
        <v>29117096.800000004</v>
      </c>
      <c r="BK56" s="402">
        <f>SUM(C56:BJ56)</f>
        <v>1648828783.8000011</v>
      </c>
    </row>
    <row r="57" spans="1:63" outlineLevel="1" x14ac:dyDescent="0.15">
      <c r="A57" s="33"/>
    </row>
    <row r="58" spans="1:63" outlineLevel="1" x14ac:dyDescent="0.15">
      <c r="A58" s="16" t="s">
        <v>304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3">
        <f>'COGS-PRICE-MARGIN_CWS'!$E29*C52</f>
        <v>0</v>
      </c>
      <c r="D60" s="403">
        <f>'COGS-PRICE-MARGIN_CWS'!$E29*D52</f>
        <v>0</v>
      </c>
      <c r="E60" s="403">
        <f>'COGS-PRICE-MARGIN_CWS'!$E29*E52</f>
        <v>0</v>
      </c>
      <c r="F60" s="401">
        <f>'COGS-PRICE-MARGIN_CWS'!$E29*F52</f>
        <v>0</v>
      </c>
      <c r="G60" s="401">
        <f>'COGS-PRICE-MARGIN_CWS'!$E29*G52</f>
        <v>1483500</v>
      </c>
      <c r="H60" s="401">
        <f>'COGS-PRICE-MARGIN_CWS'!$E29*H52</f>
        <v>3726000</v>
      </c>
      <c r="I60" s="401">
        <f>'COGS-PRICE-MARGIN_CWS'!$E29*I52</f>
        <v>3726000</v>
      </c>
      <c r="J60" s="401">
        <f>'COGS-PRICE-MARGIN_CWS'!$E29*J52</f>
        <v>3726000</v>
      </c>
      <c r="K60" s="401">
        <f>'COGS-PRICE-MARGIN_CWS'!$E29*K52</f>
        <v>3726000</v>
      </c>
      <c r="L60" s="401">
        <f>'COGS-PRICE-MARGIN_CWS'!$E29*L52</f>
        <v>3726000</v>
      </c>
      <c r="M60" s="401">
        <f>'COGS-PRICE-MARGIN_CWS'!$E29*M52</f>
        <v>3726000</v>
      </c>
      <c r="N60" s="401">
        <f>'COGS-PRICE-MARGIN_CWS'!$E29*N52</f>
        <v>3542000</v>
      </c>
      <c r="O60" s="401">
        <f>'COGS-PRICE-MARGIN_CWS'!$E79*O52</f>
        <v>3925295</v>
      </c>
      <c r="P60" s="401">
        <f>'COGS-PRICE-MARGIN_CWS'!$E79*P52</f>
        <v>6275550</v>
      </c>
      <c r="Q60" s="401">
        <f>'COGS-PRICE-MARGIN_CWS'!$E79*Q52</f>
        <v>7063070</v>
      </c>
      <c r="R60" s="401">
        <f>'COGS-PRICE-MARGIN_CWS'!$E79*R52</f>
        <v>7063070</v>
      </c>
      <c r="S60" s="401">
        <f>'COGS-PRICE-MARGIN_CWS'!$E79*S52</f>
        <v>7063070</v>
      </c>
      <c r="T60" s="401">
        <f>'COGS-PRICE-MARGIN_CWS'!$E79*T52</f>
        <v>7063070</v>
      </c>
      <c r="U60" s="401">
        <f>'COGS-PRICE-MARGIN_CWS'!$E79*U52</f>
        <v>7063070</v>
      </c>
      <c r="V60" s="401">
        <f>'COGS-PRICE-MARGIN_CWS'!$E79*V52</f>
        <v>7063070</v>
      </c>
      <c r="W60" s="401">
        <f>'COGS-PRICE-MARGIN_CWS'!$E79*W52</f>
        <v>7063070</v>
      </c>
      <c r="X60" s="401">
        <f>'COGS-PRICE-MARGIN_CWS'!$E79*X52</f>
        <v>7063070</v>
      </c>
      <c r="Y60" s="401">
        <f>'COGS-PRICE-MARGIN_CWS'!$E79*Y52</f>
        <v>7063070</v>
      </c>
      <c r="Z60" s="401">
        <f>'COGS-PRICE-MARGIN_CWS'!$E79*Z$52</f>
        <v>4712815</v>
      </c>
      <c r="AA60" s="401">
        <f>'COGS-PRICE-MARGIN_CWS'!$E129*AA$52</f>
        <v>11955045.800000001</v>
      </c>
      <c r="AB60" s="401">
        <f>'COGS-PRICE-MARGIN_CWS'!$E129*AB$52</f>
        <v>19117540.199999999</v>
      </c>
      <c r="AC60" s="401">
        <f>'COGS-PRICE-MARGIN_CWS'!$E129*AC$52</f>
        <v>21513815.900000002</v>
      </c>
      <c r="AD60" s="401">
        <f>'COGS-PRICE-MARGIN_CWS'!$E129*AD$52</f>
        <v>21513815.900000002</v>
      </c>
      <c r="AE60" s="401">
        <f>'COGS-PRICE-MARGIN_CWS'!$E129*AE$52</f>
        <v>21513815.900000002</v>
      </c>
      <c r="AF60" s="401">
        <f>'COGS-PRICE-MARGIN_CWS'!$E129*AF$52</f>
        <v>21513815.900000002</v>
      </c>
      <c r="AG60" s="401">
        <f>'COGS-PRICE-MARGIN_CWS'!$E129*AG$52</f>
        <v>21513815.900000002</v>
      </c>
      <c r="AH60" s="401">
        <f>'COGS-PRICE-MARGIN_CWS'!$E129*AH$52</f>
        <v>21513815.900000002</v>
      </c>
      <c r="AI60" s="401">
        <f>'COGS-PRICE-MARGIN_CWS'!$E129*AI$52</f>
        <v>21513815.900000002</v>
      </c>
      <c r="AJ60" s="401">
        <f>'COGS-PRICE-MARGIN_CWS'!$E129*AJ$52</f>
        <v>21513815.900000002</v>
      </c>
      <c r="AK60" s="401">
        <f>'COGS-PRICE-MARGIN_CWS'!$E129*AK$52</f>
        <v>21513815.900000002</v>
      </c>
      <c r="AL60" s="401">
        <f>'COGS-PRICE-MARGIN_CWS'!$E129*AL$52</f>
        <v>14338155.15</v>
      </c>
      <c r="AM60" s="401">
        <f>'COGS-PRICE-MARGIN_CWS'!$E129*AM$52</f>
        <v>12310537.25</v>
      </c>
      <c r="AN60" s="401">
        <f>'COGS-PRICE-MARGIN_CWS'!$E129*AN$52</f>
        <v>19696859.600000001</v>
      </c>
      <c r="AO60" s="401">
        <f>'COGS-PRICE-MARGIN_CWS'!$E129*AO$52</f>
        <v>22158967.050000001</v>
      </c>
      <c r="AP60" s="401">
        <f>'COGS-PRICE-MARGIN_CWS'!$E129*AP$52</f>
        <v>22158967.050000001</v>
      </c>
      <c r="AQ60" s="401">
        <f>'COGS-PRICE-MARGIN_CWS'!$E129*AQ$52</f>
        <v>22158967.050000001</v>
      </c>
      <c r="AR60" s="401">
        <f>'COGS-PRICE-MARGIN_CWS'!$E129*AR$52</f>
        <v>22158967.050000001</v>
      </c>
      <c r="AS60" s="401">
        <f>'COGS-PRICE-MARGIN_CWS'!$E129*AS$52</f>
        <v>22158967.050000001</v>
      </c>
      <c r="AT60" s="401">
        <f>'COGS-PRICE-MARGIN_CWS'!$E129*AT$52</f>
        <v>22158967.050000001</v>
      </c>
      <c r="AU60" s="401">
        <f>'COGS-PRICE-MARGIN_CWS'!$E129*AU$52</f>
        <v>22158967.050000001</v>
      </c>
      <c r="AV60" s="401">
        <f>'COGS-PRICE-MARGIN_CWS'!$E129*AV$52</f>
        <v>22158967.050000001</v>
      </c>
      <c r="AW60" s="401">
        <f>'COGS-PRICE-MARGIN_CWS'!$E129*AW$52</f>
        <v>22158967.050000001</v>
      </c>
      <c r="AX60" s="401">
        <f>'COGS-PRICE-MARGIN_CWS'!$E129*AX$52</f>
        <v>14772644.700000001</v>
      </c>
      <c r="AY60" s="401">
        <f>'COGS-PRICE-MARGIN_CWS'!$E179*AY$52</f>
        <v>13566738.703500001</v>
      </c>
      <c r="AZ60" s="401">
        <f>'COGS-PRICE-MARGIN_CWS'!$E179*AZ$52</f>
        <v>21709599.524500001</v>
      </c>
      <c r="BA60" s="401">
        <f>'COGS-PRICE-MARGIN_CWS'!$E179*BA$52</f>
        <v>24414494.468499999</v>
      </c>
      <c r="BB60" s="401">
        <f>'COGS-PRICE-MARGIN_CWS'!$E179*BB$52</f>
        <v>24414494.468499999</v>
      </c>
      <c r="BC60" s="401">
        <f>'COGS-PRICE-MARGIN_CWS'!$E179*BC$52</f>
        <v>24414494.468499999</v>
      </c>
      <c r="BD60" s="401">
        <f>'COGS-PRICE-MARGIN_CWS'!$E179*BD$52</f>
        <v>24414494.468499999</v>
      </c>
      <c r="BE60" s="401">
        <f>'COGS-PRICE-MARGIN_CWS'!$E179*BE$52</f>
        <v>24414494.468499999</v>
      </c>
      <c r="BF60" s="401">
        <f>'COGS-PRICE-MARGIN_CWS'!$E179*BF$52</f>
        <v>24414494.468499999</v>
      </c>
      <c r="BG60" s="401">
        <f>'COGS-PRICE-MARGIN_CWS'!$E179*BG$52</f>
        <v>24414494.468499999</v>
      </c>
      <c r="BH60" s="401">
        <f>'COGS-PRICE-MARGIN_CWS'!$E179*BH$52</f>
        <v>24414494.468499999</v>
      </c>
      <c r="BI60" s="401">
        <f>'COGS-PRICE-MARGIN_CWS'!$E179*BI$52</f>
        <v>24414494.468499999</v>
      </c>
      <c r="BJ60" s="401">
        <f>'COGS-PRICE-MARGIN_CWS'!$E179*BJ$52</f>
        <v>16285721.642000001</v>
      </c>
      <c r="BK60" s="402">
        <f>SUM(C60:BJ60)</f>
        <v>862401129.33650017</v>
      </c>
    </row>
    <row r="61" spans="1:63" outlineLevel="1" x14ac:dyDescent="0.15">
      <c r="A61" s="47" t="str">
        <f>'COGS-PRICE-MARGIN_CWS'!$A$30</f>
        <v>Individual</v>
      </c>
      <c r="C61" s="403">
        <f>'COGS-PRICE-MARGIN_CWS'!$E30*C52</f>
        <v>0</v>
      </c>
      <c r="D61" s="403">
        <f>'COGS-PRICE-MARGIN_CWS'!$E30*D52</f>
        <v>0</v>
      </c>
      <c r="E61" s="403">
        <f>'COGS-PRICE-MARGIN_CWS'!$E30*E52</f>
        <v>0</v>
      </c>
      <c r="F61" s="401">
        <f>'COGS-PRICE-MARGIN_CWS'!$E30*F52</f>
        <v>0</v>
      </c>
      <c r="G61" s="401">
        <f>'COGS-PRICE-MARGIN_CWS'!$E30*G52</f>
        <v>0</v>
      </c>
      <c r="H61" s="401">
        <f>'COGS-PRICE-MARGIN_CWS'!$E30*H52</f>
        <v>0</v>
      </c>
      <c r="I61" s="401">
        <f>'COGS-PRICE-MARGIN_CWS'!$E30*I52</f>
        <v>0</v>
      </c>
      <c r="J61" s="401">
        <f>'COGS-PRICE-MARGIN_CWS'!$E30*J52</f>
        <v>0</v>
      </c>
      <c r="K61" s="401">
        <f>'COGS-PRICE-MARGIN_CWS'!$E30*K52</f>
        <v>0</v>
      </c>
      <c r="L61" s="401">
        <f>'COGS-PRICE-MARGIN_CWS'!$E30*L52</f>
        <v>0</v>
      </c>
      <c r="M61" s="401">
        <f>'COGS-PRICE-MARGIN_CWS'!$E30*M52</f>
        <v>0</v>
      </c>
      <c r="N61" s="401">
        <f>'COGS-PRICE-MARGIN_CWS'!$E30*N52</f>
        <v>0</v>
      </c>
      <c r="O61" s="401">
        <f>'COGS-PRICE-MARGIN_CWS'!$E80*O52</f>
        <v>0</v>
      </c>
      <c r="P61" s="401">
        <f>'COGS-PRICE-MARGIN_CWS'!$E80*P52</f>
        <v>0</v>
      </c>
      <c r="Q61" s="401">
        <f>'COGS-PRICE-MARGIN_CWS'!$E80*Q52</f>
        <v>0</v>
      </c>
      <c r="R61" s="401">
        <f>'COGS-PRICE-MARGIN_CWS'!$E80*R52</f>
        <v>0</v>
      </c>
      <c r="S61" s="401">
        <f>'COGS-PRICE-MARGIN_CWS'!$E80*S52</f>
        <v>0</v>
      </c>
      <c r="T61" s="401">
        <f>'COGS-PRICE-MARGIN_CWS'!$E80*T52</f>
        <v>0</v>
      </c>
      <c r="U61" s="401">
        <f>'COGS-PRICE-MARGIN_CWS'!$E80*U52</f>
        <v>0</v>
      </c>
      <c r="V61" s="401">
        <f>'COGS-PRICE-MARGIN_CWS'!$E80*V52</f>
        <v>0</v>
      </c>
      <c r="W61" s="401">
        <f>'COGS-PRICE-MARGIN_CWS'!$E80*W52</f>
        <v>0</v>
      </c>
      <c r="X61" s="401">
        <f>'COGS-PRICE-MARGIN_CWS'!$E80*X52</f>
        <v>0</v>
      </c>
      <c r="Y61" s="401">
        <f>'COGS-PRICE-MARGIN_CWS'!$E80*Y52</f>
        <v>0</v>
      </c>
      <c r="Z61" s="401">
        <f>'COGS-PRICE-MARGIN_CWS'!$E80*Z52</f>
        <v>0</v>
      </c>
      <c r="AA61" s="401">
        <f>'COGS-PRICE-MARGIN_CWS'!$E130*AA$52</f>
        <v>0</v>
      </c>
      <c r="AB61" s="401">
        <f>'COGS-PRICE-MARGIN_CWS'!$E130*AB$52</f>
        <v>0</v>
      </c>
      <c r="AC61" s="401">
        <f>'COGS-PRICE-MARGIN_CWS'!$E130*AC$52</f>
        <v>0</v>
      </c>
      <c r="AD61" s="401">
        <f>'COGS-PRICE-MARGIN_CWS'!$E130*AD$52</f>
        <v>0</v>
      </c>
      <c r="AE61" s="401">
        <f>'COGS-PRICE-MARGIN_CWS'!$E130*AE$52</f>
        <v>0</v>
      </c>
      <c r="AF61" s="401">
        <f>'COGS-PRICE-MARGIN_CWS'!$E130*AF$52</f>
        <v>0</v>
      </c>
      <c r="AG61" s="401">
        <f>'COGS-PRICE-MARGIN_CWS'!$E130*AG$52</f>
        <v>0</v>
      </c>
      <c r="AH61" s="401">
        <f>'COGS-PRICE-MARGIN_CWS'!$E130*AH$52</f>
        <v>0</v>
      </c>
      <c r="AI61" s="401">
        <f>'COGS-PRICE-MARGIN_CWS'!$E130*AI$52</f>
        <v>0</v>
      </c>
      <c r="AJ61" s="401">
        <f>'COGS-PRICE-MARGIN_CWS'!$E130*AJ$52</f>
        <v>0</v>
      </c>
      <c r="AK61" s="401">
        <f>'COGS-PRICE-MARGIN_CWS'!$E130*AK$52</f>
        <v>0</v>
      </c>
      <c r="AL61" s="401">
        <f>'COGS-PRICE-MARGIN_CWS'!$E130*AL$52</f>
        <v>0</v>
      </c>
      <c r="AM61" s="401">
        <f>'COGS-PRICE-MARGIN_CWS'!$E130*AM$52</f>
        <v>0</v>
      </c>
      <c r="AN61" s="401">
        <f>'COGS-PRICE-MARGIN_CWS'!$E130*AN$52</f>
        <v>0</v>
      </c>
      <c r="AO61" s="401">
        <f>'COGS-PRICE-MARGIN_CWS'!$E130*AO$52</f>
        <v>0</v>
      </c>
      <c r="AP61" s="401">
        <f>'COGS-PRICE-MARGIN_CWS'!$E130*AP$52</f>
        <v>0</v>
      </c>
      <c r="AQ61" s="401">
        <f>'COGS-PRICE-MARGIN_CWS'!$E130*AQ$52</f>
        <v>0</v>
      </c>
      <c r="AR61" s="401">
        <f>'COGS-PRICE-MARGIN_CWS'!$E130*AR$52</f>
        <v>0</v>
      </c>
      <c r="AS61" s="401">
        <f>'COGS-PRICE-MARGIN_CWS'!$E130*AS$52</f>
        <v>0</v>
      </c>
      <c r="AT61" s="401">
        <f>'COGS-PRICE-MARGIN_CWS'!$E130*AT$52</f>
        <v>0</v>
      </c>
      <c r="AU61" s="401">
        <f>'COGS-PRICE-MARGIN_CWS'!$E130*AU$52</f>
        <v>0</v>
      </c>
      <c r="AV61" s="401">
        <f>'COGS-PRICE-MARGIN_CWS'!$E130*AV$52</f>
        <v>0</v>
      </c>
      <c r="AW61" s="401">
        <f>'COGS-PRICE-MARGIN_CWS'!$E130*AW$52</f>
        <v>0</v>
      </c>
      <c r="AX61" s="401">
        <f>'COGS-PRICE-MARGIN_CWS'!$E130*AX$52</f>
        <v>0</v>
      </c>
      <c r="AY61" s="401">
        <f>'COGS-PRICE-MARGIN_CWS'!$E180*AY$52</f>
        <v>0</v>
      </c>
      <c r="AZ61" s="401">
        <f>'COGS-PRICE-MARGIN_CWS'!$E180*AZ$52</f>
        <v>0</v>
      </c>
      <c r="BA61" s="401">
        <f>'COGS-PRICE-MARGIN_CWS'!$E180*BA$52</f>
        <v>0</v>
      </c>
      <c r="BB61" s="401">
        <f>'COGS-PRICE-MARGIN_CWS'!$E180*BB$52</f>
        <v>0</v>
      </c>
      <c r="BC61" s="401">
        <f>'COGS-PRICE-MARGIN_CWS'!$E180*BC$52</f>
        <v>0</v>
      </c>
      <c r="BD61" s="401">
        <f>'COGS-PRICE-MARGIN_CWS'!$E180*BD$52</f>
        <v>0</v>
      </c>
      <c r="BE61" s="401">
        <f>'COGS-PRICE-MARGIN_CWS'!$E180*BE$52</f>
        <v>0</v>
      </c>
      <c r="BF61" s="401">
        <f>'COGS-PRICE-MARGIN_CWS'!$E180*BF$52</f>
        <v>0</v>
      </c>
      <c r="BG61" s="401">
        <f>'COGS-PRICE-MARGIN_CWS'!$E180*BG$52</f>
        <v>0</v>
      </c>
      <c r="BH61" s="401">
        <f>'COGS-PRICE-MARGIN_CWS'!$E180*BH$52</f>
        <v>0</v>
      </c>
      <c r="BI61" s="401">
        <f>'COGS-PRICE-MARGIN_CWS'!$E180*BI$52</f>
        <v>0</v>
      </c>
      <c r="BJ61" s="401">
        <f>'COGS-PRICE-MARGIN_CWS'!$E180*BJ$52</f>
        <v>0</v>
      </c>
      <c r="BK61" s="402">
        <f>SUM(C61:BJ61)</f>
        <v>0</v>
      </c>
    </row>
    <row r="62" spans="1:63" outlineLevel="1" x14ac:dyDescent="0.15">
      <c r="A62" s="17" t="s">
        <v>319</v>
      </c>
      <c r="C62" s="403">
        <f>'COGS-PRICE-MARGIN_CWS'!$E31*C$52</f>
        <v>0</v>
      </c>
      <c r="D62" s="403">
        <f>'COGS-PRICE-MARGIN_CWS'!$E31*D52</f>
        <v>0</v>
      </c>
      <c r="E62" s="403">
        <f>'COGS-PRICE-MARGIN_CWS'!$E31*E52</f>
        <v>0</v>
      </c>
      <c r="F62" s="401">
        <f>'COGS-PRICE-MARGIN_CWS'!$E31*F52</f>
        <v>0</v>
      </c>
      <c r="G62" s="401">
        <f>'COGS-PRICE-MARGIN_CWS'!$E31*G52</f>
        <v>0</v>
      </c>
      <c r="H62" s="401">
        <f>'COGS-PRICE-MARGIN_CWS'!$E31*H52</f>
        <v>0</v>
      </c>
      <c r="I62" s="401">
        <f>'COGS-PRICE-MARGIN_CWS'!$E31*I52</f>
        <v>0</v>
      </c>
      <c r="J62" s="401">
        <f>'COGS-PRICE-MARGIN_CWS'!$E31*J52</f>
        <v>0</v>
      </c>
      <c r="K62" s="401">
        <f>'COGS-PRICE-MARGIN_CWS'!$E31*K52</f>
        <v>0</v>
      </c>
      <c r="L62" s="401">
        <f>'COGS-PRICE-MARGIN_CWS'!$E31*L52</f>
        <v>0</v>
      </c>
      <c r="M62" s="401">
        <f>'COGS-PRICE-MARGIN_CWS'!$E31*M52</f>
        <v>0</v>
      </c>
      <c r="N62" s="401">
        <f>'COGS-PRICE-MARGIN_CWS'!$E31*N52</f>
        <v>0</v>
      </c>
      <c r="O62" s="401">
        <f>'COGS-PRICE-MARGIN_CWS'!$E81*O52</f>
        <v>0</v>
      </c>
      <c r="P62" s="401">
        <f>'COGS-PRICE-MARGIN_CWS'!$E81*P52</f>
        <v>0</v>
      </c>
      <c r="Q62" s="401">
        <f>'COGS-PRICE-MARGIN_CWS'!$E81*Q52</f>
        <v>0</v>
      </c>
      <c r="R62" s="401">
        <f>'COGS-PRICE-MARGIN_CWS'!$E81*R52</f>
        <v>0</v>
      </c>
      <c r="S62" s="401">
        <f>'COGS-PRICE-MARGIN_CWS'!$E81*S52</f>
        <v>0</v>
      </c>
      <c r="T62" s="401">
        <f>'COGS-PRICE-MARGIN_CWS'!$E81*T52</f>
        <v>0</v>
      </c>
      <c r="U62" s="401">
        <f>'COGS-PRICE-MARGIN_CWS'!$E81*U52</f>
        <v>0</v>
      </c>
      <c r="V62" s="401">
        <f>'COGS-PRICE-MARGIN_CWS'!$E81*V52</f>
        <v>0</v>
      </c>
      <c r="W62" s="401">
        <f>'COGS-PRICE-MARGIN_CWS'!$E81*W52</f>
        <v>0</v>
      </c>
      <c r="X62" s="401">
        <f>'COGS-PRICE-MARGIN_CWS'!$E81*X52</f>
        <v>0</v>
      </c>
      <c r="Y62" s="401">
        <f>'COGS-PRICE-MARGIN_CWS'!$E81*Y52</f>
        <v>0</v>
      </c>
      <c r="Z62" s="401">
        <f>'COGS-PRICE-MARGIN_CWS'!$E81*Z52</f>
        <v>0</v>
      </c>
      <c r="AA62" s="401">
        <f>'COGS-PRICE-MARGIN_CWS'!$E131*AA$52</f>
        <v>0</v>
      </c>
      <c r="AB62" s="401">
        <f>'COGS-PRICE-MARGIN_CWS'!$E131*AB$52</f>
        <v>0</v>
      </c>
      <c r="AC62" s="401">
        <f>'COGS-PRICE-MARGIN_CWS'!$E131*AC$52</f>
        <v>0</v>
      </c>
      <c r="AD62" s="401">
        <f>'COGS-PRICE-MARGIN_CWS'!$E131*AD$52</f>
        <v>0</v>
      </c>
      <c r="AE62" s="401">
        <f>'COGS-PRICE-MARGIN_CWS'!$E131*AE$52</f>
        <v>0</v>
      </c>
      <c r="AF62" s="401">
        <f>'COGS-PRICE-MARGIN_CWS'!$E131*AF$52</f>
        <v>0</v>
      </c>
      <c r="AG62" s="401">
        <f>'COGS-PRICE-MARGIN_CWS'!$E131*AG$52</f>
        <v>0</v>
      </c>
      <c r="AH62" s="401">
        <f>'COGS-PRICE-MARGIN_CWS'!$E131*AH$52</f>
        <v>0</v>
      </c>
      <c r="AI62" s="401">
        <f>'COGS-PRICE-MARGIN_CWS'!$E131*AI$52</f>
        <v>0</v>
      </c>
      <c r="AJ62" s="401">
        <f>'COGS-PRICE-MARGIN_CWS'!$E131*AJ$52</f>
        <v>0</v>
      </c>
      <c r="AK62" s="401">
        <f>'COGS-PRICE-MARGIN_CWS'!$E131*AK$52</f>
        <v>0</v>
      </c>
      <c r="AL62" s="401">
        <f>'COGS-PRICE-MARGIN_CWS'!$E131*AL$52</f>
        <v>0</v>
      </c>
      <c r="AM62" s="401">
        <f>'COGS-PRICE-MARGIN_CWS'!$E131*AM$52</f>
        <v>0</v>
      </c>
      <c r="AN62" s="401">
        <f>'COGS-PRICE-MARGIN_CWS'!$E131*AN$52</f>
        <v>0</v>
      </c>
      <c r="AO62" s="401">
        <f>'COGS-PRICE-MARGIN_CWS'!$E131*AO$52</f>
        <v>0</v>
      </c>
      <c r="AP62" s="401">
        <f>'COGS-PRICE-MARGIN_CWS'!$E131*AP$52</f>
        <v>0</v>
      </c>
      <c r="AQ62" s="401">
        <f>'COGS-PRICE-MARGIN_CWS'!$E131*AQ$52</f>
        <v>0</v>
      </c>
      <c r="AR62" s="401">
        <f>'COGS-PRICE-MARGIN_CWS'!$E131*AR$52</f>
        <v>0</v>
      </c>
      <c r="AS62" s="401">
        <f>'COGS-PRICE-MARGIN_CWS'!$E131*AS$52</f>
        <v>0</v>
      </c>
      <c r="AT62" s="401">
        <f>'COGS-PRICE-MARGIN_CWS'!$E131*AT$52</f>
        <v>0</v>
      </c>
      <c r="AU62" s="401">
        <f>'COGS-PRICE-MARGIN_CWS'!$E131*AU$52</f>
        <v>0</v>
      </c>
      <c r="AV62" s="401">
        <f>'COGS-PRICE-MARGIN_CWS'!$E131*AV$52</f>
        <v>0</v>
      </c>
      <c r="AW62" s="401">
        <f>'COGS-PRICE-MARGIN_CWS'!$E131*AW$52</f>
        <v>0</v>
      </c>
      <c r="AX62" s="401">
        <f>'COGS-PRICE-MARGIN_CWS'!$E131*AX$52</f>
        <v>0</v>
      </c>
      <c r="AY62" s="401">
        <f>'COGS-PRICE-MARGIN_CWS'!$E181*AY$52</f>
        <v>0</v>
      </c>
      <c r="AZ62" s="401">
        <f>'COGS-PRICE-MARGIN_CWS'!$E181*AZ$52</f>
        <v>0</v>
      </c>
      <c r="BA62" s="401">
        <f>'COGS-PRICE-MARGIN_CWS'!$E181*BA$52</f>
        <v>0</v>
      </c>
      <c r="BB62" s="401">
        <f>'COGS-PRICE-MARGIN_CWS'!$E181*BB$52</f>
        <v>0</v>
      </c>
      <c r="BC62" s="401">
        <f>'COGS-PRICE-MARGIN_CWS'!$E181*BC$52</f>
        <v>0</v>
      </c>
      <c r="BD62" s="401">
        <f>'COGS-PRICE-MARGIN_CWS'!$E181*BD$52</f>
        <v>0</v>
      </c>
      <c r="BE62" s="401">
        <f>'COGS-PRICE-MARGIN_CWS'!$E181*BE$52</f>
        <v>0</v>
      </c>
      <c r="BF62" s="401">
        <f>'COGS-PRICE-MARGIN_CWS'!$E181*BF$52</f>
        <v>0</v>
      </c>
      <c r="BG62" s="401">
        <f>'COGS-PRICE-MARGIN_CWS'!$E181*BG$52</f>
        <v>0</v>
      </c>
      <c r="BH62" s="401">
        <f>'COGS-PRICE-MARGIN_CWS'!$E181*BH$52</f>
        <v>0</v>
      </c>
      <c r="BI62" s="401">
        <f>'COGS-PRICE-MARGIN_CWS'!$E181*BI$52</f>
        <v>0</v>
      </c>
      <c r="BJ62" s="401">
        <f>'COGS-PRICE-MARGIN_CWS'!$E181*BJ$52</f>
        <v>0</v>
      </c>
      <c r="BK62" s="402">
        <f>SUM(C62:BJ62)</f>
        <v>0</v>
      </c>
    </row>
    <row r="63" spans="1:63" outlineLevel="1" x14ac:dyDescent="0.15">
      <c r="A63" s="17" t="s">
        <v>317</v>
      </c>
      <c r="C63" s="403">
        <f>'COGS-PRICE-MARGIN_CWS'!$E32*C52</f>
        <v>0</v>
      </c>
      <c r="D63" s="403">
        <f>'COGS-PRICE-MARGIN_CWS'!$E32*D52</f>
        <v>0</v>
      </c>
      <c r="E63" s="403">
        <f>'COGS-PRICE-MARGIN_CWS'!$E32*E52</f>
        <v>0</v>
      </c>
      <c r="F63" s="401">
        <f>'COGS-PRICE-MARGIN_CWS'!$E32*F52</f>
        <v>0</v>
      </c>
      <c r="G63" s="401">
        <f>'COGS-PRICE-MARGIN_CWS'!$E32*G52</f>
        <v>0</v>
      </c>
      <c r="H63" s="401">
        <f>'COGS-PRICE-MARGIN_CWS'!$E32*H52</f>
        <v>0</v>
      </c>
      <c r="I63" s="401">
        <f>'COGS-PRICE-MARGIN_CWS'!$E32*I52</f>
        <v>0</v>
      </c>
      <c r="J63" s="401">
        <f>'COGS-PRICE-MARGIN_CWS'!$E32*J52</f>
        <v>0</v>
      </c>
      <c r="K63" s="401">
        <f>'COGS-PRICE-MARGIN_CWS'!$E32*K52</f>
        <v>0</v>
      </c>
      <c r="L63" s="401">
        <f>'COGS-PRICE-MARGIN_CWS'!$E32*L52</f>
        <v>0</v>
      </c>
      <c r="M63" s="401">
        <f>'COGS-PRICE-MARGIN_CWS'!$E32*M52</f>
        <v>0</v>
      </c>
      <c r="N63" s="401">
        <f>'COGS-PRICE-MARGIN_CWS'!$E32*N52</f>
        <v>0</v>
      </c>
      <c r="O63" s="401">
        <f>'COGS-PRICE-MARGIN_CWS'!$E82*O52</f>
        <v>0</v>
      </c>
      <c r="P63" s="401">
        <f>'COGS-PRICE-MARGIN_CWS'!$E82*P52</f>
        <v>0</v>
      </c>
      <c r="Q63" s="401">
        <f>'COGS-PRICE-MARGIN_CWS'!$E82*Q52</f>
        <v>0</v>
      </c>
      <c r="R63" s="401">
        <f>'COGS-PRICE-MARGIN_CWS'!$E82*R52</f>
        <v>0</v>
      </c>
      <c r="S63" s="401">
        <f>'COGS-PRICE-MARGIN_CWS'!$E82*S52</f>
        <v>0</v>
      </c>
      <c r="T63" s="401">
        <f>'COGS-PRICE-MARGIN_CWS'!$E82*T52</f>
        <v>0</v>
      </c>
      <c r="U63" s="401">
        <f>'COGS-PRICE-MARGIN_CWS'!$E82*U52</f>
        <v>0</v>
      </c>
      <c r="V63" s="401">
        <f>'COGS-PRICE-MARGIN_CWS'!$E82*V52</f>
        <v>0</v>
      </c>
      <c r="W63" s="401">
        <f>'COGS-PRICE-MARGIN_CWS'!$E82*W52</f>
        <v>0</v>
      </c>
      <c r="X63" s="401">
        <f>'COGS-PRICE-MARGIN_CWS'!$E82*X52</f>
        <v>0</v>
      </c>
      <c r="Y63" s="401">
        <f>'COGS-PRICE-MARGIN_CWS'!$E82*Y52</f>
        <v>0</v>
      </c>
      <c r="Z63" s="401">
        <f>'COGS-PRICE-MARGIN_CWS'!$E82*Z52</f>
        <v>0</v>
      </c>
      <c r="AA63" s="401">
        <f>'COGS-PRICE-MARGIN_CWS'!$E132*AA$52</f>
        <v>0</v>
      </c>
      <c r="AB63" s="401">
        <f>'COGS-PRICE-MARGIN_CWS'!$E132*AB$52</f>
        <v>0</v>
      </c>
      <c r="AC63" s="401">
        <f>'COGS-PRICE-MARGIN_CWS'!$E132*AC$52</f>
        <v>0</v>
      </c>
      <c r="AD63" s="401">
        <f>'COGS-PRICE-MARGIN_CWS'!$E132*AD$52</f>
        <v>0</v>
      </c>
      <c r="AE63" s="401">
        <f>'COGS-PRICE-MARGIN_CWS'!$E132*AE$52</f>
        <v>0</v>
      </c>
      <c r="AF63" s="401">
        <f>'COGS-PRICE-MARGIN_CWS'!$E132*AF$52</f>
        <v>0</v>
      </c>
      <c r="AG63" s="401">
        <f>'COGS-PRICE-MARGIN_CWS'!$E132*AG$52</f>
        <v>0</v>
      </c>
      <c r="AH63" s="401">
        <f>'COGS-PRICE-MARGIN_CWS'!$E132*AH$52</f>
        <v>0</v>
      </c>
      <c r="AI63" s="401">
        <f>'COGS-PRICE-MARGIN_CWS'!$E132*AI$52</f>
        <v>0</v>
      </c>
      <c r="AJ63" s="401">
        <f>'COGS-PRICE-MARGIN_CWS'!$E132*AJ$52</f>
        <v>0</v>
      </c>
      <c r="AK63" s="401">
        <f>'COGS-PRICE-MARGIN_CWS'!$E132*AK$52</f>
        <v>0</v>
      </c>
      <c r="AL63" s="401">
        <f>'COGS-PRICE-MARGIN_CWS'!$E132*AL$52</f>
        <v>0</v>
      </c>
      <c r="AM63" s="401">
        <f>'COGS-PRICE-MARGIN_CWS'!$E132*AM$52</f>
        <v>0</v>
      </c>
      <c r="AN63" s="401">
        <f>'COGS-PRICE-MARGIN_CWS'!$E132*AN$52</f>
        <v>0</v>
      </c>
      <c r="AO63" s="401">
        <f>'COGS-PRICE-MARGIN_CWS'!$E132*AO$52</f>
        <v>0</v>
      </c>
      <c r="AP63" s="401">
        <f>'COGS-PRICE-MARGIN_CWS'!$E132*AP$52</f>
        <v>0</v>
      </c>
      <c r="AQ63" s="401">
        <f>'COGS-PRICE-MARGIN_CWS'!$E132*AQ$52</f>
        <v>0</v>
      </c>
      <c r="AR63" s="401">
        <f>'COGS-PRICE-MARGIN_CWS'!$E132*AR$52</f>
        <v>0</v>
      </c>
      <c r="AS63" s="401">
        <f>'COGS-PRICE-MARGIN_CWS'!$E132*AS$52</f>
        <v>0</v>
      </c>
      <c r="AT63" s="401">
        <f>'COGS-PRICE-MARGIN_CWS'!$E132*AT$52</f>
        <v>0</v>
      </c>
      <c r="AU63" s="401">
        <f>'COGS-PRICE-MARGIN_CWS'!$E132*AU$52</f>
        <v>0</v>
      </c>
      <c r="AV63" s="401">
        <f>'COGS-PRICE-MARGIN_CWS'!$E132*AV$52</f>
        <v>0</v>
      </c>
      <c r="AW63" s="401">
        <f>'COGS-PRICE-MARGIN_CWS'!$E132*AW$52</f>
        <v>0</v>
      </c>
      <c r="AX63" s="401">
        <f>'COGS-PRICE-MARGIN_CWS'!$E132*AX$52</f>
        <v>0</v>
      </c>
      <c r="AY63" s="401">
        <f>'COGS-PRICE-MARGIN_CWS'!$E182*AY$52</f>
        <v>0</v>
      </c>
      <c r="AZ63" s="401">
        <f>'COGS-PRICE-MARGIN_CWS'!$E182*AZ$52</f>
        <v>0</v>
      </c>
      <c r="BA63" s="401">
        <f>'COGS-PRICE-MARGIN_CWS'!$E182*BA$52</f>
        <v>0</v>
      </c>
      <c r="BB63" s="401">
        <f>'COGS-PRICE-MARGIN_CWS'!$E182*BB$52</f>
        <v>0</v>
      </c>
      <c r="BC63" s="401">
        <f>'COGS-PRICE-MARGIN_CWS'!$E182*BC$52</f>
        <v>0</v>
      </c>
      <c r="BD63" s="401">
        <f>'COGS-PRICE-MARGIN_CWS'!$E182*BD$52</f>
        <v>0</v>
      </c>
      <c r="BE63" s="401">
        <f>'COGS-PRICE-MARGIN_CWS'!$E182*BE$52</f>
        <v>0</v>
      </c>
      <c r="BF63" s="401">
        <f>'COGS-PRICE-MARGIN_CWS'!$E182*BF$52</f>
        <v>0</v>
      </c>
      <c r="BG63" s="401">
        <f>'COGS-PRICE-MARGIN_CWS'!$E182*BG$52</f>
        <v>0</v>
      </c>
      <c r="BH63" s="401">
        <f>'COGS-PRICE-MARGIN_CWS'!$E182*BH$52</f>
        <v>0</v>
      </c>
      <c r="BI63" s="401">
        <f>'COGS-PRICE-MARGIN_CWS'!$E182*BI$52</f>
        <v>0</v>
      </c>
      <c r="BJ63" s="401">
        <f>'COGS-PRICE-MARGIN_CWS'!$E182*BJ$52</f>
        <v>0</v>
      </c>
      <c r="BK63" s="402">
        <f>SUM(C63:BJ63)</f>
        <v>0</v>
      </c>
    </row>
    <row r="64" spans="1:63" outlineLevel="1" x14ac:dyDescent="0.15">
      <c r="A64" s="47" t="s">
        <v>177</v>
      </c>
      <c r="C64" s="403">
        <f>'COGS-PRICE-MARGIN_CWS'!$E40*C$52</f>
        <v>0</v>
      </c>
      <c r="D64" s="403">
        <f>'COGS-PRICE-MARGIN_CWS'!$E40*D$52</f>
        <v>0</v>
      </c>
      <c r="E64" s="403">
        <f>'COGS-PRICE-MARGIN_CWS'!$E40*E$52</f>
        <v>0</v>
      </c>
      <c r="F64" s="403">
        <f>'COGS-PRICE-MARGIN_CWS'!$E40*F$52</f>
        <v>0</v>
      </c>
      <c r="G64" s="403">
        <f>'COGS-PRICE-MARGIN_CWS'!$E40*G$52</f>
        <v>64500</v>
      </c>
      <c r="H64" s="403">
        <f>'COGS-PRICE-MARGIN_CWS'!$E40*H$52</f>
        <v>162000</v>
      </c>
      <c r="I64" s="403">
        <f>'COGS-PRICE-MARGIN_CWS'!$E40*I$52</f>
        <v>162000</v>
      </c>
      <c r="J64" s="403">
        <f>'COGS-PRICE-MARGIN_CWS'!$E40*J$52</f>
        <v>162000</v>
      </c>
      <c r="K64" s="403">
        <f>'COGS-PRICE-MARGIN_CWS'!$E40*K$52</f>
        <v>162000</v>
      </c>
      <c r="L64" s="403">
        <f>'COGS-PRICE-MARGIN_CWS'!$E40*L$52</f>
        <v>162000</v>
      </c>
      <c r="M64" s="403">
        <f>'COGS-PRICE-MARGIN_CWS'!$E40*M$52</f>
        <v>162000</v>
      </c>
      <c r="N64" s="403">
        <f>'COGS-PRICE-MARGIN_CWS'!$E40*N$52</f>
        <v>154000</v>
      </c>
      <c r="O64" s="403">
        <f>'COGS-PRICE-MARGIN_CWS'!$E40*O$52</f>
        <v>159500</v>
      </c>
      <c r="P64" s="403">
        <f>'COGS-PRICE-MARGIN_CWS'!$E40*P$52</f>
        <v>255000</v>
      </c>
      <c r="Q64" s="403">
        <f>'COGS-PRICE-MARGIN_CWS'!$E40*Q$52</f>
        <v>287000</v>
      </c>
      <c r="R64" s="403">
        <f>'COGS-PRICE-MARGIN_CWS'!$E40*R$52</f>
        <v>287000</v>
      </c>
      <c r="S64" s="403">
        <f>'COGS-PRICE-MARGIN_CWS'!$E40*S$52</f>
        <v>287000</v>
      </c>
      <c r="T64" s="403">
        <f>'COGS-PRICE-MARGIN_CWS'!$E40*T$52</f>
        <v>287000</v>
      </c>
      <c r="U64" s="403">
        <f>'COGS-PRICE-MARGIN_CWS'!$E40*U$52</f>
        <v>287000</v>
      </c>
      <c r="V64" s="403">
        <f>'COGS-PRICE-MARGIN_CWS'!$E40*V$52</f>
        <v>287000</v>
      </c>
      <c r="W64" s="403">
        <f>'COGS-PRICE-MARGIN_CWS'!$E40*W$52</f>
        <v>287000</v>
      </c>
      <c r="X64" s="403">
        <f>'COGS-PRICE-MARGIN_CWS'!$E40*X$52</f>
        <v>287000</v>
      </c>
      <c r="Y64" s="403">
        <f>'COGS-PRICE-MARGIN_CWS'!$E40*Y$52</f>
        <v>287000</v>
      </c>
      <c r="Z64" s="403">
        <f>'COGS-PRICE-MARGIN_CWS'!$E40*Z$52</f>
        <v>191500</v>
      </c>
      <c r="AA64" s="403">
        <f>'COGS-PRICE-MARGIN_CWS'!$E40*AA$52</f>
        <v>454000</v>
      </c>
      <c r="AB64" s="403">
        <f>'COGS-PRICE-MARGIN_CWS'!$E40*AB$52</f>
        <v>726000</v>
      </c>
      <c r="AC64" s="403">
        <f>'COGS-PRICE-MARGIN_CWS'!$E40*AC$52</f>
        <v>817000</v>
      </c>
      <c r="AD64" s="403">
        <f>'COGS-PRICE-MARGIN_CWS'!$E40*AD$52</f>
        <v>817000</v>
      </c>
      <c r="AE64" s="403">
        <f>'COGS-PRICE-MARGIN_CWS'!$E40*AE$52</f>
        <v>817000</v>
      </c>
      <c r="AF64" s="403">
        <f>'COGS-PRICE-MARGIN_CWS'!$E40*AF$52</f>
        <v>817000</v>
      </c>
      <c r="AG64" s="403">
        <f>'COGS-PRICE-MARGIN_CWS'!$E40*AG$52</f>
        <v>817000</v>
      </c>
      <c r="AH64" s="403">
        <f>'COGS-PRICE-MARGIN_CWS'!$E40*AH$52</f>
        <v>817000</v>
      </c>
      <c r="AI64" s="403">
        <f>'COGS-PRICE-MARGIN_CWS'!$E40*AI$52</f>
        <v>817000</v>
      </c>
      <c r="AJ64" s="403">
        <f>'COGS-PRICE-MARGIN_CWS'!$E40*AJ$52</f>
        <v>817000</v>
      </c>
      <c r="AK64" s="403">
        <f>'COGS-PRICE-MARGIN_CWS'!$E40*AK$52</f>
        <v>817000</v>
      </c>
      <c r="AL64" s="403">
        <f>'COGS-PRICE-MARGIN_CWS'!$E40*AL$52</f>
        <v>544500</v>
      </c>
      <c r="AM64" s="403">
        <f>'COGS-PRICE-MARGIN_CWS'!$E40*AM$52</f>
        <v>467500</v>
      </c>
      <c r="AN64" s="403">
        <f>'COGS-PRICE-MARGIN_CWS'!$E40*AN$52</f>
        <v>748000</v>
      </c>
      <c r="AO64" s="403">
        <f>'COGS-PRICE-MARGIN_CWS'!$E40*AO$52</f>
        <v>841500</v>
      </c>
      <c r="AP64" s="403">
        <f>'COGS-PRICE-MARGIN_CWS'!$E40*AP$52</f>
        <v>841500</v>
      </c>
      <c r="AQ64" s="403">
        <f>'COGS-PRICE-MARGIN_CWS'!$E40*AQ$52</f>
        <v>841500</v>
      </c>
      <c r="AR64" s="403">
        <f>'COGS-PRICE-MARGIN_CWS'!$E40*AR$52</f>
        <v>841500</v>
      </c>
      <c r="AS64" s="403">
        <f>'COGS-PRICE-MARGIN_CWS'!$E40*AS$52</f>
        <v>841500</v>
      </c>
      <c r="AT64" s="403">
        <f>'COGS-PRICE-MARGIN_CWS'!$E40*AT$52</f>
        <v>841500</v>
      </c>
      <c r="AU64" s="403">
        <f>'COGS-PRICE-MARGIN_CWS'!$E40*AU$52</f>
        <v>841500</v>
      </c>
      <c r="AV64" s="403">
        <f>'COGS-PRICE-MARGIN_CWS'!$E40*AV$52</f>
        <v>841500</v>
      </c>
      <c r="AW64" s="403">
        <f>'COGS-PRICE-MARGIN_CWS'!$E40*AW$52</f>
        <v>841500</v>
      </c>
      <c r="AX64" s="403">
        <f>'COGS-PRICE-MARGIN_CWS'!$E40*AX$52</f>
        <v>561000</v>
      </c>
      <c r="AY64" s="403">
        <f>'COGS-PRICE-MARGIN_CWS'!$E40*AY$52</f>
        <v>481500</v>
      </c>
      <c r="AZ64" s="403">
        <f>'COGS-PRICE-MARGIN_CWS'!$E40*AZ$52</f>
        <v>770500</v>
      </c>
      <c r="BA64" s="403">
        <f>'COGS-PRICE-MARGIN_CWS'!$E40*BA$52</f>
        <v>866500</v>
      </c>
      <c r="BB64" s="403">
        <f>'COGS-PRICE-MARGIN_CWS'!$E40*BB$52</f>
        <v>866500</v>
      </c>
      <c r="BC64" s="403">
        <f>'COGS-PRICE-MARGIN_CWS'!$E40*BC$52</f>
        <v>866500</v>
      </c>
      <c r="BD64" s="403">
        <f>'COGS-PRICE-MARGIN_CWS'!$E40*BD$52</f>
        <v>866500</v>
      </c>
      <c r="BE64" s="403">
        <f>'COGS-PRICE-MARGIN_CWS'!$E40*BE$52</f>
        <v>866500</v>
      </c>
      <c r="BF64" s="403">
        <f>'COGS-PRICE-MARGIN_CWS'!$E40*BF$52</f>
        <v>866500</v>
      </c>
      <c r="BG64" s="403">
        <f>'COGS-PRICE-MARGIN_CWS'!$E40*BG$52</f>
        <v>866500</v>
      </c>
      <c r="BH64" s="403">
        <f>'COGS-PRICE-MARGIN_CWS'!$E40*BH$52</f>
        <v>866500</v>
      </c>
      <c r="BI64" s="403">
        <f>'COGS-PRICE-MARGIN_CWS'!$E40*BI$52</f>
        <v>866500</v>
      </c>
      <c r="BJ64" s="403">
        <f>'COGS-PRICE-MARGIN_CWS'!$E40*BJ$52</f>
        <v>578000</v>
      </c>
      <c r="BK64" s="402">
        <f>SUM(C64:BJ64)</f>
        <v>32435500</v>
      </c>
    </row>
    <row r="65" spans="1:63" outlineLevel="1" x14ac:dyDescent="0.15">
      <c r="A65" s="47" t="s">
        <v>1277</v>
      </c>
      <c r="C65" s="403">
        <f>'COGS-PRICE-MARGIN_CWS'!$E49*C$52</f>
        <v>0</v>
      </c>
      <c r="D65" s="403">
        <f>'COGS-PRICE-MARGIN_CWS'!$E49*D$52</f>
        <v>0</v>
      </c>
      <c r="E65" s="403">
        <f>'COGS-PRICE-MARGIN_CWS'!$E49*E$52</f>
        <v>0</v>
      </c>
      <c r="F65" s="403">
        <f>'COGS-PRICE-MARGIN_CWS'!$E49*F$52</f>
        <v>0</v>
      </c>
      <c r="G65" s="403">
        <f>'COGS-PRICE-MARGIN_CWS'!$E49*G$52</f>
        <v>154800</v>
      </c>
      <c r="H65" s="403">
        <f>'COGS-PRICE-MARGIN_CWS'!$E49*H$52</f>
        <v>388800</v>
      </c>
      <c r="I65" s="403">
        <f>'COGS-PRICE-MARGIN_CWS'!$E49*I$52</f>
        <v>388800</v>
      </c>
      <c r="J65" s="403">
        <f>'COGS-PRICE-MARGIN_CWS'!$E49*J$52</f>
        <v>388800</v>
      </c>
      <c r="K65" s="403">
        <f>'COGS-PRICE-MARGIN_CWS'!$E49*K$52</f>
        <v>388800</v>
      </c>
      <c r="L65" s="403">
        <f>'COGS-PRICE-MARGIN_CWS'!$E49*L$52</f>
        <v>388800</v>
      </c>
      <c r="M65" s="403">
        <f>'COGS-PRICE-MARGIN_CWS'!$E49*M$52</f>
        <v>388800</v>
      </c>
      <c r="N65" s="403">
        <f>'COGS-PRICE-MARGIN_CWS'!$E49*N$52</f>
        <v>369600</v>
      </c>
      <c r="O65" s="403">
        <f>'COGS-PRICE-MARGIN_CWS'!$E49*O$52</f>
        <v>382800</v>
      </c>
      <c r="P65" s="403">
        <f>'COGS-PRICE-MARGIN_CWS'!$E49*P$52</f>
        <v>612000</v>
      </c>
      <c r="Q65" s="403">
        <f>'COGS-PRICE-MARGIN_CWS'!$E49*Q$52</f>
        <v>688800</v>
      </c>
      <c r="R65" s="403">
        <f>'COGS-PRICE-MARGIN_CWS'!$E49*R$52</f>
        <v>688800</v>
      </c>
      <c r="S65" s="403">
        <f>'COGS-PRICE-MARGIN_CWS'!$E49*S$52</f>
        <v>688800</v>
      </c>
      <c r="T65" s="403">
        <f>'COGS-PRICE-MARGIN_CWS'!$E49*T$52</f>
        <v>688800</v>
      </c>
      <c r="U65" s="403">
        <f>'COGS-PRICE-MARGIN_CWS'!$E49*U$52</f>
        <v>688800</v>
      </c>
      <c r="V65" s="403">
        <f>'COGS-PRICE-MARGIN_CWS'!$E49*V$52</f>
        <v>688800</v>
      </c>
      <c r="W65" s="403">
        <f>'COGS-PRICE-MARGIN_CWS'!$E49*W$52</f>
        <v>688800</v>
      </c>
      <c r="X65" s="403">
        <f>'COGS-PRICE-MARGIN_CWS'!$E49*X$52</f>
        <v>688800</v>
      </c>
      <c r="Y65" s="403">
        <f>'COGS-PRICE-MARGIN_CWS'!$E49*Y$52</f>
        <v>688800</v>
      </c>
      <c r="Z65" s="403">
        <f>'COGS-PRICE-MARGIN_CWS'!$E49*Z$52</f>
        <v>459600</v>
      </c>
      <c r="AA65" s="403">
        <f>'COGS-PRICE-MARGIN_CWS'!$E49*AA$52</f>
        <v>1089600</v>
      </c>
      <c r="AB65" s="403">
        <f>'COGS-PRICE-MARGIN_CWS'!$E49*AB$52</f>
        <v>1742400</v>
      </c>
      <c r="AC65" s="403">
        <f>'COGS-PRICE-MARGIN_CWS'!$E49*AC$52</f>
        <v>1960800</v>
      </c>
      <c r="AD65" s="403">
        <f>'COGS-PRICE-MARGIN_CWS'!$E49*AD$52</f>
        <v>1960800</v>
      </c>
      <c r="AE65" s="403">
        <f>'COGS-PRICE-MARGIN_CWS'!$E49*AE$52</f>
        <v>1960800</v>
      </c>
      <c r="AF65" s="403">
        <f>'COGS-PRICE-MARGIN_CWS'!$E49*AF$52</f>
        <v>1960800</v>
      </c>
      <c r="AG65" s="403">
        <f>'COGS-PRICE-MARGIN_CWS'!$E49*AG$52</f>
        <v>1960800</v>
      </c>
      <c r="AH65" s="403">
        <f>'COGS-PRICE-MARGIN_CWS'!$E49*AH$52</f>
        <v>1960800</v>
      </c>
      <c r="AI65" s="403">
        <f>'COGS-PRICE-MARGIN_CWS'!$E49*AI$52</f>
        <v>1960800</v>
      </c>
      <c r="AJ65" s="403">
        <f>'COGS-PRICE-MARGIN_CWS'!$E49*AJ$52</f>
        <v>1960800</v>
      </c>
      <c r="AK65" s="403">
        <f>'COGS-PRICE-MARGIN_CWS'!$E49*AK$52</f>
        <v>1960800</v>
      </c>
      <c r="AL65" s="403">
        <f>'COGS-PRICE-MARGIN_CWS'!$E49*AL$52</f>
        <v>1306800</v>
      </c>
      <c r="AM65" s="403">
        <f>'COGS-PRICE-MARGIN_CWS'!$E49*AM$52</f>
        <v>1122000</v>
      </c>
      <c r="AN65" s="403">
        <f>'COGS-PRICE-MARGIN_CWS'!$E49*AN$52</f>
        <v>1795200</v>
      </c>
      <c r="AO65" s="403">
        <f>'COGS-PRICE-MARGIN_CWS'!$E49*AO$52</f>
        <v>2019600</v>
      </c>
      <c r="AP65" s="403">
        <f>'COGS-PRICE-MARGIN_CWS'!$E49*AP$52</f>
        <v>2019600</v>
      </c>
      <c r="AQ65" s="403">
        <f>'COGS-PRICE-MARGIN_CWS'!$E49*AQ$52</f>
        <v>2019600</v>
      </c>
      <c r="AR65" s="403">
        <f>'COGS-PRICE-MARGIN_CWS'!$E49*AR$52</f>
        <v>2019600</v>
      </c>
      <c r="AS65" s="403">
        <f>'COGS-PRICE-MARGIN_CWS'!$E49*AS$52</f>
        <v>2019600</v>
      </c>
      <c r="AT65" s="403">
        <f>'COGS-PRICE-MARGIN_CWS'!$E49*AT$52</f>
        <v>2019600</v>
      </c>
      <c r="AU65" s="403">
        <f>'COGS-PRICE-MARGIN_CWS'!$E49*AU$52</f>
        <v>2019600</v>
      </c>
      <c r="AV65" s="403">
        <f>'COGS-PRICE-MARGIN_CWS'!$E49*AV$52</f>
        <v>2019600</v>
      </c>
      <c r="AW65" s="403">
        <f>'COGS-PRICE-MARGIN_CWS'!$E49*AW$52</f>
        <v>2019600</v>
      </c>
      <c r="AX65" s="403">
        <f>'COGS-PRICE-MARGIN_CWS'!$E49*AX$52</f>
        <v>1346400</v>
      </c>
      <c r="AY65" s="403">
        <f>'COGS-PRICE-MARGIN_CWS'!$E49*AY$52</f>
        <v>1155600</v>
      </c>
      <c r="AZ65" s="403">
        <f>'COGS-PRICE-MARGIN_CWS'!$E49*AZ$52</f>
        <v>1849200</v>
      </c>
      <c r="BA65" s="403">
        <f>'COGS-PRICE-MARGIN_CWS'!$E49*BA$52</f>
        <v>2079600</v>
      </c>
      <c r="BB65" s="403">
        <f>'COGS-PRICE-MARGIN_CWS'!$E49*BB$52</f>
        <v>2079600</v>
      </c>
      <c r="BC65" s="403">
        <f>'COGS-PRICE-MARGIN_CWS'!$E49*BC$52</f>
        <v>2079600</v>
      </c>
      <c r="BD65" s="403">
        <f>'COGS-PRICE-MARGIN_CWS'!$E49*BD$52</f>
        <v>2079600</v>
      </c>
      <c r="BE65" s="403">
        <f>'COGS-PRICE-MARGIN_CWS'!$E49*BE$52</f>
        <v>2079600</v>
      </c>
      <c r="BF65" s="403">
        <f>'COGS-PRICE-MARGIN_CWS'!$E49*BF$52</f>
        <v>2079600</v>
      </c>
      <c r="BG65" s="403">
        <f>'COGS-PRICE-MARGIN_CWS'!$E49*BG$52</f>
        <v>2079600</v>
      </c>
      <c r="BH65" s="403">
        <f>'COGS-PRICE-MARGIN_CWS'!$E49*BH$52</f>
        <v>2079600</v>
      </c>
      <c r="BI65" s="403">
        <f>'COGS-PRICE-MARGIN_CWS'!$E49*BI$52</f>
        <v>2079600</v>
      </c>
      <c r="BJ65" s="403">
        <f>'COGS-PRICE-MARGIN_CWS'!$E49*BJ$52</f>
        <v>1387200</v>
      </c>
      <c r="BK65" s="402">
        <f>SUM(C65:BJ65)</f>
        <v>77845200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333</v>
      </c>
      <c r="C67" s="404">
        <f>SUM(C60:C65)</f>
        <v>0</v>
      </c>
      <c r="D67" s="404">
        <f>SUM(D60:D65)</f>
        <v>0</v>
      </c>
      <c r="E67" s="404">
        <f>SUM(E60:E65)</f>
        <v>0</v>
      </c>
      <c r="F67" s="400">
        <f>SUM(F60:F65)</f>
        <v>0</v>
      </c>
      <c r="G67" s="400">
        <f>SUM(G60:G65)</f>
        <v>1702800</v>
      </c>
      <c r="H67" s="400">
        <f>SUM(H60:H65)</f>
        <v>4276800</v>
      </c>
      <c r="I67" s="400">
        <f>SUM(I60:I65)</f>
        <v>4276800</v>
      </c>
      <c r="J67" s="400">
        <f>SUM(J60:J65)</f>
        <v>4276800</v>
      </c>
      <c r="K67" s="400">
        <f>SUM(K60:K65)</f>
        <v>4276800</v>
      </c>
      <c r="L67" s="400">
        <f>SUM(L60:L65)</f>
        <v>4276800</v>
      </c>
      <c r="M67" s="400">
        <f>SUM(M60:M65)</f>
        <v>4276800</v>
      </c>
      <c r="N67" s="400">
        <f>SUM(N60:N65)</f>
        <v>4065600</v>
      </c>
      <c r="O67" s="400">
        <f>SUM(O60:O65)</f>
        <v>4467595</v>
      </c>
      <c r="P67" s="400">
        <f>SUM(P60:P65)</f>
        <v>7142550</v>
      </c>
      <c r="Q67" s="400">
        <f>SUM(Q60:Q65)</f>
        <v>8038870</v>
      </c>
      <c r="R67" s="400">
        <f>SUM(R60:R65)</f>
        <v>8038870</v>
      </c>
      <c r="S67" s="400">
        <f>SUM(S60:S65)</f>
        <v>8038870</v>
      </c>
      <c r="T67" s="400">
        <f>SUM(T60:T65)</f>
        <v>8038870</v>
      </c>
      <c r="U67" s="400">
        <f>SUM(U60:U65)</f>
        <v>8038870</v>
      </c>
      <c r="V67" s="400">
        <f>SUM(V60:V65)</f>
        <v>8038870</v>
      </c>
      <c r="W67" s="400">
        <f>SUM(W60:W65)</f>
        <v>8038870</v>
      </c>
      <c r="X67" s="400">
        <f>SUM(X60:X65)</f>
        <v>8038870</v>
      </c>
      <c r="Y67" s="400">
        <f>SUM(Y60:Y65)</f>
        <v>8038870</v>
      </c>
      <c r="Z67" s="400">
        <f>SUM(Z60:Z65)</f>
        <v>5363915</v>
      </c>
      <c r="AA67" s="400">
        <f>SUM(AA60:AA65)</f>
        <v>13498645.800000001</v>
      </c>
      <c r="AB67" s="400">
        <f>SUM(AB60:AB65)</f>
        <v>21585940.199999999</v>
      </c>
      <c r="AC67" s="400">
        <f>SUM(AC60:AC65)</f>
        <v>24291615.900000002</v>
      </c>
      <c r="AD67" s="400">
        <f>SUM(AD60:AD65)</f>
        <v>24291615.900000002</v>
      </c>
      <c r="AE67" s="400">
        <f>SUM(AE60:AE65)</f>
        <v>24291615.900000002</v>
      </c>
      <c r="AF67" s="400">
        <f>SUM(AF60:AF65)</f>
        <v>24291615.900000002</v>
      </c>
      <c r="AG67" s="400">
        <f>SUM(AG60:AG65)</f>
        <v>24291615.900000002</v>
      </c>
      <c r="AH67" s="400">
        <f>SUM(AH60:AH65)</f>
        <v>24291615.900000002</v>
      </c>
      <c r="AI67" s="400">
        <f>SUM(AI60:AI65)</f>
        <v>24291615.900000002</v>
      </c>
      <c r="AJ67" s="400">
        <f>SUM(AJ60:AJ65)</f>
        <v>24291615.900000002</v>
      </c>
      <c r="AK67" s="400">
        <f>SUM(AK60:AK65)</f>
        <v>24291615.900000002</v>
      </c>
      <c r="AL67" s="400">
        <f>SUM(AL60:AL65)</f>
        <v>16189455.15</v>
      </c>
      <c r="AM67" s="400">
        <f>SUM(AM60:AM65)</f>
        <v>13900037.25</v>
      </c>
      <c r="AN67" s="400">
        <f>SUM(AN60:AN65)</f>
        <v>22240059.600000001</v>
      </c>
      <c r="AO67" s="400">
        <f>SUM(AO60:AO65)</f>
        <v>25020067.050000001</v>
      </c>
      <c r="AP67" s="400">
        <f>SUM(AP60:AP65)</f>
        <v>25020067.050000001</v>
      </c>
      <c r="AQ67" s="400">
        <f>SUM(AQ60:AQ65)</f>
        <v>25020067.050000001</v>
      </c>
      <c r="AR67" s="400">
        <f>SUM(AR60:AR65)</f>
        <v>25020067.050000001</v>
      </c>
      <c r="AS67" s="400">
        <f>SUM(AS60:AS65)</f>
        <v>25020067.050000001</v>
      </c>
      <c r="AT67" s="400">
        <f>SUM(AT60:AT65)</f>
        <v>25020067.050000001</v>
      </c>
      <c r="AU67" s="400">
        <f>SUM(AU60:AU65)</f>
        <v>25020067.050000001</v>
      </c>
      <c r="AV67" s="400">
        <f>SUM(AV60:AV65)</f>
        <v>25020067.050000001</v>
      </c>
      <c r="AW67" s="400">
        <f>SUM(AW60:AW65)</f>
        <v>25020067.050000001</v>
      </c>
      <c r="AX67" s="400">
        <f>SUM(AX60:AX65)</f>
        <v>16680044.700000001</v>
      </c>
      <c r="AY67" s="400">
        <f>SUM(AY60:AY65)</f>
        <v>15203838.703500001</v>
      </c>
      <c r="AZ67" s="400">
        <f>SUM(AZ60:AZ65)</f>
        <v>24329299.524500001</v>
      </c>
      <c r="BA67" s="400">
        <f>SUM(BA60:BA65)</f>
        <v>27360594.468499999</v>
      </c>
      <c r="BB67" s="400">
        <f>SUM(BB60:BB65)</f>
        <v>27360594.468499999</v>
      </c>
      <c r="BC67" s="400">
        <f>SUM(BC60:BC65)</f>
        <v>27360594.468499999</v>
      </c>
      <c r="BD67" s="400">
        <f>SUM(BD60:BD65)</f>
        <v>27360594.468499999</v>
      </c>
      <c r="BE67" s="400">
        <f>SUM(BE60:BE65)</f>
        <v>27360594.468499999</v>
      </c>
      <c r="BF67" s="400">
        <f>SUM(BF60:BF65)</f>
        <v>27360594.468499999</v>
      </c>
      <c r="BG67" s="400">
        <f>SUM(BG60:BG65)</f>
        <v>27360594.468499999</v>
      </c>
      <c r="BH67" s="400">
        <f>SUM(BH60:BH65)</f>
        <v>27360594.468499999</v>
      </c>
      <c r="BI67" s="400">
        <f>SUM(BI60:BI65)</f>
        <v>27360594.468499999</v>
      </c>
      <c r="BJ67" s="400">
        <f>SUM(BJ60:BJ65)</f>
        <v>18250921.642000001</v>
      </c>
      <c r="BK67" s="402">
        <f>SUM(C67:BJ67)</f>
        <v>972681829.33649993</v>
      </c>
    </row>
    <row r="68" spans="1:63" s="14" customFormat="1" outlineLevel="1" x14ac:dyDescent="0.15">
      <c r="A68" s="73"/>
      <c r="C68" s="400"/>
      <c r="D68" s="400"/>
      <c r="E68" s="400"/>
      <c r="F68" s="400"/>
      <c r="G68" s="400"/>
      <c r="H68" s="400"/>
      <c r="I68" s="400"/>
      <c r="J68" s="400"/>
      <c r="K68" s="400"/>
      <c r="L68" s="400"/>
      <c r="M68" s="400"/>
      <c r="N68" s="400"/>
      <c r="O68" s="400"/>
      <c r="P68" s="400"/>
      <c r="Q68" s="400"/>
      <c r="R68" s="400"/>
      <c r="S68" s="400"/>
      <c r="T68" s="400"/>
      <c r="U68" s="400"/>
      <c r="V68" s="400"/>
      <c r="W68" s="400"/>
      <c r="X68" s="400"/>
      <c r="Y68" s="400"/>
      <c r="Z68" s="400"/>
      <c r="AA68" s="400"/>
      <c r="AB68" s="400"/>
      <c r="AC68" s="400"/>
      <c r="AD68" s="400"/>
      <c r="AE68" s="400"/>
      <c r="AF68" s="400"/>
      <c r="AG68" s="400"/>
      <c r="AH68" s="400"/>
      <c r="AI68" s="400"/>
      <c r="AJ68" s="400"/>
      <c r="AK68" s="400"/>
      <c r="AL68" s="400"/>
      <c r="AM68" s="400"/>
      <c r="AN68" s="400"/>
      <c r="AO68" s="400"/>
      <c r="AP68" s="400"/>
      <c r="AQ68" s="400"/>
      <c r="AR68" s="400"/>
      <c r="AS68" s="400"/>
      <c r="AT68" s="400"/>
      <c r="AU68" s="400"/>
      <c r="AV68" s="400"/>
      <c r="AW68" s="400"/>
      <c r="AX68" s="400"/>
      <c r="AY68" s="400"/>
      <c r="AZ68" s="400"/>
      <c r="BA68" s="400"/>
      <c r="BB68" s="400"/>
      <c r="BC68" s="400"/>
      <c r="BD68" s="400"/>
      <c r="BE68" s="400"/>
      <c r="BF68" s="400"/>
      <c r="BG68" s="400"/>
      <c r="BH68" s="400"/>
      <c r="BI68" s="400"/>
      <c r="BJ68" s="400"/>
      <c r="BK68" s="405"/>
    </row>
    <row r="69" spans="1:63" s="14" customFormat="1" outlineLevel="1" x14ac:dyDescent="0.15">
      <c r="A69" s="73" t="s">
        <v>330</v>
      </c>
      <c r="C69" s="404">
        <f>C56-C67</f>
        <v>0</v>
      </c>
      <c r="D69" s="404">
        <f>D56-D67</f>
        <v>0</v>
      </c>
      <c r="E69" s="404">
        <f>E56-E67</f>
        <v>0</v>
      </c>
      <c r="F69" s="400">
        <f>F56-F67</f>
        <v>0</v>
      </c>
      <c r="G69" s="400">
        <f>G56-G67</f>
        <v>1135200</v>
      </c>
      <c r="H69" s="400">
        <f>H56-H67</f>
        <v>2851200</v>
      </c>
      <c r="I69" s="400">
        <f>I56-I67</f>
        <v>2851200</v>
      </c>
      <c r="J69" s="400">
        <f>J56-J67</f>
        <v>2851200</v>
      </c>
      <c r="K69" s="400">
        <f>K56-K67</f>
        <v>2851200</v>
      </c>
      <c r="L69" s="400">
        <f>L56-L67</f>
        <v>2851200</v>
      </c>
      <c r="M69" s="400">
        <f>M56-M67</f>
        <v>2851200</v>
      </c>
      <c r="N69" s="400">
        <f>N56-N67</f>
        <v>2710400</v>
      </c>
      <c r="O69" s="400">
        <f>O56-O67</f>
        <v>3041665</v>
      </c>
      <c r="P69" s="400">
        <f>P56-P67</f>
        <v>4862850</v>
      </c>
      <c r="Q69" s="400">
        <f>Q56-Q67</f>
        <v>5473090</v>
      </c>
      <c r="R69" s="400">
        <f>R56-R67</f>
        <v>5473090</v>
      </c>
      <c r="S69" s="400">
        <f>S56-S67</f>
        <v>5473090</v>
      </c>
      <c r="T69" s="400">
        <f>T56-T67</f>
        <v>5473090</v>
      </c>
      <c r="U69" s="400">
        <f>U56-U67</f>
        <v>5473090</v>
      </c>
      <c r="V69" s="400">
        <f>V56-V67</f>
        <v>5473090</v>
      </c>
      <c r="W69" s="400">
        <f>W56-W67</f>
        <v>5473090</v>
      </c>
      <c r="X69" s="400">
        <f>X56-X67</f>
        <v>5473090</v>
      </c>
      <c r="Y69" s="400">
        <f>Y56-Y67</f>
        <v>5473090</v>
      </c>
      <c r="Z69" s="400">
        <f>Z56-Z67</f>
        <v>3651905</v>
      </c>
      <c r="AA69" s="400">
        <f>AA56-AA67</f>
        <v>9371876.6000000015</v>
      </c>
      <c r="AB69" s="400">
        <f>AB56-AB67</f>
        <v>14986745.400000002</v>
      </c>
      <c r="AC69" s="400">
        <f>AC56-AC67</f>
        <v>16865249.300000001</v>
      </c>
      <c r="AD69" s="400">
        <f>AD56-AD67</f>
        <v>16865249.300000001</v>
      </c>
      <c r="AE69" s="400">
        <f>AE56-AE67</f>
        <v>16865249.300000001</v>
      </c>
      <c r="AF69" s="400">
        <f>AF56-AF67</f>
        <v>16865249.300000001</v>
      </c>
      <c r="AG69" s="400">
        <f>AG56-AG67</f>
        <v>16865249.300000001</v>
      </c>
      <c r="AH69" s="400">
        <f>AH56-AH67</f>
        <v>16865249.300000001</v>
      </c>
      <c r="AI69" s="400">
        <f>AI56-AI67</f>
        <v>16865249.300000001</v>
      </c>
      <c r="AJ69" s="400">
        <f>AJ56-AJ67</f>
        <v>16865249.300000001</v>
      </c>
      <c r="AK69" s="400">
        <f>AK56-AK67</f>
        <v>16865249.300000001</v>
      </c>
      <c r="AL69" s="400">
        <f>AL56-AL67</f>
        <v>11240059.050000003</v>
      </c>
      <c r="AM69" s="400">
        <f>AM56-AM67</f>
        <v>11299097.260000002</v>
      </c>
      <c r="AN69" s="400">
        <f>AN56-AN67</f>
        <v>18078555.616000004</v>
      </c>
      <c r="AO69" s="400">
        <f>AO56-AO67</f>
        <v>20338375.068000007</v>
      </c>
      <c r="AP69" s="400">
        <f>AP56-AP67</f>
        <v>20338375.068000007</v>
      </c>
      <c r="AQ69" s="400">
        <f>AQ56-AQ67</f>
        <v>20338375.068000007</v>
      </c>
      <c r="AR69" s="400">
        <f>AR56-AR67</f>
        <v>20338375.068000007</v>
      </c>
      <c r="AS69" s="400">
        <f>AS56-AS67</f>
        <v>20338375.068000007</v>
      </c>
      <c r="AT69" s="400">
        <f>AT56-AT67</f>
        <v>20338375.068000007</v>
      </c>
      <c r="AU69" s="400">
        <f>AU56-AU67</f>
        <v>20338375.068000007</v>
      </c>
      <c r="AV69" s="400">
        <f>AV56-AV67</f>
        <v>20338375.068000007</v>
      </c>
      <c r="AW69" s="400">
        <f>AW56-AW67</f>
        <v>20338375.068000007</v>
      </c>
      <c r="AX69" s="400">
        <f>AX56-AX67</f>
        <v>13558916.712000003</v>
      </c>
      <c r="AY69" s="400">
        <f>AY56-AY67</f>
        <v>9052012.6965000015</v>
      </c>
      <c r="AZ69" s="400">
        <f>AZ56-AZ67</f>
        <v>14485100.275500003</v>
      </c>
      <c r="BA69" s="400">
        <f>BA56-BA67</f>
        <v>16289862.931500006</v>
      </c>
      <c r="BB69" s="400">
        <f>BB56-BB67</f>
        <v>16289862.931500006</v>
      </c>
      <c r="BC69" s="400">
        <f>BC56-BC67</f>
        <v>16289862.931500006</v>
      </c>
      <c r="BD69" s="400">
        <f>BD56-BD67</f>
        <v>16289862.931500006</v>
      </c>
      <c r="BE69" s="400">
        <f>BE56-BE67</f>
        <v>16289862.931500006</v>
      </c>
      <c r="BF69" s="400">
        <f>BF56-BF67</f>
        <v>16289862.931500006</v>
      </c>
      <c r="BG69" s="400">
        <f>BG56-BG67</f>
        <v>16289862.931500006</v>
      </c>
      <c r="BH69" s="400">
        <f>BH56-BH67</f>
        <v>16289862.931500006</v>
      </c>
      <c r="BI69" s="400">
        <f>BI56-BI67</f>
        <v>16289862.931500006</v>
      </c>
      <c r="BJ69" s="400">
        <f>BJ56-BJ67</f>
        <v>10866175.158000004</v>
      </c>
      <c r="BK69" s="402">
        <f>SUM(C69:BJ69)</f>
        <v>676146954.4634999</v>
      </c>
    </row>
    <row r="70" spans="1:63" s="14" customFormat="1" outlineLevel="1" x14ac:dyDescent="0.15">
      <c r="A70" s="73" t="s">
        <v>318</v>
      </c>
      <c r="C70" s="100">
        <f>IF(C69&gt;0,(C69/C56),0)</f>
        <v>0</v>
      </c>
      <c r="D70" s="100">
        <f>IF(D69&gt;0,(D69/D56),0)</f>
        <v>0</v>
      </c>
      <c r="E70" s="100">
        <f>IF(E69&gt;0,(E69/E56),0)</f>
        <v>0</v>
      </c>
      <c r="F70" s="100">
        <f>IF(F69&gt;0,(F69/F56),0)</f>
        <v>0</v>
      </c>
      <c r="G70" s="100">
        <f>IF(G69&gt;0,(G69/G56),0)</f>
        <v>0.4</v>
      </c>
      <c r="H70" s="100">
        <f>IF(H69&gt;0,(H69/H56),0)</f>
        <v>0.4</v>
      </c>
      <c r="I70" s="100">
        <f>IF(I69&gt;0,(I69/I56),0)</f>
        <v>0.4</v>
      </c>
      <c r="J70" s="100">
        <f>IF(J69&gt;0,(J69/J56),0)</f>
        <v>0.4</v>
      </c>
      <c r="K70" s="100">
        <f>IF(K69&gt;0,(K69/K56),0)</f>
        <v>0.4</v>
      </c>
      <c r="L70" s="100">
        <f>IF(L69&gt;0,(L69/L56),0)</f>
        <v>0.4</v>
      </c>
      <c r="M70" s="100">
        <f>IF(M69&gt;0,(M69/M56),0)</f>
        <v>0.4</v>
      </c>
      <c r="N70" s="100">
        <f>IF(N69&gt;0,(N69/N56),0)</f>
        <v>0.4</v>
      </c>
      <c r="O70" s="100">
        <f>IF(O69&gt;0,(O69/O56),0)</f>
        <v>0.40505522514868308</v>
      </c>
      <c r="P70" s="100">
        <f>IF(P69&gt;0,(P69/P56),0)</f>
        <v>0.40505522514868308</v>
      </c>
      <c r="Q70" s="100">
        <f>IF(Q69&gt;0,(Q69/Q56),0)</f>
        <v>0.40505522514868308</v>
      </c>
      <c r="R70" s="100">
        <f>IF(R69&gt;0,(R69/R56),0)</f>
        <v>0.40505522514868308</v>
      </c>
      <c r="S70" s="100">
        <f>IF(S69&gt;0,(S69/S56),0)</f>
        <v>0.40505522514868308</v>
      </c>
      <c r="T70" s="100">
        <f>IF(T69&gt;0,(T69/T56),0)</f>
        <v>0.40505522514868308</v>
      </c>
      <c r="U70" s="100">
        <f>IF(U69&gt;0,(U69/U56),0)</f>
        <v>0.40505522514868308</v>
      </c>
      <c r="V70" s="100">
        <f>IF(V69&gt;0,(V69/V56),0)</f>
        <v>0.40505522514868308</v>
      </c>
      <c r="W70" s="100">
        <f>IF(W69&gt;0,(W69/W56),0)</f>
        <v>0.40505522514868308</v>
      </c>
      <c r="X70" s="100">
        <f>IF(X69&gt;0,(X69/X56),0)</f>
        <v>0.40505522514868308</v>
      </c>
      <c r="Y70" s="100">
        <f>IF(Y69&gt;0,(Y69/Y56),0)</f>
        <v>0.40505522514868308</v>
      </c>
      <c r="Z70" s="100">
        <f>IF(Z69&gt;0,(Z69/Z56),0)</f>
        <v>0.40505522514868308</v>
      </c>
      <c r="AA70" s="100">
        <f>IF(AA69&gt;0,(AA69/AA56),0)</f>
        <v>0.40977973463343365</v>
      </c>
      <c r="AB70" s="100">
        <f>IF(AB69&gt;0,(AB69/AB56),0)</f>
        <v>0.4097797346334337</v>
      </c>
      <c r="AC70" s="100">
        <f>IF(AC69&gt;0,(AC69/AC56),0)</f>
        <v>0.40977973463343365</v>
      </c>
      <c r="AD70" s="100">
        <f>IF(AD69&gt;0,(AD69/AD56),0)</f>
        <v>0.40977973463343365</v>
      </c>
      <c r="AE70" s="100">
        <f>IF(AE69&gt;0,(AE69/AE56),0)</f>
        <v>0.40977973463343365</v>
      </c>
      <c r="AF70" s="100">
        <f>IF(AF69&gt;0,(AF69/AF56),0)</f>
        <v>0.40977973463343365</v>
      </c>
      <c r="AG70" s="100">
        <f>IF(AG69&gt;0,(AG69/AG56),0)</f>
        <v>0.40977973463343365</v>
      </c>
      <c r="AH70" s="100">
        <f>IF(AH69&gt;0,(AH69/AH56),0)</f>
        <v>0.40977973463343365</v>
      </c>
      <c r="AI70" s="100">
        <f>IF(AI69&gt;0,(AI69/AI56),0)</f>
        <v>0.40977973463343365</v>
      </c>
      <c r="AJ70" s="100">
        <f>IF(AJ69&gt;0,(AJ69/AJ56),0)</f>
        <v>0.40977973463343365</v>
      </c>
      <c r="AK70" s="100">
        <f>IF(AK69&gt;0,(AK69/AK56),0)</f>
        <v>0.40977973463343365</v>
      </c>
      <c r="AL70" s="100">
        <f>IF(AL69&gt;0,(AL69/AL56),0)</f>
        <v>0.4097797346334337</v>
      </c>
      <c r="AM70" s="100">
        <f>IF(AM69&gt;0,(AM69/AM56),0)</f>
        <v>0.44839227535834925</v>
      </c>
      <c r="AN70" s="100">
        <f>IF(AN69&gt;0,(AN69/AN56),0)</f>
        <v>0.44839227535834925</v>
      </c>
      <c r="AO70" s="100">
        <f>IF(AO69&gt;0,(AO69/AO56),0)</f>
        <v>0.4483922753583493</v>
      </c>
      <c r="AP70" s="100">
        <f>IF(AP69&gt;0,(AP69/AP56),0)</f>
        <v>0.4483922753583493</v>
      </c>
      <c r="AQ70" s="100">
        <f>IF(AQ69&gt;0,(AQ69/AQ56),0)</f>
        <v>0.4483922753583493</v>
      </c>
      <c r="AR70" s="100">
        <f>IF(AR69&gt;0,(AR69/AR56),0)</f>
        <v>0.4483922753583493</v>
      </c>
      <c r="AS70" s="100">
        <f>IF(AS69&gt;0,(AS69/AS56),0)</f>
        <v>0.4483922753583493</v>
      </c>
      <c r="AT70" s="100">
        <f>IF(AT69&gt;0,(AT69/AT56),0)</f>
        <v>0.4483922753583493</v>
      </c>
      <c r="AU70" s="100">
        <f>IF(AU69&gt;0,(AU69/AU56),0)</f>
        <v>0.4483922753583493</v>
      </c>
      <c r="AV70" s="100">
        <f>IF(AV69&gt;0,(AV69/AV56),0)</f>
        <v>0.4483922753583493</v>
      </c>
      <c r="AW70" s="100">
        <f>IF(AW69&gt;0,(AW69/AW56),0)</f>
        <v>0.4483922753583493</v>
      </c>
      <c r="AX70" s="100">
        <f>IF(AX69&gt;0,(AX69/AX56),0)</f>
        <v>0.44839227535834925</v>
      </c>
      <c r="AY70" s="100">
        <f>IF(AY69&gt;0,(AY69/AY56),0)</f>
        <v>0.37318882554252458</v>
      </c>
      <c r="AZ70" s="100">
        <f>IF(AZ69&gt;0,(AZ69/AZ56),0)</f>
        <v>0.37318882554252458</v>
      </c>
      <c r="BA70" s="100">
        <f>IF(BA69&gt;0,(BA69/BA56),0)</f>
        <v>0.37318882554252464</v>
      </c>
      <c r="BB70" s="100">
        <f>IF(BB69&gt;0,(BB69/BB56),0)</f>
        <v>0.37318882554252464</v>
      </c>
      <c r="BC70" s="100">
        <f>IF(BC69&gt;0,(BC69/BC56),0)</f>
        <v>0.37318882554252464</v>
      </c>
      <c r="BD70" s="100">
        <f>IF(BD69&gt;0,(BD69/BD56),0)</f>
        <v>0.37318882554252464</v>
      </c>
      <c r="BE70" s="100">
        <f>IF(BE69&gt;0,(BE69/BE56),0)</f>
        <v>0.37318882554252464</v>
      </c>
      <c r="BF70" s="100">
        <f>IF(BF69&gt;0,(BF69/BF56),0)</f>
        <v>0.37318882554252464</v>
      </c>
      <c r="BG70" s="100">
        <f>IF(BG69&gt;0,(BG69/BG56),0)</f>
        <v>0.37318882554252464</v>
      </c>
      <c r="BH70" s="100">
        <f>IF(BH69&gt;0,(BH69/BH56),0)</f>
        <v>0.37318882554252464</v>
      </c>
      <c r="BI70" s="100">
        <f>IF(BI69&gt;0,(BI69/BI56),0)</f>
        <v>0.37318882554252464</v>
      </c>
      <c r="BJ70" s="100">
        <f>IF(BJ69&gt;0,(BJ69/BJ56),0)</f>
        <v>0.37318882554252464</v>
      </c>
      <c r="BK70" s="119"/>
    </row>
    <row r="71" spans="1:63" outlineLevel="1" x14ac:dyDescent="0.15"/>
    <row r="72" spans="1:63" outlineLevel="1" x14ac:dyDescent="0.15">
      <c r="A72" s="16" t="s">
        <v>1199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>C52-C76</f>
        <v>0</v>
      </c>
      <c r="D75" s="169">
        <f>D52-D76</f>
        <v>0</v>
      </c>
      <c r="E75" s="169">
        <f>E52-E76</f>
        <v>0</v>
      </c>
      <c r="F75" s="169">
        <f>F52-F76</f>
        <v>0</v>
      </c>
      <c r="G75" s="169">
        <f>G52-G76</f>
        <v>95</v>
      </c>
      <c r="H75" s="169">
        <f>H52-H76</f>
        <v>239</v>
      </c>
      <c r="I75" s="169">
        <f>I52-I76</f>
        <v>239</v>
      </c>
      <c r="J75" s="169">
        <f>J52-J76</f>
        <v>239</v>
      </c>
      <c r="K75" s="169">
        <f>K52-K76</f>
        <v>239</v>
      </c>
      <c r="L75" s="169">
        <f>L52-L76</f>
        <v>239</v>
      </c>
      <c r="M75" s="169">
        <f>M52-M76</f>
        <v>239</v>
      </c>
      <c r="N75" s="169">
        <f>N52-N76</f>
        <v>227</v>
      </c>
      <c r="O75" s="102">
        <f>O52-O76</f>
        <v>239</v>
      </c>
      <c r="P75" s="102">
        <f>P52-P76</f>
        <v>382</v>
      </c>
      <c r="Q75" s="102">
        <f>Q52-Q76</f>
        <v>430</v>
      </c>
      <c r="R75" s="102">
        <f>R52-R76</f>
        <v>430</v>
      </c>
      <c r="S75" s="102">
        <f>S52-S76</f>
        <v>430</v>
      </c>
      <c r="T75" s="102">
        <f>T52-T76</f>
        <v>430</v>
      </c>
      <c r="U75" s="102">
        <f>U52-U76</f>
        <v>430</v>
      </c>
      <c r="V75" s="102">
        <f>V52-V76</f>
        <v>430</v>
      </c>
      <c r="W75" s="102">
        <f>W52-W76</f>
        <v>430</v>
      </c>
      <c r="X75" s="102">
        <f>X52-X76</f>
        <v>430</v>
      </c>
      <c r="Y75" s="102">
        <f>Y52-Y76</f>
        <v>430</v>
      </c>
      <c r="Z75" s="102">
        <f>Z52-Z76</f>
        <v>287</v>
      </c>
      <c r="AA75" s="102">
        <f>AA52-AA76</f>
        <v>635</v>
      </c>
      <c r="AB75" s="102">
        <f>AB52-AB76</f>
        <v>1016</v>
      </c>
      <c r="AC75" s="102">
        <f>AC52-AC76</f>
        <v>1143</v>
      </c>
      <c r="AD75" s="102">
        <f>AD52-AD76</f>
        <v>1143</v>
      </c>
      <c r="AE75" s="102">
        <f>AE52-AE76</f>
        <v>1143</v>
      </c>
      <c r="AF75" s="102">
        <f>AF52-AF76</f>
        <v>1143</v>
      </c>
      <c r="AG75" s="102">
        <f>AG52-AG76</f>
        <v>1143</v>
      </c>
      <c r="AH75" s="102">
        <f>AH52-AH76</f>
        <v>1143</v>
      </c>
      <c r="AI75" s="102">
        <f>AI52-AI76</f>
        <v>1143</v>
      </c>
      <c r="AJ75" s="102">
        <f>AJ52-AJ76</f>
        <v>1143</v>
      </c>
      <c r="AK75" s="102">
        <f>AK52-AK76</f>
        <v>1143</v>
      </c>
      <c r="AL75" s="102">
        <f>AL52-AL76</f>
        <v>762</v>
      </c>
      <c r="AM75" s="102">
        <f>AM52-AM76</f>
        <v>654</v>
      </c>
      <c r="AN75" s="102">
        <f>AN52-AN76</f>
        <v>1047</v>
      </c>
      <c r="AO75" s="102">
        <f>AO52-AO76</f>
        <v>1178</v>
      </c>
      <c r="AP75" s="102">
        <f>AP52-AP76</f>
        <v>1178</v>
      </c>
      <c r="AQ75" s="102">
        <f>AQ52-AQ76</f>
        <v>1178</v>
      </c>
      <c r="AR75" s="102">
        <f>AR52-AR76</f>
        <v>1178</v>
      </c>
      <c r="AS75" s="102">
        <f>AS52-AS76</f>
        <v>1178</v>
      </c>
      <c r="AT75" s="102">
        <f>AT52-AT76</f>
        <v>1178</v>
      </c>
      <c r="AU75" s="102">
        <f>AU52-AU76</f>
        <v>1178</v>
      </c>
      <c r="AV75" s="102">
        <f>AV52-AV76</f>
        <v>1178</v>
      </c>
      <c r="AW75" s="102">
        <f>AW52-AW76</f>
        <v>1178</v>
      </c>
      <c r="AX75" s="102">
        <f>AX52-AX76</f>
        <v>785</v>
      </c>
      <c r="AY75" s="102">
        <f>AY52-AY76</f>
        <v>674</v>
      </c>
      <c r="AZ75" s="102">
        <f>AZ52-AZ76</f>
        <v>1078</v>
      </c>
      <c r="BA75" s="102">
        <f>BA52-BA76</f>
        <v>1213</v>
      </c>
      <c r="BB75" s="102">
        <f>BB52-BB76</f>
        <v>1213</v>
      </c>
      <c r="BC75" s="102">
        <f>BC52-BC76</f>
        <v>1213</v>
      </c>
      <c r="BD75" s="102">
        <f>BD52-BD76</f>
        <v>1213</v>
      </c>
      <c r="BE75" s="102">
        <f>BE52-BE76</f>
        <v>1213</v>
      </c>
      <c r="BF75" s="102">
        <f>BF52-BF76</f>
        <v>1213</v>
      </c>
      <c r="BG75" s="102">
        <f>BG52-BG76</f>
        <v>1213</v>
      </c>
      <c r="BH75" s="102">
        <f>BH52-BH76</f>
        <v>1213</v>
      </c>
      <c r="BI75" s="102">
        <f>BI52-BI76</f>
        <v>1213</v>
      </c>
      <c r="BJ75" s="102">
        <f>BJ52-BJ76</f>
        <v>809</v>
      </c>
      <c r="BK75" s="103">
        <f>SUM(C75:BJ75)</f>
        <v>45800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>ROUNDUP(+C52*C74,0)</f>
        <v>0</v>
      </c>
      <c r="D76" s="169">
        <f>ROUNDUP(+D52*D74,0)</f>
        <v>0</v>
      </c>
      <c r="E76" s="169">
        <f>ROUNDUP(+E52*E74,0)</f>
        <v>0</v>
      </c>
      <c r="F76" s="169">
        <f>ROUNDUP(+F52*F74,0)</f>
        <v>0</v>
      </c>
      <c r="G76" s="169">
        <f>ROUNDUP(+G52*G74,0)</f>
        <v>34</v>
      </c>
      <c r="H76" s="169">
        <f>ROUNDUP(+H52*H74,0)</f>
        <v>85</v>
      </c>
      <c r="I76" s="169">
        <f>ROUNDUP(+I52*I74,0)</f>
        <v>85</v>
      </c>
      <c r="J76" s="169">
        <f>ROUNDUP(+J52*J74,0)</f>
        <v>85</v>
      </c>
      <c r="K76" s="169">
        <f>ROUNDUP(+K52*K74,0)</f>
        <v>85</v>
      </c>
      <c r="L76" s="169">
        <f>ROUNDUP(+L52*L74,0)</f>
        <v>85</v>
      </c>
      <c r="M76" s="169">
        <f>ROUNDUP(+M52*M74,0)</f>
        <v>85</v>
      </c>
      <c r="N76" s="169">
        <f>ROUNDUP(+N52*N74,0)</f>
        <v>81</v>
      </c>
      <c r="O76" s="102">
        <f>ROUNDUP(+O52*O74,0)</f>
        <v>80</v>
      </c>
      <c r="P76" s="102">
        <f>ROUNDUP(+P52*P74,0)</f>
        <v>128</v>
      </c>
      <c r="Q76" s="102">
        <f>ROUNDUP(+Q52*Q74,0)</f>
        <v>144</v>
      </c>
      <c r="R76" s="102">
        <f>ROUNDUP(+R52*R74,0)</f>
        <v>144</v>
      </c>
      <c r="S76" s="102">
        <f>ROUNDUP(+S52*S74,0)</f>
        <v>144</v>
      </c>
      <c r="T76" s="102">
        <f>ROUNDUP(+T52*T74,0)</f>
        <v>144</v>
      </c>
      <c r="U76" s="102">
        <f>ROUNDUP(+U52*U74,0)</f>
        <v>144</v>
      </c>
      <c r="V76" s="102">
        <f>ROUNDUP(+V52*V74,0)</f>
        <v>144</v>
      </c>
      <c r="W76" s="102">
        <f>ROUNDUP(+W52*W74,0)</f>
        <v>144</v>
      </c>
      <c r="X76" s="102">
        <f>ROUNDUP(+X52*X74,0)</f>
        <v>144</v>
      </c>
      <c r="Y76" s="102">
        <f>ROUNDUP(+Y52*Y74,0)</f>
        <v>144</v>
      </c>
      <c r="Z76" s="102">
        <f>ROUNDUP(+Z52*Z74,0)</f>
        <v>96</v>
      </c>
      <c r="AA76" s="102">
        <f>ROUNDUP(+AA52*AA74,0)</f>
        <v>273</v>
      </c>
      <c r="AB76" s="102">
        <f>ROUNDUP(+AB52*AB74,0)</f>
        <v>436</v>
      </c>
      <c r="AC76" s="102">
        <f>ROUNDUP(+AC52*AC74,0)</f>
        <v>491</v>
      </c>
      <c r="AD76" s="102">
        <f>ROUNDUP(+AD52*AD74,0)</f>
        <v>491</v>
      </c>
      <c r="AE76" s="102">
        <f>ROUNDUP(+AE52*AE74,0)</f>
        <v>491</v>
      </c>
      <c r="AF76" s="102">
        <f>ROUNDUP(+AF52*AF74,0)</f>
        <v>491</v>
      </c>
      <c r="AG76" s="102">
        <f>ROUNDUP(+AG52*AG74,0)</f>
        <v>491</v>
      </c>
      <c r="AH76" s="102">
        <f>ROUNDUP(+AH52*AH74,0)</f>
        <v>491</v>
      </c>
      <c r="AI76" s="102">
        <f>ROUNDUP(+AI52*AI74,0)</f>
        <v>491</v>
      </c>
      <c r="AJ76" s="102">
        <f>ROUNDUP(+AJ52*AJ74,0)</f>
        <v>491</v>
      </c>
      <c r="AK76" s="102">
        <f>ROUNDUP(+AK52*AK74,0)</f>
        <v>491</v>
      </c>
      <c r="AL76" s="102">
        <f>ROUNDUP(+AL52*AL74,0)</f>
        <v>327</v>
      </c>
      <c r="AM76" s="102">
        <f>ROUNDUP(+AM52*AM74,0)</f>
        <v>281</v>
      </c>
      <c r="AN76" s="102">
        <f>ROUNDUP(+AN52*AN74,0)</f>
        <v>449</v>
      </c>
      <c r="AO76" s="102">
        <f>ROUNDUP(+AO52*AO74,0)</f>
        <v>505</v>
      </c>
      <c r="AP76" s="102">
        <f>ROUNDUP(+AP52*AP74,0)</f>
        <v>505</v>
      </c>
      <c r="AQ76" s="102">
        <f>ROUNDUP(+AQ52*AQ74,0)</f>
        <v>505</v>
      </c>
      <c r="AR76" s="102">
        <f>ROUNDUP(+AR52*AR74,0)</f>
        <v>505</v>
      </c>
      <c r="AS76" s="102">
        <f>ROUNDUP(+AS52*AS74,0)</f>
        <v>505</v>
      </c>
      <c r="AT76" s="102">
        <f>ROUNDUP(+AT52*AT74,0)</f>
        <v>505</v>
      </c>
      <c r="AU76" s="102">
        <f>ROUNDUP(+AU52*AU74,0)</f>
        <v>505</v>
      </c>
      <c r="AV76" s="102">
        <f>ROUNDUP(+AV52*AV74,0)</f>
        <v>505</v>
      </c>
      <c r="AW76" s="102">
        <f>ROUNDUP(+AW52*AW74,0)</f>
        <v>505</v>
      </c>
      <c r="AX76" s="102">
        <f>ROUNDUP(+AX52*AX74,0)</f>
        <v>337</v>
      </c>
      <c r="AY76" s="102">
        <f>ROUNDUP(+AY52*AY74,0)</f>
        <v>289</v>
      </c>
      <c r="AZ76" s="102">
        <f>ROUNDUP(+AZ52*AZ74,0)</f>
        <v>463</v>
      </c>
      <c r="BA76" s="102">
        <f>ROUNDUP(+BA52*BA74,0)</f>
        <v>520</v>
      </c>
      <c r="BB76" s="102">
        <f>ROUNDUP(+BB52*BB74,0)</f>
        <v>520</v>
      </c>
      <c r="BC76" s="102">
        <f>ROUNDUP(+BC52*BC74,0)</f>
        <v>520</v>
      </c>
      <c r="BD76" s="102">
        <f>ROUNDUP(+BD52*BD74,0)</f>
        <v>520</v>
      </c>
      <c r="BE76" s="102">
        <f>ROUNDUP(+BE52*BE74,0)</f>
        <v>520</v>
      </c>
      <c r="BF76" s="102">
        <f>ROUNDUP(+BF52*BF74,0)</f>
        <v>520</v>
      </c>
      <c r="BG76" s="102">
        <f>ROUNDUP(+BG52*BG74,0)</f>
        <v>520</v>
      </c>
      <c r="BH76" s="102">
        <f>ROUNDUP(+BH52*BH74,0)</f>
        <v>520</v>
      </c>
      <c r="BI76" s="102">
        <f>ROUNDUP(+BI52*BI74,0)</f>
        <v>520</v>
      </c>
      <c r="BJ76" s="102">
        <f>ROUNDUP(+BJ52*BJ74,0)</f>
        <v>347</v>
      </c>
      <c r="BK76" s="103">
        <f>SUM(C76:BJ76)</f>
        <v>19071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332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16">C79*(1-C80)</f>
        <v>0</v>
      </c>
      <c r="D81" s="169">
        <f t="shared" si="16"/>
        <v>0</v>
      </c>
      <c r="E81" s="169">
        <f t="shared" si="16"/>
        <v>0</v>
      </c>
      <c r="F81" s="169">
        <f t="shared" si="16"/>
        <v>0</v>
      </c>
      <c r="G81" s="169">
        <f t="shared" si="16"/>
        <v>0</v>
      </c>
      <c r="H81" s="169">
        <f t="shared" si="16"/>
        <v>0</v>
      </c>
      <c r="I81" s="169">
        <f t="shared" si="16"/>
        <v>0</v>
      </c>
      <c r="J81" s="169">
        <f t="shared" si="16"/>
        <v>0</v>
      </c>
      <c r="K81" s="169">
        <f t="shared" si="16"/>
        <v>0</v>
      </c>
      <c r="L81" s="169">
        <f t="shared" si="16"/>
        <v>0</v>
      </c>
      <c r="M81" s="169">
        <f t="shared" si="16"/>
        <v>0</v>
      </c>
      <c r="N81" s="169">
        <f t="shared" si="16"/>
        <v>0</v>
      </c>
      <c r="O81" s="169">
        <f t="shared" si="16"/>
        <v>0</v>
      </c>
      <c r="P81" s="169">
        <f t="shared" si="16"/>
        <v>0</v>
      </c>
      <c r="Q81" s="169">
        <f t="shared" si="16"/>
        <v>0</v>
      </c>
      <c r="R81" s="169">
        <f t="shared" si="16"/>
        <v>0</v>
      </c>
      <c r="S81" s="169">
        <f t="shared" ref="S81:AH81" si="17">S79*(1-S80)</f>
        <v>0</v>
      </c>
      <c r="T81" s="169">
        <f t="shared" si="17"/>
        <v>0</v>
      </c>
      <c r="U81" s="169">
        <f t="shared" si="17"/>
        <v>0</v>
      </c>
      <c r="V81" s="169">
        <f t="shared" si="17"/>
        <v>0</v>
      </c>
      <c r="W81" s="169">
        <f t="shared" si="17"/>
        <v>0</v>
      </c>
      <c r="X81" s="169">
        <f t="shared" si="17"/>
        <v>0</v>
      </c>
      <c r="Y81" s="169">
        <f t="shared" si="17"/>
        <v>0</v>
      </c>
      <c r="Z81" s="169">
        <f t="shared" si="17"/>
        <v>0</v>
      </c>
      <c r="AA81" s="169">
        <f t="shared" si="17"/>
        <v>0</v>
      </c>
      <c r="AB81" s="169">
        <f t="shared" si="17"/>
        <v>0</v>
      </c>
      <c r="AC81" s="169">
        <f t="shared" si="17"/>
        <v>0</v>
      </c>
      <c r="AD81" s="169">
        <f t="shared" si="17"/>
        <v>0</v>
      </c>
      <c r="AE81" s="169">
        <f t="shared" si="17"/>
        <v>0</v>
      </c>
      <c r="AF81" s="169">
        <f t="shared" si="17"/>
        <v>0</v>
      </c>
      <c r="AG81" s="169">
        <f t="shared" si="17"/>
        <v>0</v>
      </c>
      <c r="AH81" s="169">
        <f t="shared" si="17"/>
        <v>0</v>
      </c>
      <c r="AI81" s="169">
        <f t="shared" ref="AI81:AL81" si="18">AI79*(1-AI80)</f>
        <v>0</v>
      </c>
      <c r="AJ81" s="169">
        <f t="shared" si="18"/>
        <v>0</v>
      </c>
      <c r="AK81" s="169">
        <f t="shared" si="18"/>
        <v>0</v>
      </c>
      <c r="AL81" s="169">
        <f t="shared" si="18"/>
        <v>0</v>
      </c>
      <c r="AM81" s="90">
        <f t="shared" si="16"/>
        <v>0</v>
      </c>
      <c r="AN81" s="90">
        <f t="shared" si="16"/>
        <v>0</v>
      </c>
      <c r="AO81" s="90">
        <f t="shared" si="16"/>
        <v>0</v>
      </c>
      <c r="AP81" s="90">
        <f t="shared" si="16"/>
        <v>0</v>
      </c>
      <c r="AQ81" s="90">
        <f t="shared" si="16"/>
        <v>0</v>
      </c>
      <c r="AR81" s="90">
        <f t="shared" si="16"/>
        <v>0</v>
      </c>
      <c r="AS81" s="90">
        <f t="shared" si="16"/>
        <v>0</v>
      </c>
      <c r="AT81" s="90">
        <f t="shared" si="16"/>
        <v>0</v>
      </c>
      <c r="AU81" s="90">
        <f t="shared" si="16"/>
        <v>0</v>
      </c>
      <c r="AV81" s="90">
        <f t="shared" si="16"/>
        <v>0</v>
      </c>
      <c r="AW81" s="90">
        <f t="shared" si="16"/>
        <v>0</v>
      </c>
      <c r="AX81" s="90">
        <f t="shared" si="16"/>
        <v>0</v>
      </c>
      <c r="AY81" s="90">
        <f t="shared" si="16"/>
        <v>0</v>
      </c>
      <c r="AZ81" s="90">
        <f t="shared" si="16"/>
        <v>0</v>
      </c>
      <c r="BA81" s="90">
        <f t="shared" si="16"/>
        <v>0</v>
      </c>
      <c r="BB81" s="90">
        <f t="shared" si="16"/>
        <v>0</v>
      </c>
      <c r="BC81" s="90">
        <f t="shared" si="16"/>
        <v>0</v>
      </c>
      <c r="BD81" s="90">
        <f t="shared" si="16"/>
        <v>0</v>
      </c>
      <c r="BE81" s="90">
        <f t="shared" si="16"/>
        <v>0</v>
      </c>
      <c r="BF81" s="90">
        <f t="shared" si="16"/>
        <v>0</v>
      </c>
      <c r="BG81" s="90">
        <f t="shared" si="16"/>
        <v>0</v>
      </c>
      <c r="BH81" s="90">
        <f t="shared" si="16"/>
        <v>0</v>
      </c>
      <c r="BI81" s="90">
        <f t="shared" si="16"/>
        <v>0</v>
      </c>
      <c r="BJ81" s="90">
        <f t="shared" si="16"/>
        <v>0</v>
      </c>
      <c r="BK81" s="118">
        <f>SUM(C81:BJ81)</f>
        <v>0</v>
      </c>
    </row>
    <row r="82" spans="1:64" outlineLevel="1" x14ac:dyDescent="0.15">
      <c r="A82" s="47" t="s">
        <v>345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169">
        <f>'COGS-PRICE-MARGIN_CWS'!$B49*C76</f>
        <v>0</v>
      </c>
      <c r="D85" s="169">
        <f>'COGS-PRICE-MARGIN_CWS'!$B49*D76</f>
        <v>0</v>
      </c>
      <c r="E85" s="169">
        <f>'COGS-PRICE-MARGIN_CWS'!$B49*E76</f>
        <v>0</v>
      </c>
      <c r="F85" s="90">
        <f>'COGS-PRICE-MARGIN_CWS'!$B49*F76</f>
        <v>0</v>
      </c>
      <c r="G85" s="90">
        <f>'COGS-PRICE-MARGIN_CWS'!$B49*G76</f>
        <v>85000</v>
      </c>
      <c r="H85" s="90">
        <f>'COGS-PRICE-MARGIN_CWS'!$B49*H76</f>
        <v>212500</v>
      </c>
      <c r="I85" s="90">
        <f>'COGS-PRICE-MARGIN_CWS'!$B49*I76</f>
        <v>212500</v>
      </c>
      <c r="J85" s="90">
        <f>'COGS-PRICE-MARGIN_CWS'!$B49*J76</f>
        <v>212500</v>
      </c>
      <c r="K85" s="90">
        <f>'COGS-PRICE-MARGIN_CWS'!$B49*K76</f>
        <v>212500</v>
      </c>
      <c r="L85" s="90">
        <f>'COGS-PRICE-MARGIN_CWS'!$B49*L76</f>
        <v>212500</v>
      </c>
      <c r="M85" s="90">
        <f>'COGS-PRICE-MARGIN_CWS'!$B49*M76</f>
        <v>212500</v>
      </c>
      <c r="N85" s="90">
        <f>'COGS-PRICE-MARGIN_CWS'!$B49*N76</f>
        <v>202500</v>
      </c>
      <c r="O85" s="169">
        <f>'COGS-PRICE-MARGIN_CWS'!$B95*O76</f>
        <v>214000</v>
      </c>
      <c r="P85" s="169">
        <f>'COGS-PRICE-MARGIN_CWS'!$B95*P76</f>
        <v>342400</v>
      </c>
      <c r="Q85" s="169">
        <f>'COGS-PRICE-MARGIN_CWS'!$B95*Q76</f>
        <v>385200</v>
      </c>
      <c r="R85" s="169">
        <f>'COGS-PRICE-MARGIN_CWS'!$B95*R76</f>
        <v>385200</v>
      </c>
      <c r="S85" s="169">
        <f>'COGS-PRICE-MARGIN_CWS'!$B95*S76</f>
        <v>385200</v>
      </c>
      <c r="T85" s="169">
        <f>'COGS-PRICE-MARGIN_CWS'!$B95*T76</f>
        <v>385200</v>
      </c>
      <c r="U85" s="169">
        <f>'COGS-PRICE-MARGIN_CWS'!$B95*U76</f>
        <v>385200</v>
      </c>
      <c r="V85" s="169">
        <f>'COGS-PRICE-MARGIN_CWS'!$B95*V76</f>
        <v>385200</v>
      </c>
      <c r="W85" s="169">
        <f>'COGS-PRICE-MARGIN_CWS'!$B95*W76</f>
        <v>385200</v>
      </c>
      <c r="X85" s="169">
        <f>'COGS-PRICE-MARGIN_CWS'!$B95*X76</f>
        <v>385200</v>
      </c>
      <c r="Y85" s="169">
        <f>'COGS-PRICE-MARGIN_CWS'!$B95*Y76</f>
        <v>385200</v>
      </c>
      <c r="Z85" s="169">
        <f>'COGS-PRICE-MARGIN_CWS'!$B95*Z76</f>
        <v>256800</v>
      </c>
      <c r="AA85" s="90">
        <f>'COGS-PRICE-MARGIN_CWS'!$B145*AA76</f>
        <v>781394.25</v>
      </c>
      <c r="AB85" s="90">
        <f>'COGS-PRICE-MARGIN_CWS'!$B145*AB76</f>
        <v>1247941</v>
      </c>
      <c r="AC85" s="90">
        <f>'COGS-PRICE-MARGIN_CWS'!$B145*AC76</f>
        <v>1405364.75</v>
      </c>
      <c r="AD85" s="90">
        <f>'COGS-PRICE-MARGIN_CWS'!$B145*AD76</f>
        <v>1405364.75</v>
      </c>
      <c r="AE85" s="90">
        <f>'COGS-PRICE-MARGIN_CWS'!$B145*AE76</f>
        <v>1405364.75</v>
      </c>
      <c r="AF85" s="90">
        <f>'COGS-PRICE-MARGIN_CWS'!$B145*AF76</f>
        <v>1405364.75</v>
      </c>
      <c r="AG85" s="90">
        <f>'COGS-PRICE-MARGIN_CWS'!$B145*AG76</f>
        <v>1405364.75</v>
      </c>
      <c r="AH85" s="90">
        <f>'COGS-PRICE-MARGIN_CWS'!$B145*AH76</f>
        <v>1405364.75</v>
      </c>
      <c r="AI85" s="90">
        <f>'COGS-PRICE-MARGIN_CWS'!$B145*AI76</f>
        <v>1405364.75</v>
      </c>
      <c r="AJ85" s="90">
        <f>'COGS-PRICE-MARGIN_CWS'!$B145*AJ76</f>
        <v>1405364.75</v>
      </c>
      <c r="AK85" s="90">
        <f>'COGS-PRICE-MARGIN_CWS'!$B145*AK76</f>
        <v>1405364.75</v>
      </c>
      <c r="AL85" s="90">
        <f>'COGS-PRICE-MARGIN_CWS'!$B145*AL76</f>
        <v>935955.75</v>
      </c>
      <c r="AM85" s="90">
        <f>'COGS-PRICE-MARGIN_CWS'!$B195*AM76</f>
        <v>860592.70750000002</v>
      </c>
      <c r="AN85" s="90">
        <f>'COGS-PRICE-MARGIN_CWS'!$B195*AN76</f>
        <v>1375110.7675000001</v>
      </c>
      <c r="AO85" s="90">
        <f>'COGS-PRICE-MARGIN_CWS'!$B195*AO76</f>
        <v>1546616.7875000001</v>
      </c>
      <c r="AP85" s="90">
        <f>'COGS-PRICE-MARGIN_CWS'!$B195*AP76</f>
        <v>1546616.7875000001</v>
      </c>
      <c r="AQ85" s="90">
        <f>'COGS-PRICE-MARGIN_CWS'!$B195*AQ76</f>
        <v>1546616.7875000001</v>
      </c>
      <c r="AR85" s="90">
        <f>'COGS-PRICE-MARGIN_CWS'!$B195*AR76</f>
        <v>1546616.7875000001</v>
      </c>
      <c r="AS85" s="90">
        <f>'COGS-PRICE-MARGIN_CWS'!$B195*AS76</f>
        <v>1546616.7875000001</v>
      </c>
      <c r="AT85" s="90">
        <f>'COGS-PRICE-MARGIN_CWS'!$B195*AT76</f>
        <v>1546616.7875000001</v>
      </c>
      <c r="AU85" s="90">
        <f>'COGS-PRICE-MARGIN_CWS'!$B195*AU76</f>
        <v>1546616.7875000001</v>
      </c>
      <c r="AV85" s="90">
        <f>'COGS-PRICE-MARGIN_CWS'!$B195*AV76</f>
        <v>1546616.7875000001</v>
      </c>
      <c r="AW85" s="90">
        <f>'COGS-PRICE-MARGIN_CWS'!$B195*AW76</f>
        <v>1546616.7875000001</v>
      </c>
      <c r="AX85" s="90">
        <f>'COGS-PRICE-MARGIN_CWS'!$B195*AX76</f>
        <v>1032098.7275</v>
      </c>
      <c r="AY85" s="90">
        <f>'COGS-PRICE-MARGIN_CWS'!$B245*AY76</f>
        <v>947050.11722500005</v>
      </c>
      <c r="AZ85" s="90">
        <f>'COGS-PRICE-MARGIN_CWS'!$B245*AZ76</f>
        <v>1517246.381575</v>
      </c>
      <c r="BA85" s="90">
        <f>'COGS-PRICE-MARGIN_CWS'!$B245*BA76</f>
        <v>1704034.8130000001</v>
      </c>
      <c r="BB85" s="90">
        <f>'COGS-PRICE-MARGIN_CWS'!$B245*BB76</f>
        <v>1704034.8130000001</v>
      </c>
      <c r="BC85" s="90">
        <f>'COGS-PRICE-MARGIN_CWS'!$B245*BC76</f>
        <v>1704034.8130000001</v>
      </c>
      <c r="BD85" s="90">
        <f>'COGS-PRICE-MARGIN_CWS'!$B245*BD76</f>
        <v>1704034.8130000001</v>
      </c>
      <c r="BE85" s="90">
        <f>'COGS-PRICE-MARGIN_CWS'!$B245*BE76</f>
        <v>1704034.8130000001</v>
      </c>
      <c r="BF85" s="90">
        <f>'COGS-PRICE-MARGIN_CWS'!$B245*BF76</f>
        <v>1704034.8130000001</v>
      </c>
      <c r="BG85" s="90">
        <f>'COGS-PRICE-MARGIN_CWS'!$B245*BG76</f>
        <v>1704034.8130000001</v>
      </c>
      <c r="BH85" s="90">
        <f>'COGS-PRICE-MARGIN_CWS'!$B245*BH76</f>
        <v>1704034.8130000001</v>
      </c>
      <c r="BI85" s="90">
        <f>'COGS-PRICE-MARGIN_CWS'!$B245*BI76</f>
        <v>1704034.8130000001</v>
      </c>
      <c r="BJ85" s="90">
        <f>'COGS-PRICE-MARGIN_CWS'!$B245*BJ76</f>
        <v>1137115.538675</v>
      </c>
      <c r="BK85" s="118">
        <f>SUM(C85:BJ85)</f>
        <v>57581152.394475028</v>
      </c>
    </row>
    <row r="86" spans="1:64" outlineLevel="1" x14ac:dyDescent="0.15">
      <c r="A86" s="47" t="s">
        <v>344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1204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97">
        <f>C$17+C$42+C$43+C$46+C$47</f>
        <v>0</v>
      </c>
      <c r="D90" s="97">
        <f>D$17+D$42+D$43+D$46+D$47</f>
        <v>0</v>
      </c>
      <c r="E90" s="97">
        <f>E$17+E$42+E$43+E$46+E$47</f>
        <v>0</v>
      </c>
      <c r="F90" s="97">
        <f>F$17+F$42+F$43+F$46+F$47</f>
        <v>9009000</v>
      </c>
      <c r="G90" s="97">
        <f>G$17+G$42+G$43+G$46+G$47</f>
        <v>10619000</v>
      </c>
      <c r="H90" s="97">
        <f>H$17+H$42+H$43+H$46+H$47</f>
        <v>11028500</v>
      </c>
      <c r="I90" s="97">
        <f>I$17+I$42+I$43+I$46+I$47</f>
        <v>11028500</v>
      </c>
      <c r="J90" s="97">
        <f>J$17+J$42+J$43+J$46+J$47</f>
        <v>11028500</v>
      </c>
      <c r="K90" s="97">
        <f>K$17+K$42+K$43+K$46+K$47</f>
        <v>11028500</v>
      </c>
      <c r="L90" s="97">
        <f>L$17+L$42+L$43+L$46+L$47</f>
        <v>11028500</v>
      </c>
      <c r="M90" s="97">
        <f>M$17+M$42+M$43+M$46+M$47</f>
        <v>11028500</v>
      </c>
      <c r="N90" s="97">
        <f>N$17+N$42+N$43+N$46+N$47</f>
        <v>10502000</v>
      </c>
      <c r="O90" s="97">
        <f>O$17+O$42+O$43+O$46+O$47</f>
        <v>11134420</v>
      </c>
      <c r="P90" s="97">
        <f>P$17+P$42+P$43+P$46+P$47</f>
        <v>17823525</v>
      </c>
      <c r="Q90" s="97">
        <f>Q$17+Q$42+Q$43+Q$46+Q$47</f>
        <v>20037355</v>
      </c>
      <c r="R90" s="97">
        <f>R$17+R$42+R$43+R$46+R$47</f>
        <v>20037355</v>
      </c>
      <c r="S90" s="97">
        <f>S$17+S$42+S$43+S$46+S$47</f>
        <v>20037355</v>
      </c>
      <c r="T90" s="97">
        <f>T$17+T$42+T$43+T$46+T$47</f>
        <v>20037355</v>
      </c>
      <c r="U90" s="97">
        <f>U$17+U$42+U$43+U$46+U$47</f>
        <v>20037355</v>
      </c>
      <c r="V90" s="97">
        <f>V$17+V$42+V$43+V$46+V$47</f>
        <v>20037355</v>
      </c>
      <c r="W90" s="97">
        <f>W$17+W$42+W$43+W$46+W$47</f>
        <v>20037355</v>
      </c>
      <c r="X90" s="97">
        <f>X$17+X$42+X$43+X$46+X$47</f>
        <v>20037355</v>
      </c>
      <c r="Y90" s="97">
        <f>Y$17+Y$42+Y$43+Y$46+Y$47</f>
        <v>20037355</v>
      </c>
      <c r="Z90" s="97">
        <f>Z$17+Z$42+Z$43+Z$46+Z$47</f>
        <v>13348250</v>
      </c>
      <c r="AA90" s="97">
        <f>AA$17+AA$42+AA$43+AA$46+AA$47</f>
        <v>15345094.700000001</v>
      </c>
      <c r="AB90" s="97">
        <f>AB$17+AB$42+AB$43+AB$46+AB$47</f>
        <v>24564401.949999999</v>
      </c>
      <c r="AC90" s="97">
        <f>AC$17+AC$42+AC$43+AC$46+AC$47</f>
        <v>27625864.550000001</v>
      </c>
      <c r="AD90" s="97">
        <f>AD$17+AD$42+AD$43+AD$46+AD$47</f>
        <v>27625864.550000001</v>
      </c>
      <c r="AE90" s="97">
        <f>AE$17+AE$42+AE$43+AE$46+AE$47</f>
        <v>27625864.550000001</v>
      </c>
      <c r="AF90" s="97">
        <f>AF$17+AF$42+AF$43+AF$46+AF$47</f>
        <v>27625864.550000001</v>
      </c>
      <c r="AG90" s="97">
        <f>AG$17+AG$42+AG$43+AG$46+AG$47</f>
        <v>27625864.550000001</v>
      </c>
      <c r="AH90" s="97">
        <f>AH$17+AH$42+AH$43+AH$46+AH$47</f>
        <v>27625864.550000001</v>
      </c>
      <c r="AI90" s="97">
        <f>AI$17+AI$42+AI$43+AI$46+AI$47</f>
        <v>27625864.550000001</v>
      </c>
      <c r="AJ90" s="97">
        <f>AJ$17+AJ$42+AJ$43+AJ$46+AJ$47</f>
        <v>27625864.550000001</v>
      </c>
      <c r="AK90" s="97">
        <f>AK$17+AK$42+AK$43+AK$46+AK$47</f>
        <v>27625864.550000001</v>
      </c>
      <c r="AL90" s="97">
        <f>AL$17+AL$42+AL$43+AL$46+AL$47</f>
        <v>18422585.900000002</v>
      </c>
      <c r="AM90" s="97">
        <f>AM$17+AM$42+AM$43+AM$46+AM$47</f>
        <v>33772597.945500001</v>
      </c>
      <c r="AN90" s="97">
        <f>AN$17+AN$42+AN$43+AN$46+AN$47</f>
        <v>54047672.117000014</v>
      </c>
      <c r="AO90" s="97">
        <f>AO$17+AO$42+AO$43+AO$46+AO$47</f>
        <v>60805009.305000015</v>
      </c>
      <c r="AP90" s="97">
        <f>AP$17+AP$42+AP$43+AP$46+AP$47</f>
        <v>60805009.305000015</v>
      </c>
      <c r="AQ90" s="97">
        <f>AQ$17+AQ$42+AQ$43+AQ$46+AQ$47</f>
        <v>60805009.305000015</v>
      </c>
      <c r="AR90" s="97">
        <f>AR$17+AR$42+AR$43+AR$46+AR$47</f>
        <v>60805009.305000015</v>
      </c>
      <c r="AS90" s="97">
        <f>AS$17+AS$42+AS$43+AS$46+AS$47</f>
        <v>60805009.305000015</v>
      </c>
      <c r="AT90" s="97">
        <f>AT$17+AT$42+AT$43+AT$46+AT$47</f>
        <v>60805009.305000015</v>
      </c>
      <c r="AU90" s="97">
        <f>AU$17+AU$42+AU$43+AU$46+AU$47</f>
        <v>60805009.305000015</v>
      </c>
      <c r="AV90" s="97">
        <f>AV$17+AV$42+AV$43+AV$46+AV$47</f>
        <v>60805009.305000015</v>
      </c>
      <c r="AW90" s="97">
        <f>AW$17+AW$42+AW$43+AW$46+AW$47</f>
        <v>60805009.305000015</v>
      </c>
      <c r="AX90" s="97">
        <f>AX$17+AX$42+AX$43+AX$46+AX$47</f>
        <v>40529935.13350001</v>
      </c>
      <c r="AY90" s="97">
        <f>AY$17+AY$42+AY$43+AY$46+AY$47</f>
        <v>37220052.703950003</v>
      </c>
      <c r="AZ90" s="97">
        <f>AZ$17+AZ$42+AZ$43+AZ$46+AZ$47</f>
        <v>59571090.868465014</v>
      </c>
      <c r="BA90" s="97">
        <f>BA$17+BA$42+BA$43+BA$46+BA$47</f>
        <v>67013135.215240017</v>
      </c>
      <c r="BB90" s="97">
        <f>BB$17+BB$42+BB$43+BB$46+BB$47</f>
        <v>67013135.215240017</v>
      </c>
      <c r="BC90" s="97">
        <f>BC$17+BC$42+BC$43+BC$46+BC$47</f>
        <v>67013135.215240017</v>
      </c>
      <c r="BD90" s="97">
        <f>BD$17+BD$42+BD$43+BD$46+BD$47</f>
        <v>67013135.215240017</v>
      </c>
      <c r="BE90" s="97">
        <f>BE$17+BE$42+BE$43+BE$46+BE$47</f>
        <v>67013135.215240017</v>
      </c>
      <c r="BF90" s="97">
        <f>BF$17+BF$42+BF$43+BF$46+BF$47</f>
        <v>67013135.215240017</v>
      </c>
      <c r="BG90" s="97">
        <f>BG$17+BG$42+BG$43+BG$46+BG$47</f>
        <v>67013135.215240017</v>
      </c>
      <c r="BH90" s="97">
        <f>BH$17+BH$42+BH$43+BH$46+BH$47</f>
        <v>67013135.215240017</v>
      </c>
      <c r="BI90" s="97">
        <f>BI$17+BI$42+BI$43+BI$46+BI$47</f>
        <v>67013135.215240017</v>
      </c>
      <c r="BJ90" s="97">
        <f>BJ$17+BJ$42+BJ$43+BJ$46+BJ$47</f>
        <v>44683725.184890009</v>
      </c>
    </row>
    <row r="91" spans="1:64" x14ac:dyDescent="0.15">
      <c r="A91" s="33" t="str">
        <f>"Net Revenue " &amp; A11</f>
        <v>Net Revenue Producto Diario</v>
      </c>
      <c r="C91" s="97">
        <f>C$30+C$42+C$43+C$46+C$47</f>
        <v>0</v>
      </c>
      <c r="D91" s="97">
        <f t="shared" ref="D91:BJ91" si="19">D$30+D$42+D$43+D$46+D$47</f>
        <v>0</v>
      </c>
      <c r="E91" s="97">
        <f t="shared" si="19"/>
        <v>0</v>
      </c>
      <c r="F91" s="97">
        <f t="shared" si="19"/>
        <v>2109800</v>
      </c>
      <c r="G91" s="97">
        <f t="shared" si="19"/>
        <v>2487800</v>
      </c>
      <c r="H91" s="97">
        <f t="shared" si="19"/>
        <v>2583700</v>
      </c>
      <c r="I91" s="97">
        <f t="shared" si="19"/>
        <v>2583700</v>
      </c>
      <c r="J91" s="97">
        <f t="shared" si="19"/>
        <v>2583700</v>
      </c>
      <c r="K91" s="97">
        <f t="shared" si="19"/>
        <v>2583700</v>
      </c>
      <c r="L91" s="97">
        <f t="shared" si="19"/>
        <v>2583700</v>
      </c>
      <c r="M91" s="97">
        <f t="shared" si="19"/>
        <v>2583700</v>
      </c>
      <c r="N91" s="97">
        <f t="shared" si="19"/>
        <v>2460400</v>
      </c>
      <c r="O91" s="97">
        <f t="shared" si="19"/>
        <v>2722135</v>
      </c>
      <c r="P91" s="97">
        <f t="shared" si="19"/>
        <v>4356750</v>
      </c>
      <c r="Q91" s="97">
        <f t="shared" si="19"/>
        <v>4897615</v>
      </c>
      <c r="R91" s="97">
        <f t="shared" si="19"/>
        <v>4897615</v>
      </c>
      <c r="S91" s="97">
        <f t="shared" si="19"/>
        <v>4897615</v>
      </c>
      <c r="T91" s="97">
        <f t="shared" si="19"/>
        <v>4897615</v>
      </c>
      <c r="U91" s="97">
        <f t="shared" si="19"/>
        <v>4897615</v>
      </c>
      <c r="V91" s="97">
        <f t="shared" si="19"/>
        <v>4897615</v>
      </c>
      <c r="W91" s="97">
        <f t="shared" si="19"/>
        <v>4897615</v>
      </c>
      <c r="X91" s="97">
        <f t="shared" si="19"/>
        <v>4897615</v>
      </c>
      <c r="Y91" s="97">
        <f t="shared" si="19"/>
        <v>4897615</v>
      </c>
      <c r="Z91" s="97">
        <f t="shared" si="19"/>
        <v>3263000</v>
      </c>
      <c r="AA91" s="97">
        <f t="shared" si="19"/>
        <v>3938163.8499999996</v>
      </c>
      <c r="AB91" s="97">
        <f t="shared" si="19"/>
        <v>6303251.3499999978</v>
      </c>
      <c r="AC91" s="97">
        <f t="shared" si="19"/>
        <v>7088358.3999999985</v>
      </c>
      <c r="AD91" s="97">
        <f t="shared" si="19"/>
        <v>7088358.3999999985</v>
      </c>
      <c r="AE91" s="97">
        <f t="shared" si="19"/>
        <v>7088358.3999999985</v>
      </c>
      <c r="AF91" s="97">
        <f t="shared" si="19"/>
        <v>7088358.3999999985</v>
      </c>
      <c r="AG91" s="97">
        <f t="shared" si="19"/>
        <v>7088358.3999999985</v>
      </c>
      <c r="AH91" s="97">
        <f t="shared" si="19"/>
        <v>7088358.3999999985</v>
      </c>
      <c r="AI91" s="97">
        <f t="shared" si="19"/>
        <v>7088358.3999999985</v>
      </c>
      <c r="AJ91" s="97">
        <f t="shared" si="19"/>
        <v>7088358.3999999985</v>
      </c>
      <c r="AK91" s="97">
        <f t="shared" si="19"/>
        <v>7088358.3999999985</v>
      </c>
      <c r="AL91" s="97">
        <f t="shared" si="19"/>
        <v>4726722.9500000011</v>
      </c>
      <c r="AM91" s="97">
        <f t="shared" si="19"/>
        <v>8844046.9590000026</v>
      </c>
      <c r="AN91" s="97">
        <f t="shared" si="19"/>
        <v>14153987.793500002</v>
      </c>
      <c r="AO91" s="97">
        <f t="shared" si="19"/>
        <v>15922947.202500004</v>
      </c>
      <c r="AP91" s="97">
        <f t="shared" si="19"/>
        <v>15922947.202500004</v>
      </c>
      <c r="AQ91" s="97">
        <f t="shared" si="19"/>
        <v>15922947.202500004</v>
      </c>
      <c r="AR91" s="97">
        <f t="shared" si="19"/>
        <v>15922947.202500004</v>
      </c>
      <c r="AS91" s="97">
        <f t="shared" si="19"/>
        <v>15922947.202500004</v>
      </c>
      <c r="AT91" s="97">
        <f t="shared" si="19"/>
        <v>15922947.202500004</v>
      </c>
      <c r="AU91" s="97">
        <f t="shared" si="19"/>
        <v>15922947.202500004</v>
      </c>
      <c r="AV91" s="97">
        <f t="shared" si="19"/>
        <v>15922947.202500004</v>
      </c>
      <c r="AW91" s="97">
        <f t="shared" si="19"/>
        <v>15922947.202500004</v>
      </c>
      <c r="AX91" s="97">
        <f t="shared" si="19"/>
        <v>10613006.368000004</v>
      </c>
      <c r="AY91" s="97">
        <f t="shared" si="19"/>
        <v>9976370.6710749995</v>
      </c>
      <c r="AZ91" s="97">
        <f t="shared" si="19"/>
        <v>15967047.053770006</v>
      </c>
      <c r="BA91" s="97">
        <f t="shared" si="19"/>
        <v>17960354.993970007</v>
      </c>
      <c r="BB91" s="97">
        <f t="shared" si="19"/>
        <v>17960354.993970007</v>
      </c>
      <c r="BC91" s="97">
        <f t="shared" si="19"/>
        <v>17960354.993970007</v>
      </c>
      <c r="BD91" s="97">
        <f t="shared" si="19"/>
        <v>17960354.993970007</v>
      </c>
      <c r="BE91" s="97">
        <f t="shared" si="19"/>
        <v>17960354.993970007</v>
      </c>
      <c r="BF91" s="97">
        <f t="shared" si="19"/>
        <v>17960354.993970007</v>
      </c>
      <c r="BG91" s="97">
        <f t="shared" si="19"/>
        <v>17960354.993970007</v>
      </c>
      <c r="BH91" s="97">
        <f t="shared" si="19"/>
        <v>17960354.993970007</v>
      </c>
      <c r="BI91" s="97">
        <f t="shared" si="19"/>
        <v>17960354.993970007</v>
      </c>
      <c r="BJ91" s="97">
        <f t="shared" si="19"/>
        <v>11977154.183345003</v>
      </c>
    </row>
    <row r="92" spans="1:64" x14ac:dyDescent="0.15">
      <c r="A92" s="33" t="str">
        <f>"Total Revenue " &amp; A50</f>
        <v>Total Revenue Producto Fusión</v>
      </c>
      <c r="C92" s="97">
        <f>C$56+C$81+C$82+C$85+C$86</f>
        <v>0</v>
      </c>
      <c r="D92" s="97">
        <f>D$56+D$81+D$82+D$85+D$86</f>
        <v>0</v>
      </c>
      <c r="E92" s="97">
        <f>E$56+E$81+E$82+E$85+E$86</f>
        <v>0</v>
      </c>
      <c r="F92" s="97">
        <f>F$56+F$81+F$82+F$85+F$86</f>
        <v>0</v>
      </c>
      <c r="G92" s="97">
        <f>G$56+G$81+G$82+G$85+G$86</f>
        <v>2923000</v>
      </c>
      <c r="H92" s="97">
        <f>H$56+H$81+H$82+H$85+H$86</f>
        <v>7340500</v>
      </c>
      <c r="I92" s="97">
        <f>I$56+I$81+I$82+I$85+I$86</f>
        <v>7340500</v>
      </c>
      <c r="J92" s="97">
        <f>J$56+J$81+J$82+J$85+J$86</f>
        <v>7340500</v>
      </c>
      <c r="K92" s="97">
        <f>K$56+K$81+K$82+K$85+K$86</f>
        <v>7340500</v>
      </c>
      <c r="L92" s="97">
        <f>L$56+L$81+L$82+L$85+L$86</f>
        <v>7340500</v>
      </c>
      <c r="M92" s="97">
        <f>M$56+M$81+M$82+M$85+M$86</f>
        <v>7340500</v>
      </c>
      <c r="N92" s="97">
        <f>N$56+N$81+N$82+N$85+N$86</f>
        <v>6978500</v>
      </c>
      <c r="O92" s="97">
        <f>O$56+O$81+O$82+O$85+O$86</f>
        <v>7723260</v>
      </c>
      <c r="P92" s="97">
        <f>P$56+P$81+P$82+P$85+P$86</f>
        <v>12347800</v>
      </c>
      <c r="Q92" s="97">
        <f>Q$56+Q$81+Q$82+Q$85+Q$86</f>
        <v>13897160</v>
      </c>
      <c r="R92" s="97">
        <f>R$56+R$81+R$82+R$85+R$86</f>
        <v>13897160</v>
      </c>
      <c r="S92" s="97">
        <f>S$56+S$81+S$82+S$85+S$86</f>
        <v>13897160</v>
      </c>
      <c r="T92" s="97">
        <f>T$56+T$81+T$82+T$85+T$86</f>
        <v>13897160</v>
      </c>
      <c r="U92" s="97">
        <f>U$56+U$81+U$82+U$85+U$86</f>
        <v>13897160</v>
      </c>
      <c r="V92" s="97">
        <f>V$56+V$81+V$82+V$85+V$86</f>
        <v>13897160</v>
      </c>
      <c r="W92" s="97">
        <f>W$56+W$81+W$82+W$85+W$86</f>
        <v>13897160</v>
      </c>
      <c r="X92" s="97">
        <f>X$56+X$81+X$82+X$85+X$86</f>
        <v>13897160</v>
      </c>
      <c r="Y92" s="97">
        <f>Y$56+Y$81+Y$82+Y$85+Y$86</f>
        <v>13897160</v>
      </c>
      <c r="Z92" s="97">
        <f>Z$56+Z$81+Z$82+Z$85+Z$86</f>
        <v>9272620</v>
      </c>
      <c r="AA92" s="97">
        <f>AA$56+AA$81+AA$82+AA$85+AA$86</f>
        <v>23651916.650000002</v>
      </c>
      <c r="AB92" s="97">
        <f>AB$56+AB$81+AB$82+AB$85+AB$86</f>
        <v>37820626.600000001</v>
      </c>
      <c r="AC92" s="97">
        <f>AC$56+AC$81+AC$82+AC$85+AC$86</f>
        <v>42562229.950000003</v>
      </c>
      <c r="AD92" s="97">
        <f>AD$56+AD$81+AD$82+AD$85+AD$86</f>
        <v>42562229.950000003</v>
      </c>
      <c r="AE92" s="97">
        <f>AE$56+AE$81+AE$82+AE$85+AE$86</f>
        <v>42562229.950000003</v>
      </c>
      <c r="AF92" s="97">
        <f>AF$56+AF$81+AF$82+AF$85+AF$86</f>
        <v>42562229.950000003</v>
      </c>
      <c r="AG92" s="97">
        <f>AG$56+AG$81+AG$82+AG$85+AG$86</f>
        <v>42562229.950000003</v>
      </c>
      <c r="AH92" s="97">
        <f>AH$56+AH$81+AH$82+AH$85+AH$86</f>
        <v>42562229.950000003</v>
      </c>
      <c r="AI92" s="97">
        <f>AI$56+AI$81+AI$82+AI$85+AI$86</f>
        <v>42562229.950000003</v>
      </c>
      <c r="AJ92" s="97">
        <f>AJ$56+AJ$81+AJ$82+AJ$85+AJ$86</f>
        <v>42562229.950000003</v>
      </c>
      <c r="AK92" s="97">
        <f>AK$56+AK$81+AK$82+AK$85+AK$86</f>
        <v>42562229.950000003</v>
      </c>
      <c r="AL92" s="97">
        <f>AL$56+AL$81+AL$82+AL$85+AL$86</f>
        <v>28365469.950000003</v>
      </c>
      <c r="AM92" s="97">
        <f>AM$56+AM$81+AM$82+AM$85+AM$86</f>
        <v>26059727.217500001</v>
      </c>
      <c r="AN92" s="97">
        <f>AN$56+AN$81+AN$82+AN$85+AN$86</f>
        <v>41693725.983500004</v>
      </c>
      <c r="AO92" s="97">
        <f>AO$56+AO$81+AO$82+AO$85+AO$86</f>
        <v>46905058.90550001</v>
      </c>
      <c r="AP92" s="97">
        <f>AP$56+AP$81+AP$82+AP$85+AP$86</f>
        <v>46905058.90550001</v>
      </c>
      <c r="AQ92" s="97">
        <f>AQ$56+AQ$81+AQ$82+AQ$85+AQ$86</f>
        <v>46905058.90550001</v>
      </c>
      <c r="AR92" s="97">
        <f>AR$56+AR$81+AR$82+AR$85+AR$86</f>
        <v>46905058.90550001</v>
      </c>
      <c r="AS92" s="97">
        <f>AS$56+AS$81+AS$82+AS$85+AS$86</f>
        <v>46905058.90550001</v>
      </c>
      <c r="AT92" s="97">
        <f>AT$56+AT$81+AT$82+AT$85+AT$86</f>
        <v>46905058.90550001</v>
      </c>
      <c r="AU92" s="97">
        <f>AU$56+AU$81+AU$82+AU$85+AU$86</f>
        <v>46905058.90550001</v>
      </c>
      <c r="AV92" s="97">
        <f>AV$56+AV$81+AV$82+AV$85+AV$86</f>
        <v>46905058.90550001</v>
      </c>
      <c r="AW92" s="97">
        <f>AW$56+AW$81+AW$82+AW$85+AW$86</f>
        <v>46905058.90550001</v>
      </c>
      <c r="AX92" s="97">
        <f>AX$56+AX$81+AX$82+AX$85+AX$86</f>
        <v>31271060.139500003</v>
      </c>
      <c r="AY92" s="97">
        <f>AY$56+AY$81+AY$82+AY$85+AY$86</f>
        <v>25202901.517225001</v>
      </c>
      <c r="AZ92" s="97">
        <f>AZ$56+AZ$81+AZ$82+AZ$85+AZ$86</f>
        <v>40331646.181575008</v>
      </c>
      <c r="BA92" s="97">
        <f>BA$56+BA$81+BA$82+BA$85+BA$86</f>
        <v>45354492.213000007</v>
      </c>
      <c r="BB92" s="97">
        <f>BB$56+BB$81+BB$82+BB$85+BB$86</f>
        <v>45354492.213000007</v>
      </c>
      <c r="BC92" s="97">
        <f>BC$56+BC$81+BC$82+BC$85+BC$86</f>
        <v>45354492.213000007</v>
      </c>
      <c r="BD92" s="97">
        <f>BD$56+BD$81+BD$82+BD$85+BD$86</f>
        <v>45354492.213000007</v>
      </c>
      <c r="BE92" s="97">
        <f>BE$56+BE$81+BE$82+BE$85+BE$86</f>
        <v>45354492.213000007</v>
      </c>
      <c r="BF92" s="97">
        <f>BF$56+BF$81+BF$82+BF$85+BF$86</f>
        <v>45354492.213000007</v>
      </c>
      <c r="BG92" s="97">
        <f>BG$56+BG$81+BG$82+BG$85+BG$86</f>
        <v>45354492.213000007</v>
      </c>
      <c r="BH92" s="97">
        <f>BH$56+BH$81+BH$82+BH$85+BH$86</f>
        <v>45354492.213000007</v>
      </c>
      <c r="BI92" s="97">
        <f>BI$56+BI$81+BI$82+BI$85+BI$86</f>
        <v>45354492.213000007</v>
      </c>
      <c r="BJ92" s="97">
        <f>BJ$56+BJ$81+BJ$82+BJ$85+BJ$86</f>
        <v>30254212.338675003</v>
      </c>
    </row>
    <row r="93" spans="1:64" x14ac:dyDescent="0.15">
      <c r="A93" s="33" t="str">
        <f>"Net Revenue " &amp; A50</f>
        <v>Net Revenue Producto Fusión</v>
      </c>
      <c r="C93" s="97">
        <f>C$69+C$81+C$82+C$85+C$86</f>
        <v>0</v>
      </c>
      <c r="D93" s="97">
        <f t="shared" ref="D93:BJ93" si="20">D$69+D$81+D$82+D$85+D$86</f>
        <v>0</v>
      </c>
      <c r="E93" s="97">
        <f t="shared" si="20"/>
        <v>0</v>
      </c>
      <c r="F93" s="97">
        <f t="shared" si="20"/>
        <v>0</v>
      </c>
      <c r="G93" s="97">
        <f t="shared" si="20"/>
        <v>1220200</v>
      </c>
      <c r="H93" s="97">
        <f t="shared" si="20"/>
        <v>3063700</v>
      </c>
      <c r="I93" s="97">
        <f t="shared" si="20"/>
        <v>3063700</v>
      </c>
      <c r="J93" s="97">
        <f t="shared" si="20"/>
        <v>3063700</v>
      </c>
      <c r="K93" s="97">
        <f t="shared" si="20"/>
        <v>3063700</v>
      </c>
      <c r="L93" s="97">
        <f t="shared" si="20"/>
        <v>3063700</v>
      </c>
      <c r="M93" s="97">
        <f t="shared" si="20"/>
        <v>3063700</v>
      </c>
      <c r="N93" s="97">
        <f t="shared" si="20"/>
        <v>2912900</v>
      </c>
      <c r="O93" s="97">
        <f t="shared" si="20"/>
        <v>3255665</v>
      </c>
      <c r="P93" s="97">
        <f t="shared" si="20"/>
        <v>5205250</v>
      </c>
      <c r="Q93" s="97">
        <f t="shared" si="20"/>
        <v>5858290</v>
      </c>
      <c r="R93" s="97">
        <f t="shared" si="20"/>
        <v>5858290</v>
      </c>
      <c r="S93" s="97">
        <f t="shared" si="20"/>
        <v>5858290</v>
      </c>
      <c r="T93" s="97">
        <f t="shared" si="20"/>
        <v>5858290</v>
      </c>
      <c r="U93" s="97">
        <f t="shared" si="20"/>
        <v>5858290</v>
      </c>
      <c r="V93" s="97">
        <f t="shared" si="20"/>
        <v>5858290</v>
      </c>
      <c r="W93" s="97">
        <f t="shared" si="20"/>
        <v>5858290</v>
      </c>
      <c r="X93" s="97">
        <f t="shared" si="20"/>
        <v>5858290</v>
      </c>
      <c r="Y93" s="97">
        <f t="shared" si="20"/>
        <v>5858290</v>
      </c>
      <c r="Z93" s="97">
        <f t="shared" si="20"/>
        <v>3908705</v>
      </c>
      <c r="AA93" s="97">
        <f t="shared" si="20"/>
        <v>10153270.850000001</v>
      </c>
      <c r="AB93" s="97">
        <f t="shared" si="20"/>
        <v>16234686.400000002</v>
      </c>
      <c r="AC93" s="97">
        <f t="shared" si="20"/>
        <v>18270614.050000001</v>
      </c>
      <c r="AD93" s="97">
        <f t="shared" si="20"/>
        <v>18270614.050000001</v>
      </c>
      <c r="AE93" s="97">
        <f t="shared" si="20"/>
        <v>18270614.050000001</v>
      </c>
      <c r="AF93" s="97">
        <f t="shared" si="20"/>
        <v>18270614.050000001</v>
      </c>
      <c r="AG93" s="97">
        <f t="shared" si="20"/>
        <v>18270614.050000001</v>
      </c>
      <c r="AH93" s="97">
        <f t="shared" si="20"/>
        <v>18270614.050000001</v>
      </c>
      <c r="AI93" s="97">
        <f t="shared" si="20"/>
        <v>18270614.050000001</v>
      </c>
      <c r="AJ93" s="97">
        <f t="shared" si="20"/>
        <v>18270614.050000001</v>
      </c>
      <c r="AK93" s="97">
        <f t="shared" si="20"/>
        <v>18270614.050000001</v>
      </c>
      <c r="AL93" s="97">
        <f t="shared" si="20"/>
        <v>12176014.800000003</v>
      </c>
      <c r="AM93" s="97">
        <f t="shared" si="20"/>
        <v>12159689.967500001</v>
      </c>
      <c r="AN93" s="97">
        <f t="shared" si="20"/>
        <v>19453666.383500002</v>
      </c>
      <c r="AO93" s="97">
        <f t="shared" si="20"/>
        <v>21884991.855500009</v>
      </c>
      <c r="AP93" s="97">
        <f t="shared" si="20"/>
        <v>21884991.855500009</v>
      </c>
      <c r="AQ93" s="97">
        <f t="shared" si="20"/>
        <v>21884991.855500009</v>
      </c>
      <c r="AR93" s="97">
        <f t="shared" si="20"/>
        <v>21884991.855500009</v>
      </c>
      <c r="AS93" s="97">
        <f t="shared" si="20"/>
        <v>21884991.855500009</v>
      </c>
      <c r="AT93" s="97">
        <f t="shared" si="20"/>
        <v>21884991.855500009</v>
      </c>
      <c r="AU93" s="97">
        <f t="shared" si="20"/>
        <v>21884991.855500009</v>
      </c>
      <c r="AV93" s="97">
        <f t="shared" si="20"/>
        <v>21884991.855500009</v>
      </c>
      <c r="AW93" s="97">
        <f t="shared" si="20"/>
        <v>21884991.855500009</v>
      </c>
      <c r="AX93" s="97">
        <f t="shared" si="20"/>
        <v>14591015.439500004</v>
      </c>
      <c r="AY93" s="97">
        <f t="shared" si="20"/>
        <v>9999062.8137250021</v>
      </c>
      <c r="AZ93" s="97">
        <f t="shared" si="20"/>
        <v>16002346.657075003</v>
      </c>
      <c r="BA93" s="97">
        <f t="shared" si="20"/>
        <v>17993897.744500007</v>
      </c>
      <c r="BB93" s="97">
        <f t="shared" si="20"/>
        <v>17993897.744500007</v>
      </c>
      <c r="BC93" s="97">
        <f t="shared" si="20"/>
        <v>17993897.744500007</v>
      </c>
      <c r="BD93" s="97">
        <f t="shared" si="20"/>
        <v>17993897.744500007</v>
      </c>
      <c r="BE93" s="97">
        <f t="shared" si="20"/>
        <v>17993897.744500007</v>
      </c>
      <c r="BF93" s="97">
        <f t="shared" si="20"/>
        <v>17993897.744500007</v>
      </c>
      <c r="BG93" s="97">
        <f t="shared" si="20"/>
        <v>17993897.744500007</v>
      </c>
      <c r="BH93" s="97">
        <f t="shared" si="20"/>
        <v>17993897.744500007</v>
      </c>
      <c r="BI93" s="97">
        <f t="shared" si="20"/>
        <v>17993897.744500007</v>
      </c>
      <c r="BJ93" s="97">
        <f t="shared" si="20"/>
        <v>12003290.696675003</v>
      </c>
    </row>
    <row r="94" spans="1:64" x14ac:dyDescent="0.15">
      <c r="A94" s="33" t="s">
        <v>351</v>
      </c>
      <c r="C94" s="97">
        <f>C47+C46+C43+C42+C17+C56+C81+C82+C85+C86</f>
        <v>0</v>
      </c>
      <c r="D94" s="97">
        <f>D47+D46+D43+D42+D17+D56+D81+D82+D85+D86</f>
        <v>0</v>
      </c>
      <c r="E94" s="97">
        <f>E47+E46+E43+E42+E17+E56+E81+E82+E85+E86</f>
        <v>0</v>
      </c>
      <c r="F94" s="97">
        <f>F47+F46+F43+F42+F17+F56+F81+F82+F85+F86</f>
        <v>9009000</v>
      </c>
      <c r="G94" s="97">
        <f>G47+G46+G43+G42+G17+G56+G81+G82+G85+G86</f>
        <v>13542000</v>
      </c>
      <c r="H94" s="97">
        <f>H47+H46+H43+H42+H17+H56+H81+H82+H85+H86</f>
        <v>18369000</v>
      </c>
      <c r="I94" s="97">
        <f>I47+I46+I43+I42+I17+I56+I81+I82+I85+I86</f>
        <v>18369000</v>
      </c>
      <c r="J94" s="97">
        <f>J47+J46+J43+J42+J17+J56+J81+J82+J85+J86</f>
        <v>18369000</v>
      </c>
      <c r="K94" s="97">
        <f>K47+K46+K43+K42+K17+K56+K81+K82+K85+K86</f>
        <v>18369000</v>
      </c>
      <c r="L94" s="97">
        <f>L47+L46+L43+L42+L17+L56+L81+L82+L85+L86</f>
        <v>18369000</v>
      </c>
      <c r="M94" s="97">
        <f>M47+M46+M43+M42+M17+M56+M81+M82+M85+M86</f>
        <v>18369000</v>
      </c>
      <c r="N94" s="97">
        <f>N47+N46+N43+N42+N17+N56+N81+N82+N85+N86</f>
        <v>17480500</v>
      </c>
      <c r="O94" s="97">
        <f>O47+O46+O43+O42+O17+O56+O81+O82+O85+O86</f>
        <v>18857680</v>
      </c>
      <c r="P94" s="97">
        <f>P47+P46+P43+P42+P17+P56+P81+P82+P85+P86</f>
        <v>30171325</v>
      </c>
      <c r="Q94" s="97">
        <f>Q47+Q46+Q43+Q42+Q17+Q56+Q81+Q82+Q85+Q86</f>
        <v>33934515</v>
      </c>
      <c r="R94" s="97">
        <f>R47+R46+R43+R42+R17+R56+R81+R82+R85+R86</f>
        <v>33934515</v>
      </c>
      <c r="S94" s="97">
        <f>S47+S46+S43+S42+S17+S56+S81+S82+S85+S86</f>
        <v>33934515</v>
      </c>
      <c r="T94" s="97">
        <f>T47+T46+T43+T42+T17+T56+T81+T82+T85+T86</f>
        <v>33934515</v>
      </c>
      <c r="U94" s="97">
        <f>U47+U46+U43+U42+U17+U56+U81+U82+U85+U86</f>
        <v>33934515</v>
      </c>
      <c r="V94" s="97">
        <f>V47+V46+V43+V42+V17+V56+V81+V82+V85+V86</f>
        <v>33934515</v>
      </c>
      <c r="W94" s="97">
        <f>W47+W46+W43+W42+W17+W56+W81+W82+W85+W86</f>
        <v>33934515</v>
      </c>
      <c r="X94" s="97">
        <f>X47+X46+X43+X42+X17+X56+X81+X82+X85+X86</f>
        <v>33934515</v>
      </c>
      <c r="Y94" s="97">
        <f>Y47+Y46+Y43+Y42+Y17+Y56+Y81+Y82+Y85+Y86</f>
        <v>33934515</v>
      </c>
      <c r="Z94" s="97">
        <f>Z47+Z46+Z43+Z42+Z17+Z56+Z81+Z82+Z85+Z86</f>
        <v>22620870</v>
      </c>
      <c r="AA94" s="97">
        <f>AA47+AA46+AA43+AA42+AA17+AA56+AA81+AA82+AA85+AA86</f>
        <v>38997011.350000001</v>
      </c>
      <c r="AB94" s="97">
        <f>AB47+AB46+AB43+AB42+AB17+AB56+AB81+AB82+AB85+AB86</f>
        <v>62385028.549999997</v>
      </c>
      <c r="AC94" s="97">
        <f>AC47+AC46+AC43+AC42+AC17+AC56+AC81+AC82+AC85+AC86</f>
        <v>70188094.5</v>
      </c>
      <c r="AD94" s="97">
        <f>AD47+AD46+AD43+AD42+AD17+AD56+AD81+AD82+AD85+AD86</f>
        <v>70188094.5</v>
      </c>
      <c r="AE94" s="97">
        <f>AE47+AE46+AE43+AE42+AE17+AE56+AE81+AE82+AE85+AE86</f>
        <v>70188094.5</v>
      </c>
      <c r="AF94" s="97">
        <f>AF47+AF46+AF43+AF42+AF17+AF56+AF81+AF82+AF85+AF86</f>
        <v>70188094.5</v>
      </c>
      <c r="AG94" s="97">
        <f>AG47+AG46+AG43+AG42+AG17+AG56+AG81+AG82+AG85+AG86</f>
        <v>70188094.5</v>
      </c>
      <c r="AH94" s="97">
        <f>AH47+AH46+AH43+AH42+AH17+AH56+AH81+AH82+AH85+AH86</f>
        <v>70188094.5</v>
      </c>
      <c r="AI94" s="97">
        <f>AI47+AI46+AI43+AI42+AI17+AI56+AI81+AI82+AI85+AI86</f>
        <v>70188094.5</v>
      </c>
      <c r="AJ94" s="97">
        <f>AJ47+AJ46+AJ43+AJ42+AJ17+AJ56+AJ81+AJ82+AJ85+AJ86</f>
        <v>70188094.5</v>
      </c>
      <c r="AK94" s="97">
        <f>AK47+AK46+AK43+AK42+AK17+AK56+AK81+AK82+AK85+AK86</f>
        <v>70188094.5</v>
      </c>
      <c r="AL94" s="97">
        <f>AL47+AL46+AL43+AL42+AL17+AL56+AL81+AL82+AL85+AL86</f>
        <v>46788055.850000009</v>
      </c>
      <c r="AM94" s="97">
        <f>AM47+AM46+AM43+AM42+AM17+AM56+AM81+AM82+AM85+AM86</f>
        <v>59832325.16300001</v>
      </c>
      <c r="AN94" s="97">
        <f>AN47+AN46+AN43+AN42+AN17+AN56+AN81+AN82+AN85+AN86</f>
        <v>95741398.100500017</v>
      </c>
      <c r="AO94" s="97">
        <f>AO47+AO46+AO43+AO42+AO17+AO56+AO81+AO82+AO85+AO86</f>
        <v>107710068.21050002</v>
      </c>
      <c r="AP94" s="97">
        <f>AP47+AP46+AP43+AP42+AP17+AP56+AP81+AP82+AP85+AP86</f>
        <v>107710068.21050002</v>
      </c>
      <c r="AQ94" s="97">
        <f>AQ47+AQ46+AQ43+AQ42+AQ17+AQ56+AQ81+AQ82+AQ85+AQ86</f>
        <v>107710068.21050002</v>
      </c>
      <c r="AR94" s="97">
        <f>AR47+AR46+AR43+AR42+AR17+AR56+AR81+AR82+AR85+AR86</f>
        <v>107710068.21050002</v>
      </c>
      <c r="AS94" s="97">
        <f>AS47+AS46+AS43+AS42+AS17+AS56+AS81+AS82+AS85+AS86</f>
        <v>107710068.21050002</v>
      </c>
      <c r="AT94" s="97">
        <f>AT47+AT46+AT43+AT42+AT17+AT56+AT81+AT82+AT85+AT86</f>
        <v>107710068.21050002</v>
      </c>
      <c r="AU94" s="97">
        <f>AU47+AU46+AU43+AU42+AU17+AU56+AU81+AU82+AU85+AU86</f>
        <v>107710068.21050002</v>
      </c>
      <c r="AV94" s="97">
        <f>AV47+AV46+AV43+AV42+AV17+AV56+AV81+AV82+AV85+AV86</f>
        <v>107710068.21050002</v>
      </c>
      <c r="AW94" s="97">
        <f>AW47+AW46+AW43+AW42+AW17+AW56+AW81+AW82+AW85+AW86</f>
        <v>107710068.21050002</v>
      </c>
      <c r="AX94" s="97">
        <f>AX47+AX46+AX43+AX42+AX17+AX56+AX81+AX82+AX85+AX86</f>
        <v>71800995.273000017</v>
      </c>
      <c r="AY94" s="97">
        <f>AY47+AY46+AY43+AY42+AY17+AY56+AY81+AY82+AY85+AY86</f>
        <v>62422954.221175008</v>
      </c>
      <c r="AZ94" s="97">
        <f>AZ47+AZ46+AZ43+AZ42+AZ17+AZ56+AZ81+AZ82+AZ85+AZ86</f>
        <v>99902737.050040022</v>
      </c>
      <c r="BA94" s="97">
        <f>BA47+BA46+BA43+BA42+BA17+BA56+BA81+BA82+BA85+BA86</f>
        <v>112367627.42824002</v>
      </c>
      <c r="BB94" s="97">
        <f>BB47+BB46+BB43+BB42+BB17+BB56+BB81+BB82+BB85+BB86</f>
        <v>112367627.42824002</v>
      </c>
      <c r="BC94" s="97">
        <f>BC47+BC46+BC43+BC42+BC17+BC56+BC81+BC82+BC85+BC86</f>
        <v>112367627.42824002</v>
      </c>
      <c r="BD94" s="97">
        <f>BD47+BD46+BD43+BD42+BD17+BD56+BD81+BD82+BD85+BD86</f>
        <v>112367627.42824002</v>
      </c>
      <c r="BE94" s="97">
        <f>BE47+BE46+BE43+BE42+BE17+BE56+BE81+BE82+BE85+BE86</f>
        <v>112367627.42824002</v>
      </c>
      <c r="BF94" s="97">
        <f>BF47+BF46+BF43+BF42+BF17+BF56+BF81+BF82+BF85+BF86</f>
        <v>112367627.42824002</v>
      </c>
      <c r="BG94" s="97">
        <f>BG47+BG46+BG43+BG42+BG17+BG56+BG81+BG82+BG85+BG86</f>
        <v>112367627.42824002</v>
      </c>
      <c r="BH94" s="97">
        <f>BH47+BH46+BH43+BH42+BH17+BH56+BH81+BH82+BH85+BH86</f>
        <v>112367627.42824002</v>
      </c>
      <c r="BI94" s="97">
        <f>BI47+BI46+BI43+BI42+BI17+BI56+BI81+BI82+BI85+BI86</f>
        <v>112367627.42824002</v>
      </c>
      <c r="BJ94" s="97">
        <f>BJ47+BJ46+BJ43+BJ42+BJ17+BJ56+BJ81+BJ82+BJ85+BJ86</f>
        <v>74937937.523565009</v>
      </c>
      <c r="BK94" s="118">
        <f>SUM(C94:BJ94)</f>
        <v>3752506564.3299398</v>
      </c>
      <c r="BL94" s="97">
        <f>BK47+BK46+BK43+BK42+BK17</f>
        <v>2046096628.1354659</v>
      </c>
    </row>
    <row r="95" spans="1:64" x14ac:dyDescent="0.15">
      <c r="A95" s="33" t="s">
        <v>356</v>
      </c>
      <c r="C95" s="97">
        <f>C30+C42+C43+C46+C47+C69+C81+C82+C85+C86</f>
        <v>0</v>
      </c>
      <c r="D95" s="97">
        <f>D30+D42+D43+D46+D47+D69+D81+D82+D85+D86</f>
        <v>0</v>
      </c>
      <c r="E95" s="97">
        <f>E30+E42+E43+E46+E47+E69+E81+E82+E85+E86</f>
        <v>0</v>
      </c>
      <c r="F95" s="97">
        <f>F30+F42+F43+F46+F47+F69+F81+F82+F85+F86</f>
        <v>2109800</v>
      </c>
      <c r="G95" s="97">
        <f>G30+G42+G43+G46+G47+G69+G81+G82+G85+G86</f>
        <v>3708000</v>
      </c>
      <c r="H95" s="97">
        <f>H30+H42+H43+H46+H47+H69+H81+H82+H85+H86</f>
        <v>5647400</v>
      </c>
      <c r="I95" s="97">
        <f>I30+I42+I43+I46+I47+I69+I81+I82+I85+I86</f>
        <v>5647400</v>
      </c>
      <c r="J95" s="97">
        <f>J30+J42+J43+J46+J47+J69+J81+J82+J85+J86</f>
        <v>5647400</v>
      </c>
      <c r="K95" s="97">
        <f>K30+K42+K43+K46+K47+K69+K81+K82+K85+K86</f>
        <v>5647400</v>
      </c>
      <c r="L95" s="97">
        <f>L30+L42+L43+L46+L47+L69+L81+L82+L85+L86</f>
        <v>5647400</v>
      </c>
      <c r="M95" s="97">
        <f>M30+M42+M43+M46+M47+M69+M81+M82+M85+M86</f>
        <v>5647400</v>
      </c>
      <c r="N95" s="97">
        <f>N30+N42+N43+N46+N47+N69+N81+N82+N85+N86</f>
        <v>5373300</v>
      </c>
      <c r="O95" s="97">
        <f>O30+O42+O43+O46+O47+O69+O81+O82+O85+O86</f>
        <v>5977800</v>
      </c>
      <c r="P95" s="97">
        <f>P30+P42+P43+P46+P47+P69+P81+P82+P85+P86</f>
        <v>9562000</v>
      </c>
      <c r="Q95" s="97">
        <f>Q30+Q42+Q43+Q46+Q47+Q69+Q81+Q82+Q85+Q86</f>
        <v>10755905</v>
      </c>
      <c r="R95" s="97">
        <f>R30+R42+R43+R46+R47+R69+R81+R82+R85+R86</f>
        <v>10755905</v>
      </c>
      <c r="S95" s="97">
        <f>S30+S42+S43+S46+S47+S69+S81+S82+S85+S86</f>
        <v>10755905</v>
      </c>
      <c r="T95" s="97">
        <f>T30+T42+T43+T46+T47+T69+T81+T82+T85+T86</f>
        <v>10755905</v>
      </c>
      <c r="U95" s="97">
        <f>U30+U42+U43+U46+U47+U69+U81+U82+U85+U86</f>
        <v>10755905</v>
      </c>
      <c r="V95" s="97">
        <f>V30+V42+V43+V46+V47+V69+V81+V82+V85+V86</f>
        <v>10755905</v>
      </c>
      <c r="W95" s="97">
        <f>W30+W42+W43+W46+W47+W69+W81+W82+W85+W86</f>
        <v>10755905</v>
      </c>
      <c r="X95" s="97">
        <f>X30+X42+X43+X46+X47+X69+X81+X82+X85+X86</f>
        <v>10755905</v>
      </c>
      <c r="Y95" s="97">
        <f>Y30+Y42+Y43+Y46+Y47+Y69+Y81+Y82+Y85+Y86</f>
        <v>10755905</v>
      </c>
      <c r="Z95" s="97">
        <f>Z30+Z42+Z43+Z46+Z47+Z69+Z81+Z82+Z85+Z86</f>
        <v>7171705</v>
      </c>
      <c r="AA95" s="97">
        <f>AA30+AA42+AA43+AA46+AA47+AA69+AA81+AA82+AA85+AA86</f>
        <v>14091434.700000001</v>
      </c>
      <c r="AB95" s="97">
        <f>AB30+AB42+AB43+AB46+AB47+AB69+AB81+AB82+AB85+AB86</f>
        <v>22537937.75</v>
      </c>
      <c r="AC95" s="97">
        <f>AC30+AC42+AC43+AC46+AC47+AC69+AC81+AC82+AC85+AC86</f>
        <v>25358972.449999999</v>
      </c>
      <c r="AD95" s="97">
        <f>AD30+AD42+AD43+AD46+AD47+AD69+AD81+AD82+AD85+AD86</f>
        <v>25358972.449999999</v>
      </c>
      <c r="AE95" s="97">
        <f>AE30+AE42+AE43+AE46+AE47+AE69+AE81+AE82+AE85+AE86</f>
        <v>25358972.449999999</v>
      </c>
      <c r="AF95" s="97">
        <f>AF30+AF42+AF43+AF46+AF47+AF69+AF81+AF82+AF85+AF86</f>
        <v>25358972.449999999</v>
      </c>
      <c r="AG95" s="97">
        <f>AG30+AG42+AG43+AG46+AG47+AG69+AG81+AG82+AG85+AG86</f>
        <v>25358972.449999999</v>
      </c>
      <c r="AH95" s="97">
        <f>AH30+AH42+AH43+AH46+AH47+AH69+AH81+AH82+AH85+AH86</f>
        <v>25358972.449999999</v>
      </c>
      <c r="AI95" s="97">
        <f>AI30+AI42+AI43+AI46+AI47+AI69+AI81+AI82+AI85+AI86</f>
        <v>25358972.449999999</v>
      </c>
      <c r="AJ95" s="97">
        <f>AJ30+AJ42+AJ43+AJ46+AJ47+AJ69+AJ81+AJ82+AJ85+AJ86</f>
        <v>25358972.449999999</v>
      </c>
      <c r="AK95" s="97">
        <f>AK30+AK42+AK43+AK46+AK47+AK69+AK81+AK82+AK85+AK86</f>
        <v>25358972.449999999</v>
      </c>
      <c r="AL95" s="97">
        <f>AL30+AL42+AL43+AL46+AL47+AL69+AL81+AL82+AL85+AL86</f>
        <v>16902737.750000004</v>
      </c>
      <c r="AM95" s="97">
        <f>AM30+AM42+AM43+AM46+AM47+AM69+AM81+AM82+AM85+AM86</f>
        <v>21003736.926500004</v>
      </c>
      <c r="AN95" s="97">
        <f>AN30+AN42+AN43+AN46+AN47+AN69+AN81+AN82+AN85+AN86</f>
        <v>33607654.177000009</v>
      </c>
      <c r="AO95" s="97">
        <f>AO30+AO42+AO43+AO46+AO47+AO69+AO81+AO82+AO85+AO86</f>
        <v>37807939.058000013</v>
      </c>
      <c r="AP95" s="97">
        <f>AP30+AP42+AP43+AP46+AP47+AP69+AP81+AP82+AP85+AP86</f>
        <v>37807939.058000013</v>
      </c>
      <c r="AQ95" s="97">
        <f>AQ30+AQ42+AQ43+AQ46+AQ47+AQ69+AQ81+AQ82+AQ85+AQ86</f>
        <v>37807939.058000013</v>
      </c>
      <c r="AR95" s="97">
        <f>AR30+AR42+AR43+AR46+AR47+AR69+AR81+AR82+AR85+AR86</f>
        <v>37807939.058000013</v>
      </c>
      <c r="AS95" s="97">
        <f>AS30+AS42+AS43+AS46+AS47+AS69+AS81+AS82+AS85+AS86</f>
        <v>37807939.058000013</v>
      </c>
      <c r="AT95" s="97">
        <f>AT30+AT42+AT43+AT46+AT47+AT69+AT81+AT82+AT85+AT86</f>
        <v>37807939.058000013</v>
      </c>
      <c r="AU95" s="97">
        <f>AU30+AU42+AU43+AU46+AU47+AU69+AU81+AU82+AU85+AU86</f>
        <v>37807939.058000013</v>
      </c>
      <c r="AV95" s="97">
        <f>AV30+AV42+AV43+AV46+AV47+AV69+AV81+AV82+AV85+AV86</f>
        <v>37807939.058000013</v>
      </c>
      <c r="AW95" s="97">
        <f>AW30+AW42+AW43+AW46+AW47+AW69+AW81+AW82+AW85+AW86</f>
        <v>37807939.058000013</v>
      </c>
      <c r="AX95" s="97">
        <f>AX30+AX42+AX43+AX46+AX47+AX69+AX81+AX82+AX85+AX86</f>
        <v>25204021.807500005</v>
      </c>
      <c r="AY95" s="97">
        <f>AY30+AY42+AY43+AY46+AY47+AY69+AY81+AY82+AY85+AY86</f>
        <v>19975433.4848</v>
      </c>
      <c r="AZ95" s="97">
        <f>AZ30+AZ42+AZ43+AZ46+AZ47+AZ69+AZ81+AZ82+AZ85+AZ86</f>
        <v>31969393.710845008</v>
      </c>
      <c r="BA95" s="97">
        <f>BA30+BA42+BA43+BA46+BA47+BA69+BA81+BA82+BA85+BA86</f>
        <v>35954252.73847001</v>
      </c>
      <c r="BB95" s="97">
        <f>BB30+BB42+BB43+BB46+BB47+BB69+BB81+BB82+BB85+BB86</f>
        <v>35954252.73847001</v>
      </c>
      <c r="BC95" s="97">
        <f>BC30+BC42+BC43+BC46+BC47+BC69+BC81+BC82+BC85+BC86</f>
        <v>35954252.73847001</v>
      </c>
      <c r="BD95" s="97">
        <f>BD30+BD42+BD43+BD46+BD47+BD69+BD81+BD82+BD85+BD86</f>
        <v>35954252.73847001</v>
      </c>
      <c r="BE95" s="97">
        <f>BE30+BE42+BE43+BE46+BE47+BE69+BE81+BE82+BE85+BE86</f>
        <v>35954252.73847001</v>
      </c>
      <c r="BF95" s="97">
        <f>BF30+BF42+BF43+BF46+BF47+BF69+BF81+BF82+BF85+BF86</f>
        <v>35954252.73847001</v>
      </c>
      <c r="BG95" s="97">
        <f>BG30+BG42+BG43+BG46+BG47+BG69+BG81+BG82+BG85+BG86</f>
        <v>35954252.73847001</v>
      </c>
      <c r="BH95" s="97">
        <f>BH30+BH42+BH43+BH46+BH47+BH69+BH81+BH82+BH85+BH86</f>
        <v>35954252.73847001</v>
      </c>
      <c r="BI95" s="97">
        <f>BI30+BI42+BI43+BI46+BI47+BI69+BI81+BI82+BI85+BI86</f>
        <v>35954252.73847001</v>
      </c>
      <c r="BJ95" s="97">
        <f>BJ30+BJ42+BJ43+BJ46+BJ47+BJ69+BJ81+BJ82+BJ85+BJ86</f>
        <v>23980444.880020004</v>
      </c>
      <c r="BK95" s="118">
        <f>SUM(C95:BJ95)</f>
        <v>1265953423.4048946</v>
      </c>
    </row>
    <row r="96" spans="1:64" x14ac:dyDescent="0.15">
      <c r="C96" s="103">
        <f t="shared" ref="C96:E97" si="21">C90+C92</f>
        <v>0</v>
      </c>
      <c r="D96" s="103">
        <f t="shared" si="21"/>
        <v>0</v>
      </c>
      <c r="E96" s="103">
        <f t="shared" si="21"/>
        <v>0</v>
      </c>
      <c r="F96" s="103">
        <f>F90+F92</f>
        <v>9009000</v>
      </c>
      <c r="G96" s="103">
        <f t="shared" ref="G96:M97" si="22">G90+G92</f>
        <v>13542000</v>
      </c>
      <c r="H96" s="103">
        <f t="shared" si="22"/>
        <v>18369000</v>
      </c>
      <c r="I96" s="103">
        <f t="shared" si="22"/>
        <v>18369000</v>
      </c>
      <c r="J96" s="103">
        <f t="shared" si="22"/>
        <v>18369000</v>
      </c>
      <c r="K96" s="103">
        <f t="shared" si="22"/>
        <v>18369000</v>
      </c>
      <c r="L96" s="103">
        <f t="shared" si="22"/>
        <v>18369000</v>
      </c>
      <c r="M96" s="103">
        <f t="shared" si="22"/>
        <v>18369000</v>
      </c>
      <c r="N96" s="103">
        <f>N$90+N$92</f>
        <v>17480500</v>
      </c>
      <c r="O96" s="103">
        <f>O$90+O$92</f>
        <v>18857680</v>
      </c>
      <c r="P96" s="103">
        <f t="shared" ref="P96:BJ96" si="23">P$90+P$92</f>
        <v>30171325</v>
      </c>
      <c r="Q96" s="103">
        <f t="shared" si="23"/>
        <v>33934515</v>
      </c>
      <c r="R96" s="103">
        <f t="shared" si="23"/>
        <v>33934515</v>
      </c>
      <c r="S96" s="103">
        <f t="shared" si="23"/>
        <v>33934515</v>
      </c>
      <c r="T96" s="103">
        <f t="shared" si="23"/>
        <v>33934515</v>
      </c>
      <c r="U96" s="103">
        <f t="shared" si="23"/>
        <v>33934515</v>
      </c>
      <c r="V96" s="103">
        <f t="shared" si="23"/>
        <v>33934515</v>
      </c>
      <c r="W96" s="103">
        <f t="shared" si="23"/>
        <v>33934515</v>
      </c>
      <c r="X96" s="103">
        <f t="shared" si="23"/>
        <v>33934515</v>
      </c>
      <c r="Y96" s="103">
        <f t="shared" si="23"/>
        <v>33934515</v>
      </c>
      <c r="Z96" s="103">
        <f t="shared" si="23"/>
        <v>22620870</v>
      </c>
      <c r="AA96" s="103">
        <f t="shared" si="23"/>
        <v>38997011.350000001</v>
      </c>
      <c r="AB96" s="103">
        <f t="shared" si="23"/>
        <v>62385028.549999997</v>
      </c>
      <c r="AC96" s="103">
        <f t="shared" si="23"/>
        <v>70188094.5</v>
      </c>
      <c r="AD96" s="103">
        <f t="shared" si="23"/>
        <v>70188094.5</v>
      </c>
      <c r="AE96" s="103">
        <f t="shared" si="23"/>
        <v>70188094.5</v>
      </c>
      <c r="AF96" s="103">
        <f t="shared" si="23"/>
        <v>70188094.5</v>
      </c>
      <c r="AG96" s="103">
        <f t="shared" si="23"/>
        <v>70188094.5</v>
      </c>
      <c r="AH96" s="103">
        <f t="shared" si="23"/>
        <v>70188094.5</v>
      </c>
      <c r="AI96" s="103">
        <f t="shared" si="23"/>
        <v>70188094.5</v>
      </c>
      <c r="AJ96" s="103">
        <f t="shared" si="23"/>
        <v>70188094.5</v>
      </c>
      <c r="AK96" s="103">
        <f t="shared" si="23"/>
        <v>70188094.5</v>
      </c>
      <c r="AL96" s="103">
        <f t="shared" si="23"/>
        <v>46788055.850000009</v>
      </c>
      <c r="AM96" s="103">
        <f t="shared" si="23"/>
        <v>59832325.163000003</v>
      </c>
      <c r="AN96" s="103">
        <f t="shared" si="23"/>
        <v>95741398.100500017</v>
      </c>
      <c r="AO96" s="103">
        <f t="shared" si="23"/>
        <v>107710068.21050003</v>
      </c>
      <c r="AP96" s="103">
        <f t="shared" si="23"/>
        <v>107710068.21050003</v>
      </c>
      <c r="AQ96" s="103">
        <f t="shared" si="23"/>
        <v>107710068.21050003</v>
      </c>
      <c r="AR96" s="103">
        <f t="shared" si="23"/>
        <v>107710068.21050003</v>
      </c>
      <c r="AS96" s="103">
        <f t="shared" si="23"/>
        <v>107710068.21050003</v>
      </c>
      <c r="AT96" s="103">
        <f t="shared" si="23"/>
        <v>107710068.21050003</v>
      </c>
      <c r="AU96" s="103">
        <f t="shared" si="23"/>
        <v>107710068.21050003</v>
      </c>
      <c r="AV96" s="103">
        <f t="shared" si="23"/>
        <v>107710068.21050003</v>
      </c>
      <c r="AW96" s="103">
        <f t="shared" si="23"/>
        <v>107710068.21050003</v>
      </c>
      <c r="AX96" s="103">
        <f t="shared" si="23"/>
        <v>71800995.273000017</v>
      </c>
      <c r="AY96" s="103">
        <f t="shared" si="23"/>
        <v>62422954.221175</v>
      </c>
      <c r="AZ96" s="103">
        <f t="shared" si="23"/>
        <v>99902737.050040022</v>
      </c>
      <c r="BA96" s="103">
        <f t="shared" si="23"/>
        <v>112367627.42824003</v>
      </c>
      <c r="BB96" s="103">
        <f t="shared" si="23"/>
        <v>112367627.42824003</v>
      </c>
      <c r="BC96" s="103">
        <f t="shared" si="23"/>
        <v>112367627.42824003</v>
      </c>
      <c r="BD96" s="103">
        <f t="shared" si="23"/>
        <v>112367627.42824003</v>
      </c>
      <c r="BE96" s="103">
        <f t="shared" si="23"/>
        <v>112367627.42824003</v>
      </c>
      <c r="BF96" s="103">
        <f t="shared" si="23"/>
        <v>112367627.42824003</v>
      </c>
      <c r="BG96" s="103">
        <f t="shared" si="23"/>
        <v>112367627.42824003</v>
      </c>
      <c r="BH96" s="103">
        <f t="shared" si="23"/>
        <v>112367627.42824003</v>
      </c>
      <c r="BI96" s="103">
        <f t="shared" si="23"/>
        <v>112367627.42824003</v>
      </c>
      <c r="BJ96" s="103">
        <f t="shared" si="23"/>
        <v>74937937.523565009</v>
      </c>
    </row>
    <row r="97" spans="3:62" x14ac:dyDescent="0.15">
      <c r="C97" s="103">
        <f t="shared" si="21"/>
        <v>0</v>
      </c>
      <c r="D97" s="103">
        <f t="shared" si="21"/>
        <v>0</v>
      </c>
      <c r="E97" s="103">
        <f t="shared" si="21"/>
        <v>0</v>
      </c>
      <c r="F97" s="103">
        <f>F91+F93</f>
        <v>2109800</v>
      </c>
      <c r="G97" s="103">
        <f t="shared" si="22"/>
        <v>3708000</v>
      </c>
      <c r="H97" s="103">
        <f t="shared" si="22"/>
        <v>5647400</v>
      </c>
      <c r="I97" s="103">
        <f t="shared" si="22"/>
        <v>5647400</v>
      </c>
      <c r="J97" s="103">
        <f t="shared" si="22"/>
        <v>5647400</v>
      </c>
      <c r="K97" s="103">
        <f t="shared" si="22"/>
        <v>5647400</v>
      </c>
      <c r="L97" s="103">
        <f t="shared" si="22"/>
        <v>5647400</v>
      </c>
      <c r="M97" s="103">
        <f t="shared" si="22"/>
        <v>5647400</v>
      </c>
      <c r="N97" s="103">
        <f>N$91+N$93</f>
        <v>5373300</v>
      </c>
      <c r="O97" s="103">
        <f>O$91+O$93</f>
        <v>5977800</v>
      </c>
      <c r="P97" s="103">
        <f t="shared" ref="P97:BJ97" si="24">P$91+P$93</f>
        <v>9562000</v>
      </c>
      <c r="Q97" s="103">
        <f t="shared" si="24"/>
        <v>10755905</v>
      </c>
      <c r="R97" s="103">
        <f t="shared" si="24"/>
        <v>10755905</v>
      </c>
      <c r="S97" s="103">
        <f t="shared" si="24"/>
        <v>10755905</v>
      </c>
      <c r="T97" s="103">
        <f t="shared" si="24"/>
        <v>10755905</v>
      </c>
      <c r="U97" s="103">
        <f t="shared" si="24"/>
        <v>10755905</v>
      </c>
      <c r="V97" s="103">
        <f t="shared" si="24"/>
        <v>10755905</v>
      </c>
      <c r="W97" s="103">
        <f t="shared" si="24"/>
        <v>10755905</v>
      </c>
      <c r="X97" s="103">
        <f t="shared" si="24"/>
        <v>10755905</v>
      </c>
      <c r="Y97" s="103">
        <f t="shared" si="24"/>
        <v>10755905</v>
      </c>
      <c r="Z97" s="103">
        <f t="shared" si="24"/>
        <v>7171705</v>
      </c>
      <c r="AA97" s="103">
        <f t="shared" si="24"/>
        <v>14091434.700000001</v>
      </c>
      <c r="AB97" s="103">
        <f t="shared" si="24"/>
        <v>22537937.75</v>
      </c>
      <c r="AC97" s="103">
        <f t="shared" si="24"/>
        <v>25358972.449999999</v>
      </c>
      <c r="AD97" s="103">
        <f t="shared" si="24"/>
        <v>25358972.449999999</v>
      </c>
      <c r="AE97" s="103">
        <f t="shared" si="24"/>
        <v>25358972.449999999</v>
      </c>
      <c r="AF97" s="103">
        <f t="shared" si="24"/>
        <v>25358972.449999999</v>
      </c>
      <c r="AG97" s="103">
        <f t="shared" si="24"/>
        <v>25358972.449999999</v>
      </c>
      <c r="AH97" s="103">
        <f t="shared" si="24"/>
        <v>25358972.449999999</v>
      </c>
      <c r="AI97" s="103">
        <f t="shared" si="24"/>
        <v>25358972.449999999</v>
      </c>
      <c r="AJ97" s="103">
        <f t="shared" si="24"/>
        <v>25358972.449999999</v>
      </c>
      <c r="AK97" s="103">
        <f t="shared" si="24"/>
        <v>25358972.449999999</v>
      </c>
      <c r="AL97" s="103">
        <f t="shared" si="24"/>
        <v>16902737.750000004</v>
      </c>
      <c r="AM97" s="103">
        <f t="shared" si="24"/>
        <v>21003736.926500004</v>
      </c>
      <c r="AN97" s="103">
        <f t="shared" si="24"/>
        <v>33607654.177000001</v>
      </c>
      <c r="AO97" s="103">
        <f t="shared" si="24"/>
        <v>37807939.058000013</v>
      </c>
      <c r="AP97" s="103">
        <f t="shared" si="24"/>
        <v>37807939.058000013</v>
      </c>
      <c r="AQ97" s="103">
        <f t="shared" si="24"/>
        <v>37807939.058000013</v>
      </c>
      <c r="AR97" s="103">
        <f t="shared" si="24"/>
        <v>37807939.058000013</v>
      </c>
      <c r="AS97" s="103">
        <f t="shared" si="24"/>
        <v>37807939.058000013</v>
      </c>
      <c r="AT97" s="103">
        <f t="shared" si="24"/>
        <v>37807939.058000013</v>
      </c>
      <c r="AU97" s="103">
        <f t="shared" si="24"/>
        <v>37807939.058000013</v>
      </c>
      <c r="AV97" s="103">
        <f t="shared" si="24"/>
        <v>37807939.058000013</v>
      </c>
      <c r="AW97" s="103">
        <f t="shared" si="24"/>
        <v>37807939.058000013</v>
      </c>
      <c r="AX97" s="103">
        <f t="shared" si="24"/>
        <v>25204021.807500008</v>
      </c>
      <c r="AY97" s="103">
        <f t="shared" si="24"/>
        <v>19975433.484800003</v>
      </c>
      <c r="AZ97" s="103">
        <f t="shared" si="24"/>
        <v>31969393.710845008</v>
      </c>
      <c r="BA97" s="103">
        <f t="shared" si="24"/>
        <v>35954252.738470018</v>
      </c>
      <c r="BB97" s="103">
        <f t="shared" si="24"/>
        <v>35954252.738470018</v>
      </c>
      <c r="BC97" s="103">
        <f t="shared" si="24"/>
        <v>35954252.738470018</v>
      </c>
      <c r="BD97" s="103">
        <f t="shared" si="24"/>
        <v>35954252.738470018</v>
      </c>
      <c r="BE97" s="103">
        <f t="shared" si="24"/>
        <v>35954252.738470018</v>
      </c>
      <c r="BF97" s="103">
        <f t="shared" si="24"/>
        <v>35954252.738470018</v>
      </c>
      <c r="BG97" s="103">
        <f t="shared" si="24"/>
        <v>35954252.738470018</v>
      </c>
      <c r="BH97" s="103">
        <f t="shared" si="24"/>
        <v>35954252.738470018</v>
      </c>
      <c r="BI97" s="103">
        <f t="shared" si="24"/>
        <v>35954252.738470018</v>
      </c>
      <c r="BJ97" s="103">
        <f t="shared" si="24"/>
        <v>23980444.880020007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4"/>
  </cellWatches>
  <ignoredErrors>
    <ignoredError sqref="F21 F25:F26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336</v>
      </c>
      <c r="I1" s="68"/>
      <c r="J1" s="68"/>
      <c r="K1" s="68"/>
      <c r="L1" s="68"/>
      <c r="M1" s="68"/>
      <c r="N1" s="68"/>
    </row>
    <row r="2" spans="1:66" ht="13" x14ac:dyDescent="0.15">
      <c r="F2" s="389" t="s">
        <v>35</v>
      </c>
      <c r="G2" s="389"/>
      <c r="H2" s="389"/>
      <c r="I2" s="389"/>
      <c r="J2" s="389"/>
      <c r="K2" s="389"/>
      <c r="L2" s="389"/>
      <c r="M2" s="389"/>
      <c r="N2" s="389"/>
      <c r="O2" s="389"/>
      <c r="P2" s="389"/>
      <c r="Q2" s="389"/>
      <c r="R2" s="389" t="s">
        <v>36</v>
      </c>
      <c r="S2" s="389"/>
      <c r="T2" s="389"/>
      <c r="U2" s="389"/>
      <c r="V2" s="389"/>
      <c r="W2" s="389"/>
      <c r="X2" s="389"/>
      <c r="Y2" s="389"/>
      <c r="Z2" s="389"/>
      <c r="AA2" s="389"/>
      <c r="AB2" s="389"/>
      <c r="AC2" s="389"/>
      <c r="AD2" s="389" t="s">
        <v>37</v>
      </c>
      <c r="AE2" s="389"/>
      <c r="AF2" s="389"/>
      <c r="AG2" s="389"/>
      <c r="AH2" s="389"/>
      <c r="AI2" s="389"/>
      <c r="AJ2" s="389"/>
      <c r="AK2" s="389"/>
      <c r="AL2" s="389"/>
      <c r="AM2" s="389"/>
      <c r="AN2" s="389"/>
      <c r="AO2" s="389"/>
      <c r="AP2" s="389" t="s">
        <v>38</v>
      </c>
      <c r="AQ2" s="389"/>
      <c r="AR2" s="389"/>
      <c r="AS2" s="389"/>
      <c r="AT2" s="389"/>
      <c r="AU2" s="389"/>
      <c r="AV2" s="389"/>
      <c r="AW2" s="389"/>
      <c r="AX2" s="389"/>
      <c r="AY2" s="389"/>
      <c r="AZ2" s="389"/>
      <c r="BA2" s="389"/>
      <c r="BB2" s="389" t="s">
        <v>39</v>
      </c>
      <c r="BC2" s="389"/>
      <c r="BD2" s="389"/>
      <c r="BE2" s="389"/>
      <c r="BF2" s="389"/>
      <c r="BG2" s="389"/>
      <c r="BH2" s="389"/>
      <c r="BI2" s="389"/>
      <c r="BJ2" s="389"/>
      <c r="BK2" s="389"/>
      <c r="BL2" s="389"/>
      <c r="BM2" s="389"/>
    </row>
    <row r="3" spans="1:66" ht="14.25" customHeight="1" x14ac:dyDescent="0.15">
      <c r="B3" s="301" t="s">
        <v>629</v>
      </c>
      <c r="C3" s="10" t="s">
        <v>1049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346</v>
      </c>
    </row>
    <row r="4" spans="1:66" ht="14.25" customHeight="1" x14ac:dyDescent="0.15">
      <c r="A4" s="34" t="s">
        <v>270</v>
      </c>
      <c r="B4" s="180" t="s">
        <v>629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'REV-REVCALC_CWS'!$F$36</f>
        <v>462</v>
      </c>
      <c r="E8" s="67"/>
      <c r="F8" s="102"/>
      <c r="G8" s="102"/>
      <c r="H8" s="45"/>
      <c r="I8" s="101">
        <f>$D8</f>
        <v>462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462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462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462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462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462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'REV-REVCALC_CWS'!$G$36</f>
        <v>544</v>
      </c>
      <c r="E9" s="67"/>
      <c r="F9" s="102"/>
      <c r="G9" s="102"/>
      <c r="H9" s="102"/>
      <c r="I9" s="45"/>
      <c r="J9" s="101">
        <f>$D9</f>
        <v>544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544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544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544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544</v>
      </c>
      <c r="BG9" s="101"/>
      <c r="BH9" s="101"/>
      <c r="BI9" s="101"/>
      <c r="BJ9" s="101"/>
      <c r="BK9" s="101"/>
      <c r="BL9" s="101"/>
      <c r="BM9" s="101"/>
      <c r="BN9" s="105">
        <f t="shared" si="0"/>
        <v>544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'REV-REVCALC_CWS'!$H$36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'REV-REVCALC_CWS'!$I$36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'REV-REVCALC_CWS'!$J$36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'REV-REVCALC_CWS'!$K$36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'REV-REVCALC_CWS'!$M$36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'REV-REVCALC_CWS'!$O$36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'REV-REVCALC_CWS'!$P$36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'REV-REVCALC_CWS'!$Q$36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'REV-REVCALC_CWS'!$R$36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'REV-REVCALC_CWS'!$S$36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'REV-REVCALC_CWS'!$T$36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'REV-REVCALC_CWS'!$U$36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'REV-REVCALC_CWS'!$V$36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'REV-REVCALC_CWS'!$X$36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'REV-REVCALC_CWS'!$Y$36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'REV-REVCALC_CWS'!$Z$36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'REV-REVCALC_CWS'!$AA$36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'REV-REVCALC_CWS'!$AB$36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'REV-REVCALC_CWS'!$AC$36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'REV-REVCALC_CWS'!$AD$36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'REV-REVCALC_CWS'!$AE$36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'REV-REVCALC_CWS'!$AF$36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'REV-REVCALC_CWS'!$AG$36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'REV-REVCALC_CWS'!$AH$36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'REV-REVCALC_CWS'!$AI$36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'REV-REVCALC_CWS'!$AJ$36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'REV-REVCALC_CWS'!$AK$36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'REV-REVCALC_CWS'!$AL$36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5" t="s">
        <v>624</v>
      </c>
      <c r="B66" s="395"/>
      <c r="C66" s="395"/>
      <c r="D66" s="395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462</v>
      </c>
      <c r="J66" s="102">
        <f t="shared" si="1"/>
        <v>544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1393</v>
      </c>
      <c r="V66" s="102">
        <f t="shared" si="1"/>
        <v>1475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2519</v>
      </c>
      <c r="AH66" s="102">
        <f t="shared" si="1"/>
        <v>2601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4874</v>
      </c>
      <c r="AT66" s="102">
        <f t="shared" si="1"/>
        <v>4956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7300</v>
      </c>
      <c r="BF66" s="102">
        <f t="shared" si="1"/>
        <v>7382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80909</v>
      </c>
    </row>
    <row r="67" spans="1:66" ht="14.25" customHeight="1" x14ac:dyDescent="0.15">
      <c r="A67" s="395" t="s">
        <v>626</v>
      </c>
      <c r="B67" s="395"/>
      <c r="C67" s="395"/>
      <c r="D67" s="395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5" t="s">
        <v>625</v>
      </c>
      <c r="B68" s="395"/>
      <c r="C68" s="395"/>
      <c r="D68" s="395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4934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15278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27789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53955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80909</v>
      </c>
      <c r="BN69" s="105">
        <f>SUM(F69:BM69)</f>
        <v>182865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623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9" t="s">
        <v>35</v>
      </c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10"/>
      <c r="S74" s="389" t="s">
        <v>36</v>
      </c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10"/>
      <c r="AF74" s="389" t="s">
        <v>37</v>
      </c>
      <c r="AG74" s="389"/>
      <c r="AH74" s="389"/>
      <c r="AI74" s="389"/>
      <c r="AJ74" s="389"/>
      <c r="AK74" s="389"/>
      <c r="AL74" s="389"/>
      <c r="AM74" s="389"/>
      <c r="AN74" s="389"/>
      <c r="AO74" s="389"/>
      <c r="AP74" s="389"/>
      <c r="AQ74" s="389"/>
      <c r="AR74" s="10"/>
      <c r="AS74" s="389" t="s">
        <v>38</v>
      </c>
      <c r="AT74" s="389"/>
      <c r="AU74" s="389"/>
      <c r="AV74" s="389"/>
      <c r="AW74" s="389"/>
      <c r="AX74" s="389"/>
      <c r="AY74" s="389"/>
      <c r="AZ74" s="389"/>
      <c r="BA74" s="389"/>
      <c r="BB74" s="389"/>
      <c r="BC74" s="389"/>
      <c r="BD74" s="389"/>
      <c r="BE74" s="10"/>
      <c r="BF74" s="389" t="s">
        <v>39</v>
      </c>
      <c r="BG74" s="389"/>
      <c r="BH74" s="389"/>
      <c r="BI74" s="389"/>
      <c r="BJ74" s="389"/>
      <c r="BK74" s="389"/>
      <c r="BL74" s="389"/>
      <c r="BM74" s="389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'REV-REVCALC_CWS'!$F$37</f>
        <v>154</v>
      </c>
      <c r="E81" s="67"/>
      <c r="F81" s="102"/>
      <c r="G81" s="102"/>
      <c r="H81" s="45"/>
      <c r="I81" s="101">
        <f>$D81</f>
        <v>154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154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154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154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154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154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'REV-REVCALC_CWS'!$G$37</f>
        <v>182</v>
      </c>
      <c r="E82" s="67"/>
      <c r="F82" s="102"/>
      <c r="G82" s="102"/>
      <c r="H82" s="102"/>
      <c r="I82" s="45"/>
      <c r="J82" s="101">
        <f>$D82</f>
        <v>182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'REV-REVCALC_CWS'!$H$37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'REV-REVCALC_CWS'!$I$37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'REV-REVCALC_CWS'!$J$37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'REV-REVCALC_CWS'!$K$37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'REV-REVCALC_CWS'!$M$37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'REV-REVCALC_CWS'!$O$37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'REV-REVCALC_CWS'!$P$37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'REV-REVCALC_CWS'!$Q$37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'REV-REVCALC_CWS'!$R$37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'REV-REVCALC_CWS'!$S$37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'REV-REVCALC_CWS'!$T$37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'REV-REVCALC_CWS'!$U$37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'REV-REVCALC_CWS'!$V$37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'REV-REVCALC_CWS'!$X$37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'REV-REVCALC_CWS'!$Y$37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'REV-REVCALC_CWS'!$Z$37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'REV-REVCALC_CWS'!$AA$37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'REV-REVCALC_CWS'!$AB$37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'REV-REVCALC_CWS'!$AC$37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'REV-REVCALC_CWS'!$AD$37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'REV-REVCALC_CWS'!$AE$37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'REV-REVCALC_CWS'!$AF$37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'REV-REVCALC_CWS'!$AG$37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'REV-REVCALC_CWS'!$AH$37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'REV-REVCALC_CWS'!$AI$37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'REV-REVCALC_CWS'!$AJ$37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'REV-REVCALC_CWS'!$AK$37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'REV-REVCALC_CWS'!$AL$37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5" t="s">
        <v>627</v>
      </c>
      <c r="B139" s="395"/>
      <c r="C139" s="395"/>
      <c r="D139" s="395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154</v>
      </c>
      <c r="J139" s="169">
        <f t="shared" si="5"/>
        <v>182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499</v>
      </c>
      <c r="V139" s="169">
        <f t="shared" si="5"/>
        <v>527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1006</v>
      </c>
      <c r="AH139" s="169">
        <f t="shared" si="5"/>
        <v>1034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2016</v>
      </c>
      <c r="AT139" s="169">
        <f t="shared" si="5"/>
        <v>2044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3056</v>
      </c>
      <c r="BF139" s="169">
        <f t="shared" si="5"/>
        <v>3084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33897</v>
      </c>
    </row>
    <row r="140" spans="1:72" ht="14.25" customHeight="1" x14ac:dyDescent="0.15">
      <c r="A140" s="395" t="s">
        <v>343</v>
      </c>
      <c r="B140" s="395"/>
      <c r="C140" s="395"/>
      <c r="D140" s="395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5" t="s">
        <v>628</v>
      </c>
      <c r="B141" s="395"/>
      <c r="C141" s="395"/>
      <c r="D141" s="395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337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1650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5484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11118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22340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33897</v>
      </c>
      <c r="BN142" s="105">
        <f>SUM(F142:BM142)</f>
        <v>74489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469</v>
      </c>
      <c r="C4" s="9">
        <f>SUM(C14)</f>
        <v>0</v>
      </c>
      <c r="D4" s="9">
        <f>SUM(D14:O14)</f>
        <v>150245500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470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471</v>
      </c>
      <c r="C7" s="9">
        <f>C17</f>
        <v>0</v>
      </c>
      <c r="D7" s="9">
        <f>SUM(D17:O17)</f>
        <v>150245500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472</v>
      </c>
      <c r="C8" s="9">
        <f>C18</f>
        <v>0</v>
      </c>
      <c r="D8" s="9">
        <f>SUM(D18:O18)</f>
        <v>150245500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473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474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9" t="s">
        <v>35</v>
      </c>
      <c r="E11" s="389"/>
      <c r="F11" s="389"/>
      <c r="G11" s="389"/>
      <c r="H11" s="389"/>
      <c r="I11" s="389"/>
      <c r="J11" s="389"/>
      <c r="K11" s="389"/>
      <c r="L11" s="389"/>
      <c r="M11" s="389"/>
      <c r="N11" s="389"/>
      <c r="O11" s="389"/>
      <c r="P11" s="389" t="s">
        <v>36</v>
      </c>
      <c r="Q11" s="389"/>
      <c r="R11" s="389"/>
      <c r="S11" s="389"/>
      <c r="T11" s="389"/>
      <c r="U11" s="389"/>
      <c r="V11" s="389"/>
      <c r="W11" s="389"/>
      <c r="X11" s="389"/>
      <c r="Y11" s="389"/>
      <c r="Z11" s="389"/>
      <c r="AA11" s="389"/>
      <c r="AB11" s="389" t="s">
        <v>37</v>
      </c>
      <c r="AC11" s="389"/>
      <c r="AD11" s="389"/>
      <c r="AE11" s="389"/>
      <c r="AF11" s="389"/>
      <c r="AG11" s="389"/>
      <c r="AH11" s="389"/>
      <c r="AI11" s="389"/>
      <c r="AJ11" s="389"/>
      <c r="AK11" s="389"/>
      <c r="AL11" s="389"/>
      <c r="AM11" s="389"/>
      <c r="AN11" s="389" t="s">
        <v>38</v>
      </c>
      <c r="AO11" s="389"/>
      <c r="AP11" s="389"/>
      <c r="AQ11" s="389"/>
      <c r="AR11" s="389"/>
      <c r="AS11" s="389"/>
      <c r="AT11" s="389"/>
      <c r="AU11" s="389"/>
      <c r="AV11" s="389"/>
      <c r="AW11" s="389"/>
      <c r="AX11" s="389"/>
      <c r="AY11" s="389"/>
      <c r="AZ11" s="389" t="s">
        <v>39</v>
      </c>
      <c r="BA11" s="389"/>
      <c r="BB11" s="389"/>
      <c r="BC11" s="389"/>
      <c r="BD11" s="389"/>
      <c r="BE11" s="389"/>
      <c r="BF11" s="389"/>
      <c r="BG11" s="389"/>
      <c r="BH11" s="389"/>
      <c r="BI11" s="389"/>
      <c r="BJ11" s="389"/>
      <c r="BK11" s="38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469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9009000</v>
      </c>
      <c r="H14" s="9">
        <f>'REV-REVCALC_CWS'!G94</f>
        <v>13542000</v>
      </c>
      <c r="I14" s="9">
        <f>'REV-REVCALC_CWS'!H94</f>
        <v>18369000</v>
      </c>
      <c r="J14" s="9">
        <f>'REV-REVCALC_CWS'!I94</f>
        <v>18369000</v>
      </c>
      <c r="K14" s="9">
        <f>'REV-REVCALC_CWS'!J94</f>
        <v>18369000</v>
      </c>
      <c r="L14" s="9">
        <f>'REV-REVCALC_CWS'!K94</f>
        <v>18369000</v>
      </c>
      <c r="M14" s="9">
        <f>'REV-REVCALC_CWS'!L94</f>
        <v>18369000</v>
      </c>
      <c r="N14" s="9">
        <f>'REV-REVCALC_CWS'!M94</f>
        <v>18369000</v>
      </c>
      <c r="O14" s="9">
        <f>'REV-REVCALC_CWS'!N94</f>
        <v>17480500</v>
      </c>
      <c r="P14" s="9">
        <f>'REV-REVCALC_CWS'!O94</f>
        <v>18857680</v>
      </c>
      <c r="Q14" s="9">
        <f>'REV-REVCALC_CWS'!P94</f>
        <v>30171325</v>
      </c>
      <c r="R14" s="9">
        <f>'REV-REVCALC_CWS'!Q94</f>
        <v>33934515</v>
      </c>
      <c r="S14" s="9">
        <f>'REV-REVCALC_CWS'!R94</f>
        <v>33934515</v>
      </c>
      <c r="T14" s="9">
        <f>'REV-REVCALC_CWS'!S94</f>
        <v>33934515</v>
      </c>
      <c r="U14" s="9">
        <f>'REV-REVCALC_CWS'!T94</f>
        <v>33934515</v>
      </c>
      <c r="V14" s="9">
        <f>'REV-REVCALC_CWS'!U94</f>
        <v>33934515</v>
      </c>
      <c r="W14" s="9">
        <f>'REV-REVCALC_CWS'!V94</f>
        <v>33934515</v>
      </c>
      <c r="X14" s="9">
        <f>'REV-REVCALC_CWS'!W94</f>
        <v>33934515</v>
      </c>
      <c r="Y14" s="9">
        <f>'REV-REVCALC_CWS'!X94</f>
        <v>33934515</v>
      </c>
      <c r="Z14" s="9">
        <f>'REV-REVCALC_CWS'!Y94</f>
        <v>33934515</v>
      </c>
      <c r="AA14" s="9">
        <f>'REV-REVCALC_CWS'!Z94</f>
        <v>22620870</v>
      </c>
      <c r="AB14" s="9">
        <f>'REV-REVCALC_CWS'!AA94</f>
        <v>38997011.350000001</v>
      </c>
      <c r="AC14" s="9">
        <f>'REV-REVCALC_CWS'!AB94</f>
        <v>62385028.549999997</v>
      </c>
      <c r="AD14" s="9">
        <f>'REV-REVCALC_CWS'!AC94</f>
        <v>70188094.5</v>
      </c>
      <c r="AE14" s="9">
        <f>'REV-REVCALC_CWS'!AD94</f>
        <v>70188094.5</v>
      </c>
      <c r="AF14" s="9">
        <f>'REV-REVCALC_CWS'!AE94</f>
        <v>70188094.5</v>
      </c>
      <c r="AG14" s="9">
        <f>'REV-REVCALC_CWS'!AF94</f>
        <v>70188094.5</v>
      </c>
      <c r="AH14" s="9">
        <f>'REV-REVCALC_CWS'!AG94</f>
        <v>70188094.5</v>
      </c>
      <c r="AI14" s="9">
        <f>'REV-REVCALC_CWS'!AH94</f>
        <v>70188094.5</v>
      </c>
      <c r="AJ14" s="9">
        <f>'REV-REVCALC_CWS'!AI94</f>
        <v>70188094.5</v>
      </c>
      <c r="AK14" s="9">
        <f>'REV-REVCALC_CWS'!AJ94</f>
        <v>70188094.5</v>
      </c>
      <c r="AL14" s="9">
        <f>'REV-REVCALC_CWS'!AK94</f>
        <v>70188094.5</v>
      </c>
      <c r="AM14" s="9">
        <f>'REV-REVCALC_CWS'!AL94</f>
        <v>46788055.850000009</v>
      </c>
      <c r="AN14" s="9">
        <f>'REV-REVCALC_CWS'!AM94</f>
        <v>59832325.16300001</v>
      </c>
      <c r="AO14" s="9">
        <f>'REV-REVCALC_CWS'!AN94</f>
        <v>95741398.100500017</v>
      </c>
      <c r="AP14" s="9">
        <f>'REV-REVCALC_CWS'!AO94</f>
        <v>107710068.21050002</v>
      </c>
      <c r="AQ14" s="9">
        <f>'REV-REVCALC_CWS'!AP94</f>
        <v>107710068.21050002</v>
      </c>
      <c r="AR14" s="9">
        <f>'REV-REVCALC_CWS'!AQ94</f>
        <v>107710068.21050002</v>
      </c>
      <c r="AS14" s="9">
        <f>'REV-REVCALC_CWS'!AR94</f>
        <v>107710068.21050002</v>
      </c>
      <c r="AT14" s="9">
        <f>'REV-REVCALC_CWS'!AS94</f>
        <v>107710068.21050002</v>
      </c>
      <c r="AU14" s="9">
        <f>'REV-REVCALC_CWS'!AT94</f>
        <v>107710068.21050002</v>
      </c>
      <c r="AV14" s="9">
        <f>'REV-REVCALC_CWS'!AU94</f>
        <v>107710068.21050002</v>
      </c>
      <c r="AW14" s="9">
        <f>'REV-REVCALC_CWS'!AV94</f>
        <v>107710068.21050002</v>
      </c>
      <c r="AX14" s="9">
        <f>'REV-REVCALC_CWS'!AW94</f>
        <v>107710068.21050002</v>
      </c>
      <c r="AY14" s="9">
        <f>'REV-REVCALC_CWS'!AX94</f>
        <v>71800995.273000017</v>
      </c>
      <c r="AZ14" s="9">
        <f>'REV-REVCALC_CWS'!AY94</f>
        <v>62422954.221175008</v>
      </c>
      <c r="BA14" s="9">
        <f>'REV-REVCALC_CWS'!AZ94</f>
        <v>99902737.050040022</v>
      </c>
      <c r="BB14" s="9">
        <f>'REV-REVCALC_CWS'!BA94</f>
        <v>112367627.42824002</v>
      </c>
      <c r="BC14" s="9">
        <f>'REV-REVCALC_CWS'!BB94</f>
        <v>112367627.42824002</v>
      </c>
      <c r="BD14" s="9">
        <f>'REV-REVCALC_CWS'!BC94</f>
        <v>112367627.42824002</v>
      </c>
      <c r="BE14" s="9">
        <f>'REV-REVCALC_CWS'!BD94</f>
        <v>112367627.42824002</v>
      </c>
      <c r="BF14" s="9">
        <f>'REV-REVCALC_CWS'!BE94</f>
        <v>112367627.42824002</v>
      </c>
      <c r="BG14" s="9">
        <f>'REV-REVCALC_CWS'!BF94</f>
        <v>112367627.42824002</v>
      </c>
      <c r="BH14" s="9">
        <f>'REV-REVCALC_CWS'!BG94</f>
        <v>112367627.42824002</v>
      </c>
      <c r="BI14" s="9">
        <f>'REV-REVCALC_CWS'!BH94</f>
        <v>112367627.42824002</v>
      </c>
      <c r="BJ14" s="9">
        <f>'REV-REVCALC_CWS'!BI94</f>
        <v>112367627.42824002</v>
      </c>
      <c r="BK14" s="9">
        <f>'REV-REVCALC_CWS'!BJ94</f>
        <v>74937937.523565009</v>
      </c>
      <c r="BL14" s="38">
        <f>SUM(C14:BK14)</f>
        <v>3752506564.3299398</v>
      </c>
    </row>
    <row r="16" spans="2:64" x14ac:dyDescent="0.15">
      <c r="B16" t="s">
        <v>470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9009000</v>
      </c>
      <c r="H17" s="140">
        <f t="shared" si="2"/>
        <v>13542000</v>
      </c>
      <c r="I17" s="140">
        <f t="shared" si="2"/>
        <v>18369000</v>
      </c>
      <c r="J17" s="140">
        <f t="shared" si="2"/>
        <v>18369000</v>
      </c>
      <c r="K17" s="140">
        <f t="shared" si="2"/>
        <v>18369000</v>
      </c>
      <c r="L17" s="140">
        <f t="shared" si="2"/>
        <v>18369000</v>
      </c>
      <c r="M17" s="140">
        <f t="shared" si="2"/>
        <v>18369000</v>
      </c>
      <c r="N17" s="140">
        <f t="shared" si="2"/>
        <v>18369000</v>
      </c>
      <c r="O17" s="140">
        <f t="shared" si="2"/>
        <v>17480500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472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9009000</v>
      </c>
      <c r="H18" s="140">
        <f t="shared" ref="H18:BK18" si="5">H17</f>
        <v>13542000</v>
      </c>
      <c r="I18" s="140">
        <f t="shared" si="5"/>
        <v>18369000</v>
      </c>
      <c r="J18" s="140">
        <f t="shared" si="5"/>
        <v>18369000</v>
      </c>
      <c r="K18" s="140">
        <f t="shared" si="5"/>
        <v>18369000</v>
      </c>
      <c r="L18" s="140">
        <f t="shared" si="5"/>
        <v>18369000</v>
      </c>
      <c r="M18" s="140">
        <f t="shared" si="5"/>
        <v>18369000</v>
      </c>
      <c r="N18" s="140">
        <f t="shared" si="5"/>
        <v>18369000</v>
      </c>
      <c r="O18" s="140">
        <f t="shared" si="5"/>
        <v>17480500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2:67" x14ac:dyDescent="0.15">
      <c r="B2" s="16" t="s">
        <v>1230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6" t="s">
        <v>284</v>
      </c>
      <c r="BO2" s="396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1229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505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1228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6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420</v>
      </c>
      <c r="C13" s="376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506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1179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414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415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79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400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9"/>
      <c r="C2" s="389"/>
      <c r="D2" s="389"/>
      <c r="E2" s="389"/>
      <c r="F2" s="389"/>
      <c r="G2" s="389"/>
      <c r="H2" s="389"/>
      <c r="I2" s="389"/>
      <c r="J2" s="389"/>
      <c r="K2" s="389"/>
      <c r="L2" s="389"/>
      <c r="M2" s="389"/>
      <c r="N2" s="389" t="s">
        <v>36</v>
      </c>
      <c r="O2" s="389"/>
      <c r="P2" s="389"/>
      <c r="Q2" s="389"/>
      <c r="R2" s="389"/>
      <c r="S2" s="389"/>
      <c r="T2" s="389"/>
      <c r="U2" s="389"/>
      <c r="V2" s="389"/>
      <c r="W2" s="389"/>
      <c r="X2" s="389"/>
      <c r="Y2" s="389"/>
      <c r="Z2" s="389" t="s">
        <v>37</v>
      </c>
      <c r="AA2" s="389"/>
      <c r="AB2" s="389"/>
      <c r="AC2" s="389"/>
      <c r="AD2" s="389"/>
      <c r="AE2" s="389"/>
      <c r="AF2" s="389"/>
      <c r="AG2" s="389"/>
      <c r="AH2" s="389"/>
      <c r="AI2" s="389"/>
      <c r="AJ2" s="389"/>
      <c r="AK2" s="389"/>
      <c r="AL2" s="389" t="s">
        <v>38</v>
      </c>
      <c r="AM2" s="389"/>
      <c r="AN2" s="389"/>
      <c r="AO2" s="389"/>
      <c r="AP2" s="389"/>
      <c r="AQ2" s="389"/>
      <c r="AR2" s="389"/>
      <c r="AS2" s="389"/>
      <c r="AT2" s="389"/>
      <c r="AU2" s="389"/>
      <c r="AV2" s="389"/>
      <c r="AW2" s="389"/>
      <c r="AX2" s="389" t="s">
        <v>39</v>
      </c>
      <c r="AY2" s="389"/>
      <c r="AZ2" s="389"/>
      <c r="BA2" s="389"/>
      <c r="BB2" s="389"/>
      <c r="BC2" s="389"/>
      <c r="BD2" s="389"/>
      <c r="BE2" s="389"/>
      <c r="BF2" s="389"/>
      <c r="BG2" s="389"/>
      <c r="BH2" s="389"/>
      <c r="BI2" s="38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9" t="s">
        <v>35</v>
      </c>
      <c r="C14" s="389"/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 t="s">
        <v>36</v>
      </c>
      <c r="O14" s="389"/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 t="s">
        <v>37</v>
      </c>
      <c r="AA14" s="389"/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 t="s">
        <v>38</v>
      </c>
      <c r="AM14" s="389"/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 t="s">
        <v>39</v>
      </c>
      <c r="AY14" s="389"/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1042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79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1043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505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420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506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414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415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400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7" t="s">
        <v>279</v>
      </c>
      <c r="I1" s="397"/>
      <c r="J1" s="397"/>
      <c r="K1" s="397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9"/>
      <c r="G3" s="389"/>
      <c r="H3" s="389"/>
      <c r="I3" s="389"/>
      <c r="J3" s="389"/>
      <c r="K3" s="389"/>
      <c r="L3" s="389"/>
      <c r="M3" s="389"/>
      <c r="N3" s="389"/>
      <c r="O3" s="389"/>
      <c r="P3" s="389"/>
      <c r="Q3" s="389"/>
      <c r="R3" s="10"/>
      <c r="S3" s="389" t="s">
        <v>36</v>
      </c>
      <c r="T3" s="389"/>
      <c r="U3" s="389"/>
      <c r="V3" s="389"/>
      <c r="W3" s="389"/>
      <c r="X3" s="389"/>
      <c r="Y3" s="389"/>
      <c r="Z3" s="389"/>
      <c r="AA3" s="389"/>
      <c r="AB3" s="389"/>
      <c r="AC3" s="389"/>
      <c r="AD3" s="389"/>
      <c r="AE3" s="10"/>
      <c r="AF3" s="389" t="s">
        <v>37</v>
      </c>
      <c r="AG3" s="389"/>
      <c r="AH3" s="389"/>
      <c r="AI3" s="389"/>
      <c r="AJ3" s="389"/>
      <c r="AK3" s="389"/>
      <c r="AL3" s="389"/>
      <c r="AM3" s="389"/>
      <c r="AN3" s="389"/>
      <c r="AO3" s="389"/>
      <c r="AP3" s="389"/>
      <c r="AQ3" s="389"/>
      <c r="AR3" s="10"/>
      <c r="AS3" s="389" t="s">
        <v>38</v>
      </c>
      <c r="AT3" s="389"/>
      <c r="AU3" s="389"/>
      <c r="AV3" s="389"/>
      <c r="AW3" s="389"/>
      <c r="AX3" s="389"/>
      <c r="AY3" s="389"/>
      <c r="AZ3" s="389"/>
      <c r="BA3" s="389"/>
      <c r="BB3" s="389"/>
      <c r="BC3" s="389"/>
      <c r="BD3" s="389"/>
      <c r="BE3" s="10"/>
      <c r="BF3" s="389" t="s">
        <v>39</v>
      </c>
      <c r="BG3" s="389"/>
      <c r="BH3" s="389"/>
      <c r="BI3" s="389"/>
      <c r="BJ3" s="389"/>
      <c r="BK3" s="389"/>
      <c r="BL3" s="389"/>
      <c r="BM3" s="38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1013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9" t="s">
        <v>310</v>
      </c>
      <c r="B2" s="389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9" t="s">
        <v>35</v>
      </c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 t="s">
        <v>36</v>
      </c>
      <c r="P5" s="389"/>
      <c r="Q5" s="389"/>
      <c r="R5" s="389"/>
      <c r="S5" s="389"/>
      <c r="T5" s="389"/>
      <c r="U5" s="389"/>
      <c r="V5" s="389"/>
      <c r="W5" s="389"/>
      <c r="X5" s="389"/>
      <c r="Y5" s="389"/>
      <c r="Z5" s="389"/>
      <c r="AA5" s="389" t="s">
        <v>37</v>
      </c>
      <c r="AB5" s="389"/>
      <c r="AC5" s="389"/>
      <c r="AD5" s="389"/>
      <c r="AE5" s="389"/>
      <c r="AF5" s="389"/>
      <c r="AG5" s="389"/>
      <c r="AH5" s="389"/>
      <c r="AI5" s="389"/>
      <c r="AJ5" s="389"/>
      <c r="AK5" s="389"/>
      <c r="AL5" s="389"/>
      <c r="AM5" s="389" t="s">
        <v>38</v>
      </c>
      <c r="AN5" s="389"/>
      <c r="AO5" s="389"/>
      <c r="AP5" s="389"/>
      <c r="AQ5" s="389"/>
      <c r="AR5" s="389"/>
      <c r="AS5" s="389"/>
      <c r="AT5" s="389"/>
      <c r="AU5" s="389"/>
      <c r="AV5" s="389"/>
      <c r="AW5" s="389"/>
      <c r="AX5" s="389"/>
      <c r="AY5" s="389" t="s">
        <v>39</v>
      </c>
      <c r="AZ5" s="389"/>
      <c r="BA5" s="389"/>
      <c r="BB5" s="389"/>
      <c r="BC5" s="389"/>
      <c r="BD5" s="389"/>
      <c r="BE5" s="389"/>
      <c r="BF5" s="389"/>
      <c r="BG5" s="389"/>
      <c r="BH5" s="389"/>
      <c r="BI5" s="389"/>
      <c r="BJ5" s="38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9" t="s">
        <v>35</v>
      </c>
      <c r="D21" s="389"/>
      <c r="E21" s="389"/>
      <c r="F21" s="389"/>
      <c r="G21" s="389"/>
      <c r="H21" s="389"/>
      <c r="I21" s="389"/>
      <c r="J21" s="389"/>
      <c r="K21" s="389"/>
      <c r="L21" s="389"/>
      <c r="M21" s="389"/>
      <c r="N21" s="389"/>
      <c r="O21" s="389" t="s">
        <v>36</v>
      </c>
      <c r="P21" s="389"/>
      <c r="Q21" s="389"/>
      <c r="R21" s="389"/>
      <c r="S21" s="389"/>
      <c r="T21" s="389"/>
      <c r="U21" s="389"/>
      <c r="V21" s="389"/>
      <c r="W21" s="389"/>
      <c r="X21" s="389"/>
      <c r="Y21" s="389"/>
      <c r="Z21" s="389"/>
      <c r="AA21" s="389" t="s">
        <v>37</v>
      </c>
      <c r="AB21" s="389"/>
      <c r="AC21" s="389"/>
      <c r="AD21" s="389"/>
      <c r="AE21" s="389"/>
      <c r="AF21" s="389"/>
      <c r="AG21" s="389"/>
      <c r="AH21" s="389"/>
      <c r="AI21" s="389"/>
      <c r="AJ21" s="389"/>
      <c r="AK21" s="389"/>
      <c r="AL21" s="389"/>
      <c r="AM21" s="389" t="s">
        <v>38</v>
      </c>
      <c r="AN21" s="389"/>
      <c r="AO21" s="389"/>
      <c r="AP21" s="389"/>
      <c r="AQ21" s="389"/>
      <c r="AR21" s="389"/>
      <c r="AS21" s="389"/>
      <c r="AT21" s="389"/>
      <c r="AU21" s="389"/>
      <c r="AV21" s="389"/>
      <c r="AW21" s="389"/>
      <c r="AX21" s="389"/>
      <c r="AY21" s="389" t="s">
        <v>39</v>
      </c>
      <c r="AZ21" s="389"/>
      <c r="BA21" s="389"/>
      <c r="BB21" s="389"/>
      <c r="BC21" s="389"/>
      <c r="BD21" s="389"/>
      <c r="BE21" s="389"/>
      <c r="BF21" s="389"/>
      <c r="BG21" s="389"/>
      <c r="BH21" s="389"/>
      <c r="BI21" s="389"/>
      <c r="BJ21" s="38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1075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1076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9" t="s">
        <v>35</v>
      </c>
      <c r="G1" s="389"/>
      <c r="H1" s="389"/>
      <c r="I1" s="389"/>
      <c r="J1" s="389"/>
      <c r="K1" s="389"/>
      <c r="L1" s="389"/>
      <c r="M1" s="389"/>
      <c r="N1" s="389"/>
      <c r="O1" s="389"/>
      <c r="P1" s="389"/>
      <c r="Q1" s="389"/>
      <c r="R1" s="389" t="s">
        <v>36</v>
      </c>
      <c r="S1" s="389"/>
      <c r="T1" s="389"/>
      <c r="U1" s="389"/>
      <c r="V1" s="389"/>
      <c r="W1" s="389"/>
      <c r="X1" s="389"/>
      <c r="Y1" s="389"/>
      <c r="Z1" s="389"/>
      <c r="AA1" s="389"/>
      <c r="AB1" s="389"/>
      <c r="AC1" s="389"/>
      <c r="AD1" s="389" t="s">
        <v>37</v>
      </c>
      <c r="AE1" s="389"/>
      <c r="AF1" s="389"/>
      <c r="AG1" s="389"/>
      <c r="AH1" s="389"/>
      <c r="AI1" s="389"/>
      <c r="AJ1" s="389"/>
      <c r="AK1" s="389"/>
      <c r="AL1" s="389"/>
      <c r="AM1" s="389"/>
      <c r="AN1" s="389"/>
      <c r="AO1" s="389"/>
      <c r="AP1" s="389" t="s">
        <v>38</v>
      </c>
      <c r="AQ1" s="389"/>
      <c r="AR1" s="389"/>
      <c r="AS1" s="389"/>
      <c r="AT1" s="389"/>
      <c r="AU1" s="389"/>
      <c r="AV1" s="389"/>
      <c r="AW1" s="389"/>
      <c r="AX1" s="389"/>
      <c r="AY1" s="389"/>
      <c r="AZ1" s="389"/>
      <c r="BA1" s="389"/>
      <c r="BB1" s="389" t="s">
        <v>39</v>
      </c>
      <c r="BC1" s="389"/>
      <c r="BD1" s="389"/>
      <c r="BE1" s="389"/>
      <c r="BF1" s="389"/>
      <c r="BG1" s="389"/>
      <c r="BH1" s="389"/>
      <c r="BI1" s="389"/>
      <c r="BJ1" s="389"/>
      <c r="BK1" s="389"/>
      <c r="BL1" s="389"/>
      <c r="BM1" s="389"/>
      <c r="BN1" s="35"/>
    </row>
    <row r="2" spans="1:66" x14ac:dyDescent="0.15">
      <c r="B2" s="74" t="s">
        <v>1003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1006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1005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1005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1005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1006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1005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1005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1005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1227</v>
      </c>
      <c r="B19" s="34" t="s">
        <v>1005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1005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1005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1007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1005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1005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1005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1005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1005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1004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761</v>
      </c>
      <c r="D1" s="389" t="s">
        <v>35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36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37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38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39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1002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1223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1224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1225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1226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1231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1232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9" t="s">
        <v>35</v>
      </c>
      <c r="I1" s="389"/>
      <c r="J1" s="389"/>
      <c r="K1" s="389"/>
      <c r="L1" s="389"/>
      <c r="M1" s="389"/>
      <c r="N1" s="389"/>
      <c r="O1" s="389"/>
      <c r="P1" s="389"/>
      <c r="Q1" s="389"/>
      <c r="R1" s="389"/>
      <c r="S1" s="389"/>
      <c r="T1" s="389" t="s">
        <v>36</v>
      </c>
      <c r="U1" s="389"/>
      <c r="V1" s="389"/>
      <c r="W1" s="389"/>
      <c r="X1" s="389"/>
      <c r="Y1" s="389"/>
      <c r="Z1" s="389"/>
      <c r="AA1" s="389"/>
      <c r="AB1" s="389"/>
      <c r="AC1" s="389"/>
      <c r="AD1" s="389"/>
      <c r="AE1" s="389"/>
      <c r="AF1" s="389" t="s">
        <v>37</v>
      </c>
      <c r="AG1" s="389"/>
      <c r="AH1" s="389"/>
      <c r="AI1" s="389"/>
      <c r="AJ1" s="389"/>
      <c r="AK1" s="389"/>
      <c r="AL1" s="389"/>
      <c r="AM1" s="389"/>
      <c r="AN1" s="389"/>
      <c r="AO1" s="389"/>
      <c r="AP1" s="389"/>
      <c r="AQ1" s="389"/>
      <c r="AR1" s="389" t="s">
        <v>38</v>
      </c>
      <c r="AS1" s="389"/>
      <c r="AT1" s="389"/>
      <c r="AU1" s="389"/>
      <c r="AV1" s="389"/>
      <c r="AW1" s="389"/>
      <c r="AX1" s="389"/>
      <c r="AY1" s="389"/>
      <c r="AZ1" s="389"/>
      <c r="BA1" s="389"/>
      <c r="BB1" s="389"/>
      <c r="BC1" s="389"/>
      <c r="BD1" s="389" t="s">
        <v>39</v>
      </c>
      <c r="BE1" s="389"/>
      <c r="BF1" s="389"/>
      <c r="BG1" s="389"/>
      <c r="BH1" s="389"/>
      <c r="BI1" s="389"/>
      <c r="BJ1" s="389"/>
      <c r="BK1" s="389"/>
      <c r="BL1" s="389"/>
      <c r="BM1" s="389"/>
      <c r="BN1" s="389"/>
      <c r="BO1" s="389"/>
      <c r="BP1" s="35"/>
    </row>
    <row r="2" spans="1:79" s="14" customFormat="1" x14ac:dyDescent="0.15">
      <c r="A2" s="10" t="s">
        <v>1160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1163</v>
      </c>
      <c r="B3" s="10" t="s">
        <v>68</v>
      </c>
      <c r="C3" s="268" t="s">
        <v>1165</v>
      </c>
      <c r="D3" s="10" t="s">
        <v>65</v>
      </c>
      <c r="E3" s="10" t="s">
        <v>66</v>
      </c>
      <c r="F3" s="10" t="s">
        <v>67</v>
      </c>
      <c r="G3" s="10"/>
      <c r="BP3" s="36" t="s">
        <v>719</v>
      </c>
    </row>
    <row r="4" spans="1:79" x14ac:dyDescent="0.15">
      <c r="A4" s="10" t="s">
        <v>1164</v>
      </c>
      <c r="B4" s="10" t="s">
        <v>1166</v>
      </c>
      <c r="C4" s="268" t="s">
        <v>1165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1153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1161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1181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1173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1001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1167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1168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1169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1170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1261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1262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1263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1171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1172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1261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1262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1263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1175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1174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1261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1262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1263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1179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1178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1176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1177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1261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1262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1263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715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715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715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715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715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715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715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715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715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715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715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715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715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715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715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715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715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715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715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715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715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715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715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715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715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717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1162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1008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1009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1010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1182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1183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1180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1184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1155</v>
      </c>
      <c r="C1" s="10" t="s">
        <v>1156</v>
      </c>
      <c r="D1" s="10" t="s">
        <v>1157</v>
      </c>
      <c r="E1" s="10" t="s">
        <v>1158</v>
      </c>
      <c r="F1" s="10" t="s">
        <v>1159</v>
      </c>
    </row>
    <row r="2" spans="1:102" x14ac:dyDescent="0.15">
      <c r="A2" s="14" t="s">
        <v>1154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9" t="s">
        <v>35</v>
      </c>
      <c r="D1" s="389"/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 t="s">
        <v>36</v>
      </c>
      <c r="P1" s="389"/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 t="s">
        <v>37</v>
      </c>
      <c r="AB1" s="389"/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 t="s">
        <v>38</v>
      </c>
      <c r="AN1" s="389"/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 t="s">
        <v>39</v>
      </c>
      <c r="AZ1" s="389"/>
      <c r="BA1" s="389"/>
      <c r="BB1" s="389"/>
      <c r="BC1" s="389"/>
      <c r="BD1" s="389"/>
      <c r="BE1" s="389"/>
      <c r="BF1" s="389"/>
      <c r="BG1" s="389"/>
      <c r="BH1" s="389"/>
      <c r="BI1" s="389"/>
      <c r="BJ1" s="38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9" t="s">
        <v>151</v>
      </c>
      <c r="B5" s="389"/>
    </row>
    <row r="6" spans="1:63" x14ac:dyDescent="0.15">
      <c r="C6" s="389" t="s">
        <v>35</v>
      </c>
      <c r="D6" s="389"/>
      <c r="E6" s="389"/>
      <c r="F6" s="389"/>
      <c r="G6" s="389"/>
      <c r="H6" s="389"/>
      <c r="I6" s="389"/>
      <c r="J6" s="389"/>
      <c r="K6" s="389"/>
      <c r="L6" s="389"/>
      <c r="M6" s="389"/>
      <c r="N6" s="389"/>
      <c r="O6" s="389" t="s">
        <v>36</v>
      </c>
      <c r="P6" s="389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 t="s">
        <v>37</v>
      </c>
      <c r="AB6" s="389"/>
      <c r="AC6" s="389"/>
      <c r="AD6" s="389"/>
      <c r="AE6" s="389"/>
      <c r="AF6" s="389"/>
      <c r="AG6" s="389"/>
      <c r="AH6" s="389"/>
      <c r="AI6" s="389"/>
      <c r="AJ6" s="389"/>
      <c r="AK6" s="389"/>
      <c r="AL6" s="389"/>
      <c r="AM6" s="389" t="s">
        <v>38</v>
      </c>
      <c r="AN6" s="389"/>
      <c r="AO6" s="389"/>
      <c r="AP6" s="389"/>
      <c r="AQ6" s="389"/>
      <c r="AR6" s="389"/>
      <c r="AS6" s="389"/>
      <c r="AT6" s="389"/>
      <c r="AU6" s="389"/>
      <c r="AV6" s="389"/>
      <c r="AW6" s="389"/>
      <c r="AX6" s="389"/>
      <c r="AY6" s="389" t="s">
        <v>39</v>
      </c>
      <c r="AZ6" s="389"/>
      <c r="BA6" s="389"/>
      <c r="BB6" s="389"/>
      <c r="BC6" s="389"/>
      <c r="BD6" s="389"/>
      <c r="BE6" s="389"/>
      <c r="BF6" s="389"/>
      <c r="BG6" s="389"/>
      <c r="BH6" s="389"/>
      <c r="BI6" s="389"/>
      <c r="BJ6" s="38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1011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1012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9" t="s">
        <v>154</v>
      </c>
      <c r="B13" s="389"/>
    </row>
    <row r="14" spans="1:63" x14ac:dyDescent="0.15">
      <c r="C14" s="389" t="s">
        <v>35</v>
      </c>
      <c r="D14" s="389"/>
      <c r="E14" s="389"/>
      <c r="F14" s="389"/>
      <c r="G14" s="389"/>
      <c r="H14" s="389"/>
      <c r="I14" s="389"/>
      <c r="J14" s="389"/>
      <c r="K14" s="389"/>
      <c r="L14" s="389"/>
      <c r="M14" s="389"/>
      <c r="N14" s="389"/>
      <c r="O14" s="389" t="s">
        <v>36</v>
      </c>
      <c r="P14" s="389"/>
      <c r="Q14" s="389"/>
      <c r="R14" s="389"/>
      <c r="S14" s="389"/>
      <c r="T14" s="389"/>
      <c r="U14" s="389"/>
      <c r="V14" s="389"/>
      <c r="W14" s="389"/>
      <c r="X14" s="389"/>
      <c r="Y14" s="389"/>
      <c r="Z14" s="389"/>
      <c r="AA14" s="389" t="s">
        <v>37</v>
      </c>
      <c r="AB14" s="389"/>
      <c r="AC14" s="389"/>
      <c r="AD14" s="389"/>
      <c r="AE14" s="389"/>
      <c r="AF14" s="389"/>
      <c r="AG14" s="389"/>
      <c r="AH14" s="389"/>
      <c r="AI14" s="389"/>
      <c r="AJ14" s="389"/>
      <c r="AK14" s="389"/>
      <c r="AL14" s="389"/>
      <c r="AM14" s="389" t="s">
        <v>38</v>
      </c>
      <c r="AN14" s="389"/>
      <c r="AO14" s="389"/>
      <c r="AP14" s="389"/>
      <c r="AQ14" s="389"/>
      <c r="AR14" s="389"/>
      <c r="AS14" s="389"/>
      <c r="AT14" s="389"/>
      <c r="AU14" s="389"/>
      <c r="AV14" s="389"/>
      <c r="AW14" s="389"/>
      <c r="AX14" s="389"/>
      <c r="AY14" s="389" t="s">
        <v>39</v>
      </c>
      <c r="AZ14" s="389"/>
      <c r="BA14" s="389"/>
      <c r="BB14" s="389"/>
      <c r="BC14" s="389"/>
      <c r="BD14" s="389"/>
      <c r="BE14" s="389"/>
      <c r="BF14" s="389"/>
      <c r="BG14" s="389"/>
      <c r="BH14" s="389"/>
      <c r="BI14" s="389"/>
      <c r="BJ14" s="38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190</vt:i4>
      </vt:variant>
    </vt:vector>
  </HeadingPairs>
  <TitlesOfParts>
    <vt:vector size="25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CostoVentaDiarioAN1</vt:lpstr>
      <vt:lpstr>CostoVentaDiarioDomicilioAN1</vt:lpstr>
      <vt:lpstr>CostoVentaDiarioLocalAN1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2023-05-09T22:07:19Z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