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858BF664-55D3-234F-9441-AB483ADB6D03}" xr6:coauthVersionLast="47" xr6:coauthVersionMax="47" xr10:uidLastSave="{00000000-0000-0000-0000-000000000000}"/>
  <bookViews>
    <workbookView xWindow="16160" yWindow="2060" windowWidth="17440" windowHeight="16940" firstSheet="10" activeTab="13" xr2:uid="{037E05B5-3C50-CD45-9C34-0D4769192C89}"/>
    <workbookView xWindow="1920" yWindow="3820" windowWidth="20280" windowHeight="16440" firstSheet="10" activeTab="10" xr2:uid="{C457FB10-14F8-3F49-9B54-CDC32E8C80A9}"/>
    <workbookView xWindow="9200" yWindow="2560" windowWidth="21620" windowHeight="16440" firstSheet="29" activeTab="29" xr2:uid="{4A04CED5-3BA9-B04B-9954-E21B962EBCF2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CostoVentaDiarioDomicilioAN1">'COGS-PRICE-MARGIN_CWS'!$E$24</definedName>
    <definedName name="CostoVentaDiarioLocalAN1">'COGS-PRICE-MARGIN_CWS'!$E$15</definedName>
    <definedName name="CostoVentaPDiarioAN1">'COGS-PRICE-MARGIN_CWS'!$E$5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DiarioAN1">'REV-REVCALC_CWS'!$C$17:$N$17</definedName>
    <definedName name="IngresoPFusionAN1">'REV-REVCALC_CWS'!$C$56:$N$56</definedName>
    <definedName name="IngresoProductoDiario">'REV-REVCALC_CWS'!$A$11</definedName>
    <definedName name="IngresoProductoFusion">'REV-REVCALC_CWS'!$A$50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'REV-REVCALC_CWS'!$C$56:$BJ$56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ecioPDiarioAN1">'COGS-PRICE-MARGIN_CWS'!$B$5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PyGGastosAbrilAN1">'FIN-P&amp;L_CWS'!$H$206</definedName>
    <definedName name="PyGIngresoNetoAbrilAN1">'FIN-P&amp;L_CWS'!$H$129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'REV-REVCALC_CWS'!$F$94</definedName>
    <definedName name="TotalIngresoProductoFusion">COGS_DB!$F$97,COGS_DB!$F$123,COGS_DB!$F$128</definedName>
    <definedName name="TotalIngresos">'REV-REVCALC_CWS'!$A$88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47" l="1"/>
  <c r="C6" i="47"/>
  <c r="D6" i="47"/>
  <c r="E6" i="47"/>
  <c r="F6" i="47"/>
  <c r="F8" i="47"/>
  <c r="F10" i="47"/>
  <c r="F11" i="47"/>
  <c r="E8" i="47"/>
  <c r="E10" i="47"/>
  <c r="E11" i="47"/>
  <c r="D8" i="47"/>
  <c r="D10" i="47"/>
  <c r="D11" i="47"/>
  <c r="C8" i="47"/>
  <c r="C10" i="47"/>
  <c r="C11" i="47"/>
  <c r="B42" i="59"/>
  <c r="B41" i="59"/>
  <c r="B40" i="59"/>
  <c r="B39" i="59"/>
  <c r="B38" i="59"/>
  <c r="B37" i="59"/>
  <c r="F6" i="48"/>
  <c r="F9" i="48"/>
  <c r="F8" i="48"/>
  <c r="F13" i="48"/>
  <c r="F37" i="48"/>
  <c r="F46" i="48"/>
  <c r="F52" i="48"/>
  <c r="F76" i="48"/>
  <c r="F85" i="48"/>
  <c r="H125" i="59"/>
  <c r="D81" i="49"/>
  <c r="I81" i="49"/>
  <c r="I139" i="49"/>
  <c r="I141" i="49"/>
  <c r="F47" i="48"/>
  <c r="H126" i="59"/>
  <c r="H127" i="59"/>
  <c r="F36" i="48"/>
  <c r="F40" i="48"/>
  <c r="F42" i="48"/>
  <c r="F75" i="48"/>
  <c r="F79" i="48"/>
  <c r="F81" i="48"/>
  <c r="H120" i="59"/>
  <c r="D8" i="49"/>
  <c r="I8" i="49"/>
  <c r="I66" i="49"/>
  <c r="I68" i="49"/>
  <c r="F43" i="48"/>
  <c r="H121" i="59"/>
  <c r="H122" i="59"/>
  <c r="F14" i="48"/>
  <c r="F17" i="48"/>
  <c r="F21" i="48"/>
  <c r="F22" i="48"/>
  <c r="F23" i="48"/>
  <c r="F24" i="48"/>
  <c r="F25" i="48"/>
  <c r="F26" i="48"/>
  <c r="F28" i="48"/>
  <c r="F30" i="48"/>
  <c r="F53" i="48"/>
  <c r="F56" i="48"/>
  <c r="F60" i="48"/>
  <c r="F61" i="48"/>
  <c r="F62" i="48"/>
  <c r="F63" i="48"/>
  <c r="F64" i="48"/>
  <c r="F65" i="48"/>
  <c r="F67" i="48"/>
  <c r="F69" i="48"/>
  <c r="H116" i="59"/>
  <c r="H129" i="59"/>
  <c r="F95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B144" i="59"/>
  <c r="N53" i="47"/>
  <c r="N54" i="47"/>
  <c r="BJ13" i="48"/>
  <c r="BJ37" i="48"/>
  <c r="BJ26" i="48"/>
  <c r="M53" i="47"/>
  <c r="M54" i="47"/>
  <c r="BI13" i="48"/>
  <c r="BI37" i="48"/>
  <c r="BI26" i="48"/>
  <c r="L53" i="47"/>
  <c r="L54" i="47"/>
  <c r="BH13" i="48"/>
  <c r="BH37" i="48"/>
  <c r="BH26" i="48"/>
  <c r="K53" i="47"/>
  <c r="K54" i="47"/>
  <c r="BG13" i="48"/>
  <c r="BG37" i="48"/>
  <c r="BG26" i="48"/>
  <c r="J53" i="47"/>
  <c r="J54" i="47"/>
  <c r="BF13" i="48"/>
  <c r="BF37" i="48"/>
  <c r="BF26" i="48"/>
  <c r="I53" i="47"/>
  <c r="I54" i="47"/>
  <c r="BE13" i="48"/>
  <c r="BE37" i="48"/>
  <c r="BE26" i="48"/>
  <c r="H53" i="47"/>
  <c r="H54" i="47"/>
  <c r="BD13" i="48"/>
  <c r="BD37" i="48"/>
  <c r="BD26" i="48"/>
  <c r="G53" i="47"/>
  <c r="G54" i="47"/>
  <c r="BC13" i="48"/>
  <c r="BC37" i="48"/>
  <c r="BC26" i="48"/>
  <c r="F53" i="47"/>
  <c r="F54" i="47"/>
  <c r="BB13" i="48"/>
  <c r="BB37" i="48"/>
  <c r="BB26" i="48"/>
  <c r="E53" i="47"/>
  <c r="E54" i="47"/>
  <c r="BA13" i="48"/>
  <c r="BA37" i="48"/>
  <c r="BA26" i="48"/>
  <c r="D53" i="47"/>
  <c r="D54" i="47"/>
  <c r="AZ13" i="48"/>
  <c r="AZ37" i="48"/>
  <c r="AZ26" i="48"/>
  <c r="C53" i="47"/>
  <c r="C54" i="47"/>
  <c r="AY13" i="48"/>
  <c r="AY37" i="48"/>
  <c r="AY26" i="48"/>
  <c r="N49" i="47"/>
  <c r="N50" i="47"/>
  <c r="AX13" i="48"/>
  <c r="AX37" i="48"/>
  <c r="AX26" i="48"/>
  <c r="M49" i="47"/>
  <c r="M50" i="47"/>
  <c r="AW13" i="48"/>
  <c r="AW37" i="48"/>
  <c r="AW26" i="48"/>
  <c r="L49" i="47"/>
  <c r="L50" i="47"/>
  <c r="AV13" i="48"/>
  <c r="AV37" i="48"/>
  <c r="AV26" i="48"/>
  <c r="K49" i="47"/>
  <c r="K50" i="47"/>
  <c r="AU13" i="48"/>
  <c r="AU37" i="48"/>
  <c r="AU26" i="48"/>
  <c r="J49" i="47"/>
  <c r="J50" i="47"/>
  <c r="AT13" i="48"/>
  <c r="AT37" i="48"/>
  <c r="AT26" i="48"/>
  <c r="I49" i="47"/>
  <c r="I50" i="47"/>
  <c r="AS13" i="48"/>
  <c r="AS37" i="48"/>
  <c r="AS26" i="48"/>
  <c r="H49" i="47"/>
  <c r="H50" i="47"/>
  <c r="AR13" i="48"/>
  <c r="AR37" i="48"/>
  <c r="AR26" i="48"/>
  <c r="G49" i="47"/>
  <c r="G50" i="47"/>
  <c r="AQ13" i="48"/>
  <c r="AQ37" i="48"/>
  <c r="AQ26" i="48"/>
  <c r="F49" i="47"/>
  <c r="F50" i="47"/>
  <c r="AP13" i="48"/>
  <c r="AP37" i="48"/>
  <c r="AP26" i="48"/>
  <c r="E49" i="47"/>
  <c r="E50" i="47"/>
  <c r="AO13" i="48"/>
  <c r="AO37" i="48"/>
  <c r="AO26" i="48"/>
  <c r="D49" i="47"/>
  <c r="D50" i="47"/>
  <c r="AN13" i="48"/>
  <c r="AN37" i="48"/>
  <c r="AN26" i="48"/>
  <c r="C49" i="47"/>
  <c r="C50" i="47"/>
  <c r="AM13" i="48"/>
  <c r="AM37" i="48"/>
  <c r="AM26" i="48"/>
  <c r="N45" i="47"/>
  <c r="N46" i="47"/>
  <c r="AL6" i="48"/>
  <c r="AL9" i="48"/>
  <c r="AL8" i="48"/>
  <c r="AL13" i="48"/>
  <c r="AL37" i="48"/>
  <c r="AL26" i="48"/>
  <c r="M45" i="47"/>
  <c r="M46" i="47"/>
  <c r="AK6" i="48"/>
  <c r="AK9" i="48"/>
  <c r="AK8" i="48"/>
  <c r="AK13" i="48"/>
  <c r="AK37" i="48"/>
  <c r="AK26" i="48"/>
  <c r="L45" i="47"/>
  <c r="L46" i="47"/>
  <c r="AJ6" i="48"/>
  <c r="AJ9" i="48"/>
  <c r="AJ8" i="48"/>
  <c r="AJ13" i="48"/>
  <c r="AJ37" i="48"/>
  <c r="AJ26" i="48"/>
  <c r="K45" i="47"/>
  <c r="K46" i="47"/>
  <c r="AI6" i="48"/>
  <c r="AI9" i="48"/>
  <c r="AI8" i="48"/>
  <c r="AI13" i="48"/>
  <c r="AI37" i="48"/>
  <c r="AI26" i="48"/>
  <c r="J45" i="47"/>
  <c r="J46" i="47"/>
  <c r="AH6" i="48"/>
  <c r="AH9" i="48"/>
  <c r="AH8" i="48"/>
  <c r="AH13" i="48"/>
  <c r="AH37" i="48"/>
  <c r="AH26" i="48"/>
  <c r="I45" i="47"/>
  <c r="I46" i="47"/>
  <c r="AG6" i="48"/>
  <c r="AG9" i="48"/>
  <c r="AG8" i="48"/>
  <c r="AG13" i="48"/>
  <c r="AG37" i="48"/>
  <c r="AG26" i="48"/>
  <c r="H45" i="47"/>
  <c r="H46" i="47"/>
  <c r="AF6" i="48"/>
  <c r="AF9" i="48"/>
  <c r="AF8" i="48"/>
  <c r="AF13" i="48"/>
  <c r="AF37" i="48"/>
  <c r="AF26" i="48"/>
  <c r="G45" i="47"/>
  <c r="G46" i="47"/>
  <c r="AE6" i="48"/>
  <c r="AE9" i="48"/>
  <c r="AE8" i="48"/>
  <c r="AE13" i="48"/>
  <c r="AE37" i="48"/>
  <c r="AE26" i="48"/>
  <c r="F45" i="47"/>
  <c r="F46" i="47"/>
  <c r="AD6" i="48"/>
  <c r="AD9" i="48"/>
  <c r="AD8" i="48"/>
  <c r="AD13" i="48"/>
  <c r="AD37" i="48"/>
  <c r="AD26" i="48"/>
  <c r="E45" i="47"/>
  <c r="E46" i="47"/>
  <c r="AC6" i="48"/>
  <c r="AC9" i="48"/>
  <c r="AC8" i="48"/>
  <c r="AC13" i="48"/>
  <c r="AC37" i="48"/>
  <c r="AC26" i="48"/>
  <c r="D45" i="47"/>
  <c r="D46" i="47"/>
  <c r="AB6" i="48"/>
  <c r="AB9" i="48"/>
  <c r="AB8" i="48"/>
  <c r="AB13" i="48"/>
  <c r="AB37" i="48"/>
  <c r="AB26" i="48"/>
  <c r="C45" i="47"/>
  <c r="C46" i="47"/>
  <c r="AA6" i="48"/>
  <c r="AA9" i="48"/>
  <c r="AA8" i="48"/>
  <c r="AA13" i="48"/>
  <c r="AA37" i="48"/>
  <c r="AA26" i="48"/>
  <c r="N41" i="47"/>
  <c r="N42" i="47"/>
  <c r="Z6" i="48"/>
  <c r="Z9" i="48"/>
  <c r="Z8" i="48"/>
  <c r="Z13" i="48"/>
  <c r="Z37" i="48"/>
  <c r="Z26" i="48"/>
  <c r="M41" i="47"/>
  <c r="M42" i="47"/>
  <c r="Y6" i="48"/>
  <c r="Y9" i="48"/>
  <c r="Y8" i="48"/>
  <c r="Y13" i="48"/>
  <c r="Y37" i="48"/>
  <c r="Y26" i="48"/>
  <c r="L41" i="47"/>
  <c r="L42" i="47"/>
  <c r="X6" i="48"/>
  <c r="X9" i="48"/>
  <c r="X8" i="48"/>
  <c r="X13" i="48"/>
  <c r="X37" i="48"/>
  <c r="X26" i="48"/>
  <c r="K41" i="47"/>
  <c r="K42" i="47"/>
  <c r="W6" i="48"/>
  <c r="W9" i="48"/>
  <c r="W8" i="48"/>
  <c r="W13" i="48"/>
  <c r="W37" i="48"/>
  <c r="W26" i="48"/>
  <c r="J41" i="47"/>
  <c r="J42" i="47"/>
  <c r="V6" i="48"/>
  <c r="V9" i="48"/>
  <c r="V8" i="48"/>
  <c r="V13" i="48"/>
  <c r="V37" i="48"/>
  <c r="V26" i="48"/>
  <c r="I41" i="47"/>
  <c r="I42" i="47"/>
  <c r="U6" i="48"/>
  <c r="U9" i="48"/>
  <c r="U8" i="48"/>
  <c r="U13" i="48"/>
  <c r="U37" i="48"/>
  <c r="U26" i="48"/>
  <c r="H41" i="47"/>
  <c r="H42" i="47"/>
  <c r="T6" i="48"/>
  <c r="T9" i="48"/>
  <c r="T8" i="48"/>
  <c r="T13" i="48"/>
  <c r="T37" i="48"/>
  <c r="T26" i="48"/>
  <c r="G41" i="47"/>
  <c r="G42" i="47"/>
  <c r="S6" i="48"/>
  <c r="S9" i="48"/>
  <c r="S8" i="48"/>
  <c r="S13" i="48"/>
  <c r="S37" i="48"/>
  <c r="S26" i="48"/>
  <c r="F41" i="47"/>
  <c r="F42" i="47"/>
  <c r="R6" i="48"/>
  <c r="R9" i="48"/>
  <c r="R8" i="48"/>
  <c r="R13" i="48"/>
  <c r="R37" i="48"/>
  <c r="R26" i="48"/>
  <c r="E41" i="47"/>
  <c r="E42" i="47"/>
  <c r="Q6" i="48"/>
  <c r="Q9" i="48"/>
  <c r="Q8" i="48"/>
  <c r="Q13" i="48"/>
  <c r="Q37" i="48"/>
  <c r="Q26" i="48"/>
  <c r="D41" i="47"/>
  <c r="D42" i="47"/>
  <c r="P6" i="48"/>
  <c r="P9" i="48"/>
  <c r="P8" i="48"/>
  <c r="P13" i="48"/>
  <c r="P37" i="48"/>
  <c r="P26" i="48"/>
  <c r="C41" i="47"/>
  <c r="C42" i="47"/>
  <c r="O6" i="48"/>
  <c r="O9" i="48"/>
  <c r="O8" i="48"/>
  <c r="O13" i="48"/>
  <c r="O37" i="48"/>
  <c r="O26" i="48"/>
  <c r="B7" i="47"/>
  <c r="B8" i="47"/>
  <c r="B10" i="47"/>
  <c r="N38" i="47"/>
  <c r="N6" i="48"/>
  <c r="N9" i="48"/>
  <c r="N8" i="48"/>
  <c r="N13" i="48"/>
  <c r="N37" i="48"/>
  <c r="N26" i="48"/>
  <c r="M38" i="47"/>
  <c r="M6" i="48"/>
  <c r="M9" i="48"/>
  <c r="M8" i="48"/>
  <c r="M13" i="48"/>
  <c r="M37" i="48"/>
  <c r="M26" i="48"/>
  <c r="L38" i="47"/>
  <c r="L6" i="48"/>
  <c r="L9" i="48"/>
  <c r="L8" i="48"/>
  <c r="L13" i="48"/>
  <c r="L37" i="48"/>
  <c r="L26" i="48"/>
  <c r="K38" i="47"/>
  <c r="K6" i="48"/>
  <c r="K9" i="48"/>
  <c r="K8" i="48"/>
  <c r="K13" i="48"/>
  <c r="K37" i="48"/>
  <c r="K26" i="48"/>
  <c r="J38" i="47"/>
  <c r="J6" i="48"/>
  <c r="J9" i="48"/>
  <c r="J8" i="48"/>
  <c r="J13" i="48"/>
  <c r="J37" i="48"/>
  <c r="J26" i="48"/>
  <c r="I38" i="47"/>
  <c r="I6" i="48"/>
  <c r="I9" i="48"/>
  <c r="I8" i="48"/>
  <c r="I13" i="48"/>
  <c r="I37" i="48"/>
  <c r="I26" i="48"/>
  <c r="H38" i="47"/>
  <c r="H6" i="48"/>
  <c r="H9" i="48"/>
  <c r="H8" i="48"/>
  <c r="H13" i="48"/>
  <c r="H37" i="48"/>
  <c r="H26" i="48"/>
  <c r="G6" i="48"/>
  <c r="G9" i="48"/>
  <c r="G8" i="48"/>
  <c r="G13" i="48"/>
  <c r="G37" i="48"/>
  <c r="G26" i="48"/>
  <c r="BJ25" i="48"/>
  <c r="BI25" i="48"/>
  <c r="BH25" i="48"/>
  <c r="BG25" i="48"/>
  <c r="BF25" i="48"/>
  <c r="BE25" i="48"/>
  <c r="BD25" i="48"/>
  <c r="BC25" i="48"/>
  <c r="BB25" i="48"/>
  <c r="BA25" i="48"/>
  <c r="AZ25" i="48"/>
  <c r="AY25" i="48"/>
  <c r="AX25" i="48"/>
  <c r="AW25" i="48"/>
  <c r="AV25" i="48"/>
  <c r="AU25" i="48"/>
  <c r="AT25" i="48"/>
  <c r="AS25" i="48"/>
  <c r="AR25" i="48"/>
  <c r="AQ25" i="48"/>
  <c r="AP25" i="48"/>
  <c r="AO25" i="48"/>
  <c r="AN25" i="48"/>
  <c r="AM25" i="48"/>
  <c r="AL25" i="48"/>
  <c r="AK25" i="48"/>
  <c r="AJ25" i="48"/>
  <c r="AI25" i="48"/>
  <c r="AH25" i="48"/>
  <c r="AG25" i="48"/>
  <c r="AF25" i="48"/>
  <c r="AE25" i="48"/>
  <c r="AD25" i="48"/>
  <c r="AC25" i="48"/>
  <c r="AB25" i="48"/>
  <c r="AA25" i="48"/>
  <c r="Z25" i="48"/>
  <c r="Y25" i="48"/>
  <c r="X25" i="48"/>
  <c r="W25" i="48"/>
  <c r="V25" i="48"/>
  <c r="U25" i="48"/>
  <c r="T25" i="48"/>
  <c r="S25" i="48"/>
  <c r="R25" i="48"/>
  <c r="Q25" i="48"/>
  <c r="P25" i="48"/>
  <c r="O25" i="48"/>
  <c r="N25" i="48"/>
  <c r="M25" i="48"/>
  <c r="L25" i="48"/>
  <c r="K25" i="48"/>
  <c r="J25" i="48"/>
  <c r="I25" i="48"/>
  <c r="H25" i="48"/>
  <c r="G25" i="48"/>
  <c r="B106" i="6"/>
  <c r="B103" i="6"/>
  <c r="B19" i="31"/>
  <c r="B18" i="31"/>
  <c r="B17" i="31"/>
  <c r="B11" i="31"/>
  <c r="B10" i="31"/>
  <c r="B9" i="31"/>
  <c r="B6" i="31"/>
  <c r="B5" i="31"/>
  <c r="K45" i="30"/>
  <c r="K44" i="30"/>
  <c r="K43" i="30"/>
  <c r="K42" i="30"/>
  <c r="K41" i="30"/>
  <c r="K40" i="30"/>
  <c r="K39" i="30"/>
  <c r="K38" i="30"/>
  <c r="K37" i="30"/>
  <c r="K36" i="30"/>
  <c r="K35" i="30"/>
  <c r="K34" i="30"/>
  <c r="J45" i="30"/>
  <c r="J44" i="30"/>
  <c r="J43" i="30"/>
  <c r="J42" i="30"/>
  <c r="J41" i="30"/>
  <c r="J40" i="30"/>
  <c r="J39" i="30"/>
  <c r="J38" i="30"/>
  <c r="J37" i="30"/>
  <c r="J36" i="30"/>
  <c r="J35" i="30"/>
  <c r="J34" i="30"/>
  <c r="I42" i="30"/>
  <c r="B42" i="30"/>
  <c r="B8" i="30"/>
  <c r="B21" i="30"/>
  <c r="B20" i="30"/>
  <c r="B19" i="30"/>
  <c r="B57" i="57"/>
  <c r="P47" i="57"/>
  <c r="O47" i="57"/>
  <c r="N47" i="57"/>
  <c r="M47" i="57"/>
  <c r="L47" i="57"/>
  <c r="K47" i="57"/>
  <c r="J47" i="57"/>
  <c r="I47" i="57"/>
  <c r="Q47" i="57"/>
  <c r="R47" i="57"/>
  <c r="S47" i="57"/>
  <c r="T47" i="57"/>
  <c r="U47" i="57"/>
  <c r="V47" i="57"/>
  <c r="W47" i="57"/>
  <c r="X47" i="57"/>
  <c r="Y47" i="57"/>
  <c r="Z47" i="57"/>
  <c r="AA47" i="57"/>
  <c r="AB47" i="57"/>
  <c r="AC47" i="57"/>
  <c r="AD47" i="57"/>
  <c r="AE47" i="57"/>
  <c r="AF47" i="57"/>
  <c r="AG47" i="57"/>
  <c r="AH47" i="57"/>
  <c r="AI47" i="57"/>
  <c r="AJ47" i="57"/>
  <c r="AK47" i="57"/>
  <c r="AL47" i="57"/>
  <c r="AM47" i="57"/>
  <c r="AN47" i="57"/>
  <c r="AO47" i="57"/>
  <c r="AP47" i="57"/>
  <c r="AQ47" i="57"/>
  <c r="AR47" i="57"/>
  <c r="AS47" i="57"/>
  <c r="AT47" i="57"/>
  <c r="AU47" i="57"/>
  <c r="AV47" i="57"/>
  <c r="AW47" i="57"/>
  <c r="AX47" i="57"/>
  <c r="AY47" i="57"/>
  <c r="AZ47" i="57"/>
  <c r="BA47" i="57"/>
  <c r="BB47" i="57"/>
  <c r="BC47" i="57"/>
  <c r="BD47" i="57"/>
  <c r="BE47" i="57"/>
  <c r="BF47" i="57"/>
  <c r="BG47" i="57"/>
  <c r="BH47" i="57"/>
  <c r="BI47" i="57"/>
  <c r="BJ47" i="57"/>
  <c r="BK47" i="57"/>
  <c r="BL47" i="57"/>
  <c r="H47" i="57"/>
  <c r="B13" i="30"/>
  <c r="B12" i="30"/>
  <c r="K30" i="6"/>
  <c r="G14" i="29"/>
  <c r="G18" i="29"/>
  <c r="L30" i="6"/>
  <c r="H14" i="29"/>
  <c r="H18" i="29"/>
  <c r="H19" i="29"/>
  <c r="H38" i="29"/>
  <c r="H39" i="29"/>
  <c r="G19" i="29"/>
  <c r="G38" i="29"/>
  <c r="G39" i="29"/>
  <c r="H34" i="29"/>
  <c r="G34" i="29"/>
  <c r="L137" i="6"/>
  <c r="H8" i="29"/>
  <c r="H9" i="29"/>
  <c r="H33" i="29"/>
  <c r="G33" i="29"/>
  <c r="A23" i="29"/>
  <c r="C36" i="47"/>
  <c r="C38" i="47"/>
  <c r="D36" i="47"/>
  <c r="D38" i="47"/>
  <c r="E36" i="47"/>
  <c r="E38" i="47"/>
  <c r="C44" i="82" a="1"/>
  <c r="F47" i="82"/>
  <c r="F46" i="82"/>
  <c r="F51" i="82"/>
  <c r="F60" i="82"/>
  <c r="F52" i="82"/>
  <c r="F15" i="48"/>
  <c r="F54" i="48"/>
  <c r="G14" i="48"/>
  <c r="G15" i="48"/>
  <c r="G17" i="48"/>
  <c r="G52" i="48"/>
  <c r="G53" i="48"/>
  <c r="G54" i="48"/>
  <c r="G56" i="48"/>
  <c r="C14" i="48"/>
  <c r="C15" i="48"/>
  <c r="C17" i="48"/>
  <c r="D7" i="48"/>
  <c r="D6" i="48"/>
  <c r="D9" i="48"/>
  <c r="D8" i="48"/>
  <c r="D13" i="48"/>
  <c r="D14" i="48"/>
  <c r="D15" i="48"/>
  <c r="D17" i="48"/>
  <c r="E7" i="48"/>
  <c r="E6" i="48"/>
  <c r="E9" i="48"/>
  <c r="E8" i="48"/>
  <c r="E13" i="48"/>
  <c r="E14" i="48"/>
  <c r="E15" i="48"/>
  <c r="E17" i="48"/>
  <c r="H7" i="48"/>
  <c r="H14" i="48"/>
  <c r="H15" i="48"/>
  <c r="H17" i="48"/>
  <c r="I7" i="48"/>
  <c r="I14" i="48"/>
  <c r="I15" i="48"/>
  <c r="I17" i="48"/>
  <c r="J7" i="48"/>
  <c r="J14" i="48"/>
  <c r="J15" i="48"/>
  <c r="J17" i="48"/>
  <c r="K7" i="48"/>
  <c r="K14" i="48"/>
  <c r="K15" i="48"/>
  <c r="K17" i="48"/>
  <c r="L7" i="48"/>
  <c r="L14" i="48"/>
  <c r="L15" i="48"/>
  <c r="L17" i="48"/>
  <c r="M7" i="48"/>
  <c r="M14" i="48"/>
  <c r="M15" i="48"/>
  <c r="M17" i="48"/>
  <c r="N7" i="48"/>
  <c r="N14" i="48"/>
  <c r="N15" i="48"/>
  <c r="N17" i="48"/>
  <c r="C7" i="48"/>
  <c r="C6" i="48"/>
  <c r="C9" i="48"/>
  <c r="C52" i="48"/>
  <c r="C53" i="48"/>
  <c r="C54" i="48"/>
  <c r="C56" i="48"/>
  <c r="D52" i="48"/>
  <c r="D53" i="48"/>
  <c r="D54" i="48"/>
  <c r="D56" i="48"/>
  <c r="E52" i="48"/>
  <c r="E53" i="48"/>
  <c r="E54" i="48"/>
  <c r="E56" i="48"/>
  <c r="H52" i="48"/>
  <c r="H53" i="48"/>
  <c r="H54" i="48"/>
  <c r="H56" i="48"/>
  <c r="I52" i="48"/>
  <c r="I53" i="48"/>
  <c r="I54" i="48"/>
  <c r="I56" i="48"/>
  <c r="J52" i="48"/>
  <c r="J53" i="48"/>
  <c r="J54" i="48"/>
  <c r="J56" i="48"/>
  <c r="K52" i="48"/>
  <c r="K53" i="48"/>
  <c r="K54" i="48"/>
  <c r="K56" i="48"/>
  <c r="L52" i="48"/>
  <c r="L53" i="48"/>
  <c r="L54" i="48"/>
  <c r="L56" i="48"/>
  <c r="M52" i="48"/>
  <c r="M53" i="48"/>
  <c r="M54" i="48"/>
  <c r="M56" i="48"/>
  <c r="N52" i="48"/>
  <c r="N53" i="48"/>
  <c r="N54" i="48"/>
  <c r="N56" i="48"/>
  <c r="E24" i="51"/>
  <c r="B55" i="46"/>
  <c r="O7" i="48"/>
  <c r="O14" i="48"/>
  <c r="O15" i="48"/>
  <c r="O17" i="48"/>
  <c r="P7" i="48"/>
  <c r="P14" i="48"/>
  <c r="P15" i="48"/>
  <c r="P17" i="48"/>
  <c r="Q7" i="48"/>
  <c r="Q14" i="48"/>
  <c r="Q15" i="48"/>
  <c r="Q17" i="48"/>
  <c r="R7" i="48"/>
  <c r="R14" i="48"/>
  <c r="R15" i="48"/>
  <c r="R17" i="48"/>
  <c r="S7" i="48"/>
  <c r="S14" i="48"/>
  <c r="S15" i="48"/>
  <c r="S17" i="48"/>
  <c r="T7" i="48"/>
  <c r="T14" i="48"/>
  <c r="T15" i="48"/>
  <c r="T17" i="48"/>
  <c r="U7" i="48"/>
  <c r="U14" i="48"/>
  <c r="U15" i="48"/>
  <c r="U17" i="48"/>
  <c r="V7" i="48"/>
  <c r="V14" i="48"/>
  <c r="V15" i="48"/>
  <c r="V17" i="48"/>
  <c r="W7" i="48"/>
  <c r="W14" i="48"/>
  <c r="W15" i="48"/>
  <c r="W17" i="48"/>
  <c r="X7" i="48"/>
  <c r="X14" i="48"/>
  <c r="X15" i="48"/>
  <c r="X17" i="48"/>
  <c r="Y7" i="48"/>
  <c r="Y14" i="48"/>
  <c r="Y15" i="48"/>
  <c r="Y17" i="48"/>
  <c r="Z7" i="48"/>
  <c r="Z14" i="48"/>
  <c r="Z15" i="48"/>
  <c r="Z17" i="48"/>
  <c r="B79" i="46"/>
  <c r="O52" i="48"/>
  <c r="O53" i="48"/>
  <c r="O54" i="48"/>
  <c r="O56" i="48"/>
  <c r="P52" i="48"/>
  <c r="P53" i="48"/>
  <c r="P54" i="48"/>
  <c r="P56" i="48"/>
  <c r="Q52" i="48"/>
  <c r="Q53" i="48"/>
  <c r="Q54" i="48"/>
  <c r="Q56" i="48"/>
  <c r="R52" i="48"/>
  <c r="R53" i="48"/>
  <c r="R54" i="48"/>
  <c r="R56" i="48"/>
  <c r="S52" i="48"/>
  <c r="S53" i="48"/>
  <c r="S54" i="48"/>
  <c r="S56" i="48"/>
  <c r="T52" i="48"/>
  <c r="T53" i="48"/>
  <c r="T54" i="48"/>
  <c r="T56" i="48"/>
  <c r="U52" i="48"/>
  <c r="U53" i="48"/>
  <c r="U54" i="48"/>
  <c r="U56" i="48"/>
  <c r="V52" i="48"/>
  <c r="V53" i="48"/>
  <c r="V54" i="48"/>
  <c r="V56" i="48"/>
  <c r="W52" i="48"/>
  <c r="W53" i="48"/>
  <c r="W54" i="48"/>
  <c r="W56" i="48"/>
  <c r="X52" i="48"/>
  <c r="X53" i="48"/>
  <c r="X54" i="48"/>
  <c r="X56" i="48"/>
  <c r="Y52" i="48"/>
  <c r="Y53" i="48"/>
  <c r="Y54" i="48"/>
  <c r="Y56" i="48"/>
  <c r="Z52" i="48"/>
  <c r="Z53" i="48"/>
  <c r="Z54" i="48"/>
  <c r="Z56" i="48"/>
  <c r="F24" i="51"/>
  <c r="B105" i="46"/>
  <c r="AA7" i="48"/>
  <c r="AA14" i="48"/>
  <c r="AA15" i="48"/>
  <c r="AA17" i="48"/>
  <c r="AB7" i="48"/>
  <c r="AB14" i="48"/>
  <c r="AB15" i="48"/>
  <c r="AB17" i="48"/>
  <c r="AC7" i="48"/>
  <c r="AC14" i="48"/>
  <c r="AC15" i="48"/>
  <c r="AC17" i="48"/>
  <c r="AD7" i="48"/>
  <c r="AD14" i="48"/>
  <c r="AD15" i="48"/>
  <c r="AD17" i="48"/>
  <c r="AE7" i="48"/>
  <c r="AE14" i="48"/>
  <c r="AE15" i="48"/>
  <c r="AE17" i="48"/>
  <c r="AF7" i="48"/>
  <c r="AF14" i="48"/>
  <c r="AF15" i="48"/>
  <c r="AF17" i="48"/>
  <c r="AG7" i="48"/>
  <c r="AG14" i="48"/>
  <c r="AG15" i="48"/>
  <c r="AG17" i="48"/>
  <c r="AH7" i="48"/>
  <c r="AH14" i="48"/>
  <c r="AH15" i="48"/>
  <c r="AH17" i="48"/>
  <c r="AI7" i="48"/>
  <c r="AI14" i="48"/>
  <c r="AI15" i="48"/>
  <c r="AI17" i="48"/>
  <c r="AJ7" i="48"/>
  <c r="AJ14" i="48"/>
  <c r="AJ15" i="48"/>
  <c r="AJ17" i="48"/>
  <c r="AK7" i="48"/>
  <c r="AK14" i="48"/>
  <c r="AK15" i="48"/>
  <c r="AK17" i="48"/>
  <c r="AL7" i="48"/>
  <c r="AL14" i="48"/>
  <c r="AL15" i="48"/>
  <c r="AL17" i="48"/>
  <c r="B129" i="46"/>
  <c r="AA52" i="48"/>
  <c r="AA53" i="48"/>
  <c r="AA54" i="48"/>
  <c r="AA56" i="48"/>
  <c r="AB52" i="48"/>
  <c r="AB53" i="48"/>
  <c r="AB54" i="48"/>
  <c r="AB56" i="48"/>
  <c r="AC52" i="48"/>
  <c r="AC53" i="48"/>
  <c r="AC54" i="48"/>
  <c r="AC56" i="48"/>
  <c r="AD52" i="48"/>
  <c r="AD53" i="48"/>
  <c r="AD54" i="48"/>
  <c r="AD56" i="48"/>
  <c r="AE52" i="48"/>
  <c r="AE53" i="48"/>
  <c r="AE54" i="48"/>
  <c r="AE56" i="48"/>
  <c r="AF52" i="48"/>
  <c r="AF53" i="48"/>
  <c r="AF54" i="48"/>
  <c r="AF56" i="48"/>
  <c r="AG52" i="48"/>
  <c r="AG53" i="48"/>
  <c r="AG54" i="48"/>
  <c r="AG56" i="48"/>
  <c r="AH52" i="48"/>
  <c r="AH53" i="48"/>
  <c r="AH54" i="48"/>
  <c r="AH56" i="48"/>
  <c r="AI52" i="48"/>
  <c r="AI53" i="48"/>
  <c r="AI54" i="48"/>
  <c r="AI56" i="48"/>
  <c r="AJ52" i="48"/>
  <c r="AJ53" i="48"/>
  <c r="AJ54" i="48"/>
  <c r="AJ56" i="48"/>
  <c r="AK52" i="48"/>
  <c r="AK53" i="48"/>
  <c r="AK54" i="48"/>
  <c r="AK56" i="48"/>
  <c r="AL52" i="48"/>
  <c r="AL53" i="48"/>
  <c r="AL54" i="48"/>
  <c r="AL56" i="48"/>
  <c r="G24" i="51"/>
  <c r="B155" i="46"/>
  <c r="AM14" i="48"/>
  <c r="AM15" i="48"/>
  <c r="AM17" i="48"/>
  <c r="AN14" i="48"/>
  <c r="AN15" i="48"/>
  <c r="AN17" i="48"/>
  <c r="AO14" i="48"/>
  <c r="AO15" i="48"/>
  <c r="AO17" i="48"/>
  <c r="AP14" i="48"/>
  <c r="AP15" i="48"/>
  <c r="AP17" i="48"/>
  <c r="AQ14" i="48"/>
  <c r="AQ15" i="48"/>
  <c r="AQ17" i="48"/>
  <c r="AR14" i="48"/>
  <c r="AR15" i="48"/>
  <c r="AR17" i="48"/>
  <c r="AS14" i="48"/>
  <c r="AS15" i="48"/>
  <c r="AS17" i="48"/>
  <c r="AT14" i="48"/>
  <c r="AT15" i="48"/>
  <c r="AT17" i="48"/>
  <c r="AU14" i="48"/>
  <c r="AU15" i="48"/>
  <c r="AU17" i="48"/>
  <c r="AV14" i="48"/>
  <c r="AV15" i="48"/>
  <c r="AV17" i="48"/>
  <c r="AW14" i="48"/>
  <c r="AW15" i="48"/>
  <c r="AW17" i="48"/>
  <c r="AX14" i="48"/>
  <c r="AX15" i="48"/>
  <c r="AX17" i="48"/>
  <c r="B179" i="46"/>
  <c r="AM7" i="48"/>
  <c r="AM6" i="48" a="1"/>
  <c r="AM6" i="48"/>
  <c r="AM9" i="48"/>
  <c r="AM52" i="48"/>
  <c r="AM53" i="48"/>
  <c r="AM54" i="48"/>
  <c r="AM56" i="48"/>
  <c r="AN7" i="48"/>
  <c r="AN9" i="48"/>
  <c r="AN52" i="48"/>
  <c r="AN53" i="48"/>
  <c r="AN54" i="48"/>
  <c r="AN56" i="48"/>
  <c r="AO7" i="48"/>
  <c r="AO9" i="48"/>
  <c r="AO52" i="48"/>
  <c r="AO53" i="48"/>
  <c r="AO54" i="48"/>
  <c r="AO56" i="48"/>
  <c r="AP7" i="48"/>
  <c r="AP9" i="48"/>
  <c r="AP52" i="48"/>
  <c r="AP53" i="48"/>
  <c r="AP54" i="48"/>
  <c r="AP56" i="48"/>
  <c r="AQ7" i="48"/>
  <c r="AQ9" i="48"/>
  <c r="AQ52" i="48"/>
  <c r="AQ53" i="48"/>
  <c r="AQ54" i="48"/>
  <c r="AQ56" i="48"/>
  <c r="AR7" i="48"/>
  <c r="AR9" i="48"/>
  <c r="AR52" i="48"/>
  <c r="AR53" i="48"/>
  <c r="AR54" i="48"/>
  <c r="AR56" i="48"/>
  <c r="AS7" i="48"/>
  <c r="AS9" i="48"/>
  <c r="AS52" i="48"/>
  <c r="AS53" i="48"/>
  <c r="AS54" i="48"/>
  <c r="AS56" i="48"/>
  <c r="AT7" i="48"/>
  <c r="AT9" i="48"/>
  <c r="AT52" i="48"/>
  <c r="AT53" i="48"/>
  <c r="AT54" i="48"/>
  <c r="AT56" i="48"/>
  <c r="AU7" i="48"/>
  <c r="AU9" i="48"/>
  <c r="AU52" i="48"/>
  <c r="AU53" i="48"/>
  <c r="AU54" i="48"/>
  <c r="AU56" i="48"/>
  <c r="AV7" i="48"/>
  <c r="AV9" i="48"/>
  <c r="AV52" i="48"/>
  <c r="AV53" i="48"/>
  <c r="AV54" i="48"/>
  <c r="AV56" i="48"/>
  <c r="AW7" i="48"/>
  <c r="AW9" i="48"/>
  <c r="AW52" i="48"/>
  <c r="AW53" i="48"/>
  <c r="AW54" i="48"/>
  <c r="AW56" i="48"/>
  <c r="AX7" i="48"/>
  <c r="AX9" i="48"/>
  <c r="AX52" i="48"/>
  <c r="AX53" i="48"/>
  <c r="AX54" i="48"/>
  <c r="AX56" i="48"/>
  <c r="H24" i="51"/>
  <c r="B205" i="46"/>
  <c r="AY14" i="48"/>
  <c r="AY15" i="48"/>
  <c r="AY17" i="48"/>
  <c r="AZ14" i="48"/>
  <c r="AZ15" i="48"/>
  <c r="AZ17" i="48"/>
  <c r="BA14" i="48"/>
  <c r="BA15" i="48"/>
  <c r="BA17" i="48"/>
  <c r="BB14" i="48"/>
  <c r="BB15" i="48"/>
  <c r="BB17" i="48"/>
  <c r="BC14" i="48"/>
  <c r="BC15" i="48"/>
  <c r="BC17" i="48"/>
  <c r="BD14" i="48"/>
  <c r="BD15" i="48"/>
  <c r="BD17" i="48"/>
  <c r="BE14" i="48"/>
  <c r="BE15" i="48"/>
  <c r="BE17" i="48"/>
  <c r="BF14" i="48"/>
  <c r="BF15" i="48"/>
  <c r="BF17" i="48"/>
  <c r="BG14" i="48"/>
  <c r="BG15" i="48"/>
  <c r="BG17" i="48"/>
  <c r="BH14" i="48"/>
  <c r="BH15" i="48"/>
  <c r="BH17" i="48"/>
  <c r="BI14" i="48"/>
  <c r="BI15" i="48"/>
  <c r="BI17" i="48"/>
  <c r="BJ14" i="48"/>
  <c r="BJ15" i="48"/>
  <c r="BJ17" i="48"/>
  <c r="AY7" i="48"/>
  <c r="AY6" i="48" a="1"/>
  <c r="AY6" i="48"/>
  <c r="AY9" i="48"/>
  <c r="AY52" i="48"/>
  <c r="AY53" i="48"/>
  <c r="AY54" i="48"/>
  <c r="AY56" i="48"/>
  <c r="AZ7" i="48"/>
  <c r="AZ9" i="48"/>
  <c r="AZ52" i="48"/>
  <c r="AZ53" i="48"/>
  <c r="AZ54" i="48"/>
  <c r="AZ56" i="48"/>
  <c r="BA7" i="48"/>
  <c r="BA9" i="48"/>
  <c r="BA52" i="48"/>
  <c r="BA53" i="48"/>
  <c r="BA54" i="48"/>
  <c r="BA56" i="48"/>
  <c r="BB7" i="48"/>
  <c r="BB9" i="48"/>
  <c r="BB52" i="48"/>
  <c r="BB53" i="48"/>
  <c r="BB54" i="48"/>
  <c r="BB56" i="48"/>
  <c r="BC7" i="48"/>
  <c r="BC9" i="48"/>
  <c r="BC52" i="48"/>
  <c r="BC53" i="48"/>
  <c r="BC54" i="48"/>
  <c r="BC56" i="48"/>
  <c r="BD7" i="48"/>
  <c r="BD9" i="48"/>
  <c r="BD52" i="48"/>
  <c r="BD53" i="48"/>
  <c r="BD54" i="48"/>
  <c r="BD56" i="48"/>
  <c r="BE7" i="48"/>
  <c r="BE9" i="48"/>
  <c r="BE52" i="48"/>
  <c r="BE53" i="48"/>
  <c r="BE54" i="48"/>
  <c r="BE56" i="48"/>
  <c r="BF7" i="48"/>
  <c r="BF9" i="48"/>
  <c r="BF52" i="48"/>
  <c r="BF53" i="48"/>
  <c r="BF54" i="48"/>
  <c r="BF56" i="48"/>
  <c r="BG7" i="48"/>
  <c r="BG9" i="48"/>
  <c r="BG52" i="48"/>
  <c r="BG53" i="48"/>
  <c r="BG54" i="48"/>
  <c r="BG56" i="48"/>
  <c r="BH7" i="48"/>
  <c r="BH9" i="48"/>
  <c r="BH52" i="48"/>
  <c r="BH53" i="48"/>
  <c r="BH54" i="48"/>
  <c r="BH56" i="48"/>
  <c r="BI7" i="48"/>
  <c r="BI9" i="48"/>
  <c r="BI52" i="48"/>
  <c r="BI53" i="48"/>
  <c r="BI54" i="48"/>
  <c r="BI56" i="48"/>
  <c r="BJ7" i="48"/>
  <c r="BJ9" i="48"/>
  <c r="BJ52" i="48"/>
  <c r="BJ53" i="48"/>
  <c r="BJ54" i="48"/>
  <c r="BJ56" i="48"/>
  <c r="I24" i="51"/>
  <c r="J24" i="51"/>
  <c r="BK17" i="48"/>
  <c r="BK56" i="48"/>
  <c r="K24" i="51"/>
  <c r="C61" i="48"/>
  <c r="C62" i="48"/>
  <c r="C63" i="48"/>
  <c r="E40" i="46"/>
  <c r="C64" i="48"/>
  <c r="E49" i="46"/>
  <c r="C65" i="48"/>
  <c r="C67" i="48"/>
  <c r="E15" i="46"/>
  <c r="E24" i="46"/>
  <c r="G21" i="48"/>
  <c r="G22" i="48"/>
  <c r="G23" i="48"/>
  <c r="G24" i="48"/>
  <c r="G28" i="48"/>
  <c r="G60" i="48"/>
  <c r="G61" i="48"/>
  <c r="G62" i="48"/>
  <c r="G63" i="48"/>
  <c r="G64" i="48"/>
  <c r="G65" i="48"/>
  <c r="G67" i="48"/>
  <c r="C8" i="48"/>
  <c r="C13" i="48"/>
  <c r="C21" i="48"/>
  <c r="C22" i="48"/>
  <c r="C23" i="48"/>
  <c r="C24" i="48"/>
  <c r="C25" i="48"/>
  <c r="C26" i="48"/>
  <c r="C28" i="48"/>
  <c r="D21" i="48"/>
  <c r="D22" i="48"/>
  <c r="D23" i="48"/>
  <c r="D24" i="48"/>
  <c r="D25" i="48"/>
  <c r="D26" i="48"/>
  <c r="D28" i="48"/>
  <c r="E21" i="48"/>
  <c r="E22" i="48"/>
  <c r="E23" i="48"/>
  <c r="E24" i="48"/>
  <c r="E25" i="48"/>
  <c r="E26" i="48"/>
  <c r="E28" i="48"/>
  <c r="H21" i="48"/>
  <c r="H22" i="48"/>
  <c r="H23" i="48"/>
  <c r="H24" i="48"/>
  <c r="H28" i="48"/>
  <c r="I21" i="48"/>
  <c r="I22" i="48"/>
  <c r="I23" i="48"/>
  <c r="I24" i="48"/>
  <c r="I28" i="48"/>
  <c r="J21" i="48"/>
  <c r="J22" i="48"/>
  <c r="J23" i="48"/>
  <c r="J24" i="48"/>
  <c r="J28" i="48"/>
  <c r="K21" i="48"/>
  <c r="K22" i="48"/>
  <c r="K23" i="48"/>
  <c r="K24" i="48"/>
  <c r="K28" i="48"/>
  <c r="L21" i="48"/>
  <c r="L22" i="48"/>
  <c r="L23" i="48"/>
  <c r="L24" i="48"/>
  <c r="L28" i="48"/>
  <c r="M21" i="48"/>
  <c r="M22" i="48"/>
  <c r="M23" i="48"/>
  <c r="M24" i="48"/>
  <c r="M28" i="48"/>
  <c r="N21" i="48"/>
  <c r="N22" i="48"/>
  <c r="N23" i="48"/>
  <c r="N24" i="48"/>
  <c r="N28" i="48"/>
  <c r="D60" i="48"/>
  <c r="D61" i="48"/>
  <c r="D62" i="48"/>
  <c r="D63" i="48"/>
  <c r="D64" i="48"/>
  <c r="D65" i="48"/>
  <c r="D67" i="48"/>
  <c r="E60" i="48"/>
  <c r="E61" i="48"/>
  <c r="E62" i="48"/>
  <c r="E63" i="48"/>
  <c r="E64" i="48"/>
  <c r="E65" i="48"/>
  <c r="E67" i="48"/>
  <c r="H60" i="48"/>
  <c r="H61" i="48"/>
  <c r="H62" i="48"/>
  <c r="H63" i="48"/>
  <c r="H64" i="48"/>
  <c r="H65" i="48"/>
  <c r="H67" i="48"/>
  <c r="I60" i="48"/>
  <c r="I61" i="48"/>
  <c r="I62" i="48"/>
  <c r="I63" i="48"/>
  <c r="I64" i="48"/>
  <c r="I65" i="48"/>
  <c r="I67" i="48"/>
  <c r="J60" i="48"/>
  <c r="J61" i="48"/>
  <c r="J62" i="48"/>
  <c r="J63" i="48"/>
  <c r="J64" i="48"/>
  <c r="J65" i="48"/>
  <c r="J67" i="48"/>
  <c r="K60" i="48"/>
  <c r="K61" i="48"/>
  <c r="K62" i="48"/>
  <c r="K63" i="48"/>
  <c r="K64" i="48"/>
  <c r="K65" i="48"/>
  <c r="K67" i="48"/>
  <c r="L60" i="48"/>
  <c r="L61" i="48"/>
  <c r="L62" i="48"/>
  <c r="L63" i="48"/>
  <c r="L64" i="48"/>
  <c r="L65" i="48"/>
  <c r="L67" i="48"/>
  <c r="M60" i="48"/>
  <c r="M61" i="48"/>
  <c r="M62" i="48"/>
  <c r="M63" i="48"/>
  <c r="M64" i="48"/>
  <c r="M65" i="48"/>
  <c r="M67" i="48"/>
  <c r="N60" i="48"/>
  <c r="N61" i="48"/>
  <c r="N62" i="48"/>
  <c r="N63" i="48"/>
  <c r="N64" i="48"/>
  <c r="N65" i="48"/>
  <c r="N67" i="48"/>
  <c r="E33" i="51"/>
  <c r="E31" i="51"/>
  <c r="E30" i="51"/>
  <c r="E32" i="51"/>
  <c r="E29" i="51"/>
  <c r="E28" i="51"/>
  <c r="E27" i="51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AP65" i="48"/>
  <c r="AQ65" i="48"/>
  <c r="AR65" i="48"/>
  <c r="AS65" i="48"/>
  <c r="AT65" i="48"/>
  <c r="AU65" i="48"/>
  <c r="AV65" i="48"/>
  <c r="AW65" i="48"/>
  <c r="AX65" i="48"/>
  <c r="AY65" i="48"/>
  <c r="AZ65" i="48"/>
  <c r="BA65" i="48"/>
  <c r="BB65" i="48"/>
  <c r="BC65" i="48"/>
  <c r="BD65" i="48"/>
  <c r="BE65" i="48"/>
  <c r="BF65" i="48"/>
  <c r="BG65" i="48"/>
  <c r="BH65" i="48"/>
  <c r="BI65" i="48"/>
  <c r="BJ65" i="48"/>
  <c r="BK65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AP64" i="48"/>
  <c r="AQ64" i="48"/>
  <c r="AR64" i="48"/>
  <c r="AS64" i="48"/>
  <c r="AT64" i="48"/>
  <c r="AU64" i="48"/>
  <c r="AV64" i="48"/>
  <c r="AW64" i="48"/>
  <c r="AX64" i="48"/>
  <c r="AY64" i="48"/>
  <c r="AZ64" i="48"/>
  <c r="BA64" i="48"/>
  <c r="BB64" i="48"/>
  <c r="BC64" i="48"/>
  <c r="BD64" i="48"/>
  <c r="BE64" i="48"/>
  <c r="BF64" i="48"/>
  <c r="BG64" i="48"/>
  <c r="BH64" i="48"/>
  <c r="BI64" i="48"/>
  <c r="BJ64" i="48"/>
  <c r="BK64" i="48"/>
  <c r="A76" i="48"/>
  <c r="A84" i="48"/>
  <c r="A75" i="48"/>
  <c r="A78" i="48"/>
  <c r="A37" i="48"/>
  <c r="A45" i="48"/>
  <c r="A36" i="48"/>
  <c r="A39" i="48"/>
  <c r="BK26" i="48"/>
  <c r="BK25" i="48"/>
  <c r="BK14" i="48"/>
  <c r="E55" i="46"/>
  <c r="O21" i="48"/>
  <c r="P21" i="48"/>
  <c r="Q21" i="48"/>
  <c r="R21" i="48"/>
  <c r="S21" i="48"/>
  <c r="T21" i="48"/>
  <c r="U21" i="48"/>
  <c r="V21" i="48"/>
  <c r="W21" i="48"/>
  <c r="X21" i="48"/>
  <c r="Y21" i="48"/>
  <c r="Z21" i="48"/>
  <c r="E105" i="46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E155" i="46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E205" i="46"/>
  <c r="AY21" i="48"/>
  <c r="AZ21" i="48"/>
  <c r="BA21" i="48"/>
  <c r="BB21" i="48"/>
  <c r="BC21" i="48"/>
  <c r="BD21" i="48"/>
  <c r="BE21" i="48"/>
  <c r="BF21" i="48"/>
  <c r="BG21" i="48"/>
  <c r="BH21" i="48"/>
  <c r="BI21" i="48"/>
  <c r="BJ21" i="48"/>
  <c r="BK21" i="48"/>
  <c r="E56" i="46"/>
  <c r="O22" i="48"/>
  <c r="E57" i="46"/>
  <c r="O23" i="48"/>
  <c r="E58" i="46"/>
  <c r="O24" i="48"/>
  <c r="O28" i="48"/>
  <c r="P22" i="48"/>
  <c r="P23" i="48"/>
  <c r="P24" i="48"/>
  <c r="P28" i="48"/>
  <c r="Q22" i="48"/>
  <c r="Q23" i="48"/>
  <c r="Q24" i="48"/>
  <c r="Q28" i="48"/>
  <c r="R22" i="48"/>
  <c r="R23" i="48"/>
  <c r="R24" i="48"/>
  <c r="R28" i="48"/>
  <c r="S22" i="48"/>
  <c r="S23" i="48"/>
  <c r="S24" i="48"/>
  <c r="S28" i="48"/>
  <c r="T22" i="48"/>
  <c r="T23" i="48"/>
  <c r="T24" i="48"/>
  <c r="T28" i="48"/>
  <c r="U22" i="48"/>
  <c r="U23" i="48"/>
  <c r="U24" i="48"/>
  <c r="U28" i="48"/>
  <c r="V22" i="48"/>
  <c r="V23" i="48"/>
  <c r="V24" i="48"/>
  <c r="V28" i="48"/>
  <c r="W22" i="48"/>
  <c r="W23" i="48"/>
  <c r="W24" i="48"/>
  <c r="W28" i="48"/>
  <c r="X22" i="48"/>
  <c r="X23" i="48"/>
  <c r="X24" i="48"/>
  <c r="X28" i="48"/>
  <c r="Y22" i="48"/>
  <c r="Y23" i="48"/>
  <c r="Y24" i="48"/>
  <c r="Y28" i="48"/>
  <c r="Z22" i="48"/>
  <c r="Z23" i="48"/>
  <c r="Z24" i="48"/>
  <c r="Z28" i="48"/>
  <c r="E106" i="46"/>
  <c r="AA22" i="48"/>
  <c r="E107" i="46"/>
  <c r="AA23" i="48"/>
  <c r="E108" i="46"/>
  <c r="AA24" i="48"/>
  <c r="AA28" i="48"/>
  <c r="AB22" i="48"/>
  <c r="AB23" i="48"/>
  <c r="AB24" i="48"/>
  <c r="AB28" i="48"/>
  <c r="AC22" i="48"/>
  <c r="AC23" i="48"/>
  <c r="AC24" i="48"/>
  <c r="AC28" i="48"/>
  <c r="AD22" i="48"/>
  <c r="AD23" i="48"/>
  <c r="AD24" i="48"/>
  <c r="AD28" i="48"/>
  <c r="AE22" i="48"/>
  <c r="AE23" i="48"/>
  <c r="AE24" i="48"/>
  <c r="AE28" i="48"/>
  <c r="AF22" i="48"/>
  <c r="AF23" i="48"/>
  <c r="AF24" i="48"/>
  <c r="AF28" i="48"/>
  <c r="AG22" i="48"/>
  <c r="AG23" i="48"/>
  <c r="AG24" i="48"/>
  <c r="AG28" i="48"/>
  <c r="AH22" i="48"/>
  <c r="AH23" i="48"/>
  <c r="AH24" i="48"/>
  <c r="AH28" i="48"/>
  <c r="AI22" i="48"/>
  <c r="AI23" i="48"/>
  <c r="AI24" i="48"/>
  <c r="AI28" i="48"/>
  <c r="AJ22" i="48"/>
  <c r="AJ23" i="48"/>
  <c r="AJ24" i="48"/>
  <c r="AJ28" i="48"/>
  <c r="AK22" i="48"/>
  <c r="AK23" i="48"/>
  <c r="AK24" i="48"/>
  <c r="AK28" i="48"/>
  <c r="AL22" i="48"/>
  <c r="AL23" i="48"/>
  <c r="AL24" i="48"/>
  <c r="AL28" i="48"/>
  <c r="E156" i="46"/>
  <c r="AM22" i="48"/>
  <c r="E157" i="46"/>
  <c r="AM23" i="48"/>
  <c r="E158" i="46"/>
  <c r="AM24" i="48"/>
  <c r="AM28" i="48"/>
  <c r="AN22" i="48"/>
  <c r="AN23" i="48"/>
  <c r="AN24" i="48"/>
  <c r="AN28" i="48"/>
  <c r="AO22" i="48"/>
  <c r="AO23" i="48"/>
  <c r="AO24" i="48"/>
  <c r="AO28" i="48"/>
  <c r="AP22" i="48"/>
  <c r="AP23" i="48"/>
  <c r="AP24" i="48"/>
  <c r="AP28" i="48"/>
  <c r="AQ22" i="48"/>
  <c r="AQ23" i="48"/>
  <c r="AQ24" i="48"/>
  <c r="AQ28" i="48"/>
  <c r="AR22" i="48"/>
  <c r="AR23" i="48"/>
  <c r="AR24" i="48"/>
  <c r="AR28" i="48"/>
  <c r="AS22" i="48"/>
  <c r="AS23" i="48"/>
  <c r="AS24" i="48"/>
  <c r="AS28" i="48"/>
  <c r="AT22" i="48"/>
  <c r="AT23" i="48"/>
  <c r="AT24" i="48"/>
  <c r="AT28" i="48"/>
  <c r="AU22" i="48"/>
  <c r="AU23" i="48"/>
  <c r="AU24" i="48"/>
  <c r="AU28" i="48"/>
  <c r="AV22" i="48"/>
  <c r="AV23" i="48"/>
  <c r="AV24" i="48"/>
  <c r="AV28" i="48"/>
  <c r="AW22" i="48"/>
  <c r="AW23" i="48"/>
  <c r="AW24" i="48"/>
  <c r="AW28" i="48"/>
  <c r="AX22" i="48"/>
  <c r="AX23" i="48"/>
  <c r="AX24" i="48"/>
  <c r="AX28" i="48"/>
  <c r="E206" i="46"/>
  <c r="AY22" i="48"/>
  <c r="E207" i="46"/>
  <c r="AY23" i="48"/>
  <c r="E208" i="46"/>
  <c r="AY24" i="48"/>
  <c r="AY28" i="48"/>
  <c r="AZ22" i="48"/>
  <c r="AZ23" i="48"/>
  <c r="AZ24" i="48"/>
  <c r="AZ28" i="48"/>
  <c r="BA22" i="48"/>
  <c r="BA23" i="48"/>
  <c r="BA24" i="48"/>
  <c r="BA28" i="48"/>
  <c r="BB22" i="48"/>
  <c r="BB23" i="48"/>
  <c r="BB24" i="48"/>
  <c r="BB28" i="48"/>
  <c r="BC22" i="48"/>
  <c r="BC23" i="48"/>
  <c r="BC24" i="48"/>
  <c r="BC28" i="48"/>
  <c r="BD22" i="48"/>
  <c r="BD23" i="48"/>
  <c r="BD24" i="48"/>
  <c r="BD28" i="48"/>
  <c r="BE22" i="48"/>
  <c r="BE23" i="48"/>
  <c r="BE24" i="48"/>
  <c r="BE28" i="48"/>
  <c r="BF22" i="48"/>
  <c r="BF23" i="48"/>
  <c r="BF24" i="48"/>
  <c r="BF28" i="48"/>
  <c r="BG22" i="48"/>
  <c r="BG23" i="48"/>
  <c r="BG24" i="48"/>
  <c r="BG28" i="48"/>
  <c r="BH22" i="48"/>
  <c r="BH23" i="48"/>
  <c r="BH24" i="48"/>
  <c r="BH28" i="48"/>
  <c r="BI22" i="48"/>
  <c r="BI23" i="48"/>
  <c r="BI24" i="48"/>
  <c r="BI28" i="48"/>
  <c r="BJ22" i="48"/>
  <c r="BJ23" i="48"/>
  <c r="BJ24" i="48"/>
  <c r="BJ28" i="48"/>
  <c r="BK28" i="48"/>
  <c r="B11" i="47"/>
  <c r="C35" i="48"/>
  <c r="C37" i="48"/>
  <c r="D78" i="49"/>
  <c r="R78" i="49"/>
  <c r="O35" i="48"/>
  <c r="D90" i="49"/>
  <c r="R90" i="49"/>
  <c r="R139" i="49"/>
  <c r="R140" i="49"/>
  <c r="R141" i="49"/>
  <c r="O47" i="48"/>
  <c r="O86" i="48"/>
  <c r="Q126" i="59"/>
  <c r="B70" i="46"/>
  <c r="O46" i="48"/>
  <c r="O74" i="48"/>
  <c r="O76" i="48"/>
  <c r="B95" i="46"/>
  <c r="O85" i="48"/>
  <c r="Q125" i="59"/>
  <c r="Q127" i="59"/>
  <c r="C36" i="48"/>
  <c r="D5" i="49"/>
  <c r="R5" i="49"/>
  <c r="O36" i="48"/>
  <c r="D17" i="49"/>
  <c r="R17" i="49"/>
  <c r="R66" i="49"/>
  <c r="D64" i="46"/>
  <c r="R67" i="49"/>
  <c r="R68" i="49"/>
  <c r="O43" i="48"/>
  <c r="O82" i="48"/>
  <c r="Q121" i="59"/>
  <c r="O40" i="48"/>
  <c r="O41" i="48"/>
  <c r="O42" i="48"/>
  <c r="O75" i="48"/>
  <c r="O79" i="48"/>
  <c r="O80" i="48"/>
  <c r="O81" i="48"/>
  <c r="Q120" i="59"/>
  <c r="Q122" i="59"/>
  <c r="O30" i="48"/>
  <c r="E79" i="46"/>
  <c r="O60" i="48"/>
  <c r="E80" i="46"/>
  <c r="O61" i="48"/>
  <c r="E81" i="46"/>
  <c r="O62" i="48"/>
  <c r="E82" i="46"/>
  <c r="O63" i="48"/>
  <c r="O67" i="48"/>
  <c r="O69" i="48"/>
  <c r="Q116" i="59"/>
  <c r="Q129" i="59"/>
  <c r="O95" i="48"/>
  <c r="R49" i="68"/>
  <c r="R50" i="68"/>
  <c r="R74" i="68"/>
  <c r="T193" i="6"/>
  <c r="R72" i="68"/>
  <c r="T175" i="6"/>
  <c r="R71" i="68"/>
  <c r="T166" i="6"/>
  <c r="R73" i="68"/>
  <c r="T184" i="6"/>
  <c r="T209" i="6"/>
  <c r="T164" i="6"/>
  <c r="T165" i="6"/>
  <c r="T208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C103" i="6"/>
  <c r="T439" i="6"/>
  <c r="T441" i="6"/>
  <c r="C106" i="6"/>
  <c r="T448" i="6"/>
  <c r="T450" i="6"/>
  <c r="T529" i="6"/>
  <c r="T531" i="6"/>
  <c r="T540" i="6"/>
  <c r="T541" i="6"/>
  <c r="T542" i="6"/>
  <c r="T544" i="6"/>
  <c r="T545" i="6"/>
  <c r="T284" i="6"/>
  <c r="T285" i="6"/>
  <c r="T289" i="6"/>
  <c r="Q164" i="59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439" i="6"/>
  <c r="I441" i="6"/>
  <c r="I448" i="6"/>
  <c r="I450" i="6"/>
  <c r="I529" i="6"/>
  <c r="I531" i="6"/>
  <c r="T549" i="6"/>
  <c r="Q166" i="59"/>
  <c r="T227" i="6"/>
  <c r="T292" i="6"/>
  <c r="T375" i="6"/>
  <c r="T548" i="6"/>
  <c r="Q165" i="59"/>
  <c r="Q167" i="59"/>
  <c r="Q150" i="59"/>
  <c r="Q152" i="59"/>
  <c r="Q153" i="59"/>
  <c r="Q154" i="59"/>
  <c r="Q169" i="59"/>
  <c r="J13" i="30"/>
  <c r="J12" i="30"/>
  <c r="J14" i="30"/>
  <c r="J8" i="30"/>
  <c r="K31" i="6"/>
  <c r="G23" i="29"/>
  <c r="G27" i="29"/>
  <c r="L31" i="6"/>
  <c r="H23" i="29"/>
  <c r="L139" i="6"/>
  <c r="H26" i="29"/>
  <c r="H27" i="29"/>
  <c r="H28" i="29"/>
  <c r="H47" i="29"/>
  <c r="H48" i="29"/>
  <c r="J7" i="30"/>
  <c r="J9" i="30"/>
  <c r="J19" i="30"/>
  <c r="J21" i="30"/>
  <c r="J20" i="30"/>
  <c r="J24" i="30"/>
  <c r="J25" i="30"/>
  <c r="J26" i="30"/>
  <c r="J29" i="30"/>
  <c r="J30" i="30"/>
  <c r="J33" i="30"/>
  <c r="J47" i="30"/>
  <c r="J49" i="30"/>
  <c r="J51" i="30"/>
  <c r="D12" i="33"/>
  <c r="J12" i="33"/>
  <c r="K12" i="33"/>
  <c r="L12" i="33"/>
  <c r="M12" i="33"/>
  <c r="N12" i="33"/>
  <c r="O12" i="33"/>
  <c r="P12" i="33"/>
  <c r="Q12" i="33"/>
  <c r="R12" i="33"/>
  <c r="I8" i="30"/>
  <c r="G28" i="29"/>
  <c r="G47" i="29"/>
  <c r="G48" i="29"/>
  <c r="I7" i="30"/>
  <c r="I9" i="30"/>
  <c r="I19" i="30"/>
  <c r="I37" i="30"/>
  <c r="I20" i="30"/>
  <c r="I21" i="30"/>
  <c r="I24" i="30"/>
  <c r="I25" i="30"/>
  <c r="I26" i="30"/>
  <c r="I29" i="30"/>
  <c r="I30" i="30"/>
  <c r="I33" i="30"/>
  <c r="I34" i="30"/>
  <c r="I35" i="30"/>
  <c r="I36" i="30"/>
  <c r="I38" i="30"/>
  <c r="I39" i="30"/>
  <c r="I40" i="30"/>
  <c r="H102" i="57"/>
  <c r="I41" i="30"/>
  <c r="I43" i="30"/>
  <c r="I44" i="30"/>
  <c r="I45" i="30"/>
  <c r="I47" i="30"/>
  <c r="I49" i="30"/>
  <c r="I12" i="30"/>
  <c r="I13" i="30"/>
  <c r="I14" i="30"/>
  <c r="I51" i="30"/>
  <c r="D11" i="33"/>
  <c r="I11" i="33"/>
  <c r="J11" i="33"/>
  <c r="K11" i="33"/>
  <c r="L11" i="33"/>
  <c r="M11" i="33"/>
  <c r="N11" i="33"/>
  <c r="O11" i="33"/>
  <c r="P11" i="33"/>
  <c r="Q11" i="33"/>
  <c r="R11" i="33"/>
  <c r="M52" i="6"/>
  <c r="I15" i="29"/>
  <c r="I18" i="29"/>
  <c r="I19" i="29"/>
  <c r="I38" i="29"/>
  <c r="I39" i="29"/>
  <c r="K8" i="30"/>
  <c r="M53" i="6"/>
  <c r="I24" i="29"/>
  <c r="I27" i="29"/>
  <c r="I28" i="29"/>
  <c r="I47" i="29"/>
  <c r="I48" i="29"/>
  <c r="K7" i="30"/>
  <c r="K9" i="30"/>
  <c r="K19" i="30"/>
  <c r="K20" i="30"/>
  <c r="K21" i="30"/>
  <c r="K24" i="30"/>
  <c r="K25" i="30"/>
  <c r="K26" i="30"/>
  <c r="K29" i="30"/>
  <c r="K30" i="30"/>
  <c r="K33" i="30"/>
  <c r="K47" i="30"/>
  <c r="K49" i="30"/>
  <c r="K12" i="30"/>
  <c r="K13" i="30"/>
  <c r="K14" i="30"/>
  <c r="K51" i="30"/>
  <c r="D13" i="33"/>
  <c r="K13" i="33"/>
  <c r="L13" i="33"/>
  <c r="M13" i="33"/>
  <c r="N13" i="33"/>
  <c r="O13" i="33"/>
  <c r="P13" i="33"/>
  <c r="Q13" i="33"/>
  <c r="R13" i="33"/>
  <c r="F45" i="30"/>
  <c r="F19" i="30"/>
  <c r="F20" i="30"/>
  <c r="F21" i="30"/>
  <c r="F24" i="30"/>
  <c r="F25" i="30"/>
  <c r="F26" i="30"/>
  <c r="F29" i="30"/>
  <c r="F30" i="30"/>
  <c r="F33" i="30"/>
  <c r="F47" i="30"/>
  <c r="F49" i="30"/>
  <c r="F12" i="30"/>
  <c r="F13" i="30"/>
  <c r="F14" i="30"/>
  <c r="F7" i="30"/>
  <c r="F8" i="30"/>
  <c r="F9" i="30"/>
  <c r="F51" i="30"/>
  <c r="D8" i="33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G45" i="30"/>
  <c r="G19" i="30"/>
  <c r="G20" i="30"/>
  <c r="G21" i="30"/>
  <c r="G24" i="30"/>
  <c r="G25" i="30"/>
  <c r="G26" i="30"/>
  <c r="G29" i="30"/>
  <c r="G30" i="30"/>
  <c r="G33" i="30"/>
  <c r="G47" i="30"/>
  <c r="G49" i="30"/>
  <c r="G12" i="30"/>
  <c r="G13" i="30"/>
  <c r="G14" i="30"/>
  <c r="G7" i="30"/>
  <c r="G8" i="30"/>
  <c r="G9" i="30"/>
  <c r="G51" i="30"/>
  <c r="D9" i="33"/>
  <c r="G9" i="33"/>
  <c r="H9" i="33"/>
  <c r="I9" i="33"/>
  <c r="J9" i="33"/>
  <c r="K9" i="33"/>
  <c r="L9" i="33"/>
  <c r="M9" i="33"/>
  <c r="N9" i="33"/>
  <c r="O9" i="33"/>
  <c r="P9" i="33"/>
  <c r="Q9" i="33"/>
  <c r="R9" i="33"/>
  <c r="H45" i="30"/>
  <c r="H19" i="30"/>
  <c r="H20" i="30"/>
  <c r="H21" i="30"/>
  <c r="H24" i="30"/>
  <c r="H25" i="30"/>
  <c r="H26" i="30"/>
  <c r="H29" i="30"/>
  <c r="H30" i="30"/>
  <c r="H33" i="30"/>
  <c r="H47" i="30"/>
  <c r="H49" i="30"/>
  <c r="H12" i="30"/>
  <c r="H13" i="30"/>
  <c r="H14" i="30"/>
  <c r="H7" i="30"/>
  <c r="H8" i="30"/>
  <c r="H9" i="30"/>
  <c r="H51" i="30"/>
  <c r="D10" i="33"/>
  <c r="H10" i="33"/>
  <c r="I10" i="33"/>
  <c r="J10" i="33"/>
  <c r="K10" i="33"/>
  <c r="L10" i="33"/>
  <c r="M10" i="33"/>
  <c r="N10" i="33"/>
  <c r="O10" i="33"/>
  <c r="P10" i="33"/>
  <c r="Q10" i="33"/>
  <c r="R10" i="33"/>
  <c r="E19" i="30"/>
  <c r="E20" i="30"/>
  <c r="E21" i="30"/>
  <c r="E24" i="30"/>
  <c r="E25" i="30"/>
  <c r="E26" i="30"/>
  <c r="E29" i="30"/>
  <c r="E30" i="30"/>
  <c r="E33" i="30"/>
  <c r="E45" i="30"/>
  <c r="E47" i="30"/>
  <c r="E49" i="30"/>
  <c r="E12" i="30"/>
  <c r="E13" i="30"/>
  <c r="E14" i="30"/>
  <c r="E7" i="30"/>
  <c r="E8" i="30"/>
  <c r="E9" i="30"/>
  <c r="E51" i="30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L19" i="30"/>
  <c r="L20" i="30"/>
  <c r="L21" i="30"/>
  <c r="L24" i="30"/>
  <c r="L25" i="30"/>
  <c r="L26" i="30"/>
  <c r="L29" i="30"/>
  <c r="L30" i="30"/>
  <c r="L33" i="30"/>
  <c r="L45" i="30"/>
  <c r="L47" i="30"/>
  <c r="L49" i="30"/>
  <c r="L12" i="30"/>
  <c r="L13" i="30"/>
  <c r="L14" i="30"/>
  <c r="N139" i="6"/>
  <c r="J26" i="29"/>
  <c r="J27" i="29"/>
  <c r="J28" i="29"/>
  <c r="J47" i="29"/>
  <c r="J48" i="29"/>
  <c r="L7" i="30"/>
  <c r="N138" i="6"/>
  <c r="J17" i="29"/>
  <c r="J18" i="29"/>
  <c r="J19" i="29"/>
  <c r="J38" i="29"/>
  <c r="J39" i="29"/>
  <c r="L8" i="30"/>
  <c r="L9" i="30"/>
  <c r="L51" i="30"/>
  <c r="D14" i="33"/>
  <c r="L14" i="33"/>
  <c r="M14" i="33"/>
  <c r="N14" i="33"/>
  <c r="O14" i="33"/>
  <c r="P14" i="33"/>
  <c r="Q14" i="33"/>
  <c r="R14" i="33"/>
  <c r="M19" i="30"/>
  <c r="M20" i="30"/>
  <c r="M21" i="30"/>
  <c r="M24" i="30"/>
  <c r="M25" i="30"/>
  <c r="M26" i="30"/>
  <c r="M29" i="30"/>
  <c r="M30" i="30"/>
  <c r="M33" i="30"/>
  <c r="M45" i="30"/>
  <c r="M47" i="30"/>
  <c r="M49" i="30"/>
  <c r="M12" i="30"/>
  <c r="M13" i="30"/>
  <c r="M14" i="30"/>
  <c r="O139" i="6"/>
  <c r="K26" i="29"/>
  <c r="K27" i="29"/>
  <c r="K28" i="29"/>
  <c r="K47" i="29"/>
  <c r="K48" i="29"/>
  <c r="M7" i="30"/>
  <c r="O138" i="6"/>
  <c r="K17" i="29"/>
  <c r="K18" i="29"/>
  <c r="K19" i="29"/>
  <c r="K38" i="29"/>
  <c r="K39" i="29"/>
  <c r="M8" i="30"/>
  <c r="M9" i="30"/>
  <c r="M51" i="30"/>
  <c r="D15" i="33"/>
  <c r="M15" i="33"/>
  <c r="N15" i="33"/>
  <c r="O15" i="33"/>
  <c r="P15" i="33"/>
  <c r="Q15" i="33"/>
  <c r="R15" i="33"/>
  <c r="N19" i="30"/>
  <c r="N20" i="30"/>
  <c r="N21" i="30"/>
  <c r="N24" i="30"/>
  <c r="N25" i="30"/>
  <c r="N26" i="30"/>
  <c r="N29" i="30"/>
  <c r="N30" i="30"/>
  <c r="N33" i="30"/>
  <c r="N45" i="30"/>
  <c r="N47" i="30"/>
  <c r="N49" i="30"/>
  <c r="N12" i="30"/>
  <c r="N13" i="30"/>
  <c r="N14" i="30"/>
  <c r="P139" i="6"/>
  <c r="L26" i="29"/>
  <c r="L27" i="29"/>
  <c r="L28" i="29"/>
  <c r="L47" i="29"/>
  <c r="L48" i="29"/>
  <c r="N7" i="30"/>
  <c r="P138" i="6"/>
  <c r="L17" i="29"/>
  <c r="L18" i="29"/>
  <c r="L19" i="29"/>
  <c r="L38" i="29"/>
  <c r="L39" i="29"/>
  <c r="N8" i="30"/>
  <c r="N9" i="30"/>
  <c r="N51" i="30"/>
  <c r="D16" i="33"/>
  <c r="N16" i="33"/>
  <c r="O16" i="33"/>
  <c r="P16" i="33"/>
  <c r="Q16" i="33"/>
  <c r="R16" i="33"/>
  <c r="O19" i="30"/>
  <c r="O20" i="30"/>
  <c r="O21" i="30"/>
  <c r="O24" i="30"/>
  <c r="O25" i="30"/>
  <c r="O26" i="30"/>
  <c r="O29" i="30"/>
  <c r="O30" i="30"/>
  <c r="O33" i="30"/>
  <c r="O45" i="30"/>
  <c r="O47" i="30"/>
  <c r="O49" i="30"/>
  <c r="O12" i="30"/>
  <c r="O13" i="30"/>
  <c r="O14" i="30"/>
  <c r="Q139" i="6"/>
  <c r="M26" i="29"/>
  <c r="M27" i="29"/>
  <c r="M28" i="29"/>
  <c r="M47" i="29"/>
  <c r="M48" i="29"/>
  <c r="O7" i="30"/>
  <c r="Q138" i="6"/>
  <c r="M17" i="29"/>
  <c r="M18" i="29"/>
  <c r="M19" i="29"/>
  <c r="M38" i="29"/>
  <c r="M39" i="29"/>
  <c r="O8" i="30"/>
  <c r="O9" i="30"/>
  <c r="O51" i="30"/>
  <c r="D17" i="33"/>
  <c r="O17" i="33"/>
  <c r="P17" i="33"/>
  <c r="Q17" i="33"/>
  <c r="R17" i="33"/>
  <c r="P19" i="30"/>
  <c r="P20" i="30"/>
  <c r="P21" i="30"/>
  <c r="P24" i="30"/>
  <c r="P25" i="30"/>
  <c r="P26" i="30"/>
  <c r="P29" i="30"/>
  <c r="P30" i="30"/>
  <c r="P33" i="30"/>
  <c r="P45" i="30"/>
  <c r="P47" i="30"/>
  <c r="P49" i="30"/>
  <c r="P12" i="30"/>
  <c r="P13" i="30"/>
  <c r="P14" i="30"/>
  <c r="R139" i="6"/>
  <c r="N26" i="29"/>
  <c r="N27" i="29"/>
  <c r="N28" i="29"/>
  <c r="N47" i="29"/>
  <c r="N48" i="29"/>
  <c r="P7" i="30"/>
  <c r="R138" i="6"/>
  <c r="N17" i="29"/>
  <c r="N18" i="29"/>
  <c r="N19" i="29"/>
  <c r="N38" i="29"/>
  <c r="N39" i="29"/>
  <c r="P8" i="30"/>
  <c r="P9" i="30"/>
  <c r="P51" i="30"/>
  <c r="D18" i="33"/>
  <c r="P18" i="33"/>
  <c r="Q18" i="33"/>
  <c r="R18" i="33"/>
  <c r="Q19" i="30"/>
  <c r="Q20" i="30"/>
  <c r="Q21" i="30"/>
  <c r="Q24" i="30"/>
  <c r="Q25" i="30"/>
  <c r="Q26" i="30"/>
  <c r="Q29" i="30"/>
  <c r="Q30" i="30"/>
  <c r="Q33" i="30"/>
  <c r="Q45" i="30"/>
  <c r="Q47" i="30"/>
  <c r="Q49" i="30"/>
  <c r="Q12" i="30"/>
  <c r="Q13" i="30"/>
  <c r="Q14" i="30"/>
  <c r="S139" i="6"/>
  <c r="O26" i="29"/>
  <c r="O27" i="29"/>
  <c r="O28" i="29"/>
  <c r="O47" i="29"/>
  <c r="O48" i="29"/>
  <c r="Q7" i="30"/>
  <c r="S138" i="6"/>
  <c r="O17" i="29"/>
  <c r="O18" i="29"/>
  <c r="O19" i="29"/>
  <c r="O38" i="29"/>
  <c r="O39" i="29"/>
  <c r="Q8" i="30"/>
  <c r="Q9" i="30"/>
  <c r="Q51" i="30"/>
  <c r="D19" i="33"/>
  <c r="Q19" i="33"/>
  <c r="R19" i="33"/>
  <c r="R19" i="30"/>
  <c r="R20" i="30"/>
  <c r="R21" i="30"/>
  <c r="R24" i="30"/>
  <c r="R25" i="30"/>
  <c r="R26" i="30"/>
  <c r="R29" i="30"/>
  <c r="R30" i="30"/>
  <c r="R33" i="30"/>
  <c r="R45" i="30"/>
  <c r="R47" i="30"/>
  <c r="R49" i="30"/>
  <c r="R12" i="30"/>
  <c r="R13" i="30"/>
  <c r="R14" i="30"/>
  <c r="P28" i="29"/>
  <c r="P47" i="29"/>
  <c r="P48" i="29"/>
  <c r="R7" i="30"/>
  <c r="P19" i="29"/>
  <c r="P38" i="29"/>
  <c r="P39" i="29"/>
  <c r="R8" i="30"/>
  <c r="R9" i="30"/>
  <c r="R51" i="30"/>
  <c r="D20" i="33"/>
  <c r="R20" i="33"/>
  <c r="R69" i="33"/>
  <c r="R39" i="28"/>
  <c r="Q204" i="59"/>
  <c r="Q57" i="57"/>
  <c r="Q144" i="59"/>
  <c r="Q30" i="57"/>
  <c r="Q142" i="59"/>
  <c r="Q43" i="57"/>
  <c r="Q143" i="59"/>
  <c r="Q71" i="57"/>
  <c r="Q145" i="59"/>
  <c r="Q15" i="57"/>
  <c r="Q141" i="59"/>
  <c r="Q73" i="57"/>
  <c r="Q146" i="59"/>
  <c r="Q147" i="59"/>
  <c r="S137" i="6"/>
  <c r="O8" i="29"/>
  <c r="O9" i="29"/>
  <c r="P10" i="29"/>
  <c r="P32" i="29"/>
  <c r="P35" i="29"/>
  <c r="R12" i="28"/>
  <c r="R13" i="28"/>
  <c r="Q178" i="59"/>
  <c r="Q206" i="59"/>
  <c r="Q208" i="59"/>
  <c r="P35" i="64"/>
  <c r="O94" i="48"/>
  <c r="P14" i="67"/>
  <c r="P17" i="67"/>
  <c r="P18" i="67"/>
  <c r="P20" i="67"/>
  <c r="P39" i="64"/>
  <c r="D38" i="50"/>
  <c r="D34" i="50"/>
  <c r="D27" i="50"/>
  <c r="D35" i="50"/>
  <c r="D66" i="50"/>
  <c r="D67" i="50"/>
  <c r="D69" i="50"/>
  <c r="E65" i="50"/>
  <c r="E38" i="50"/>
  <c r="E34" i="50"/>
  <c r="E27" i="50"/>
  <c r="E35" i="50"/>
  <c r="E66" i="50"/>
  <c r="E67" i="50"/>
  <c r="E69" i="50"/>
  <c r="F65" i="50"/>
  <c r="F38" i="50"/>
  <c r="F34" i="50"/>
  <c r="F27" i="50"/>
  <c r="F35" i="50"/>
  <c r="F66" i="50"/>
  <c r="F67" i="50"/>
  <c r="F68" i="50"/>
  <c r="F69" i="50"/>
  <c r="G65" i="50"/>
  <c r="G38" i="50"/>
  <c r="G34" i="50"/>
  <c r="G27" i="50"/>
  <c r="G35" i="50"/>
  <c r="G66" i="50"/>
  <c r="G67" i="50"/>
  <c r="G68" i="50"/>
  <c r="G69" i="50"/>
  <c r="H65" i="50"/>
  <c r="H38" i="50"/>
  <c r="H34" i="50"/>
  <c r="H27" i="50"/>
  <c r="H35" i="50"/>
  <c r="H66" i="50"/>
  <c r="H67" i="50"/>
  <c r="H68" i="50"/>
  <c r="H69" i="50"/>
  <c r="I65" i="50"/>
  <c r="I38" i="50"/>
  <c r="I34" i="50"/>
  <c r="I27" i="50"/>
  <c r="I35" i="50"/>
  <c r="I66" i="50"/>
  <c r="I67" i="50"/>
  <c r="I68" i="50"/>
  <c r="I69" i="50"/>
  <c r="J65" i="50"/>
  <c r="J38" i="50"/>
  <c r="J34" i="50"/>
  <c r="J27" i="50"/>
  <c r="J35" i="50"/>
  <c r="J66" i="50"/>
  <c r="J67" i="50"/>
  <c r="J68" i="50"/>
  <c r="J69" i="50"/>
  <c r="K65" i="50"/>
  <c r="K38" i="50"/>
  <c r="K34" i="50"/>
  <c r="K27" i="50"/>
  <c r="K35" i="50"/>
  <c r="K66" i="50"/>
  <c r="K67" i="50"/>
  <c r="K68" i="50"/>
  <c r="K69" i="50"/>
  <c r="L65" i="50"/>
  <c r="L38" i="50"/>
  <c r="L34" i="50"/>
  <c r="L27" i="50"/>
  <c r="L35" i="50"/>
  <c r="L66" i="50"/>
  <c r="L67" i="50"/>
  <c r="L68" i="50"/>
  <c r="L69" i="50"/>
  <c r="M65" i="50"/>
  <c r="M38" i="50"/>
  <c r="M34" i="50"/>
  <c r="M27" i="50"/>
  <c r="M35" i="50"/>
  <c r="M66" i="50"/>
  <c r="M67" i="50"/>
  <c r="M68" i="50"/>
  <c r="M69" i="50"/>
  <c r="N65" i="50"/>
  <c r="N38" i="50"/>
  <c r="N34" i="50"/>
  <c r="N27" i="50"/>
  <c r="N35" i="50"/>
  <c r="N66" i="50"/>
  <c r="N67" i="50"/>
  <c r="N68" i="50"/>
  <c r="N69" i="50"/>
  <c r="O65" i="50"/>
  <c r="O38" i="50"/>
  <c r="O34" i="50"/>
  <c r="O27" i="50"/>
  <c r="O35" i="50"/>
  <c r="O66" i="50"/>
  <c r="O67" i="50"/>
  <c r="O68" i="50"/>
  <c r="O69" i="50"/>
  <c r="P65" i="50"/>
  <c r="P38" i="50"/>
  <c r="P34" i="50"/>
  <c r="P27" i="50"/>
  <c r="P35" i="50"/>
  <c r="P66" i="50"/>
  <c r="P67" i="50"/>
  <c r="P68" i="50"/>
  <c r="P69" i="50"/>
  <c r="P70" i="50"/>
  <c r="P41" i="64"/>
  <c r="P39" i="50"/>
  <c r="P43" i="50"/>
  <c r="P40" i="64"/>
  <c r="P38" i="64"/>
  <c r="P43" i="64"/>
  <c r="P45" i="64"/>
  <c r="P48" i="64"/>
  <c r="P50" i="64"/>
  <c r="P67" i="64"/>
  <c r="D24" i="111"/>
  <c r="D25" i="111" a="1"/>
  <c r="D25" i="111"/>
  <c r="E24" i="111"/>
  <c r="E25" i="111" a="1"/>
  <c r="E25" i="111"/>
  <c r="BK15" i="111"/>
  <c r="BJ15" i="111"/>
  <c r="BI15" i="111"/>
  <c r="BH15" i="111"/>
  <c r="BG15" i="111"/>
  <c r="BF15" i="111"/>
  <c r="BE15" i="111"/>
  <c r="BD15" i="111"/>
  <c r="BC15" i="111"/>
  <c r="BB15" i="111"/>
  <c r="BA15" i="111"/>
  <c r="AZ15" i="111"/>
  <c r="AY15" i="111"/>
  <c r="AX15" i="111"/>
  <c r="AW15" i="111"/>
  <c r="AV15" i="111"/>
  <c r="AU15" i="111"/>
  <c r="AT15" i="111"/>
  <c r="AS15" i="111"/>
  <c r="AR15" i="111"/>
  <c r="AQ15" i="111"/>
  <c r="AP15" i="111"/>
  <c r="AO15" i="111"/>
  <c r="AN15" i="111"/>
  <c r="AM15" i="111"/>
  <c r="AL15" i="111"/>
  <c r="AK15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C46" i="48"/>
  <c r="C74" i="48"/>
  <c r="C76" i="48"/>
  <c r="B49" i="46"/>
  <c r="C85" i="48"/>
  <c r="E125" i="59"/>
  <c r="F78" i="49"/>
  <c r="F139" i="49"/>
  <c r="D14" i="46"/>
  <c r="F140" i="49"/>
  <c r="F141" i="49"/>
  <c r="C47" i="48"/>
  <c r="C86" i="48"/>
  <c r="E126" i="59"/>
  <c r="E127" i="59"/>
  <c r="C40" i="48"/>
  <c r="C41" i="48"/>
  <c r="C42" i="48"/>
  <c r="C75" i="48"/>
  <c r="B40" i="46"/>
  <c r="C79" i="48"/>
  <c r="C80" i="48"/>
  <c r="C81" i="48"/>
  <c r="E120" i="59"/>
  <c r="F5" i="49"/>
  <c r="F66" i="49"/>
  <c r="F67" i="49"/>
  <c r="F68" i="49"/>
  <c r="C43" i="48"/>
  <c r="C82" i="48"/>
  <c r="E121" i="59"/>
  <c r="E122" i="59"/>
  <c r="C30" i="48"/>
  <c r="C69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439" i="6"/>
  <c r="H441" i="6"/>
  <c r="H448" i="6"/>
  <c r="H450" i="6"/>
  <c r="H529" i="6"/>
  <c r="H531" i="6"/>
  <c r="H540" i="6"/>
  <c r="H541" i="6"/>
  <c r="H542" i="6"/>
  <c r="H544" i="6"/>
  <c r="H545" i="6"/>
  <c r="H284" i="6"/>
  <c r="H285" i="6"/>
  <c r="H289" i="6"/>
  <c r="E164" i="59"/>
  <c r="H227" i="6"/>
  <c r="H292" i="6"/>
  <c r="H375" i="6"/>
  <c r="H548" i="6"/>
  <c r="E165" i="59"/>
  <c r="E167" i="59"/>
  <c r="E150" i="59"/>
  <c r="E152" i="59"/>
  <c r="E153" i="59"/>
  <c r="E154" i="59"/>
  <c r="E169" i="59"/>
  <c r="E30" i="57"/>
  <c r="E142" i="59"/>
  <c r="E43" i="57"/>
  <c r="E143" i="59"/>
  <c r="E57" i="57"/>
  <c r="E144" i="59"/>
  <c r="E71" i="57"/>
  <c r="E145" i="59"/>
  <c r="E15" i="57"/>
  <c r="E141" i="59"/>
  <c r="E73" i="57"/>
  <c r="E146" i="59"/>
  <c r="E147" i="59"/>
  <c r="F69" i="33"/>
  <c r="F39" i="28"/>
  <c r="E204" i="59"/>
  <c r="E206" i="59"/>
  <c r="E208" i="59"/>
  <c r="D35" i="64"/>
  <c r="C94" i="48"/>
  <c r="D14" i="67"/>
  <c r="D17" i="67"/>
  <c r="C14" i="67"/>
  <c r="C17" i="67"/>
  <c r="D18" i="67"/>
  <c r="D20" i="67"/>
  <c r="D39" i="64"/>
  <c r="D39" i="50"/>
  <c r="D43" i="50"/>
  <c r="D40" i="64"/>
  <c r="D70" i="50"/>
  <c r="D41" i="64"/>
  <c r="D38" i="64"/>
  <c r="D43" i="64"/>
  <c r="D45" i="64"/>
  <c r="D48" i="64"/>
  <c r="D50" i="64"/>
  <c r="D67" i="64"/>
  <c r="D125" i="59"/>
  <c r="D126" i="59"/>
  <c r="D127" i="59"/>
  <c r="D120" i="59"/>
  <c r="D121" i="59"/>
  <c r="D122" i="59"/>
  <c r="D116" i="59"/>
  <c r="D129" i="59"/>
  <c r="D30" i="57"/>
  <c r="D142" i="59"/>
  <c r="D43" i="57"/>
  <c r="D143" i="59"/>
  <c r="D57" i="57"/>
  <c r="D144" i="59"/>
  <c r="D71" i="57"/>
  <c r="D145" i="59"/>
  <c r="D15" i="57"/>
  <c r="D141" i="59"/>
  <c r="D73" i="57"/>
  <c r="D146" i="59"/>
  <c r="D147" i="59"/>
  <c r="E69" i="33"/>
  <c r="E39" i="28"/>
  <c r="D204" i="59"/>
  <c r="G439" i="6"/>
  <c r="G441" i="6"/>
  <c r="G448" i="6"/>
  <c r="G450" i="6"/>
  <c r="G529" i="6"/>
  <c r="G531" i="6"/>
  <c r="G540" i="6"/>
  <c r="G541" i="6"/>
  <c r="G542" i="6"/>
  <c r="G544" i="6"/>
  <c r="G545" i="6"/>
  <c r="D164" i="59"/>
  <c r="D167" i="59"/>
  <c r="D153" i="59"/>
  <c r="D154" i="59"/>
  <c r="D169" i="59"/>
  <c r="D206" i="59"/>
  <c r="D208" i="59"/>
  <c r="C35" i="64"/>
  <c r="C19" i="67"/>
  <c r="C20" i="67"/>
  <c r="C39" i="64"/>
  <c r="C38" i="64"/>
  <c r="C43" i="64"/>
  <c r="C45" i="64"/>
  <c r="C48" i="64"/>
  <c r="C50" i="64"/>
  <c r="C67" i="64"/>
  <c r="C70" i="64"/>
  <c r="D69" i="64"/>
  <c r="D70" i="64"/>
  <c r="E69" i="64"/>
  <c r="D35" i="48"/>
  <c r="D37" i="48"/>
  <c r="D46" i="48"/>
  <c r="D74" i="48"/>
  <c r="D76" i="48"/>
  <c r="D85" i="48"/>
  <c r="F125" i="59"/>
  <c r="D79" i="49"/>
  <c r="G79" i="49"/>
  <c r="G139" i="49"/>
  <c r="G140" i="49"/>
  <c r="G141" i="49"/>
  <c r="D47" i="48"/>
  <c r="D86" i="48"/>
  <c r="F126" i="59"/>
  <c r="F127" i="59"/>
  <c r="D36" i="48"/>
  <c r="D40" i="48"/>
  <c r="D41" i="48"/>
  <c r="D42" i="48"/>
  <c r="D75" i="48"/>
  <c r="D79" i="48"/>
  <c r="D80" i="48"/>
  <c r="D81" i="48"/>
  <c r="F120" i="59"/>
  <c r="D6" i="49"/>
  <c r="G6" i="49"/>
  <c r="G66" i="49"/>
  <c r="G67" i="49"/>
  <c r="G68" i="49"/>
  <c r="D43" i="48"/>
  <c r="D82" i="48"/>
  <c r="F121" i="59"/>
  <c r="F122" i="59"/>
  <c r="D30" i="48"/>
  <c r="D69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I284" i="6"/>
  <c r="I285" i="6"/>
  <c r="I289" i="6"/>
  <c r="F164" i="59"/>
  <c r="I227" i="6"/>
  <c r="I292" i="6"/>
  <c r="I375" i="6"/>
  <c r="I548" i="6"/>
  <c r="F165" i="59"/>
  <c r="F167" i="59"/>
  <c r="F150" i="59"/>
  <c r="F152" i="59"/>
  <c r="F153" i="59"/>
  <c r="F154" i="59"/>
  <c r="F169" i="59"/>
  <c r="F30" i="57"/>
  <c r="F142" i="59"/>
  <c r="F43" i="57"/>
  <c r="F143" i="59"/>
  <c r="F57" i="57"/>
  <c r="F144" i="59"/>
  <c r="F71" i="57"/>
  <c r="F145" i="59"/>
  <c r="F15" i="57"/>
  <c r="F141" i="59"/>
  <c r="F73" i="57"/>
  <c r="F146" i="59"/>
  <c r="F147" i="59"/>
  <c r="G69" i="33"/>
  <c r="G39" i="28"/>
  <c r="F204" i="59"/>
  <c r="F206" i="59"/>
  <c r="F208" i="59"/>
  <c r="E35" i="64"/>
  <c r="D94" i="48"/>
  <c r="E14" i="67"/>
  <c r="E17" i="67"/>
  <c r="E18" i="67"/>
  <c r="E20" i="67"/>
  <c r="E39" i="64"/>
  <c r="E39" i="50"/>
  <c r="E43" i="50"/>
  <c r="E40" i="64"/>
  <c r="E70" i="50"/>
  <c r="E41" i="64"/>
  <c r="E38" i="64"/>
  <c r="E43" i="64"/>
  <c r="E45" i="64"/>
  <c r="E48" i="64"/>
  <c r="E50" i="64"/>
  <c r="E67" i="64"/>
  <c r="E70" i="64"/>
  <c r="F69" i="64"/>
  <c r="E35" i="48"/>
  <c r="E37" i="48"/>
  <c r="E46" i="48"/>
  <c r="E74" i="48"/>
  <c r="E76" i="48"/>
  <c r="E85" i="48"/>
  <c r="G125" i="59"/>
  <c r="D80" i="49"/>
  <c r="H80" i="49"/>
  <c r="H139" i="49"/>
  <c r="H140" i="49"/>
  <c r="H141" i="49"/>
  <c r="E47" i="48"/>
  <c r="E86" i="48"/>
  <c r="G126" i="59"/>
  <c r="G127" i="59"/>
  <c r="E36" i="48"/>
  <c r="E40" i="48"/>
  <c r="E41" i="48"/>
  <c r="E42" i="48"/>
  <c r="E75" i="48"/>
  <c r="E79" i="48"/>
  <c r="E80" i="48"/>
  <c r="E81" i="48"/>
  <c r="G120" i="59"/>
  <c r="D7" i="49"/>
  <c r="H7" i="49"/>
  <c r="H66" i="49"/>
  <c r="H67" i="49"/>
  <c r="H68" i="49"/>
  <c r="E43" i="48"/>
  <c r="E82" i="48"/>
  <c r="G121" i="59"/>
  <c r="G122" i="59"/>
  <c r="E30" i="48"/>
  <c r="E69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439" i="6"/>
  <c r="J441" i="6"/>
  <c r="J448" i="6"/>
  <c r="J450" i="6"/>
  <c r="J529" i="6"/>
  <c r="J531" i="6"/>
  <c r="J540" i="6"/>
  <c r="J541" i="6"/>
  <c r="J542" i="6"/>
  <c r="J544" i="6"/>
  <c r="J545" i="6"/>
  <c r="J284" i="6"/>
  <c r="J285" i="6"/>
  <c r="J289" i="6"/>
  <c r="G164" i="59"/>
  <c r="J227" i="6"/>
  <c r="J292" i="6"/>
  <c r="J375" i="6"/>
  <c r="J548" i="6"/>
  <c r="G165" i="59"/>
  <c r="G167" i="59"/>
  <c r="G150" i="59"/>
  <c r="G152" i="59"/>
  <c r="G153" i="59"/>
  <c r="G154" i="59"/>
  <c r="G169" i="59"/>
  <c r="G30" i="57"/>
  <c r="G142" i="59"/>
  <c r="G43" i="57"/>
  <c r="G143" i="59"/>
  <c r="G57" i="57"/>
  <c r="G144" i="59"/>
  <c r="G71" i="57"/>
  <c r="G145" i="59"/>
  <c r="G15" i="57"/>
  <c r="G141" i="59"/>
  <c r="G73" i="57"/>
  <c r="G146" i="59"/>
  <c r="G147" i="59"/>
  <c r="H69" i="33"/>
  <c r="H39" i="28"/>
  <c r="G204" i="59"/>
  <c r="G206" i="59"/>
  <c r="G208" i="59"/>
  <c r="F35" i="64"/>
  <c r="E94" i="48"/>
  <c r="F14" i="67"/>
  <c r="F17" i="67"/>
  <c r="F18" i="67"/>
  <c r="F20" i="67"/>
  <c r="F39" i="64"/>
  <c r="F39" i="50"/>
  <c r="F43" i="50"/>
  <c r="F40" i="64"/>
  <c r="F70" i="50"/>
  <c r="F41" i="64"/>
  <c r="F38" i="64"/>
  <c r="F43" i="64"/>
  <c r="F45" i="64"/>
  <c r="F48" i="64"/>
  <c r="F50" i="64"/>
  <c r="F67" i="64"/>
  <c r="F70" i="64"/>
  <c r="G69" i="64"/>
  <c r="F74" i="48"/>
  <c r="I140" i="49"/>
  <c r="F86" i="48"/>
  <c r="F41" i="48"/>
  <c r="F80" i="48"/>
  <c r="I67" i="49"/>
  <c r="F82" i="48"/>
  <c r="I57" i="68"/>
  <c r="I67" i="68"/>
  <c r="K172" i="6"/>
  <c r="K174" i="6"/>
  <c r="K208" i="6"/>
  <c r="K25" i="6"/>
  <c r="K222" i="6"/>
  <c r="K439" i="6"/>
  <c r="K441" i="6"/>
  <c r="K448" i="6"/>
  <c r="K450" i="6"/>
  <c r="K529" i="6"/>
  <c r="K284" i="6"/>
  <c r="K285" i="6"/>
  <c r="K289" i="6"/>
  <c r="K227" i="6"/>
  <c r="K292" i="6"/>
  <c r="K375" i="6"/>
  <c r="K548" i="6"/>
  <c r="H165" i="59"/>
  <c r="G9" i="29"/>
  <c r="G10" i="29"/>
  <c r="G32" i="29"/>
  <c r="G35" i="29"/>
  <c r="I12" i="28"/>
  <c r="I13" i="28"/>
  <c r="H178" i="59"/>
  <c r="I69" i="33"/>
  <c r="I39" i="28"/>
  <c r="H204" i="59"/>
  <c r="H57" i="57"/>
  <c r="H144" i="59"/>
  <c r="H30" i="57"/>
  <c r="H142" i="59"/>
  <c r="H43" i="57"/>
  <c r="H143" i="59"/>
  <c r="H71" i="57"/>
  <c r="H145" i="59"/>
  <c r="H15" i="57"/>
  <c r="H141" i="59"/>
  <c r="H73" i="57"/>
  <c r="H146" i="59"/>
  <c r="H147" i="59"/>
  <c r="G42" i="29"/>
  <c r="G44" i="29"/>
  <c r="I6" i="28"/>
  <c r="H172" i="59"/>
  <c r="I21" i="28"/>
  <c r="H186" i="59"/>
  <c r="G35" i="64"/>
  <c r="F94" i="48"/>
  <c r="G14" i="67"/>
  <c r="G17" i="67"/>
  <c r="G18" i="67"/>
  <c r="G20" i="67"/>
  <c r="G39" i="64"/>
  <c r="G39" i="50"/>
  <c r="G43" i="50"/>
  <c r="G40" i="64"/>
  <c r="G70" i="50"/>
  <c r="G41" i="64"/>
  <c r="G38" i="64"/>
  <c r="G43" i="64"/>
  <c r="G45" i="64"/>
  <c r="G48" i="64"/>
  <c r="G50" i="64"/>
  <c r="G67" i="64"/>
  <c r="G70" i="64"/>
  <c r="H69" i="64"/>
  <c r="G46" i="48"/>
  <c r="G74" i="48"/>
  <c r="G76" i="48"/>
  <c r="G85" i="48"/>
  <c r="I125" i="59"/>
  <c r="D82" i="49"/>
  <c r="J82" i="49"/>
  <c r="J139" i="49"/>
  <c r="J140" i="49"/>
  <c r="J141" i="49"/>
  <c r="G47" i="48"/>
  <c r="G86" i="48"/>
  <c r="I126" i="59"/>
  <c r="I127" i="59"/>
  <c r="G36" i="48"/>
  <c r="G40" i="48"/>
  <c r="G41" i="48"/>
  <c r="G42" i="48"/>
  <c r="G75" i="48"/>
  <c r="G79" i="48"/>
  <c r="G80" i="48"/>
  <c r="G81" i="48"/>
  <c r="I120" i="59"/>
  <c r="D9" i="49"/>
  <c r="J9" i="49"/>
  <c r="J66" i="49"/>
  <c r="J67" i="49"/>
  <c r="J68" i="49"/>
  <c r="G43" i="48"/>
  <c r="G82" i="48"/>
  <c r="I121" i="59"/>
  <c r="I122" i="59"/>
  <c r="G30" i="48"/>
  <c r="G69" i="48"/>
  <c r="I116" i="59"/>
  <c r="I129" i="59"/>
  <c r="G95" i="48"/>
  <c r="J49" i="68"/>
  <c r="J50" i="68"/>
  <c r="J57" i="68"/>
  <c r="J67" i="68"/>
  <c r="J74" i="68"/>
  <c r="L193" i="6"/>
  <c r="J72" i="68"/>
  <c r="L175" i="6"/>
  <c r="J71" i="68"/>
  <c r="L166" i="6"/>
  <c r="J73" i="68"/>
  <c r="L184" i="6"/>
  <c r="L209" i="6"/>
  <c r="L172" i="6"/>
  <c r="L174" i="6"/>
  <c r="L208" i="6"/>
  <c r="L210" i="6"/>
  <c r="L219" i="6"/>
  <c r="L220" i="6"/>
  <c r="L221" i="6"/>
  <c r="L223" i="6"/>
  <c r="L25" i="6"/>
  <c r="L222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439" i="6"/>
  <c r="L441" i="6"/>
  <c r="L448" i="6"/>
  <c r="L450" i="6"/>
  <c r="L529" i="6"/>
  <c r="L531" i="6"/>
  <c r="L540" i="6"/>
  <c r="L541" i="6"/>
  <c r="L542" i="6"/>
  <c r="L544" i="6"/>
  <c r="L133" i="6"/>
  <c r="L543" i="6"/>
  <c r="L545" i="6"/>
  <c r="L284" i="6"/>
  <c r="L285" i="6"/>
  <c r="L289" i="6"/>
  <c r="I164" i="59"/>
  <c r="L227" i="6"/>
  <c r="L548" i="6"/>
  <c r="L292" i="6"/>
  <c r="L375" i="6"/>
  <c r="I165" i="59"/>
  <c r="I167" i="59"/>
  <c r="I150" i="59"/>
  <c r="I152" i="59"/>
  <c r="I153" i="59"/>
  <c r="I154" i="59"/>
  <c r="I169" i="59"/>
  <c r="J69" i="33"/>
  <c r="J39" i="28"/>
  <c r="I204" i="59"/>
  <c r="H10" i="29"/>
  <c r="H32" i="29"/>
  <c r="H35" i="29"/>
  <c r="J12" i="28"/>
  <c r="J13" i="28"/>
  <c r="I178" i="59"/>
  <c r="I57" i="57"/>
  <c r="I144" i="59"/>
  <c r="I30" i="57"/>
  <c r="I142" i="59"/>
  <c r="I43" i="57"/>
  <c r="I143" i="59"/>
  <c r="I71" i="57"/>
  <c r="I145" i="59"/>
  <c r="I15" i="57"/>
  <c r="I141" i="59"/>
  <c r="I73" i="57"/>
  <c r="I146" i="59"/>
  <c r="I147" i="59"/>
  <c r="H42" i="29"/>
  <c r="H44" i="29"/>
  <c r="J6" i="28"/>
  <c r="I172" i="59"/>
  <c r="J21" i="28"/>
  <c r="I186" i="59"/>
  <c r="I206" i="59"/>
  <c r="I208" i="59"/>
  <c r="H35" i="64"/>
  <c r="G94" i="48"/>
  <c r="H14" i="67"/>
  <c r="H17" i="67"/>
  <c r="H18" i="67"/>
  <c r="H20" i="67"/>
  <c r="H39" i="64"/>
  <c r="H39" i="50"/>
  <c r="H43" i="50"/>
  <c r="H40" i="64"/>
  <c r="H70" i="50"/>
  <c r="H41" i="64"/>
  <c r="H38" i="64"/>
  <c r="H43" i="64"/>
  <c r="H45" i="64"/>
  <c r="H48" i="64"/>
  <c r="H50" i="64"/>
  <c r="H67" i="64"/>
  <c r="H70" i="64"/>
  <c r="I69" i="64"/>
  <c r="H35" i="48"/>
  <c r="H46" i="48"/>
  <c r="H74" i="48"/>
  <c r="H76" i="48"/>
  <c r="H85" i="48"/>
  <c r="J125" i="59"/>
  <c r="D83" i="49"/>
  <c r="K83" i="49"/>
  <c r="K139" i="49"/>
  <c r="K140" i="49"/>
  <c r="K141" i="49"/>
  <c r="H47" i="48"/>
  <c r="H86" i="48"/>
  <c r="J126" i="59"/>
  <c r="J127" i="59"/>
  <c r="H36" i="48"/>
  <c r="H40" i="48"/>
  <c r="H41" i="48"/>
  <c r="H42" i="48"/>
  <c r="H75" i="48"/>
  <c r="H79" i="48"/>
  <c r="H80" i="48"/>
  <c r="H81" i="48"/>
  <c r="J120" i="59"/>
  <c r="D10" i="49"/>
  <c r="K10" i="49"/>
  <c r="K66" i="49"/>
  <c r="K67" i="49"/>
  <c r="K68" i="49"/>
  <c r="H43" i="48"/>
  <c r="H82" i="48"/>
  <c r="J121" i="59"/>
  <c r="J122" i="59"/>
  <c r="H30" i="48"/>
  <c r="H69" i="48"/>
  <c r="J116" i="59"/>
  <c r="J129" i="59"/>
  <c r="H95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439" i="6"/>
  <c r="M441" i="6"/>
  <c r="M448" i="6"/>
  <c r="M450" i="6"/>
  <c r="M529" i="6"/>
  <c r="M531" i="6"/>
  <c r="M540" i="6"/>
  <c r="M541" i="6"/>
  <c r="M542" i="6"/>
  <c r="M544" i="6"/>
  <c r="M545" i="6"/>
  <c r="M284" i="6"/>
  <c r="M285" i="6"/>
  <c r="M289" i="6"/>
  <c r="J164" i="59"/>
  <c r="M227" i="6"/>
  <c r="M292" i="6"/>
  <c r="M375" i="6"/>
  <c r="M548" i="6"/>
  <c r="J165" i="59"/>
  <c r="J167" i="59"/>
  <c r="J150" i="59"/>
  <c r="J152" i="59"/>
  <c r="J153" i="59"/>
  <c r="J154" i="59"/>
  <c r="M252" i="6"/>
  <c r="M261" i="6"/>
  <c r="M277" i="6"/>
  <c r="J158" i="59"/>
  <c r="J161" i="59"/>
  <c r="J169" i="59"/>
  <c r="K69" i="33"/>
  <c r="K39" i="28"/>
  <c r="J204" i="59"/>
  <c r="M51" i="6"/>
  <c r="I6" i="29"/>
  <c r="I9" i="29"/>
  <c r="I10" i="29"/>
  <c r="I32" i="29"/>
  <c r="I33" i="29"/>
  <c r="I35" i="29"/>
  <c r="K12" i="28"/>
  <c r="K13" i="28"/>
  <c r="J178" i="59"/>
  <c r="J57" i="57"/>
  <c r="J144" i="59"/>
  <c r="J30" i="57"/>
  <c r="J142" i="59"/>
  <c r="J43" i="57"/>
  <c r="J143" i="59"/>
  <c r="J71" i="57"/>
  <c r="J145" i="59"/>
  <c r="J15" i="57"/>
  <c r="J141" i="59"/>
  <c r="J73" i="57"/>
  <c r="J146" i="59"/>
  <c r="J147" i="59"/>
  <c r="I42" i="29"/>
  <c r="I44" i="29"/>
  <c r="K6" i="28"/>
  <c r="J172" i="59"/>
  <c r="K21" i="28"/>
  <c r="J186" i="59"/>
  <c r="J206" i="59"/>
  <c r="J208" i="59"/>
  <c r="I35" i="64"/>
  <c r="H94" i="48"/>
  <c r="I14" i="67"/>
  <c r="I17" i="67"/>
  <c r="I18" i="67"/>
  <c r="I20" i="67"/>
  <c r="I39" i="64"/>
  <c r="I39" i="50"/>
  <c r="I43" i="50"/>
  <c r="I40" i="64"/>
  <c r="I70" i="50"/>
  <c r="I41" i="64"/>
  <c r="I38" i="64"/>
  <c r="I43" i="64"/>
  <c r="I45" i="64"/>
  <c r="I48" i="64"/>
  <c r="I50" i="64"/>
  <c r="I67" i="64"/>
  <c r="I70" i="64"/>
  <c r="J69" i="64"/>
  <c r="I35" i="48"/>
  <c r="I46" i="48"/>
  <c r="I74" i="48"/>
  <c r="I76" i="48"/>
  <c r="I85" i="48"/>
  <c r="K125" i="59"/>
  <c r="D84" i="49"/>
  <c r="L84" i="49"/>
  <c r="L139" i="49"/>
  <c r="L140" i="49"/>
  <c r="L141" i="49"/>
  <c r="I47" i="48"/>
  <c r="I86" i="48"/>
  <c r="K126" i="59"/>
  <c r="K127" i="59"/>
  <c r="I36" i="48"/>
  <c r="I40" i="48"/>
  <c r="I41" i="48"/>
  <c r="I42" i="48"/>
  <c r="I75" i="48"/>
  <c r="I79" i="48"/>
  <c r="I80" i="48"/>
  <c r="I81" i="48"/>
  <c r="K120" i="59"/>
  <c r="D11" i="49"/>
  <c r="L11" i="49"/>
  <c r="L66" i="49"/>
  <c r="L67" i="49"/>
  <c r="L68" i="49"/>
  <c r="I43" i="48"/>
  <c r="I82" i="48"/>
  <c r="K121" i="59"/>
  <c r="K122" i="59"/>
  <c r="I30" i="48"/>
  <c r="I69" i="48"/>
  <c r="K116" i="59"/>
  <c r="K129" i="59"/>
  <c r="I95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439" i="6"/>
  <c r="N441" i="6"/>
  <c r="N448" i="6"/>
  <c r="N450" i="6"/>
  <c r="N457" i="6"/>
  <c r="N459" i="6"/>
  <c r="N529" i="6"/>
  <c r="N531" i="6"/>
  <c r="N540" i="6"/>
  <c r="N541" i="6"/>
  <c r="N542" i="6"/>
  <c r="N544" i="6"/>
  <c r="N133" i="6"/>
  <c r="N543" i="6"/>
  <c r="N545" i="6"/>
  <c r="N284" i="6"/>
  <c r="N285" i="6"/>
  <c r="N289" i="6"/>
  <c r="K164" i="59"/>
  <c r="N227" i="6"/>
  <c r="N292" i="6"/>
  <c r="N375" i="6"/>
  <c r="N548" i="6"/>
  <c r="K165" i="59"/>
  <c r="K167" i="59"/>
  <c r="K150" i="59"/>
  <c r="K152" i="59"/>
  <c r="K153" i="59"/>
  <c r="K154" i="59"/>
  <c r="K169" i="59"/>
  <c r="L69" i="33"/>
  <c r="L39" i="28"/>
  <c r="K204" i="59"/>
  <c r="K57" i="57"/>
  <c r="K144" i="59"/>
  <c r="K30" i="57"/>
  <c r="K142" i="59"/>
  <c r="K43" i="57"/>
  <c r="K143" i="59"/>
  <c r="K71" i="57"/>
  <c r="K145" i="59"/>
  <c r="K15" i="57"/>
  <c r="K141" i="59"/>
  <c r="K73" i="57"/>
  <c r="K146" i="59"/>
  <c r="K147" i="59"/>
  <c r="N137" i="6"/>
  <c r="J8" i="29"/>
  <c r="J9" i="29"/>
  <c r="J10" i="29"/>
  <c r="J32" i="29"/>
  <c r="J33" i="29"/>
  <c r="J35" i="29"/>
  <c r="L12" i="28"/>
  <c r="L13" i="28"/>
  <c r="K178" i="59"/>
  <c r="J42" i="29"/>
  <c r="J44" i="29"/>
  <c r="L6" i="28"/>
  <c r="K172" i="59"/>
  <c r="K206" i="59"/>
  <c r="K208" i="59"/>
  <c r="J35" i="64"/>
  <c r="I94" i="48"/>
  <c r="J14" i="67"/>
  <c r="J17" i="67"/>
  <c r="J18" i="67"/>
  <c r="J20" i="67"/>
  <c r="J39" i="64"/>
  <c r="J39" i="50"/>
  <c r="J43" i="50"/>
  <c r="J40" i="64"/>
  <c r="J70" i="50"/>
  <c r="J41" i="64"/>
  <c r="J38" i="64"/>
  <c r="J43" i="64"/>
  <c r="J45" i="64"/>
  <c r="J48" i="64"/>
  <c r="J50" i="64"/>
  <c r="J67" i="64"/>
  <c r="J70" i="64"/>
  <c r="K69" i="64"/>
  <c r="J35" i="48"/>
  <c r="J46" i="48"/>
  <c r="J74" i="48"/>
  <c r="J76" i="48"/>
  <c r="J85" i="48"/>
  <c r="L125" i="59"/>
  <c r="D85" i="49"/>
  <c r="M85" i="49"/>
  <c r="M139" i="49"/>
  <c r="M140" i="49"/>
  <c r="M141" i="49"/>
  <c r="J47" i="48"/>
  <c r="J86" i="48"/>
  <c r="L126" i="59"/>
  <c r="L127" i="59"/>
  <c r="J36" i="48"/>
  <c r="J40" i="48"/>
  <c r="J41" i="48"/>
  <c r="J42" i="48"/>
  <c r="J75" i="48"/>
  <c r="J79" i="48"/>
  <c r="J80" i="48"/>
  <c r="J81" i="48"/>
  <c r="L120" i="59"/>
  <c r="D12" i="49"/>
  <c r="M12" i="49"/>
  <c r="M66" i="49"/>
  <c r="M67" i="49"/>
  <c r="M68" i="49"/>
  <c r="J43" i="48"/>
  <c r="J82" i="48"/>
  <c r="L121" i="59"/>
  <c r="L122" i="59"/>
  <c r="J30" i="48"/>
  <c r="J69" i="48"/>
  <c r="L116" i="59"/>
  <c r="L129" i="59"/>
  <c r="J95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439" i="6"/>
  <c r="O441" i="6"/>
  <c r="O448" i="6"/>
  <c r="O450" i="6"/>
  <c r="O457" i="6"/>
  <c r="O459" i="6"/>
  <c r="O529" i="6"/>
  <c r="O531" i="6"/>
  <c r="O540" i="6"/>
  <c r="O541" i="6"/>
  <c r="O542" i="6"/>
  <c r="O544" i="6"/>
  <c r="O133" i="6"/>
  <c r="O543" i="6"/>
  <c r="O545" i="6"/>
  <c r="O284" i="6"/>
  <c r="O285" i="6"/>
  <c r="O289" i="6"/>
  <c r="L164" i="59"/>
  <c r="O227" i="6"/>
  <c r="O292" i="6"/>
  <c r="O375" i="6"/>
  <c r="O548" i="6"/>
  <c r="L165" i="59"/>
  <c r="L167" i="59"/>
  <c r="L150" i="59"/>
  <c r="L152" i="59"/>
  <c r="L153" i="59"/>
  <c r="L154" i="59"/>
  <c r="L169" i="59"/>
  <c r="M69" i="33"/>
  <c r="M39" i="28"/>
  <c r="L204" i="59"/>
  <c r="L57" i="57"/>
  <c r="L144" i="59"/>
  <c r="L30" i="57"/>
  <c r="L142" i="59"/>
  <c r="L43" i="57"/>
  <c r="L143" i="59"/>
  <c r="L71" i="57"/>
  <c r="L145" i="59"/>
  <c r="L15" i="57"/>
  <c r="L141" i="59"/>
  <c r="L73" i="57"/>
  <c r="L146" i="59"/>
  <c r="L147" i="59"/>
  <c r="O137" i="6"/>
  <c r="K8" i="29"/>
  <c r="K9" i="29"/>
  <c r="K10" i="29"/>
  <c r="K32" i="29"/>
  <c r="K33" i="29"/>
  <c r="K35" i="29"/>
  <c r="M12" i="28"/>
  <c r="M13" i="28"/>
  <c r="L178" i="59"/>
  <c r="K42" i="29"/>
  <c r="K44" i="29"/>
  <c r="M6" i="28"/>
  <c r="L172" i="59"/>
  <c r="L206" i="59"/>
  <c r="L208" i="59"/>
  <c r="K35" i="64"/>
  <c r="J94" i="48"/>
  <c r="K14" i="67"/>
  <c r="K17" i="67"/>
  <c r="K18" i="67"/>
  <c r="K20" i="67"/>
  <c r="K39" i="64"/>
  <c r="K39" i="50"/>
  <c r="K43" i="50"/>
  <c r="K40" i="64"/>
  <c r="K70" i="50"/>
  <c r="K41" i="64"/>
  <c r="K38" i="64"/>
  <c r="K43" i="64"/>
  <c r="K45" i="64"/>
  <c r="K48" i="64"/>
  <c r="K50" i="64"/>
  <c r="K67" i="64"/>
  <c r="K70" i="64"/>
  <c r="L69" i="64"/>
  <c r="K35" i="48"/>
  <c r="K46" i="48"/>
  <c r="K74" i="48"/>
  <c r="K76" i="48"/>
  <c r="K85" i="48"/>
  <c r="M125" i="59"/>
  <c r="D86" i="49"/>
  <c r="N86" i="49"/>
  <c r="N139" i="49"/>
  <c r="N140" i="49"/>
  <c r="N141" i="49"/>
  <c r="K47" i="48"/>
  <c r="K86" i="48"/>
  <c r="M126" i="59"/>
  <c r="M127" i="59"/>
  <c r="K36" i="48"/>
  <c r="K40" i="48"/>
  <c r="K41" i="48"/>
  <c r="K42" i="48"/>
  <c r="K75" i="48"/>
  <c r="K79" i="48"/>
  <c r="K80" i="48"/>
  <c r="K81" i="48"/>
  <c r="M120" i="59"/>
  <c r="D13" i="49"/>
  <c r="N13" i="49"/>
  <c r="N66" i="49"/>
  <c r="N67" i="49"/>
  <c r="N68" i="49"/>
  <c r="K43" i="48"/>
  <c r="K82" i="48"/>
  <c r="M121" i="59"/>
  <c r="M122" i="59"/>
  <c r="K30" i="48"/>
  <c r="K69" i="48"/>
  <c r="M116" i="59"/>
  <c r="M129" i="59"/>
  <c r="K95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439" i="6"/>
  <c r="P441" i="6"/>
  <c r="P448" i="6"/>
  <c r="P450" i="6"/>
  <c r="P457" i="6"/>
  <c r="P459" i="6"/>
  <c r="P529" i="6"/>
  <c r="P531" i="6"/>
  <c r="P540" i="6"/>
  <c r="P541" i="6"/>
  <c r="P542" i="6"/>
  <c r="P544" i="6"/>
  <c r="P133" i="6"/>
  <c r="P543" i="6"/>
  <c r="P545" i="6"/>
  <c r="P284" i="6"/>
  <c r="P285" i="6"/>
  <c r="P289" i="6"/>
  <c r="M164" i="59"/>
  <c r="P227" i="6"/>
  <c r="P292" i="6"/>
  <c r="P375" i="6"/>
  <c r="P548" i="6"/>
  <c r="M165" i="59"/>
  <c r="M167" i="59"/>
  <c r="M150" i="59"/>
  <c r="M152" i="59"/>
  <c r="M153" i="59"/>
  <c r="M154" i="59"/>
  <c r="M169" i="59"/>
  <c r="N69" i="33"/>
  <c r="N39" i="28"/>
  <c r="M204" i="59"/>
  <c r="M57" i="57"/>
  <c r="M144" i="59"/>
  <c r="M30" i="57"/>
  <c r="M142" i="59"/>
  <c r="M43" i="57"/>
  <c r="M143" i="59"/>
  <c r="M71" i="57"/>
  <c r="M145" i="59"/>
  <c r="M15" i="57"/>
  <c r="M141" i="59"/>
  <c r="M73" i="57"/>
  <c r="M146" i="59"/>
  <c r="M147" i="59"/>
  <c r="P137" i="6"/>
  <c r="L8" i="29"/>
  <c r="L9" i="29"/>
  <c r="L10" i="29"/>
  <c r="L32" i="29"/>
  <c r="L33" i="29"/>
  <c r="L35" i="29"/>
  <c r="N12" i="28"/>
  <c r="N13" i="28"/>
  <c r="M178" i="59"/>
  <c r="L42" i="29"/>
  <c r="L44" i="29"/>
  <c r="N6" i="28"/>
  <c r="M172" i="59"/>
  <c r="M206" i="59"/>
  <c r="M208" i="59"/>
  <c r="L35" i="64"/>
  <c r="K94" i="48"/>
  <c r="L14" i="67"/>
  <c r="L17" i="67"/>
  <c r="L18" i="67"/>
  <c r="L20" i="67"/>
  <c r="L39" i="64"/>
  <c r="L39" i="50"/>
  <c r="L43" i="50"/>
  <c r="L40" i="64"/>
  <c r="L70" i="50"/>
  <c r="L41" i="64"/>
  <c r="L38" i="64"/>
  <c r="L43" i="64"/>
  <c r="L45" i="64"/>
  <c r="L48" i="64"/>
  <c r="L50" i="64"/>
  <c r="L67" i="64"/>
  <c r="L70" i="64"/>
  <c r="M69" i="64"/>
  <c r="L35" i="48"/>
  <c r="L46" i="48"/>
  <c r="L74" i="48"/>
  <c r="L76" i="48"/>
  <c r="L85" i="48"/>
  <c r="N125" i="59"/>
  <c r="D87" i="49"/>
  <c r="O87" i="49"/>
  <c r="O139" i="49"/>
  <c r="O140" i="49"/>
  <c r="O141" i="49"/>
  <c r="L47" i="48"/>
  <c r="L86" i="48"/>
  <c r="N126" i="59"/>
  <c r="N127" i="59"/>
  <c r="L36" i="48"/>
  <c r="L40" i="48"/>
  <c r="L41" i="48"/>
  <c r="L42" i="48"/>
  <c r="L75" i="48"/>
  <c r="L79" i="48"/>
  <c r="L80" i="48"/>
  <c r="L81" i="48"/>
  <c r="N120" i="59"/>
  <c r="D14" i="49"/>
  <c r="O14" i="49"/>
  <c r="O66" i="49"/>
  <c r="O67" i="49"/>
  <c r="O68" i="49"/>
  <c r="L43" i="48"/>
  <c r="L82" i="48"/>
  <c r="N121" i="59"/>
  <c r="N122" i="59"/>
  <c r="L30" i="48"/>
  <c r="L69" i="48"/>
  <c r="N116" i="59"/>
  <c r="N129" i="59"/>
  <c r="L95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439" i="6"/>
  <c r="Q441" i="6"/>
  <c r="Q448" i="6"/>
  <c r="Q450" i="6"/>
  <c r="Q457" i="6"/>
  <c r="Q459" i="6"/>
  <c r="Q529" i="6"/>
  <c r="Q531" i="6"/>
  <c r="Q540" i="6"/>
  <c r="Q541" i="6"/>
  <c r="Q542" i="6"/>
  <c r="Q544" i="6"/>
  <c r="Q133" i="6"/>
  <c r="Q543" i="6"/>
  <c r="Q545" i="6"/>
  <c r="Q284" i="6"/>
  <c r="Q285" i="6"/>
  <c r="Q289" i="6"/>
  <c r="N164" i="59"/>
  <c r="Q227" i="6"/>
  <c r="Q292" i="6"/>
  <c r="Q375" i="6"/>
  <c r="Q548" i="6"/>
  <c r="N165" i="59"/>
  <c r="N167" i="59"/>
  <c r="N150" i="59"/>
  <c r="N152" i="59"/>
  <c r="N153" i="59"/>
  <c r="N154" i="59"/>
  <c r="N169" i="59"/>
  <c r="O69" i="33"/>
  <c r="O39" i="28"/>
  <c r="N204" i="59"/>
  <c r="N57" i="57"/>
  <c r="N144" i="59"/>
  <c r="N30" i="57"/>
  <c r="N142" i="59"/>
  <c r="N43" i="57"/>
  <c r="N143" i="59"/>
  <c r="N71" i="57"/>
  <c r="N145" i="59"/>
  <c r="N15" i="57"/>
  <c r="N141" i="59"/>
  <c r="N73" i="57"/>
  <c r="N146" i="59"/>
  <c r="N147" i="59"/>
  <c r="Q137" i="6"/>
  <c r="M8" i="29"/>
  <c r="M9" i="29"/>
  <c r="M10" i="29"/>
  <c r="M32" i="29"/>
  <c r="M33" i="29"/>
  <c r="M35" i="29"/>
  <c r="O12" i="28"/>
  <c r="O13" i="28"/>
  <c r="N178" i="59"/>
  <c r="M42" i="29"/>
  <c r="M44" i="29"/>
  <c r="O6" i="28"/>
  <c r="N172" i="59"/>
  <c r="N206" i="59"/>
  <c r="N208" i="59"/>
  <c r="M35" i="64"/>
  <c r="L94" i="48"/>
  <c r="M14" i="67"/>
  <c r="M17" i="67"/>
  <c r="M18" i="67"/>
  <c r="M20" i="67"/>
  <c r="M39" i="64"/>
  <c r="M39" i="50"/>
  <c r="M43" i="50"/>
  <c r="M40" i="64"/>
  <c r="M70" i="50"/>
  <c r="M41" i="64"/>
  <c r="M38" i="64"/>
  <c r="M43" i="64"/>
  <c r="M45" i="64"/>
  <c r="M48" i="64"/>
  <c r="M50" i="64"/>
  <c r="M67" i="64"/>
  <c r="M70" i="64"/>
  <c r="N69" i="64"/>
  <c r="M35" i="48"/>
  <c r="M46" i="48"/>
  <c r="M74" i="48"/>
  <c r="M76" i="48"/>
  <c r="M85" i="48"/>
  <c r="O125" i="59"/>
  <c r="D88" i="49"/>
  <c r="P88" i="49"/>
  <c r="P139" i="49"/>
  <c r="P140" i="49"/>
  <c r="P141" i="49"/>
  <c r="M47" i="48"/>
  <c r="M86" i="48"/>
  <c r="O126" i="59"/>
  <c r="O127" i="59"/>
  <c r="M36" i="48"/>
  <c r="M40" i="48"/>
  <c r="M41" i="48"/>
  <c r="M42" i="48"/>
  <c r="M75" i="48"/>
  <c r="M79" i="48"/>
  <c r="M80" i="48"/>
  <c r="M81" i="48"/>
  <c r="O120" i="59"/>
  <c r="D15" i="49"/>
  <c r="P15" i="49"/>
  <c r="P66" i="49"/>
  <c r="P67" i="49"/>
  <c r="P68" i="49"/>
  <c r="M43" i="48"/>
  <c r="M82" i="48"/>
  <c r="O121" i="59"/>
  <c r="O122" i="59"/>
  <c r="M30" i="48"/>
  <c r="M69" i="48"/>
  <c r="O116" i="59"/>
  <c r="O129" i="59"/>
  <c r="M95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439" i="6"/>
  <c r="R441" i="6"/>
  <c r="R448" i="6"/>
  <c r="R450" i="6"/>
  <c r="R457" i="6"/>
  <c r="R459" i="6"/>
  <c r="R529" i="6"/>
  <c r="R531" i="6"/>
  <c r="R540" i="6"/>
  <c r="R541" i="6"/>
  <c r="R542" i="6"/>
  <c r="R544" i="6"/>
  <c r="R133" i="6"/>
  <c r="R543" i="6"/>
  <c r="R545" i="6"/>
  <c r="R284" i="6"/>
  <c r="R285" i="6"/>
  <c r="R289" i="6"/>
  <c r="O164" i="59"/>
  <c r="R227" i="6"/>
  <c r="R292" i="6"/>
  <c r="R375" i="6"/>
  <c r="R548" i="6"/>
  <c r="O165" i="59"/>
  <c r="O167" i="59"/>
  <c r="O150" i="59"/>
  <c r="O152" i="59"/>
  <c r="O153" i="59"/>
  <c r="O154" i="59"/>
  <c r="O169" i="59"/>
  <c r="P69" i="33"/>
  <c r="P39" i="28"/>
  <c r="O204" i="59"/>
  <c r="O57" i="57"/>
  <c r="O144" i="59"/>
  <c r="O30" i="57"/>
  <c r="O142" i="59"/>
  <c r="O43" i="57"/>
  <c r="O143" i="59"/>
  <c r="O71" i="57"/>
  <c r="O145" i="59"/>
  <c r="O15" i="57"/>
  <c r="O141" i="59"/>
  <c r="O73" i="57"/>
  <c r="O146" i="59"/>
  <c r="O147" i="59"/>
  <c r="R137" i="6"/>
  <c r="N8" i="29"/>
  <c r="N9" i="29"/>
  <c r="N10" i="29"/>
  <c r="N32" i="29"/>
  <c r="N33" i="29"/>
  <c r="N35" i="29"/>
  <c r="P12" i="28"/>
  <c r="P13" i="28"/>
  <c r="O178" i="59"/>
  <c r="N42" i="29"/>
  <c r="N44" i="29"/>
  <c r="P6" i="28"/>
  <c r="O172" i="59"/>
  <c r="O206" i="59"/>
  <c r="O208" i="59"/>
  <c r="N35" i="64"/>
  <c r="M94" i="48"/>
  <c r="N14" i="67"/>
  <c r="N17" i="67"/>
  <c r="N18" i="67"/>
  <c r="N20" i="67"/>
  <c r="N39" i="64"/>
  <c r="N39" i="50"/>
  <c r="N43" i="50"/>
  <c r="N40" i="64"/>
  <c r="N70" i="50"/>
  <c r="N41" i="64"/>
  <c r="N38" i="64"/>
  <c r="N43" i="64"/>
  <c r="N45" i="64"/>
  <c r="N48" i="64"/>
  <c r="N50" i="64"/>
  <c r="N67" i="64"/>
  <c r="N70" i="64"/>
  <c r="O69" i="64"/>
  <c r="N35" i="48"/>
  <c r="N46" i="48"/>
  <c r="N74" i="48"/>
  <c r="N76" i="48"/>
  <c r="N85" i="48"/>
  <c r="P125" i="59"/>
  <c r="D89" i="49"/>
  <c r="Q89" i="49"/>
  <c r="Q139" i="49"/>
  <c r="Q140" i="49"/>
  <c r="Q141" i="49"/>
  <c r="N47" i="48"/>
  <c r="N86" i="48"/>
  <c r="P126" i="59"/>
  <c r="P127" i="59"/>
  <c r="N36" i="48"/>
  <c r="N40" i="48"/>
  <c r="N41" i="48"/>
  <c r="N42" i="48"/>
  <c r="N75" i="48"/>
  <c r="N79" i="48"/>
  <c r="N80" i="48"/>
  <c r="N81" i="48"/>
  <c r="P120" i="59"/>
  <c r="D16" i="49"/>
  <c r="Q16" i="49"/>
  <c r="Q66" i="49"/>
  <c r="Q67" i="49"/>
  <c r="Q68" i="49"/>
  <c r="N43" i="48"/>
  <c r="N82" i="48"/>
  <c r="P121" i="59"/>
  <c r="P122" i="59"/>
  <c r="N30" i="48"/>
  <c r="N69" i="48"/>
  <c r="P116" i="59"/>
  <c r="P129" i="59"/>
  <c r="N95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439" i="6"/>
  <c r="S441" i="6"/>
  <c r="S448" i="6"/>
  <c r="S450" i="6"/>
  <c r="S457" i="6"/>
  <c r="S459" i="6"/>
  <c r="S529" i="6"/>
  <c r="S531" i="6"/>
  <c r="S540" i="6"/>
  <c r="S541" i="6"/>
  <c r="S542" i="6"/>
  <c r="S544" i="6"/>
  <c r="S133" i="6"/>
  <c r="S543" i="6"/>
  <c r="S545" i="6"/>
  <c r="S284" i="6"/>
  <c r="S285" i="6"/>
  <c r="S289" i="6"/>
  <c r="P164" i="59"/>
  <c r="S228" i="6"/>
  <c r="S376" i="6"/>
  <c r="S549" i="6"/>
  <c r="P166" i="59"/>
  <c r="S227" i="6"/>
  <c r="S292" i="6"/>
  <c r="S375" i="6"/>
  <c r="S548" i="6"/>
  <c r="P165" i="59"/>
  <c r="P167" i="59"/>
  <c r="P150" i="59"/>
  <c r="P152" i="59"/>
  <c r="P153" i="59"/>
  <c r="P154" i="59"/>
  <c r="P169" i="59"/>
  <c r="Q69" i="33"/>
  <c r="Q39" i="28"/>
  <c r="P204" i="59"/>
  <c r="P57" i="57"/>
  <c r="P144" i="59"/>
  <c r="P30" i="57"/>
  <c r="P142" i="59"/>
  <c r="P43" i="57"/>
  <c r="P143" i="59"/>
  <c r="P71" i="57"/>
  <c r="P145" i="59"/>
  <c r="P15" i="57"/>
  <c r="P141" i="59"/>
  <c r="P73" i="57"/>
  <c r="P146" i="59"/>
  <c r="P147" i="59"/>
  <c r="O10" i="29"/>
  <c r="O32" i="29"/>
  <c r="O33" i="29"/>
  <c r="O35" i="29"/>
  <c r="Q12" i="28"/>
  <c r="Q13" i="28"/>
  <c r="P178" i="59"/>
  <c r="O42" i="29"/>
  <c r="O44" i="29"/>
  <c r="Q6" i="28"/>
  <c r="P172" i="59"/>
  <c r="P206" i="59"/>
  <c r="P208" i="59"/>
  <c r="O35" i="64"/>
  <c r="N94" i="48"/>
  <c r="O14" i="67"/>
  <c r="O17" i="67"/>
  <c r="O18" i="67"/>
  <c r="O20" i="67"/>
  <c r="O39" i="64"/>
  <c r="O39" i="50"/>
  <c r="O43" i="50"/>
  <c r="O40" i="64"/>
  <c r="O70" i="50"/>
  <c r="O41" i="64"/>
  <c r="O38" i="64"/>
  <c r="O43" i="64"/>
  <c r="O45" i="64"/>
  <c r="O48" i="64"/>
  <c r="O50" i="64"/>
  <c r="O67" i="64"/>
  <c r="O70" i="64"/>
  <c r="P69" i="64"/>
  <c r="P70" i="64"/>
  <c r="Q69" i="64"/>
  <c r="S79" i="49"/>
  <c r="P35" i="48"/>
  <c r="D91" i="49"/>
  <c r="S91" i="49"/>
  <c r="S139" i="49"/>
  <c r="S140" i="49"/>
  <c r="S141" i="49"/>
  <c r="P47" i="48"/>
  <c r="P86" i="48"/>
  <c r="R126" i="59"/>
  <c r="P46" i="48"/>
  <c r="P74" i="48"/>
  <c r="P76" i="48"/>
  <c r="P85" i="48"/>
  <c r="R125" i="59"/>
  <c r="R127" i="59"/>
  <c r="S6" i="49"/>
  <c r="P36" i="48"/>
  <c r="D18" i="49"/>
  <c r="S18" i="49"/>
  <c r="S66" i="49"/>
  <c r="S67" i="49"/>
  <c r="S68" i="49"/>
  <c r="P43" i="48"/>
  <c r="P82" i="48"/>
  <c r="R121" i="59"/>
  <c r="P40" i="48"/>
  <c r="P41" i="48"/>
  <c r="P42" i="48"/>
  <c r="P75" i="48"/>
  <c r="P79" i="48"/>
  <c r="P80" i="48"/>
  <c r="P81" i="48"/>
  <c r="R120" i="59"/>
  <c r="R122" i="59"/>
  <c r="P30" i="48"/>
  <c r="P60" i="48"/>
  <c r="P61" i="48"/>
  <c r="P62" i="48"/>
  <c r="P63" i="48"/>
  <c r="P67" i="48"/>
  <c r="P69" i="48"/>
  <c r="R116" i="59"/>
  <c r="R129" i="59"/>
  <c r="P95" i="48"/>
  <c r="S49" i="68"/>
  <c r="S50" i="68"/>
  <c r="S74" i="68"/>
  <c r="U193" i="6"/>
  <c r="S72" i="68"/>
  <c r="U175" i="6"/>
  <c r="S71" i="68"/>
  <c r="U166" i="6"/>
  <c r="S73" i="68"/>
  <c r="U184" i="6"/>
  <c r="U209" i="6"/>
  <c r="U164" i="6"/>
  <c r="U165" i="6"/>
  <c r="U208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439" i="6"/>
  <c r="U441" i="6"/>
  <c r="U448" i="6"/>
  <c r="U450" i="6"/>
  <c r="U529" i="6"/>
  <c r="U531" i="6"/>
  <c r="U540" i="6"/>
  <c r="U541" i="6"/>
  <c r="U542" i="6"/>
  <c r="U544" i="6"/>
  <c r="U545" i="6"/>
  <c r="U284" i="6"/>
  <c r="U285" i="6"/>
  <c r="U289" i="6"/>
  <c r="R164" i="59"/>
  <c r="U228" i="6"/>
  <c r="U376" i="6"/>
  <c r="U549" i="6"/>
  <c r="R166" i="59"/>
  <c r="U227" i="6"/>
  <c r="U292" i="6"/>
  <c r="U375" i="6"/>
  <c r="U548" i="6"/>
  <c r="R165" i="59"/>
  <c r="R167" i="59"/>
  <c r="R150" i="59"/>
  <c r="R152" i="59"/>
  <c r="R153" i="59"/>
  <c r="R154" i="59"/>
  <c r="R169" i="59"/>
  <c r="S12" i="33"/>
  <c r="S11" i="33"/>
  <c r="S13" i="33"/>
  <c r="S8" i="33"/>
  <c r="S9" i="33"/>
  <c r="S10" i="33"/>
  <c r="S7" i="33"/>
  <c r="S14" i="33"/>
  <c r="S15" i="33"/>
  <c r="S16" i="33"/>
  <c r="S17" i="33"/>
  <c r="S18" i="33"/>
  <c r="S19" i="33"/>
  <c r="S20" i="33"/>
  <c r="S19" i="30"/>
  <c r="S20" i="30"/>
  <c r="S21" i="30"/>
  <c r="S24" i="30"/>
  <c r="S25" i="30"/>
  <c r="S26" i="30"/>
  <c r="S29" i="30"/>
  <c r="S30" i="30"/>
  <c r="S33" i="30"/>
  <c r="S45" i="30"/>
  <c r="S47" i="30"/>
  <c r="S49" i="30"/>
  <c r="S12" i="30"/>
  <c r="S13" i="30"/>
  <c r="S14" i="30"/>
  <c r="S7" i="30"/>
  <c r="S8" i="30"/>
  <c r="S9" i="30"/>
  <c r="S51" i="30"/>
  <c r="D21" i="33"/>
  <c r="S21" i="33"/>
  <c r="S69" i="33"/>
  <c r="S39" i="28"/>
  <c r="R204" i="59"/>
  <c r="R57" i="57"/>
  <c r="R144" i="59"/>
  <c r="R30" i="57"/>
  <c r="R142" i="59"/>
  <c r="R43" i="57"/>
  <c r="R143" i="59"/>
  <c r="R71" i="57"/>
  <c r="R145" i="59"/>
  <c r="R15" i="57"/>
  <c r="R141" i="59"/>
  <c r="R73" i="57"/>
  <c r="R146" i="59"/>
  <c r="R147" i="59"/>
  <c r="R206" i="59"/>
  <c r="R208" i="59"/>
  <c r="Q35" i="64"/>
  <c r="P94" i="48"/>
  <c r="Q14" i="67"/>
  <c r="Q17" i="67"/>
  <c r="Q18" i="67"/>
  <c r="Q20" i="67"/>
  <c r="Q39" i="64"/>
  <c r="Q65" i="50"/>
  <c r="Q38" i="50"/>
  <c r="Q34" i="50"/>
  <c r="Q27" i="50"/>
  <c r="Q35" i="50"/>
  <c r="Q66" i="50"/>
  <c r="Q67" i="50"/>
  <c r="Q68" i="50"/>
  <c r="Q69" i="50"/>
  <c r="Q70" i="50"/>
  <c r="Q41" i="64"/>
  <c r="Q39" i="50"/>
  <c r="Q43" i="50"/>
  <c r="Q40" i="64"/>
  <c r="Q38" i="64"/>
  <c r="Q43" i="64"/>
  <c r="Q45" i="64"/>
  <c r="Q48" i="64"/>
  <c r="Q50" i="64"/>
  <c r="Q67" i="64"/>
  <c r="Q70" i="64"/>
  <c r="R69" i="64"/>
  <c r="T80" i="49"/>
  <c r="Q35" i="48"/>
  <c r="D92" i="49"/>
  <c r="T92" i="49"/>
  <c r="T139" i="49"/>
  <c r="T140" i="49"/>
  <c r="T141" i="49"/>
  <c r="Q47" i="48"/>
  <c r="Q86" i="48"/>
  <c r="S126" i="59"/>
  <c r="Q46" i="48"/>
  <c r="Q74" i="48"/>
  <c r="Q76" i="48"/>
  <c r="Q85" i="48"/>
  <c r="S125" i="59"/>
  <c r="S127" i="59"/>
  <c r="T7" i="49"/>
  <c r="Q36" i="48"/>
  <c r="D19" i="49"/>
  <c r="T19" i="49"/>
  <c r="T66" i="49"/>
  <c r="T67" i="49"/>
  <c r="T68" i="49"/>
  <c r="Q43" i="48"/>
  <c r="Q82" i="48"/>
  <c r="S121" i="59"/>
  <c r="Q40" i="48"/>
  <c r="Q41" i="48"/>
  <c r="Q42" i="48"/>
  <c r="Q75" i="48"/>
  <c r="Q79" i="48"/>
  <c r="Q80" i="48"/>
  <c r="Q81" i="48"/>
  <c r="S120" i="59"/>
  <c r="S122" i="59"/>
  <c r="Q30" i="48"/>
  <c r="Q60" i="48"/>
  <c r="Q61" i="48"/>
  <c r="Q62" i="48"/>
  <c r="Q63" i="48"/>
  <c r="Q67" i="48"/>
  <c r="Q69" i="48"/>
  <c r="S116" i="59"/>
  <c r="S129" i="59"/>
  <c r="Q95" i="48"/>
  <c r="T49" i="68"/>
  <c r="T50" i="68"/>
  <c r="T74" i="68"/>
  <c r="V193" i="6"/>
  <c r="T72" i="68"/>
  <c r="V175" i="6"/>
  <c r="T71" i="68"/>
  <c r="V166" i="6"/>
  <c r="T73" i="68"/>
  <c r="V184" i="6"/>
  <c r="V209" i="6"/>
  <c r="V164" i="6"/>
  <c r="V165" i="6"/>
  <c r="V208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439" i="6"/>
  <c r="V441" i="6"/>
  <c r="V448" i="6"/>
  <c r="V450" i="6"/>
  <c r="V529" i="6"/>
  <c r="V531" i="6"/>
  <c r="V540" i="6"/>
  <c r="V541" i="6"/>
  <c r="V542" i="6"/>
  <c r="V544" i="6"/>
  <c r="V545" i="6"/>
  <c r="V284" i="6"/>
  <c r="V285" i="6"/>
  <c r="V289" i="6"/>
  <c r="S164" i="59"/>
  <c r="V228" i="6"/>
  <c r="V376" i="6"/>
  <c r="V549" i="6"/>
  <c r="S166" i="59"/>
  <c r="V227" i="6"/>
  <c r="V292" i="6"/>
  <c r="V375" i="6"/>
  <c r="V548" i="6"/>
  <c r="S165" i="59"/>
  <c r="S167" i="59"/>
  <c r="S150" i="59"/>
  <c r="S152" i="59"/>
  <c r="S153" i="59"/>
  <c r="S154" i="59"/>
  <c r="S169" i="59"/>
  <c r="T12" i="33"/>
  <c r="T11" i="33"/>
  <c r="T13" i="33"/>
  <c r="T8" i="33"/>
  <c r="T9" i="33"/>
  <c r="T10" i="33"/>
  <c r="T7" i="33"/>
  <c r="T14" i="33"/>
  <c r="T15" i="33"/>
  <c r="T16" i="33"/>
  <c r="T17" i="33"/>
  <c r="T18" i="33"/>
  <c r="T19" i="33"/>
  <c r="T20" i="33"/>
  <c r="T21" i="33"/>
  <c r="T19" i="30"/>
  <c r="T20" i="30"/>
  <c r="T21" i="30"/>
  <c r="T24" i="30"/>
  <c r="T25" i="30"/>
  <c r="T26" i="30"/>
  <c r="T29" i="30"/>
  <c r="T30" i="30"/>
  <c r="T33" i="30"/>
  <c r="T45" i="30"/>
  <c r="T47" i="30"/>
  <c r="T49" i="30"/>
  <c r="T12" i="30"/>
  <c r="T13" i="30"/>
  <c r="T14" i="30"/>
  <c r="T7" i="30"/>
  <c r="T8" i="30"/>
  <c r="T9" i="30"/>
  <c r="T51" i="30"/>
  <c r="D22" i="33"/>
  <c r="T22" i="33"/>
  <c r="T69" i="33"/>
  <c r="T39" i="28"/>
  <c r="S204" i="59"/>
  <c r="S57" i="57"/>
  <c r="S144" i="59"/>
  <c r="S30" i="57"/>
  <c r="S142" i="59"/>
  <c r="S43" i="57"/>
  <c r="S143" i="59"/>
  <c r="S71" i="57"/>
  <c r="S145" i="59"/>
  <c r="S15" i="57"/>
  <c r="S141" i="59"/>
  <c r="S73" i="57"/>
  <c r="S146" i="59"/>
  <c r="S147" i="59"/>
  <c r="S206" i="59"/>
  <c r="S208" i="59"/>
  <c r="R35" i="64"/>
  <c r="Q94" i="48"/>
  <c r="R14" i="67"/>
  <c r="R17" i="67"/>
  <c r="R18" i="67"/>
  <c r="R20" i="67"/>
  <c r="R39" i="64"/>
  <c r="R65" i="50"/>
  <c r="R38" i="50"/>
  <c r="R34" i="50"/>
  <c r="R27" i="50"/>
  <c r="R35" i="50"/>
  <c r="R66" i="50"/>
  <c r="R67" i="50"/>
  <c r="R68" i="50"/>
  <c r="R69" i="50"/>
  <c r="R70" i="50"/>
  <c r="R41" i="64"/>
  <c r="R39" i="50"/>
  <c r="R43" i="50"/>
  <c r="R40" i="64"/>
  <c r="R38" i="64"/>
  <c r="R43" i="64"/>
  <c r="R45" i="64"/>
  <c r="R48" i="64"/>
  <c r="R50" i="64"/>
  <c r="R67" i="64"/>
  <c r="R70" i="64"/>
  <c r="S69" i="64"/>
  <c r="U81" i="49"/>
  <c r="R35" i="48"/>
  <c r="D93" i="49"/>
  <c r="U93" i="49"/>
  <c r="U139" i="49"/>
  <c r="U140" i="49"/>
  <c r="U141" i="49"/>
  <c r="R47" i="48"/>
  <c r="R86" i="48"/>
  <c r="T126" i="59"/>
  <c r="R46" i="48"/>
  <c r="R74" i="48"/>
  <c r="R76" i="48"/>
  <c r="R85" i="48"/>
  <c r="T125" i="59"/>
  <c r="T127" i="59"/>
  <c r="U8" i="49"/>
  <c r="R36" i="48"/>
  <c r="D20" i="49"/>
  <c r="U20" i="49"/>
  <c r="U66" i="49"/>
  <c r="U67" i="49"/>
  <c r="U68" i="49"/>
  <c r="R43" i="48"/>
  <c r="R82" i="48"/>
  <c r="T121" i="59"/>
  <c r="R40" i="48"/>
  <c r="R41" i="48"/>
  <c r="R42" i="48"/>
  <c r="R75" i="48"/>
  <c r="R79" i="48"/>
  <c r="R80" i="48"/>
  <c r="R81" i="48"/>
  <c r="T120" i="59"/>
  <c r="T122" i="59"/>
  <c r="R30" i="48"/>
  <c r="R60" i="48"/>
  <c r="R61" i="48"/>
  <c r="R62" i="48"/>
  <c r="R63" i="48"/>
  <c r="R67" i="48"/>
  <c r="R69" i="48"/>
  <c r="T116" i="59"/>
  <c r="T129" i="59"/>
  <c r="R95" i="48"/>
  <c r="U49" i="68"/>
  <c r="U50" i="68"/>
  <c r="U74" i="68"/>
  <c r="W193" i="6"/>
  <c r="U72" i="68"/>
  <c r="W175" i="6"/>
  <c r="U71" i="68"/>
  <c r="W166" i="6"/>
  <c r="U73" i="68"/>
  <c r="W184" i="6"/>
  <c r="W209" i="6"/>
  <c r="W164" i="6"/>
  <c r="W165" i="6"/>
  <c r="W208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439" i="6"/>
  <c r="W441" i="6"/>
  <c r="W448" i="6"/>
  <c r="W450" i="6"/>
  <c r="W529" i="6"/>
  <c r="W531" i="6"/>
  <c r="W540" i="6"/>
  <c r="W541" i="6"/>
  <c r="W542" i="6"/>
  <c r="W544" i="6"/>
  <c r="W545" i="6"/>
  <c r="W284" i="6"/>
  <c r="W285" i="6"/>
  <c r="W289" i="6"/>
  <c r="T164" i="59"/>
  <c r="W228" i="6"/>
  <c r="W376" i="6"/>
  <c r="W549" i="6"/>
  <c r="T166" i="59"/>
  <c r="W227" i="6"/>
  <c r="W292" i="6"/>
  <c r="W375" i="6"/>
  <c r="W548" i="6"/>
  <c r="T165" i="59"/>
  <c r="T167" i="59"/>
  <c r="T150" i="59"/>
  <c r="T152" i="59"/>
  <c r="T153" i="59"/>
  <c r="T154" i="59"/>
  <c r="T169" i="59"/>
  <c r="U12" i="33"/>
  <c r="U11" i="33"/>
  <c r="U13" i="33"/>
  <c r="U8" i="33"/>
  <c r="U9" i="33"/>
  <c r="U10" i="33"/>
  <c r="U7" i="33"/>
  <c r="U14" i="33"/>
  <c r="U15" i="33"/>
  <c r="U16" i="33"/>
  <c r="U17" i="33"/>
  <c r="U18" i="33"/>
  <c r="U19" i="33"/>
  <c r="U20" i="33"/>
  <c r="U21" i="33"/>
  <c r="U22" i="33"/>
  <c r="U19" i="30"/>
  <c r="U20" i="30"/>
  <c r="U21" i="30"/>
  <c r="U24" i="30"/>
  <c r="U25" i="30"/>
  <c r="U26" i="30"/>
  <c r="U29" i="30"/>
  <c r="U30" i="30"/>
  <c r="U33" i="30"/>
  <c r="U45" i="30"/>
  <c r="U47" i="30"/>
  <c r="U49" i="30"/>
  <c r="U12" i="30"/>
  <c r="U13" i="30"/>
  <c r="U14" i="30"/>
  <c r="U7" i="30"/>
  <c r="U8" i="30"/>
  <c r="U9" i="30"/>
  <c r="U51" i="30"/>
  <c r="D23" i="33"/>
  <c r="U23" i="33"/>
  <c r="U69" i="33"/>
  <c r="U39" i="28"/>
  <c r="T204" i="59"/>
  <c r="T57" i="57"/>
  <c r="T144" i="59"/>
  <c r="T30" i="57"/>
  <c r="T142" i="59"/>
  <c r="T43" i="57"/>
  <c r="T143" i="59"/>
  <c r="T71" i="57"/>
  <c r="T145" i="59"/>
  <c r="T15" i="57"/>
  <c r="T141" i="59"/>
  <c r="T73" i="57"/>
  <c r="T146" i="59"/>
  <c r="T147" i="59"/>
  <c r="T206" i="59"/>
  <c r="T208" i="59"/>
  <c r="S35" i="64"/>
  <c r="R94" i="48"/>
  <c r="S14" i="67"/>
  <c r="S17" i="67"/>
  <c r="S18" i="67"/>
  <c r="S20" i="67"/>
  <c r="S39" i="64"/>
  <c r="S65" i="50"/>
  <c r="S38" i="50"/>
  <c r="S34" i="50"/>
  <c r="S27" i="50"/>
  <c r="S35" i="50"/>
  <c r="S66" i="50"/>
  <c r="S67" i="50"/>
  <c r="S68" i="50"/>
  <c r="S69" i="50"/>
  <c r="S70" i="50"/>
  <c r="S41" i="64"/>
  <c r="S39" i="50"/>
  <c r="S43" i="50"/>
  <c r="S40" i="64"/>
  <c r="S38" i="64"/>
  <c r="S43" i="64"/>
  <c r="S45" i="64"/>
  <c r="S48" i="64"/>
  <c r="S50" i="64"/>
  <c r="S67" i="64"/>
  <c r="S70" i="64"/>
  <c r="T69" i="64"/>
  <c r="V82" i="49"/>
  <c r="S35" i="48"/>
  <c r="D94" i="49"/>
  <c r="V94" i="49"/>
  <c r="V139" i="49"/>
  <c r="V140" i="49"/>
  <c r="V141" i="49"/>
  <c r="S47" i="48"/>
  <c r="S86" i="48"/>
  <c r="U126" i="59"/>
  <c r="S46" i="48"/>
  <c r="S74" i="48"/>
  <c r="S76" i="48"/>
  <c r="S85" i="48"/>
  <c r="U125" i="59"/>
  <c r="U127" i="59"/>
  <c r="V9" i="49"/>
  <c r="S36" i="48"/>
  <c r="D21" i="49"/>
  <c r="V21" i="49"/>
  <c r="V66" i="49"/>
  <c r="V67" i="49"/>
  <c r="V68" i="49"/>
  <c r="S43" i="48"/>
  <c r="S82" i="48"/>
  <c r="U121" i="59"/>
  <c r="S40" i="48"/>
  <c r="S41" i="48"/>
  <c r="S42" i="48"/>
  <c r="S75" i="48"/>
  <c r="S79" i="48"/>
  <c r="S80" i="48"/>
  <c r="S81" i="48"/>
  <c r="U120" i="59"/>
  <c r="U122" i="59"/>
  <c r="S30" i="48"/>
  <c r="S60" i="48"/>
  <c r="S61" i="48"/>
  <c r="S62" i="48"/>
  <c r="S63" i="48"/>
  <c r="S67" i="48"/>
  <c r="S69" i="48"/>
  <c r="U116" i="59"/>
  <c r="U129" i="59"/>
  <c r="S95" i="48"/>
  <c r="V49" i="68"/>
  <c r="V50" i="68"/>
  <c r="V74" i="68"/>
  <c r="X193" i="6"/>
  <c r="V72" i="68"/>
  <c r="X175" i="6"/>
  <c r="V71" i="68"/>
  <c r="X166" i="6"/>
  <c r="V73" i="68"/>
  <c r="X184" i="6"/>
  <c r="X209" i="6"/>
  <c r="X164" i="6"/>
  <c r="X165" i="6"/>
  <c r="X208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439" i="6"/>
  <c r="X441" i="6"/>
  <c r="X448" i="6"/>
  <c r="X450" i="6"/>
  <c r="X529" i="6"/>
  <c r="X531" i="6"/>
  <c r="X540" i="6"/>
  <c r="X541" i="6"/>
  <c r="X542" i="6"/>
  <c r="X544" i="6"/>
  <c r="X545" i="6"/>
  <c r="X284" i="6"/>
  <c r="X285" i="6"/>
  <c r="X289" i="6"/>
  <c r="U164" i="59"/>
  <c r="X228" i="6"/>
  <c r="X376" i="6"/>
  <c r="X549" i="6"/>
  <c r="U166" i="59"/>
  <c r="X227" i="6"/>
  <c r="X292" i="6"/>
  <c r="X375" i="6"/>
  <c r="X548" i="6"/>
  <c r="U165" i="59"/>
  <c r="U167" i="59"/>
  <c r="U150" i="59"/>
  <c r="U152" i="59"/>
  <c r="U153" i="59"/>
  <c r="U154" i="59"/>
  <c r="U169" i="59"/>
  <c r="V12" i="33"/>
  <c r="V11" i="33"/>
  <c r="V13" i="33"/>
  <c r="V8" i="33"/>
  <c r="V9" i="33"/>
  <c r="V10" i="33"/>
  <c r="V7" i="33"/>
  <c r="V14" i="33"/>
  <c r="V15" i="33"/>
  <c r="V16" i="33"/>
  <c r="V17" i="33"/>
  <c r="V18" i="33"/>
  <c r="V19" i="33"/>
  <c r="V20" i="33"/>
  <c r="V21" i="33"/>
  <c r="V22" i="33"/>
  <c r="V23" i="33"/>
  <c r="V19" i="30"/>
  <c r="V20" i="30"/>
  <c r="V21" i="30"/>
  <c r="V24" i="30"/>
  <c r="V25" i="30"/>
  <c r="V26" i="30"/>
  <c r="V29" i="30"/>
  <c r="V30" i="30"/>
  <c r="V33" i="30"/>
  <c r="V45" i="30"/>
  <c r="V47" i="30"/>
  <c r="V49" i="30"/>
  <c r="V12" i="30"/>
  <c r="V13" i="30"/>
  <c r="V14" i="30"/>
  <c r="V7" i="30"/>
  <c r="V8" i="30"/>
  <c r="V9" i="30"/>
  <c r="V51" i="30"/>
  <c r="D24" i="33"/>
  <c r="V24" i="33"/>
  <c r="V69" i="33"/>
  <c r="V39" i="28"/>
  <c r="U204" i="59"/>
  <c r="U57" i="57"/>
  <c r="U144" i="59"/>
  <c r="U30" i="57"/>
  <c r="U142" i="59"/>
  <c r="U43" i="57"/>
  <c r="U143" i="59"/>
  <c r="U71" i="57"/>
  <c r="U145" i="59"/>
  <c r="U15" i="57"/>
  <c r="U141" i="59"/>
  <c r="U73" i="57"/>
  <c r="U146" i="59"/>
  <c r="U147" i="59"/>
  <c r="U206" i="59"/>
  <c r="U208" i="59"/>
  <c r="T35" i="64"/>
  <c r="S94" i="48"/>
  <c r="T14" i="67"/>
  <c r="T17" i="67"/>
  <c r="T18" i="67"/>
  <c r="T20" i="67"/>
  <c r="T39" i="64"/>
  <c r="T65" i="50"/>
  <c r="T38" i="50"/>
  <c r="T34" i="50"/>
  <c r="T27" i="50"/>
  <c r="T35" i="50"/>
  <c r="T66" i="50"/>
  <c r="T67" i="50"/>
  <c r="T68" i="50"/>
  <c r="T69" i="50"/>
  <c r="T70" i="50"/>
  <c r="T41" i="64"/>
  <c r="T39" i="50"/>
  <c r="T43" i="50"/>
  <c r="T40" i="64"/>
  <c r="T38" i="64"/>
  <c r="T43" i="64"/>
  <c r="T45" i="64"/>
  <c r="T48" i="64"/>
  <c r="T50" i="64"/>
  <c r="T67" i="64"/>
  <c r="T70" i="64"/>
  <c r="U69" i="64"/>
  <c r="W83" i="49"/>
  <c r="T35" i="48"/>
  <c r="D95" i="49"/>
  <c r="W95" i="49"/>
  <c r="W139" i="49"/>
  <c r="W140" i="49"/>
  <c r="W141" i="49"/>
  <c r="T47" i="48"/>
  <c r="T86" i="48"/>
  <c r="V126" i="59"/>
  <c r="T46" i="48"/>
  <c r="T74" i="48"/>
  <c r="T76" i="48"/>
  <c r="T85" i="48"/>
  <c r="V125" i="59"/>
  <c r="V127" i="59"/>
  <c r="W10" i="49"/>
  <c r="T36" i="48"/>
  <c r="D22" i="49"/>
  <c r="W22" i="49"/>
  <c r="W66" i="49"/>
  <c r="W67" i="49"/>
  <c r="W68" i="49"/>
  <c r="T43" i="48"/>
  <c r="T82" i="48"/>
  <c r="V121" i="59"/>
  <c r="T40" i="48"/>
  <c r="T41" i="48"/>
  <c r="T42" i="48"/>
  <c r="T75" i="48"/>
  <c r="T79" i="48"/>
  <c r="T80" i="48"/>
  <c r="T81" i="48"/>
  <c r="V120" i="59"/>
  <c r="V122" i="59"/>
  <c r="T30" i="48"/>
  <c r="T60" i="48"/>
  <c r="T61" i="48"/>
  <c r="T62" i="48"/>
  <c r="T63" i="48"/>
  <c r="T67" i="48"/>
  <c r="T69" i="48"/>
  <c r="V116" i="59"/>
  <c r="V129" i="59"/>
  <c r="T95" i="48"/>
  <c r="W49" i="68"/>
  <c r="W50" i="68"/>
  <c r="W74" i="68"/>
  <c r="Y193" i="6"/>
  <c r="W72" i="68"/>
  <c r="Y175" i="6"/>
  <c r="W71" i="68"/>
  <c r="Y166" i="6"/>
  <c r="W73" i="68"/>
  <c r="Y184" i="6"/>
  <c r="Y209" i="6"/>
  <c r="Y164" i="6"/>
  <c r="Y165" i="6"/>
  <c r="Y208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439" i="6"/>
  <c r="Y441" i="6"/>
  <c r="Y448" i="6"/>
  <c r="Y450" i="6"/>
  <c r="Y529" i="6"/>
  <c r="Y531" i="6"/>
  <c r="Y540" i="6"/>
  <c r="Y541" i="6"/>
  <c r="Y542" i="6"/>
  <c r="Y544" i="6"/>
  <c r="Y545" i="6"/>
  <c r="Y284" i="6"/>
  <c r="Y285" i="6"/>
  <c r="Y289" i="6"/>
  <c r="V164" i="59"/>
  <c r="Y228" i="6"/>
  <c r="Y376" i="6"/>
  <c r="Y549" i="6"/>
  <c r="V166" i="59"/>
  <c r="Y227" i="6"/>
  <c r="Y292" i="6"/>
  <c r="Y375" i="6"/>
  <c r="Y548" i="6"/>
  <c r="V165" i="59"/>
  <c r="V167" i="59"/>
  <c r="V150" i="59"/>
  <c r="V152" i="59"/>
  <c r="V153" i="59"/>
  <c r="V154" i="59"/>
  <c r="V169" i="59"/>
  <c r="W12" i="33"/>
  <c r="W11" i="33"/>
  <c r="W13" i="33"/>
  <c r="W8" i="33"/>
  <c r="W9" i="33"/>
  <c r="W10" i="33"/>
  <c r="W7" i="33"/>
  <c r="W14" i="33"/>
  <c r="W15" i="33"/>
  <c r="W16" i="33"/>
  <c r="W17" i="33"/>
  <c r="W18" i="33"/>
  <c r="W19" i="33"/>
  <c r="W20" i="33"/>
  <c r="W21" i="33"/>
  <c r="W22" i="33"/>
  <c r="W23" i="33"/>
  <c r="W24" i="33"/>
  <c r="W19" i="30"/>
  <c r="W20" i="30"/>
  <c r="W21" i="30"/>
  <c r="W24" i="30"/>
  <c r="W25" i="30"/>
  <c r="W26" i="30"/>
  <c r="W29" i="30"/>
  <c r="W30" i="30"/>
  <c r="W33" i="30"/>
  <c r="W45" i="30"/>
  <c r="W47" i="30"/>
  <c r="W49" i="30"/>
  <c r="W12" i="30"/>
  <c r="W13" i="30"/>
  <c r="W14" i="30"/>
  <c r="W7" i="30"/>
  <c r="W8" i="30"/>
  <c r="W9" i="30"/>
  <c r="W51" i="30"/>
  <c r="D25" i="33"/>
  <c r="W25" i="33"/>
  <c r="W69" i="33"/>
  <c r="W39" i="28"/>
  <c r="V204" i="59"/>
  <c r="V57" i="57"/>
  <c r="V144" i="59"/>
  <c r="V30" i="57"/>
  <c r="V142" i="59"/>
  <c r="V43" i="57"/>
  <c r="V143" i="59"/>
  <c r="V71" i="57"/>
  <c r="V145" i="59"/>
  <c r="V15" i="57"/>
  <c r="V141" i="59"/>
  <c r="V73" i="57"/>
  <c r="V146" i="59"/>
  <c r="V147" i="59"/>
  <c r="V206" i="59"/>
  <c r="V208" i="59"/>
  <c r="U35" i="64"/>
  <c r="T94" i="48"/>
  <c r="U14" i="67"/>
  <c r="U17" i="67"/>
  <c r="U18" i="67"/>
  <c r="U20" i="67"/>
  <c r="U39" i="64"/>
  <c r="U65" i="50"/>
  <c r="U38" i="50"/>
  <c r="U34" i="50"/>
  <c r="U27" i="50"/>
  <c r="U35" i="50"/>
  <c r="U66" i="50"/>
  <c r="U67" i="50"/>
  <c r="U68" i="50"/>
  <c r="U69" i="50"/>
  <c r="U70" i="50"/>
  <c r="U41" i="64"/>
  <c r="U39" i="50"/>
  <c r="U43" i="50"/>
  <c r="U40" i="64"/>
  <c r="U38" i="64"/>
  <c r="U43" i="64"/>
  <c r="U45" i="64"/>
  <c r="U48" i="64"/>
  <c r="U50" i="64"/>
  <c r="U67" i="64"/>
  <c r="U70" i="64"/>
  <c r="V69" i="64"/>
  <c r="X84" i="49"/>
  <c r="U35" i="48"/>
  <c r="D96" i="49"/>
  <c r="X96" i="49"/>
  <c r="X139" i="49"/>
  <c r="X140" i="49"/>
  <c r="X141" i="49"/>
  <c r="U47" i="48"/>
  <c r="U86" i="48"/>
  <c r="W126" i="59"/>
  <c r="U46" i="48"/>
  <c r="U74" i="48"/>
  <c r="U76" i="48"/>
  <c r="U85" i="48"/>
  <c r="W125" i="59"/>
  <c r="W127" i="59"/>
  <c r="X11" i="49"/>
  <c r="U36" i="48"/>
  <c r="D23" i="49"/>
  <c r="X23" i="49"/>
  <c r="X66" i="49"/>
  <c r="X67" i="49"/>
  <c r="X68" i="49"/>
  <c r="U43" i="48"/>
  <c r="U82" i="48"/>
  <c r="W121" i="59"/>
  <c r="U40" i="48"/>
  <c r="U41" i="48"/>
  <c r="U42" i="48"/>
  <c r="U75" i="48"/>
  <c r="U79" i="48"/>
  <c r="U80" i="48"/>
  <c r="U81" i="48"/>
  <c r="W120" i="59"/>
  <c r="W122" i="59"/>
  <c r="U30" i="48"/>
  <c r="U60" i="48"/>
  <c r="U61" i="48"/>
  <c r="U62" i="48"/>
  <c r="U63" i="48"/>
  <c r="U67" i="48"/>
  <c r="U69" i="48"/>
  <c r="W116" i="59"/>
  <c r="W129" i="59"/>
  <c r="U95" i="48"/>
  <c r="X49" i="68"/>
  <c r="X50" i="68"/>
  <c r="X74" i="68"/>
  <c r="Z193" i="6"/>
  <c r="X72" i="68"/>
  <c r="Z175" i="6"/>
  <c r="X71" i="68"/>
  <c r="Z166" i="6"/>
  <c r="X73" i="68"/>
  <c r="Z184" i="6"/>
  <c r="Z209" i="6"/>
  <c r="Z164" i="6"/>
  <c r="Z165" i="6"/>
  <c r="Z208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439" i="6"/>
  <c r="Z441" i="6"/>
  <c r="Z448" i="6"/>
  <c r="Z450" i="6"/>
  <c r="Z529" i="6"/>
  <c r="Z531" i="6"/>
  <c r="Z540" i="6"/>
  <c r="Z541" i="6"/>
  <c r="Z542" i="6"/>
  <c r="Z544" i="6"/>
  <c r="Z545" i="6"/>
  <c r="Z284" i="6"/>
  <c r="Z285" i="6"/>
  <c r="Z289" i="6"/>
  <c r="W164" i="59"/>
  <c r="Z228" i="6"/>
  <c r="Z376" i="6"/>
  <c r="Z549" i="6"/>
  <c r="W166" i="59"/>
  <c r="Z227" i="6"/>
  <c r="Z292" i="6"/>
  <c r="Z375" i="6"/>
  <c r="Z548" i="6"/>
  <c r="W165" i="59"/>
  <c r="W167" i="59"/>
  <c r="W150" i="59"/>
  <c r="W152" i="59"/>
  <c r="W153" i="59"/>
  <c r="W154" i="59"/>
  <c r="W169" i="59"/>
  <c r="X12" i="33"/>
  <c r="X11" i="33"/>
  <c r="X13" i="33"/>
  <c r="X8" i="33"/>
  <c r="X9" i="33"/>
  <c r="X10" i="33"/>
  <c r="X7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X19" i="30"/>
  <c r="X20" i="30"/>
  <c r="X21" i="30"/>
  <c r="X24" i="30"/>
  <c r="X25" i="30"/>
  <c r="X26" i="30"/>
  <c r="X29" i="30"/>
  <c r="X30" i="30"/>
  <c r="X33" i="30"/>
  <c r="X45" i="30"/>
  <c r="X47" i="30"/>
  <c r="X49" i="30"/>
  <c r="X12" i="30"/>
  <c r="X13" i="30"/>
  <c r="X14" i="30"/>
  <c r="X7" i="30"/>
  <c r="X8" i="30"/>
  <c r="X9" i="30"/>
  <c r="X51" i="30"/>
  <c r="D26" i="33"/>
  <c r="X26" i="33"/>
  <c r="X69" i="33"/>
  <c r="X39" i="28"/>
  <c r="W204" i="59"/>
  <c r="W57" i="57"/>
  <c r="W144" i="59"/>
  <c r="W30" i="57"/>
  <c r="W142" i="59"/>
  <c r="W43" i="57"/>
  <c r="W143" i="59"/>
  <c r="W71" i="57"/>
  <c r="W145" i="59"/>
  <c r="W15" i="57"/>
  <c r="W141" i="59"/>
  <c r="W73" i="57"/>
  <c r="W146" i="59"/>
  <c r="W147" i="59"/>
  <c r="W206" i="59"/>
  <c r="W208" i="59"/>
  <c r="V35" i="64"/>
  <c r="U94" i="48"/>
  <c r="V14" i="67"/>
  <c r="V17" i="67"/>
  <c r="V18" i="67"/>
  <c r="V20" i="67"/>
  <c r="V39" i="64"/>
  <c r="V65" i="50"/>
  <c r="V38" i="50"/>
  <c r="V34" i="50"/>
  <c r="V27" i="50"/>
  <c r="V35" i="50"/>
  <c r="V66" i="50"/>
  <c r="V67" i="50"/>
  <c r="V68" i="50"/>
  <c r="V69" i="50"/>
  <c r="V70" i="50"/>
  <c r="V41" i="64"/>
  <c r="V39" i="50"/>
  <c r="V43" i="50"/>
  <c r="V40" i="64"/>
  <c r="V38" i="64"/>
  <c r="V43" i="64"/>
  <c r="V45" i="64"/>
  <c r="V48" i="64"/>
  <c r="V50" i="64"/>
  <c r="V67" i="64"/>
  <c r="V70" i="64"/>
  <c r="W69" i="64"/>
  <c r="Y85" i="49"/>
  <c r="V35" i="48"/>
  <c r="D97" i="49"/>
  <c r="Y97" i="49"/>
  <c r="Y139" i="49"/>
  <c r="Y140" i="49"/>
  <c r="Y141" i="49"/>
  <c r="V47" i="48"/>
  <c r="V86" i="48"/>
  <c r="X126" i="59"/>
  <c r="V46" i="48"/>
  <c r="V74" i="48"/>
  <c r="V76" i="48"/>
  <c r="V85" i="48"/>
  <c r="X125" i="59"/>
  <c r="X127" i="59"/>
  <c r="Y12" i="49"/>
  <c r="V36" i="48"/>
  <c r="D24" i="49"/>
  <c r="Y24" i="49"/>
  <c r="Y66" i="49"/>
  <c r="Y67" i="49"/>
  <c r="Y68" i="49"/>
  <c r="V43" i="48"/>
  <c r="V82" i="48"/>
  <c r="X121" i="59"/>
  <c r="V40" i="48"/>
  <c r="V41" i="48"/>
  <c r="V42" i="48"/>
  <c r="V75" i="48"/>
  <c r="V79" i="48"/>
  <c r="V80" i="48"/>
  <c r="V81" i="48"/>
  <c r="X120" i="59"/>
  <c r="X122" i="59"/>
  <c r="V30" i="48"/>
  <c r="V60" i="48"/>
  <c r="V61" i="48"/>
  <c r="V62" i="48"/>
  <c r="V63" i="48"/>
  <c r="V67" i="48"/>
  <c r="V69" i="48"/>
  <c r="X116" i="59"/>
  <c r="X129" i="59"/>
  <c r="V95" i="48"/>
  <c r="Y49" i="68"/>
  <c r="Y50" i="68"/>
  <c r="Y74" i="68"/>
  <c r="AA193" i="6"/>
  <c r="Y72" i="68"/>
  <c r="AA175" i="6"/>
  <c r="Y71" i="68"/>
  <c r="AA166" i="6"/>
  <c r="Y73" i="68"/>
  <c r="AA184" i="6"/>
  <c r="AA209" i="6"/>
  <c r="AA164" i="6"/>
  <c r="AA165" i="6"/>
  <c r="AA208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439" i="6"/>
  <c r="AA441" i="6"/>
  <c r="AA448" i="6"/>
  <c r="AA450" i="6"/>
  <c r="AA529" i="6"/>
  <c r="AA531" i="6"/>
  <c r="AA540" i="6"/>
  <c r="AA541" i="6"/>
  <c r="AA542" i="6"/>
  <c r="AA544" i="6"/>
  <c r="AA545" i="6"/>
  <c r="AA284" i="6"/>
  <c r="AA285" i="6"/>
  <c r="AA289" i="6"/>
  <c r="X164" i="59"/>
  <c r="AA228" i="6"/>
  <c r="AA376" i="6"/>
  <c r="AA549" i="6"/>
  <c r="X166" i="59"/>
  <c r="AA227" i="6"/>
  <c r="AA292" i="6"/>
  <c r="AA375" i="6"/>
  <c r="AA548" i="6"/>
  <c r="X165" i="59"/>
  <c r="X167" i="59"/>
  <c r="X150" i="59"/>
  <c r="X152" i="59"/>
  <c r="X153" i="59"/>
  <c r="X154" i="59"/>
  <c r="X169" i="59"/>
  <c r="Y12" i="33"/>
  <c r="Y11" i="33"/>
  <c r="Y13" i="33"/>
  <c r="Y8" i="33"/>
  <c r="Y9" i="33"/>
  <c r="Y10" i="33"/>
  <c r="Y7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Y19" i="30"/>
  <c r="Y20" i="30"/>
  <c r="Y21" i="30"/>
  <c r="Y24" i="30"/>
  <c r="Y25" i="30"/>
  <c r="Y26" i="30"/>
  <c r="Y29" i="30"/>
  <c r="Y30" i="30"/>
  <c r="Y33" i="30"/>
  <c r="Y45" i="30"/>
  <c r="Y47" i="30"/>
  <c r="Y49" i="30"/>
  <c r="Y12" i="30"/>
  <c r="Y13" i="30"/>
  <c r="Y14" i="30"/>
  <c r="Y7" i="30"/>
  <c r="Y8" i="30"/>
  <c r="Y9" i="30"/>
  <c r="Y51" i="30"/>
  <c r="D27" i="33"/>
  <c r="Y27" i="33"/>
  <c r="Y69" i="33"/>
  <c r="Y39" i="28"/>
  <c r="X204" i="59"/>
  <c r="X57" i="57"/>
  <c r="X144" i="59"/>
  <c r="X30" i="57"/>
  <c r="X142" i="59"/>
  <c r="X43" i="57"/>
  <c r="X143" i="59"/>
  <c r="X71" i="57"/>
  <c r="X145" i="59"/>
  <c r="X15" i="57"/>
  <c r="X141" i="59"/>
  <c r="X73" i="57"/>
  <c r="X146" i="59"/>
  <c r="X147" i="59"/>
  <c r="X206" i="59"/>
  <c r="X208" i="59"/>
  <c r="W35" i="64"/>
  <c r="V94" i="48"/>
  <c r="W14" i="67"/>
  <c r="W17" i="67"/>
  <c r="W18" i="67"/>
  <c r="W20" i="67"/>
  <c r="W39" i="64"/>
  <c r="W65" i="50"/>
  <c r="W38" i="50"/>
  <c r="W34" i="50"/>
  <c r="W27" i="50"/>
  <c r="W35" i="50"/>
  <c r="W66" i="50"/>
  <c r="W67" i="50"/>
  <c r="W68" i="50"/>
  <c r="W69" i="50"/>
  <c r="W70" i="50"/>
  <c r="W41" i="64"/>
  <c r="W39" i="50"/>
  <c r="W43" i="50"/>
  <c r="W40" i="64"/>
  <c r="W38" i="64"/>
  <c r="W43" i="64"/>
  <c r="W45" i="64"/>
  <c r="W48" i="64"/>
  <c r="W50" i="64"/>
  <c r="W67" i="64"/>
  <c r="W70" i="64"/>
  <c r="X69" i="64"/>
  <c r="Z86" i="49"/>
  <c r="W35" i="48"/>
  <c r="D98" i="49"/>
  <c r="Z98" i="49"/>
  <c r="Z139" i="49"/>
  <c r="Z140" i="49"/>
  <c r="Z141" i="49"/>
  <c r="W47" i="48"/>
  <c r="W86" i="48"/>
  <c r="Y126" i="59"/>
  <c r="W46" i="48"/>
  <c r="W74" i="48"/>
  <c r="W76" i="48"/>
  <c r="W85" i="48"/>
  <c r="Y125" i="59"/>
  <c r="Y127" i="59"/>
  <c r="Z13" i="49"/>
  <c r="W36" i="48"/>
  <c r="D25" i="49"/>
  <c r="Z25" i="49"/>
  <c r="Z66" i="49"/>
  <c r="Z67" i="49"/>
  <c r="Z68" i="49"/>
  <c r="W43" i="48"/>
  <c r="W82" i="48"/>
  <c r="Y121" i="59"/>
  <c r="W40" i="48"/>
  <c r="W41" i="48"/>
  <c r="W42" i="48"/>
  <c r="W75" i="48"/>
  <c r="W79" i="48"/>
  <c r="W80" i="48"/>
  <c r="W81" i="48"/>
  <c r="Y120" i="59"/>
  <c r="Y122" i="59"/>
  <c r="W30" i="48"/>
  <c r="W60" i="48"/>
  <c r="W61" i="48"/>
  <c r="W62" i="48"/>
  <c r="W63" i="48"/>
  <c r="W67" i="48"/>
  <c r="W69" i="48"/>
  <c r="Y116" i="59"/>
  <c r="Y129" i="59"/>
  <c r="W95" i="48"/>
  <c r="Z49" i="68"/>
  <c r="Z50" i="68"/>
  <c r="Z74" i="68"/>
  <c r="AB193" i="6"/>
  <c r="Z72" i="68"/>
  <c r="AB175" i="6"/>
  <c r="Z71" i="68"/>
  <c r="AB166" i="6"/>
  <c r="Z73" i="68"/>
  <c r="AB184" i="6"/>
  <c r="AB209" i="6"/>
  <c r="AB164" i="6"/>
  <c r="AB165" i="6"/>
  <c r="AB208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439" i="6"/>
  <c r="AB441" i="6"/>
  <c r="AB448" i="6"/>
  <c r="AB450" i="6"/>
  <c r="AB529" i="6"/>
  <c r="AB531" i="6"/>
  <c r="AB540" i="6"/>
  <c r="AB541" i="6"/>
  <c r="AB542" i="6"/>
  <c r="AB544" i="6"/>
  <c r="AB545" i="6"/>
  <c r="AB284" i="6"/>
  <c r="AB285" i="6"/>
  <c r="AB289" i="6"/>
  <c r="Y164" i="59"/>
  <c r="AB228" i="6"/>
  <c r="AB376" i="6"/>
  <c r="AB549" i="6"/>
  <c r="Y166" i="59"/>
  <c r="AB227" i="6"/>
  <c r="AB292" i="6"/>
  <c r="AB375" i="6"/>
  <c r="AB548" i="6"/>
  <c r="Y165" i="59"/>
  <c r="Y167" i="59"/>
  <c r="Y150" i="59"/>
  <c r="Y152" i="59"/>
  <c r="Y153" i="59"/>
  <c r="Y154" i="59"/>
  <c r="Y169" i="59"/>
  <c r="Z12" i="33"/>
  <c r="Z11" i="33"/>
  <c r="Z13" i="33"/>
  <c r="Z8" i="33"/>
  <c r="Z9" i="33"/>
  <c r="Z10" i="33"/>
  <c r="Z7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Z19" i="30"/>
  <c r="Z20" i="30"/>
  <c r="Z21" i="30"/>
  <c r="Z24" i="30"/>
  <c r="Z25" i="30"/>
  <c r="Z26" i="30"/>
  <c r="Z29" i="30"/>
  <c r="Z30" i="30"/>
  <c r="Z33" i="30"/>
  <c r="Z45" i="30"/>
  <c r="Z47" i="30"/>
  <c r="Z49" i="30"/>
  <c r="Z12" i="30"/>
  <c r="Z13" i="30"/>
  <c r="Z14" i="30"/>
  <c r="Z7" i="30"/>
  <c r="Z8" i="30"/>
  <c r="Z9" i="30"/>
  <c r="Z51" i="30"/>
  <c r="D28" i="33"/>
  <c r="Z28" i="33"/>
  <c r="Z69" i="33"/>
  <c r="Z39" i="28"/>
  <c r="Y204" i="59"/>
  <c r="Y57" i="57"/>
  <c r="Y144" i="59"/>
  <c r="Y30" i="57"/>
  <c r="Y142" i="59"/>
  <c r="Y43" i="57"/>
  <c r="Y143" i="59"/>
  <c r="Y71" i="57"/>
  <c r="Y145" i="59"/>
  <c r="Y15" i="57"/>
  <c r="Y141" i="59"/>
  <c r="Y73" i="57"/>
  <c r="Y146" i="59"/>
  <c r="Y147" i="59"/>
  <c r="Y206" i="59"/>
  <c r="Y208" i="59"/>
  <c r="X35" i="64"/>
  <c r="W94" i="48"/>
  <c r="X14" i="67"/>
  <c r="X17" i="67"/>
  <c r="X18" i="67"/>
  <c r="X20" i="67"/>
  <c r="X39" i="64"/>
  <c r="X65" i="50"/>
  <c r="X38" i="50"/>
  <c r="X34" i="50"/>
  <c r="X27" i="50"/>
  <c r="X35" i="50"/>
  <c r="X66" i="50"/>
  <c r="X67" i="50"/>
  <c r="X68" i="50"/>
  <c r="X69" i="50"/>
  <c r="X70" i="50"/>
  <c r="X41" i="64"/>
  <c r="X39" i="50"/>
  <c r="X43" i="50"/>
  <c r="X40" i="64"/>
  <c r="X38" i="64"/>
  <c r="X43" i="64"/>
  <c r="X45" i="64"/>
  <c r="X48" i="64"/>
  <c r="X50" i="64"/>
  <c r="X67" i="64"/>
  <c r="X70" i="64"/>
  <c r="Y69" i="64"/>
  <c r="AA87" i="49"/>
  <c r="X35" i="48"/>
  <c r="D99" i="49"/>
  <c r="AA99" i="49"/>
  <c r="AA139" i="49"/>
  <c r="AA140" i="49"/>
  <c r="AA141" i="49"/>
  <c r="X47" i="48"/>
  <c r="X86" i="48"/>
  <c r="Z126" i="59"/>
  <c r="X46" i="48"/>
  <c r="X74" i="48"/>
  <c r="X76" i="48"/>
  <c r="X85" i="48"/>
  <c r="Z125" i="59"/>
  <c r="Z127" i="59"/>
  <c r="AA14" i="49"/>
  <c r="X36" i="48"/>
  <c r="D26" i="49"/>
  <c r="AA26" i="49"/>
  <c r="AA66" i="49"/>
  <c r="AA67" i="49"/>
  <c r="AA68" i="49"/>
  <c r="X43" i="48"/>
  <c r="X82" i="48"/>
  <c r="Z121" i="59"/>
  <c r="X40" i="48"/>
  <c r="X41" i="48"/>
  <c r="X42" i="48"/>
  <c r="X75" i="48"/>
  <c r="X79" i="48"/>
  <c r="X80" i="48"/>
  <c r="X81" i="48"/>
  <c r="Z120" i="59"/>
  <c r="Z122" i="59"/>
  <c r="X30" i="48"/>
  <c r="X60" i="48"/>
  <c r="X61" i="48"/>
  <c r="X62" i="48"/>
  <c r="X63" i="48"/>
  <c r="X67" i="48"/>
  <c r="X69" i="48"/>
  <c r="Z116" i="59"/>
  <c r="Z129" i="59"/>
  <c r="X95" i="48"/>
  <c r="AA49" i="68"/>
  <c r="AA50" i="68"/>
  <c r="AA74" i="68"/>
  <c r="AC193" i="6"/>
  <c r="AA72" i="68"/>
  <c r="AC175" i="6"/>
  <c r="AA71" i="68"/>
  <c r="AC166" i="6"/>
  <c r="AA73" i="68"/>
  <c r="AC184" i="6"/>
  <c r="AC209" i="6"/>
  <c r="AC164" i="6"/>
  <c r="AC165" i="6"/>
  <c r="AC208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439" i="6"/>
  <c r="AC441" i="6"/>
  <c r="AC448" i="6"/>
  <c r="AC450" i="6"/>
  <c r="AC529" i="6"/>
  <c r="AC531" i="6"/>
  <c r="AC540" i="6"/>
  <c r="AC541" i="6"/>
  <c r="AC542" i="6"/>
  <c r="AC544" i="6"/>
  <c r="AC545" i="6"/>
  <c r="AC284" i="6"/>
  <c r="AC285" i="6"/>
  <c r="AC289" i="6"/>
  <c r="Z164" i="59"/>
  <c r="AC228" i="6"/>
  <c r="AC376" i="6"/>
  <c r="AC549" i="6"/>
  <c r="Z166" i="59"/>
  <c r="AC227" i="6"/>
  <c r="AC292" i="6"/>
  <c r="AC375" i="6"/>
  <c r="AC548" i="6"/>
  <c r="Z165" i="59"/>
  <c r="Z167" i="59"/>
  <c r="Z150" i="59"/>
  <c r="Z152" i="59"/>
  <c r="Z153" i="59"/>
  <c r="Z154" i="59"/>
  <c r="Z169" i="59"/>
  <c r="AA12" i="33"/>
  <c r="AA11" i="33"/>
  <c r="AA13" i="33"/>
  <c r="AA8" i="33"/>
  <c r="AA9" i="33"/>
  <c r="AA10" i="33"/>
  <c r="AA7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A19" i="30"/>
  <c r="AA20" i="30"/>
  <c r="AA21" i="30"/>
  <c r="AA24" i="30"/>
  <c r="AA25" i="30"/>
  <c r="AA26" i="30"/>
  <c r="AA29" i="30"/>
  <c r="AA30" i="30"/>
  <c r="AA33" i="30"/>
  <c r="AA45" i="30"/>
  <c r="AA47" i="30"/>
  <c r="AA49" i="30"/>
  <c r="AA12" i="30"/>
  <c r="AA13" i="30"/>
  <c r="AA14" i="30"/>
  <c r="AA7" i="30"/>
  <c r="AA8" i="30"/>
  <c r="AA9" i="30"/>
  <c r="AA51" i="30"/>
  <c r="D29" i="33"/>
  <c r="AA29" i="33"/>
  <c r="AA69" i="33"/>
  <c r="AA39" i="28"/>
  <c r="Z204" i="59"/>
  <c r="Z57" i="57"/>
  <c r="Z144" i="59"/>
  <c r="Z30" i="57"/>
  <c r="Z142" i="59"/>
  <c r="Z43" i="57"/>
  <c r="Z143" i="59"/>
  <c r="Z71" i="57"/>
  <c r="Z145" i="59"/>
  <c r="Z15" i="57"/>
  <c r="Z141" i="59"/>
  <c r="Z73" i="57"/>
  <c r="Z146" i="59"/>
  <c r="Z147" i="59"/>
  <c r="Z206" i="59"/>
  <c r="Z208" i="59"/>
  <c r="Y35" i="64"/>
  <c r="X94" i="48"/>
  <c r="Y14" i="67"/>
  <c r="Y17" i="67"/>
  <c r="Y18" i="67"/>
  <c r="Y20" i="67"/>
  <c r="Y39" i="64"/>
  <c r="Y65" i="50"/>
  <c r="Y38" i="50"/>
  <c r="Y34" i="50"/>
  <c r="Y27" i="50"/>
  <c r="Y35" i="50"/>
  <c r="Y66" i="50"/>
  <c r="Y67" i="50"/>
  <c r="Y68" i="50"/>
  <c r="Y69" i="50"/>
  <c r="Y70" i="50"/>
  <c r="Y41" i="64"/>
  <c r="Y39" i="50"/>
  <c r="Y43" i="50"/>
  <c r="Y40" i="64"/>
  <c r="Y38" i="64"/>
  <c r="Y43" i="64"/>
  <c r="Y45" i="64"/>
  <c r="Y48" i="64"/>
  <c r="Y50" i="64"/>
  <c r="Y67" i="64"/>
  <c r="Y70" i="64"/>
  <c r="Z69" i="64"/>
  <c r="AB88" i="49"/>
  <c r="Y35" i="48"/>
  <c r="D100" i="49"/>
  <c r="AB100" i="49"/>
  <c r="AB139" i="49"/>
  <c r="AB140" i="49"/>
  <c r="AB141" i="49"/>
  <c r="Y47" i="48"/>
  <c r="Y86" i="48"/>
  <c r="AA126" i="59"/>
  <c r="Y46" i="48"/>
  <c r="Y74" i="48"/>
  <c r="Y76" i="48"/>
  <c r="Y85" i="48"/>
  <c r="AA125" i="59"/>
  <c r="AA127" i="59"/>
  <c r="AB15" i="49"/>
  <c r="Y36" i="48"/>
  <c r="D27" i="49"/>
  <c r="AB27" i="49"/>
  <c r="AB66" i="49"/>
  <c r="AB67" i="49"/>
  <c r="AB68" i="49"/>
  <c r="Y43" i="48"/>
  <c r="Y82" i="48"/>
  <c r="AA121" i="59"/>
  <c r="Y40" i="48"/>
  <c r="Y41" i="48"/>
  <c r="Y42" i="48"/>
  <c r="Y75" i="48"/>
  <c r="Y79" i="48"/>
  <c r="Y80" i="48"/>
  <c r="Y81" i="48"/>
  <c r="AA120" i="59"/>
  <c r="AA122" i="59"/>
  <c r="Y30" i="48"/>
  <c r="Y60" i="48"/>
  <c r="Y61" i="48"/>
  <c r="Y62" i="48"/>
  <c r="Y63" i="48"/>
  <c r="Y67" i="48"/>
  <c r="Y69" i="48"/>
  <c r="AA116" i="59"/>
  <c r="AA129" i="59"/>
  <c r="Y95" i="48"/>
  <c r="AB49" i="68"/>
  <c r="AB50" i="68"/>
  <c r="AB74" i="68"/>
  <c r="AD193" i="6"/>
  <c r="AB72" i="68"/>
  <c r="AD175" i="6"/>
  <c r="AB71" i="68"/>
  <c r="AD166" i="6"/>
  <c r="AB73" i="68"/>
  <c r="AD184" i="6"/>
  <c r="AD209" i="6"/>
  <c r="AD164" i="6"/>
  <c r="AD165" i="6"/>
  <c r="AD208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439" i="6"/>
  <c r="AD441" i="6"/>
  <c r="AD448" i="6"/>
  <c r="AD450" i="6"/>
  <c r="AD529" i="6"/>
  <c r="AD531" i="6"/>
  <c r="AD540" i="6"/>
  <c r="AD541" i="6"/>
  <c r="AD542" i="6"/>
  <c r="AD544" i="6"/>
  <c r="AD545" i="6"/>
  <c r="AD284" i="6"/>
  <c r="AD285" i="6"/>
  <c r="AD289" i="6"/>
  <c r="AA164" i="59"/>
  <c r="AD228" i="6"/>
  <c r="AD376" i="6"/>
  <c r="AD549" i="6"/>
  <c r="AA166" i="59"/>
  <c r="AD227" i="6"/>
  <c r="AD292" i="6"/>
  <c r="AD375" i="6"/>
  <c r="AD548" i="6"/>
  <c r="AA165" i="59"/>
  <c r="AA167" i="59"/>
  <c r="AA150" i="59"/>
  <c r="AA152" i="59"/>
  <c r="AA153" i="59"/>
  <c r="AA154" i="59"/>
  <c r="AA169" i="59"/>
  <c r="AB12" i="33"/>
  <c r="AB11" i="33"/>
  <c r="AB13" i="33"/>
  <c r="AB8" i="33"/>
  <c r="AB9" i="33"/>
  <c r="AB10" i="33"/>
  <c r="AB7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B19" i="30"/>
  <c r="AB20" i="30"/>
  <c r="AB21" i="30"/>
  <c r="AB24" i="30"/>
  <c r="AB25" i="30"/>
  <c r="AB26" i="30"/>
  <c r="AB29" i="30"/>
  <c r="AB30" i="30"/>
  <c r="AB33" i="30"/>
  <c r="AB45" i="30"/>
  <c r="AB47" i="30"/>
  <c r="AB49" i="30"/>
  <c r="AB12" i="30"/>
  <c r="AB13" i="30"/>
  <c r="AB14" i="30"/>
  <c r="AB7" i="30"/>
  <c r="AB8" i="30"/>
  <c r="AB9" i="30"/>
  <c r="AB51" i="30"/>
  <c r="D30" i="33"/>
  <c r="AB30" i="33"/>
  <c r="AB69" i="33"/>
  <c r="AB39" i="28"/>
  <c r="AA204" i="59"/>
  <c r="AA57" i="57"/>
  <c r="AA144" i="59"/>
  <c r="AA30" i="57"/>
  <c r="AA142" i="59"/>
  <c r="AA43" i="57"/>
  <c r="AA143" i="59"/>
  <c r="AA71" i="57"/>
  <c r="AA145" i="59"/>
  <c r="AA15" i="57"/>
  <c r="AA141" i="59"/>
  <c r="AA73" i="57"/>
  <c r="AA146" i="59"/>
  <c r="AA147" i="59"/>
  <c r="AA206" i="59"/>
  <c r="AA208" i="59"/>
  <c r="Z35" i="64"/>
  <c r="Y94" i="48"/>
  <c r="Z14" i="67"/>
  <c r="Z17" i="67"/>
  <c r="Z18" i="67"/>
  <c r="Z20" i="67"/>
  <c r="Z39" i="64"/>
  <c r="Z65" i="50"/>
  <c r="Z38" i="50"/>
  <c r="Z34" i="50"/>
  <c r="Z27" i="50"/>
  <c r="Z35" i="50"/>
  <c r="Z66" i="50"/>
  <c r="Z67" i="50"/>
  <c r="Z68" i="50"/>
  <c r="Z69" i="50"/>
  <c r="Z70" i="50"/>
  <c r="Z41" i="64"/>
  <c r="Z39" i="50"/>
  <c r="Z43" i="50"/>
  <c r="Z40" i="64"/>
  <c r="Z38" i="64"/>
  <c r="Z43" i="64"/>
  <c r="Z45" i="64"/>
  <c r="Z48" i="64"/>
  <c r="Z50" i="64"/>
  <c r="Z67" i="64"/>
  <c r="Z70" i="64"/>
  <c r="AA69" i="64"/>
  <c r="AC89" i="49"/>
  <c r="Z35" i="48"/>
  <c r="D101" i="49"/>
  <c r="AC101" i="49"/>
  <c r="AC139" i="49"/>
  <c r="AC140" i="49"/>
  <c r="AC141" i="49"/>
  <c r="Z47" i="48"/>
  <c r="Z86" i="48"/>
  <c r="AB126" i="59"/>
  <c r="Z46" i="48"/>
  <c r="Z74" i="48"/>
  <c r="Z76" i="48"/>
  <c r="Z85" i="48"/>
  <c r="AB125" i="59"/>
  <c r="AB127" i="59"/>
  <c r="AC16" i="49"/>
  <c r="Z36" i="48"/>
  <c r="D28" i="49"/>
  <c r="AC28" i="49"/>
  <c r="AC66" i="49"/>
  <c r="AC67" i="49"/>
  <c r="AC68" i="49"/>
  <c r="Z43" i="48"/>
  <c r="Z82" i="48"/>
  <c r="AB121" i="59"/>
  <c r="Z40" i="48"/>
  <c r="Z41" i="48"/>
  <c r="Z42" i="48"/>
  <c r="Z75" i="48"/>
  <c r="Z79" i="48"/>
  <c r="Z80" i="48"/>
  <c r="Z81" i="48"/>
  <c r="AB120" i="59"/>
  <c r="AB122" i="59"/>
  <c r="Z30" i="48"/>
  <c r="Z60" i="48"/>
  <c r="Z61" i="48"/>
  <c r="Z62" i="48"/>
  <c r="Z63" i="48"/>
  <c r="Z67" i="48"/>
  <c r="Z69" i="48"/>
  <c r="AB116" i="59"/>
  <c r="AB129" i="59"/>
  <c r="Z95" i="48"/>
  <c r="AC49" i="68"/>
  <c r="AC50" i="68"/>
  <c r="AC74" i="68"/>
  <c r="AE193" i="6"/>
  <c r="AC72" i="68"/>
  <c r="AE175" i="6"/>
  <c r="AC71" i="68"/>
  <c r="AE166" i="6"/>
  <c r="AC73" i="68"/>
  <c r="AE184" i="6"/>
  <c r="AE209" i="6"/>
  <c r="AE164" i="6"/>
  <c r="AE165" i="6"/>
  <c r="AE208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439" i="6"/>
  <c r="AE441" i="6"/>
  <c r="AE448" i="6"/>
  <c r="AE450" i="6"/>
  <c r="AE529" i="6"/>
  <c r="AE531" i="6"/>
  <c r="AE540" i="6"/>
  <c r="AE541" i="6"/>
  <c r="AE542" i="6"/>
  <c r="AE544" i="6"/>
  <c r="AE545" i="6"/>
  <c r="AE284" i="6"/>
  <c r="AE285" i="6"/>
  <c r="AE289" i="6"/>
  <c r="AB164" i="59"/>
  <c r="AE228" i="6"/>
  <c r="AE376" i="6"/>
  <c r="AE549" i="6"/>
  <c r="AB166" i="59"/>
  <c r="AE227" i="6"/>
  <c r="AE292" i="6"/>
  <c r="AE375" i="6"/>
  <c r="AE548" i="6"/>
  <c r="AB165" i="59"/>
  <c r="AB167" i="59"/>
  <c r="AB150" i="59"/>
  <c r="AB152" i="59"/>
  <c r="AB153" i="59"/>
  <c r="AB154" i="59"/>
  <c r="AB169" i="59"/>
  <c r="AC12" i="33"/>
  <c r="AC11" i="33"/>
  <c r="AC13" i="33"/>
  <c r="AC8" i="33"/>
  <c r="AC9" i="33"/>
  <c r="AC10" i="33"/>
  <c r="AC7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C19" i="30"/>
  <c r="AC20" i="30"/>
  <c r="AC21" i="30"/>
  <c r="AC24" i="30"/>
  <c r="AC25" i="30"/>
  <c r="AC26" i="30"/>
  <c r="AC29" i="30"/>
  <c r="AC30" i="30"/>
  <c r="AC33" i="30"/>
  <c r="AC45" i="30"/>
  <c r="AC47" i="30"/>
  <c r="AC49" i="30"/>
  <c r="AC12" i="30"/>
  <c r="AC13" i="30"/>
  <c r="AC14" i="30"/>
  <c r="AC7" i="30"/>
  <c r="AC8" i="30"/>
  <c r="AC9" i="30"/>
  <c r="AC51" i="30"/>
  <c r="D31" i="33"/>
  <c r="AC31" i="33"/>
  <c r="AC69" i="33"/>
  <c r="AC39" i="28"/>
  <c r="AB204" i="59"/>
  <c r="AB57" i="57"/>
  <c r="AB144" i="59"/>
  <c r="AB30" i="57"/>
  <c r="AB142" i="59"/>
  <c r="AB43" i="57"/>
  <c r="AB143" i="59"/>
  <c r="AB71" i="57"/>
  <c r="AB145" i="59"/>
  <c r="AB15" i="57"/>
  <c r="AB141" i="59"/>
  <c r="AB73" i="57"/>
  <c r="AB146" i="59"/>
  <c r="AB147" i="59"/>
  <c r="AB206" i="59"/>
  <c r="AB208" i="59"/>
  <c r="AA35" i="64"/>
  <c r="Z94" i="48"/>
  <c r="AA14" i="67"/>
  <c r="AA17" i="67"/>
  <c r="AA18" i="67"/>
  <c r="AA20" i="67"/>
  <c r="AA39" i="64"/>
  <c r="AA65" i="50"/>
  <c r="AA38" i="50"/>
  <c r="AA34" i="50"/>
  <c r="AA27" i="50"/>
  <c r="AA35" i="50"/>
  <c r="AA66" i="50"/>
  <c r="AA67" i="50"/>
  <c r="AA68" i="50"/>
  <c r="AA69" i="50"/>
  <c r="AA70" i="50"/>
  <c r="AA41" i="64"/>
  <c r="AA39" i="50"/>
  <c r="AA43" i="50"/>
  <c r="AA40" i="64"/>
  <c r="AA38" i="64"/>
  <c r="AA43" i="64"/>
  <c r="AA45" i="64"/>
  <c r="AA48" i="64"/>
  <c r="AA50" i="64"/>
  <c r="AA67" i="64"/>
  <c r="AA70" i="64"/>
  <c r="AA11" i="111"/>
  <c r="R11" i="111"/>
  <c r="AB69" i="64"/>
  <c r="AD90" i="49"/>
  <c r="AD78" i="49"/>
  <c r="D102" i="49"/>
  <c r="AD102" i="49"/>
  <c r="AD139" i="49"/>
  <c r="AD141" i="49"/>
  <c r="AA47" i="48"/>
  <c r="AC126" i="59"/>
  <c r="AA46" i="48"/>
  <c r="AA76" i="48"/>
  <c r="AA85" i="48"/>
  <c r="AC125" i="59"/>
  <c r="AC127" i="59"/>
  <c r="AD17" i="49"/>
  <c r="AD5" i="49"/>
  <c r="AA36" i="48"/>
  <c r="D29" i="49"/>
  <c r="AD29" i="49"/>
  <c r="AD66" i="49"/>
  <c r="AD68" i="49"/>
  <c r="AA43" i="48"/>
  <c r="AC121" i="59"/>
  <c r="AA40" i="48"/>
  <c r="AA42" i="48"/>
  <c r="AA75" i="48"/>
  <c r="AA79" i="48"/>
  <c r="AA81" i="48"/>
  <c r="AC120" i="59"/>
  <c r="AC122" i="59"/>
  <c r="AA30" i="48"/>
  <c r="AA60" i="48"/>
  <c r="AA61" i="48"/>
  <c r="AA62" i="48"/>
  <c r="AA63" i="48"/>
  <c r="AA67" i="48"/>
  <c r="AA69" i="48"/>
  <c r="AC116" i="59"/>
  <c r="AC129" i="59"/>
  <c r="AA95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4" i="48"/>
  <c r="AB14" i="67"/>
  <c r="AB17" i="67"/>
  <c r="AB18" i="67"/>
  <c r="AB20" i="67"/>
  <c r="AB39" i="64"/>
  <c r="AB65" i="50"/>
  <c r="AB38" i="50"/>
  <c r="AB34" i="50"/>
  <c r="AB35" i="50"/>
  <c r="AB66" i="50"/>
  <c r="AB67" i="50"/>
  <c r="AB68" i="50"/>
  <c r="AB69" i="50"/>
  <c r="AB70" i="50"/>
  <c r="AB41" i="64"/>
  <c r="AB39" i="50"/>
  <c r="AB43" i="50"/>
  <c r="AB40" i="64"/>
  <c r="AB43" i="64"/>
  <c r="AB45" i="64"/>
  <c r="AB67" i="64"/>
  <c r="AB70" i="64"/>
  <c r="AC69" i="64"/>
  <c r="AE91" i="49"/>
  <c r="AE79" i="49"/>
  <c r="D103" i="49"/>
  <c r="AE103" i="49"/>
  <c r="AE139" i="49"/>
  <c r="AE141" i="49"/>
  <c r="AB47" i="48"/>
  <c r="AD126" i="59"/>
  <c r="AB46" i="48"/>
  <c r="AB76" i="48"/>
  <c r="AB85" i="48"/>
  <c r="AD125" i="59"/>
  <c r="AD127" i="59"/>
  <c r="AE18" i="49"/>
  <c r="AE6" i="49"/>
  <c r="AB36" i="48"/>
  <c r="D30" i="49"/>
  <c r="AE30" i="49"/>
  <c r="AE66" i="49"/>
  <c r="AE68" i="49"/>
  <c r="AB43" i="48"/>
  <c r="AD121" i="59"/>
  <c r="AB40" i="48"/>
  <c r="AB42" i="48"/>
  <c r="AB75" i="48"/>
  <c r="AB79" i="48"/>
  <c r="AB81" i="48"/>
  <c r="AD120" i="59"/>
  <c r="AD122" i="59"/>
  <c r="AB30" i="48"/>
  <c r="AB60" i="48"/>
  <c r="AB61" i="48"/>
  <c r="AB62" i="48"/>
  <c r="AB63" i="48"/>
  <c r="AB67" i="48"/>
  <c r="AB69" i="48"/>
  <c r="AD116" i="59"/>
  <c r="AD129" i="59"/>
  <c r="AB95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4" i="48"/>
  <c r="AC14" i="67"/>
  <c r="AC17" i="67"/>
  <c r="AC18" i="67"/>
  <c r="AC20" i="67"/>
  <c r="AC39" i="64"/>
  <c r="AC65" i="50"/>
  <c r="AC38" i="50"/>
  <c r="AC34" i="50"/>
  <c r="AC35" i="50"/>
  <c r="AC66" i="50"/>
  <c r="AC67" i="50"/>
  <c r="AC68" i="50"/>
  <c r="AC69" i="50"/>
  <c r="AC70" i="50"/>
  <c r="AC41" i="64"/>
  <c r="AC39" i="50"/>
  <c r="AC43" i="50"/>
  <c r="AC40" i="64"/>
  <c r="AC43" i="64"/>
  <c r="AC45" i="64"/>
  <c r="AC67" i="64"/>
  <c r="AC70" i="64"/>
  <c r="AC11" i="111"/>
  <c r="E31" i="111" a="1"/>
  <c r="E31" i="111"/>
  <c r="Q11" i="111"/>
  <c r="N11" i="111"/>
  <c r="D31" i="111" a="1"/>
  <c r="D31" i="111"/>
  <c r="E29" i="111"/>
  <c r="E30" i="111"/>
  <c r="V15" i="111"/>
  <c r="AA35" i="48"/>
  <c r="D87" i="46"/>
  <c r="D89" i="46"/>
  <c r="D90" i="46"/>
  <c r="AD140" i="49"/>
  <c r="AA86" i="48"/>
  <c r="B120" i="46"/>
  <c r="AA74" i="48"/>
  <c r="B145" i="46"/>
  <c r="D114" i="46"/>
  <c r="AD67" i="49"/>
  <c r="AA82" i="48"/>
  <c r="AA41" i="48"/>
  <c r="AA80" i="48"/>
  <c r="E129" i="46"/>
  <c r="E130" i="46"/>
  <c r="E131" i="46"/>
  <c r="E132" i="46"/>
  <c r="AF439" i="6"/>
  <c r="AF441" i="6"/>
  <c r="AF448" i="6"/>
  <c r="AF450" i="6"/>
  <c r="AF529" i="6"/>
  <c r="AF227" i="6"/>
  <c r="AF292" i="6"/>
  <c r="AF375" i="6"/>
  <c r="AF548" i="6"/>
  <c r="AC165" i="59"/>
  <c r="AD12" i="33"/>
  <c r="AD11" i="33"/>
  <c r="AD13" i="33"/>
  <c r="AD8" i="33"/>
  <c r="AD9" i="33"/>
  <c r="AD10" i="33"/>
  <c r="AD7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19" i="30"/>
  <c r="AD20" i="30"/>
  <c r="AD21" i="30"/>
  <c r="AD24" i="30"/>
  <c r="AD25" i="30"/>
  <c r="AD26" i="30"/>
  <c r="AD29" i="30"/>
  <c r="AD30" i="30"/>
  <c r="AD33" i="30"/>
  <c r="AD45" i="30"/>
  <c r="AD47" i="30"/>
  <c r="AD49" i="30"/>
  <c r="AD12" i="30"/>
  <c r="AD13" i="30"/>
  <c r="AD14" i="30"/>
  <c r="AD7" i="30"/>
  <c r="AD8" i="30"/>
  <c r="AD9" i="30"/>
  <c r="AD51" i="30"/>
  <c r="D32" i="33"/>
  <c r="AD32" i="33"/>
  <c r="AD69" i="33"/>
  <c r="AD39" i="28"/>
  <c r="AC204" i="59"/>
  <c r="AC57" i="57"/>
  <c r="AC144" i="59"/>
  <c r="AC30" i="57"/>
  <c r="AC142" i="59"/>
  <c r="AC43" i="57"/>
  <c r="AC143" i="59"/>
  <c r="AC71" i="57"/>
  <c r="AC145" i="59"/>
  <c r="AC15" i="57"/>
  <c r="AC141" i="59"/>
  <c r="AC73" i="57"/>
  <c r="AC146" i="59"/>
  <c r="AC147" i="59"/>
  <c r="E70" i="46"/>
  <c r="E71" i="46"/>
  <c r="E72" i="46"/>
  <c r="E74" i="46"/>
  <c r="E59" i="46"/>
  <c r="E76" i="46"/>
  <c r="AB27" i="50"/>
  <c r="AB38" i="64"/>
  <c r="AB48" i="64"/>
  <c r="AB50" i="64"/>
  <c r="AB35" i="48"/>
  <c r="AE140" i="49"/>
  <c r="AB86" i="48"/>
  <c r="AB74" i="48"/>
  <c r="AE67" i="49"/>
  <c r="AB82" i="48"/>
  <c r="AB41" i="48"/>
  <c r="AB80" i="48"/>
  <c r="AG439" i="6"/>
  <c r="AG441" i="6"/>
  <c r="AG448" i="6"/>
  <c r="AG450" i="6"/>
  <c r="AG529" i="6"/>
  <c r="AG227" i="6"/>
  <c r="AG292" i="6"/>
  <c r="AG375" i="6"/>
  <c r="AG548" i="6"/>
  <c r="AD165" i="59"/>
  <c r="AE12" i="33"/>
  <c r="AE11" i="33"/>
  <c r="AE13" i="33"/>
  <c r="AE8" i="33"/>
  <c r="AE9" i="33"/>
  <c r="AE10" i="33"/>
  <c r="AE7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E19" i="30"/>
  <c r="AE20" i="30"/>
  <c r="AE21" i="30"/>
  <c r="AE24" i="30"/>
  <c r="AE25" i="30"/>
  <c r="AE26" i="30"/>
  <c r="AE29" i="30"/>
  <c r="AE30" i="30"/>
  <c r="AE33" i="30"/>
  <c r="AE45" i="30"/>
  <c r="AE47" i="30"/>
  <c r="AE49" i="30"/>
  <c r="AE12" i="30"/>
  <c r="AE13" i="30"/>
  <c r="AE14" i="30"/>
  <c r="AE7" i="30"/>
  <c r="AE8" i="30"/>
  <c r="AE9" i="30"/>
  <c r="AE51" i="30"/>
  <c r="D33" i="33"/>
  <c r="AE33" i="33"/>
  <c r="AE69" i="33"/>
  <c r="AE39" i="28"/>
  <c r="AD204" i="59"/>
  <c r="AD57" i="57"/>
  <c r="AD144" i="59"/>
  <c r="AD30" i="57"/>
  <c r="AD142" i="59"/>
  <c r="AD43" i="57"/>
  <c r="AD143" i="59"/>
  <c r="AD71" i="57"/>
  <c r="AD145" i="59"/>
  <c r="AD15" i="57"/>
  <c r="AD141" i="59"/>
  <c r="AD73" i="57"/>
  <c r="AD146" i="59"/>
  <c r="AD147" i="59"/>
  <c r="AC27" i="50"/>
  <c r="AC38" i="64"/>
  <c r="AC48" i="64"/>
  <c r="AC50" i="64"/>
  <c r="T11" i="111"/>
  <c r="U15" i="111"/>
  <c r="T15" i="111"/>
  <c r="S15" i="111"/>
  <c r="R15" i="111"/>
  <c r="AD69" i="64"/>
  <c r="AC35" i="48"/>
  <c r="AC46" i="48"/>
  <c r="AC74" i="48"/>
  <c r="AC76" i="48"/>
  <c r="AC85" i="48"/>
  <c r="AE125" i="59"/>
  <c r="AF92" i="49"/>
  <c r="D104" i="49"/>
  <c r="AF104" i="49"/>
  <c r="AF80" i="49"/>
  <c r="AF139" i="49"/>
  <c r="AF140" i="49"/>
  <c r="AF141" i="49"/>
  <c r="AC47" i="48"/>
  <c r="AC86" i="48"/>
  <c r="AE126" i="59"/>
  <c r="AE127" i="59"/>
  <c r="AC36" i="48"/>
  <c r="AC40" i="48"/>
  <c r="AC41" i="48"/>
  <c r="AC42" i="48"/>
  <c r="AC75" i="48"/>
  <c r="AC79" i="48"/>
  <c r="AC80" i="48"/>
  <c r="AC81" i="48"/>
  <c r="AE120" i="59"/>
  <c r="AF19" i="49"/>
  <c r="D31" i="49"/>
  <c r="AF31" i="49"/>
  <c r="AF7" i="49"/>
  <c r="AF66" i="49"/>
  <c r="AF67" i="49"/>
  <c r="AF68" i="49"/>
  <c r="AC43" i="48"/>
  <c r="AC82" i="48"/>
  <c r="AE121" i="59"/>
  <c r="AE122" i="59"/>
  <c r="AC30" i="48"/>
  <c r="AC60" i="48"/>
  <c r="AC61" i="48"/>
  <c r="AC62" i="48"/>
  <c r="AC63" i="48"/>
  <c r="AC67" i="48"/>
  <c r="AC69" i="48"/>
  <c r="AE116" i="59"/>
  <c r="AE129" i="59"/>
  <c r="AC95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439" i="6"/>
  <c r="AH441" i="6"/>
  <c r="AH448" i="6"/>
  <c r="AH450" i="6"/>
  <c r="AH529" i="6"/>
  <c r="AH531" i="6"/>
  <c r="AH540" i="6"/>
  <c r="AH541" i="6"/>
  <c r="AH542" i="6"/>
  <c r="AH544" i="6"/>
  <c r="AH545" i="6"/>
  <c r="AE164" i="59"/>
  <c r="AH228" i="6"/>
  <c r="AH376" i="6"/>
  <c r="AH549" i="6"/>
  <c r="AE166" i="59"/>
  <c r="AH227" i="6"/>
  <c r="AH292" i="6"/>
  <c r="AH375" i="6"/>
  <c r="AH548" i="6"/>
  <c r="AE165" i="59"/>
  <c r="AE167" i="59"/>
  <c r="AE150" i="59"/>
  <c r="AE152" i="59"/>
  <c r="AE153" i="59"/>
  <c r="AE154" i="59"/>
  <c r="AE169" i="59"/>
  <c r="AF12" i="33"/>
  <c r="AF11" i="33"/>
  <c r="AF13" i="33"/>
  <c r="AF8" i="33"/>
  <c r="AF9" i="33"/>
  <c r="AF10" i="33"/>
  <c r="AF7" i="33"/>
  <c r="AF14" i="33"/>
  <c r="AF15" i="33"/>
  <c r="AF16" i="33"/>
  <c r="AF17" i="33"/>
  <c r="AF18" i="33"/>
  <c r="AF19" i="33"/>
  <c r="AF20" i="33"/>
  <c r="AF21" i="33"/>
  <c r="AF22" i="33"/>
  <c r="AF23" i="33"/>
  <c r="AF24" i="33"/>
  <c r="AF25" i="33"/>
  <c r="AF26" i="33"/>
  <c r="AF27" i="33"/>
  <c r="AF28" i="33"/>
  <c r="AF29" i="33"/>
  <c r="AF30" i="33"/>
  <c r="AF31" i="33"/>
  <c r="AF32" i="33"/>
  <c r="AF33" i="33"/>
  <c r="AF19" i="30"/>
  <c r="AF20" i="30"/>
  <c r="AF21" i="30"/>
  <c r="AF24" i="30"/>
  <c r="AF25" i="30"/>
  <c r="AF26" i="30"/>
  <c r="AF29" i="30"/>
  <c r="AF30" i="30"/>
  <c r="AF33" i="30"/>
  <c r="AF45" i="30"/>
  <c r="AF47" i="30"/>
  <c r="AF49" i="30"/>
  <c r="AF12" i="30"/>
  <c r="AF13" i="30"/>
  <c r="AF14" i="30"/>
  <c r="AF7" i="30"/>
  <c r="AF8" i="30"/>
  <c r="AF9" i="30"/>
  <c r="AF51" i="30"/>
  <c r="D34" i="33"/>
  <c r="AF34" i="33"/>
  <c r="AF69" i="33"/>
  <c r="AF39" i="28"/>
  <c r="AE204" i="59"/>
  <c r="AE57" i="57"/>
  <c r="AE144" i="59"/>
  <c r="AE30" i="57"/>
  <c r="AE142" i="59"/>
  <c r="AE43" i="57"/>
  <c r="AE143" i="59"/>
  <c r="AE71" i="57"/>
  <c r="AE145" i="59"/>
  <c r="AE15" i="57"/>
  <c r="AE141" i="59"/>
  <c r="AE73" i="57"/>
  <c r="AE146" i="59"/>
  <c r="AE147" i="59"/>
  <c r="AE206" i="59"/>
  <c r="AE208" i="59"/>
  <c r="AD35" i="64"/>
  <c r="AC94" i="48"/>
  <c r="AD14" i="67"/>
  <c r="AD17" i="67"/>
  <c r="AD18" i="67"/>
  <c r="AD20" i="67"/>
  <c r="AD39" i="64"/>
  <c r="AD38" i="50"/>
  <c r="AD34" i="50"/>
  <c r="AD27" i="50"/>
  <c r="AD35" i="50"/>
  <c r="AD39" i="50"/>
  <c r="AD43" i="50"/>
  <c r="AD40" i="64"/>
  <c r="AD65" i="50"/>
  <c r="AD66" i="50"/>
  <c r="AD67" i="50"/>
  <c r="AD68" i="50"/>
  <c r="AD69" i="50"/>
  <c r="AD70" i="50"/>
  <c r="AD41" i="64"/>
  <c r="AD38" i="64"/>
  <c r="AD43" i="64"/>
  <c r="AD45" i="64"/>
  <c r="AD48" i="64"/>
  <c r="AD50" i="64"/>
  <c r="AD67" i="64"/>
  <c r="AD70" i="64"/>
  <c r="AE69" i="64"/>
  <c r="AD35" i="48"/>
  <c r="AD46" i="48"/>
  <c r="AD74" i="48"/>
  <c r="AD76" i="48"/>
  <c r="AD85" i="48"/>
  <c r="AF125" i="59"/>
  <c r="AG93" i="49"/>
  <c r="D105" i="49"/>
  <c r="AG105" i="49"/>
  <c r="AG81" i="49"/>
  <c r="AG139" i="49"/>
  <c r="AG140" i="49"/>
  <c r="AG141" i="49"/>
  <c r="AD47" i="48"/>
  <c r="AD86" i="48"/>
  <c r="AF126" i="59"/>
  <c r="AF127" i="59"/>
  <c r="AD36" i="48"/>
  <c r="AD40" i="48"/>
  <c r="AD41" i="48"/>
  <c r="AD42" i="48"/>
  <c r="AD75" i="48"/>
  <c r="AD79" i="48"/>
  <c r="AD80" i="48"/>
  <c r="AD81" i="48"/>
  <c r="AF120" i="59"/>
  <c r="AG20" i="49"/>
  <c r="D32" i="49"/>
  <c r="AG32" i="49"/>
  <c r="AG8" i="49"/>
  <c r="AG66" i="49"/>
  <c r="AG67" i="49"/>
  <c r="AG68" i="49"/>
  <c r="AD43" i="48"/>
  <c r="AD82" i="48"/>
  <c r="AF121" i="59"/>
  <c r="AF122" i="59"/>
  <c r="AD30" i="48"/>
  <c r="AD60" i="48"/>
  <c r="AD61" i="48"/>
  <c r="AD62" i="48"/>
  <c r="AD63" i="48"/>
  <c r="AD67" i="48"/>
  <c r="AD69" i="48"/>
  <c r="AF116" i="59"/>
  <c r="AF129" i="59"/>
  <c r="AD95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439" i="6"/>
  <c r="AI441" i="6"/>
  <c r="AI448" i="6"/>
  <c r="AI450" i="6"/>
  <c r="AI529" i="6"/>
  <c r="AI531" i="6"/>
  <c r="AI540" i="6"/>
  <c r="AI541" i="6"/>
  <c r="AI542" i="6"/>
  <c r="AI544" i="6"/>
  <c r="AI545" i="6"/>
  <c r="AF164" i="59"/>
  <c r="AI228" i="6"/>
  <c r="AI376" i="6"/>
  <c r="AI549" i="6"/>
  <c r="AF166" i="59"/>
  <c r="AI227" i="6"/>
  <c r="AI292" i="6"/>
  <c r="AI375" i="6"/>
  <c r="AI548" i="6"/>
  <c r="AF165" i="59"/>
  <c r="AF167" i="59"/>
  <c r="AF150" i="59"/>
  <c r="AF152" i="59"/>
  <c r="AF153" i="59"/>
  <c r="AF154" i="59"/>
  <c r="AF169" i="59"/>
  <c r="AG12" i="33"/>
  <c r="AG11" i="33"/>
  <c r="AG13" i="33"/>
  <c r="AG8" i="33"/>
  <c r="AG9" i="33"/>
  <c r="AG10" i="33"/>
  <c r="AG7" i="33"/>
  <c r="AG14" i="33"/>
  <c r="AG15" i="33"/>
  <c r="AG16" i="33"/>
  <c r="AG17" i="33"/>
  <c r="AG18" i="33"/>
  <c r="AG19" i="33"/>
  <c r="AG20" i="33"/>
  <c r="AG21" i="33"/>
  <c r="AG22" i="33"/>
  <c r="AG23" i="33"/>
  <c r="AG24" i="33"/>
  <c r="AG25" i="33"/>
  <c r="AG26" i="33"/>
  <c r="AG27" i="33"/>
  <c r="AG28" i="33"/>
  <c r="AG29" i="33"/>
  <c r="AG30" i="33"/>
  <c r="AG31" i="33"/>
  <c r="AG32" i="33"/>
  <c r="AG33" i="33"/>
  <c r="AG34" i="33"/>
  <c r="AG19" i="30"/>
  <c r="AG20" i="30"/>
  <c r="AG21" i="30"/>
  <c r="AG24" i="30"/>
  <c r="AG25" i="30"/>
  <c r="AG26" i="30"/>
  <c r="AG29" i="30"/>
  <c r="AG30" i="30"/>
  <c r="AG33" i="30"/>
  <c r="AG45" i="30"/>
  <c r="AG47" i="30"/>
  <c r="AG49" i="30"/>
  <c r="AG12" i="30"/>
  <c r="AG13" i="30"/>
  <c r="AG14" i="30"/>
  <c r="AG7" i="30"/>
  <c r="AG8" i="30"/>
  <c r="AG9" i="30"/>
  <c r="AG51" i="30"/>
  <c r="D35" i="33"/>
  <c r="AG35" i="33"/>
  <c r="AG69" i="33"/>
  <c r="AG39" i="28"/>
  <c r="AF204" i="59"/>
  <c r="AF57" i="57"/>
  <c r="AF144" i="59"/>
  <c r="AF30" i="57"/>
  <c r="AF142" i="59"/>
  <c r="AF43" i="57"/>
  <c r="AF143" i="59"/>
  <c r="AF71" i="57"/>
  <c r="AF145" i="59"/>
  <c r="AF15" i="57"/>
  <c r="AF141" i="59"/>
  <c r="AF73" i="57"/>
  <c r="AF146" i="59"/>
  <c r="AF147" i="59"/>
  <c r="AF206" i="59"/>
  <c r="AF208" i="59"/>
  <c r="AE35" i="64"/>
  <c r="AD94" i="48"/>
  <c r="AE14" i="67"/>
  <c r="AE17" i="67"/>
  <c r="AE18" i="67"/>
  <c r="AE20" i="67"/>
  <c r="AE39" i="64"/>
  <c r="AE38" i="50"/>
  <c r="AE34" i="50"/>
  <c r="AE27" i="50"/>
  <c r="AE35" i="50"/>
  <c r="AE39" i="50"/>
  <c r="AE43" i="50"/>
  <c r="AE40" i="64"/>
  <c r="AE65" i="50"/>
  <c r="AE66" i="50"/>
  <c r="AE67" i="50"/>
  <c r="AE68" i="50"/>
  <c r="AE69" i="50"/>
  <c r="AE70" i="50"/>
  <c r="AE41" i="64"/>
  <c r="AE38" i="64"/>
  <c r="AE43" i="64"/>
  <c r="AE45" i="64"/>
  <c r="AE48" i="64"/>
  <c r="AE50" i="64"/>
  <c r="AE67" i="64"/>
  <c r="AE70" i="64"/>
  <c r="AF69" i="64"/>
  <c r="AE35" i="48"/>
  <c r="AE46" i="48"/>
  <c r="AE74" i="48"/>
  <c r="AE76" i="48"/>
  <c r="AE85" i="48"/>
  <c r="AG125" i="59"/>
  <c r="AH94" i="49"/>
  <c r="D106" i="49"/>
  <c r="AH106" i="49"/>
  <c r="AH82" i="49"/>
  <c r="AH139" i="49"/>
  <c r="AH140" i="49"/>
  <c r="AH141" i="49"/>
  <c r="AE47" i="48"/>
  <c r="AE86" i="48"/>
  <c r="AG126" i="59"/>
  <c r="AG127" i="59"/>
  <c r="AE36" i="48"/>
  <c r="AE40" i="48"/>
  <c r="AE41" i="48"/>
  <c r="AE42" i="48"/>
  <c r="AE75" i="48"/>
  <c r="AE79" i="48"/>
  <c r="AE80" i="48"/>
  <c r="AE81" i="48"/>
  <c r="AG120" i="59"/>
  <c r="AH21" i="49"/>
  <c r="D33" i="49"/>
  <c r="AH33" i="49"/>
  <c r="AH9" i="49"/>
  <c r="AH66" i="49"/>
  <c r="AH67" i="49"/>
  <c r="AH68" i="49"/>
  <c r="AE43" i="48"/>
  <c r="AE82" i="48"/>
  <c r="AG121" i="59"/>
  <c r="AG122" i="59"/>
  <c r="AE30" i="48"/>
  <c r="AE60" i="48"/>
  <c r="AE61" i="48"/>
  <c r="AE62" i="48"/>
  <c r="AE63" i="48"/>
  <c r="AE67" i="48"/>
  <c r="AE69" i="48"/>
  <c r="AG116" i="59"/>
  <c r="AG129" i="59"/>
  <c r="AE95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439" i="6"/>
  <c r="AJ441" i="6"/>
  <c r="AJ448" i="6"/>
  <c r="AJ450" i="6"/>
  <c r="AJ529" i="6"/>
  <c r="AJ531" i="6"/>
  <c r="AJ540" i="6"/>
  <c r="AJ541" i="6"/>
  <c r="AJ542" i="6"/>
  <c r="AJ544" i="6"/>
  <c r="AJ545" i="6"/>
  <c r="AG164" i="59"/>
  <c r="AJ228" i="6"/>
  <c r="AJ376" i="6"/>
  <c r="AJ549" i="6"/>
  <c r="AG166" i="59"/>
  <c r="AJ227" i="6"/>
  <c r="AJ292" i="6"/>
  <c r="AJ375" i="6"/>
  <c r="AJ548" i="6"/>
  <c r="AG165" i="59"/>
  <c r="AG167" i="59"/>
  <c r="AG150" i="59"/>
  <c r="AG152" i="59"/>
  <c r="AG153" i="59"/>
  <c r="AG154" i="59"/>
  <c r="AG169" i="59"/>
  <c r="AH12" i="33"/>
  <c r="AH11" i="33"/>
  <c r="AH13" i="33"/>
  <c r="AH8" i="33"/>
  <c r="AH9" i="33"/>
  <c r="AH10" i="33"/>
  <c r="AH7" i="33"/>
  <c r="AH14" i="33"/>
  <c r="AH15" i="33"/>
  <c r="AH16" i="33"/>
  <c r="AH17" i="33"/>
  <c r="AH18" i="33"/>
  <c r="AH19" i="33"/>
  <c r="AH20" i="33"/>
  <c r="AH21" i="33"/>
  <c r="AH22" i="33"/>
  <c r="AH23" i="33"/>
  <c r="AH24" i="33"/>
  <c r="AH25" i="33"/>
  <c r="AH26" i="33"/>
  <c r="AH27" i="33"/>
  <c r="AH28" i="33"/>
  <c r="AH29" i="33"/>
  <c r="AH30" i="33"/>
  <c r="AH31" i="33"/>
  <c r="AH32" i="33"/>
  <c r="AH33" i="33"/>
  <c r="AH34" i="33"/>
  <c r="AH35" i="33"/>
  <c r="AH19" i="30"/>
  <c r="AH20" i="30"/>
  <c r="AH21" i="30"/>
  <c r="AH24" i="30"/>
  <c r="AH25" i="30"/>
  <c r="AH26" i="30"/>
  <c r="AH29" i="30"/>
  <c r="AH30" i="30"/>
  <c r="AH33" i="30"/>
  <c r="AH45" i="30"/>
  <c r="AH47" i="30"/>
  <c r="AH49" i="30"/>
  <c r="AH12" i="30"/>
  <c r="AH13" i="30"/>
  <c r="AH14" i="30"/>
  <c r="AH7" i="30"/>
  <c r="AH8" i="30"/>
  <c r="AH9" i="30"/>
  <c r="AH51" i="30"/>
  <c r="D36" i="33"/>
  <c r="AH36" i="33"/>
  <c r="AH69" i="33"/>
  <c r="AH39" i="28"/>
  <c r="AG204" i="59"/>
  <c r="AG57" i="57"/>
  <c r="AG144" i="59"/>
  <c r="AG30" i="57"/>
  <c r="AG142" i="59"/>
  <c r="AG43" i="57"/>
  <c r="AG143" i="59"/>
  <c r="AG71" i="57"/>
  <c r="AG145" i="59"/>
  <c r="AG15" i="57"/>
  <c r="AG141" i="59"/>
  <c r="AG73" i="57"/>
  <c r="AG146" i="59"/>
  <c r="AG147" i="59"/>
  <c r="AG206" i="59"/>
  <c r="AG208" i="59"/>
  <c r="AF35" i="64"/>
  <c r="AE94" i="48"/>
  <c r="AF14" i="67"/>
  <c r="AF17" i="67"/>
  <c r="AF18" i="67"/>
  <c r="AF20" i="67"/>
  <c r="AF39" i="64"/>
  <c r="AF38" i="50"/>
  <c r="AF34" i="50"/>
  <c r="AF27" i="50"/>
  <c r="AF35" i="50"/>
  <c r="AF39" i="50"/>
  <c r="AF43" i="50"/>
  <c r="AF40" i="64"/>
  <c r="AF65" i="50"/>
  <c r="AF66" i="50"/>
  <c r="AF67" i="50"/>
  <c r="AF68" i="50"/>
  <c r="AF69" i="50"/>
  <c r="AF70" i="50"/>
  <c r="AF41" i="64"/>
  <c r="AF38" i="64"/>
  <c r="AF43" i="64"/>
  <c r="AF45" i="64"/>
  <c r="AF48" i="64"/>
  <c r="AF50" i="64"/>
  <c r="AF67" i="64"/>
  <c r="AF70" i="64"/>
  <c r="AF11" i="111"/>
  <c r="P11" i="111"/>
  <c r="Q15" i="111"/>
  <c r="M11" i="111"/>
  <c r="J11" i="111"/>
  <c r="C31" i="111" a="1"/>
  <c r="C31" i="111"/>
  <c r="D29" i="111"/>
  <c r="D30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AZ53" i="64"/>
  <c r="BA53" i="64"/>
  <c r="BB53" i="64"/>
  <c r="BC53" i="64"/>
  <c r="BD53" i="64"/>
  <c r="BE53" i="64"/>
  <c r="BF53" i="64"/>
  <c r="BG53" i="64"/>
  <c r="BH53" i="64"/>
  <c r="BI53" i="64"/>
  <c r="BJ53" i="64"/>
  <c r="BK53" i="64"/>
  <c r="H2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V53" i="64"/>
  <c r="AW53" i="64"/>
  <c r="AX53" i="64"/>
  <c r="AY53" i="64"/>
  <c r="G23" i="64"/>
  <c r="F23" i="64"/>
  <c r="Q53" i="64"/>
  <c r="R53" i="64"/>
  <c r="P53" i="64"/>
  <c r="E23" i="64"/>
  <c r="E5" i="64"/>
  <c r="E9" i="64"/>
  <c r="E10" i="64"/>
  <c r="E11" i="64"/>
  <c r="E8" i="64"/>
  <c r="E13" i="64"/>
  <c r="E15" i="64"/>
  <c r="E18" i="64"/>
  <c r="E20" i="64"/>
  <c r="E25" i="64"/>
  <c r="H53" i="64"/>
  <c r="N53" i="64"/>
  <c r="D53" i="64"/>
  <c r="E53" i="64"/>
  <c r="F53" i="64"/>
  <c r="G53" i="64"/>
  <c r="I53" i="64"/>
  <c r="J53" i="64"/>
  <c r="K53" i="64"/>
  <c r="L53" i="64"/>
  <c r="M53" i="64"/>
  <c r="O53" i="64"/>
  <c r="D23" i="64"/>
  <c r="K47" i="6"/>
  <c r="K75" i="6"/>
  <c r="K133" i="6"/>
  <c r="B61" i="59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R104" i="49"/>
  <c r="B124" i="59"/>
  <c r="B20" i="59"/>
  <c r="B119" i="59"/>
  <c r="B15" i="59"/>
  <c r="A40" i="48"/>
  <c r="A42" i="48"/>
  <c r="B120" i="59"/>
  <c r="B16" i="59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6" i="6"/>
  <c r="H47" i="6"/>
  <c r="H287" i="6"/>
  <c r="H288" i="6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C18" i="29"/>
  <c r="C19" i="29"/>
  <c r="C38" i="29"/>
  <c r="C39" i="29"/>
  <c r="H31" i="6"/>
  <c r="D23" i="29"/>
  <c r="H53" i="6"/>
  <c r="D24" i="29"/>
  <c r="H81" i="6"/>
  <c r="D25" i="29"/>
  <c r="H139" i="6"/>
  <c r="D26" i="29"/>
  <c r="D27" i="29"/>
  <c r="D28" i="29"/>
  <c r="D47" i="29"/>
  <c r="D48" i="29"/>
  <c r="H30" i="6"/>
  <c r="D14" i="29"/>
  <c r="H52" i="6"/>
  <c r="D15" i="29"/>
  <c r="H80" i="6"/>
  <c r="D16" i="29"/>
  <c r="H138" i="6"/>
  <c r="D17" i="29"/>
  <c r="D18" i="29"/>
  <c r="D19" i="29"/>
  <c r="D38" i="29"/>
  <c r="D39" i="2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30" i="6"/>
  <c r="G133" i="6"/>
  <c r="G543" i="6"/>
  <c r="D165" i="59"/>
  <c r="D166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6" i="6"/>
  <c r="I47" i="6"/>
  <c r="I287" i="6"/>
  <c r="I288" i="6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I31" i="6"/>
  <c r="E23" i="29"/>
  <c r="I53" i="6"/>
  <c r="E24" i="29"/>
  <c r="I81" i="6"/>
  <c r="E25" i="29"/>
  <c r="I139" i="6"/>
  <c r="E26" i="29"/>
  <c r="E27" i="29"/>
  <c r="E28" i="29"/>
  <c r="E47" i="29"/>
  <c r="E48" i="29"/>
  <c r="I30" i="6"/>
  <c r="E14" i="29"/>
  <c r="I52" i="6"/>
  <c r="E15" i="29"/>
  <c r="I80" i="6"/>
  <c r="E16" i="29"/>
  <c r="I138" i="6"/>
  <c r="E17" i="29"/>
  <c r="E18" i="29"/>
  <c r="E19" i="29"/>
  <c r="E38" i="29"/>
  <c r="E39" i="2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6" i="6"/>
  <c r="J47" i="6"/>
  <c r="J287" i="6"/>
  <c r="J288" i="6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J31" i="6"/>
  <c r="F23" i="29"/>
  <c r="J53" i="6"/>
  <c r="F24" i="29"/>
  <c r="J81" i="6"/>
  <c r="F25" i="29"/>
  <c r="J139" i="6"/>
  <c r="F26" i="29"/>
  <c r="F27" i="29"/>
  <c r="F28" i="29"/>
  <c r="F47" i="29"/>
  <c r="F48" i="29"/>
  <c r="J30" i="6"/>
  <c r="F14" i="29"/>
  <c r="J52" i="6"/>
  <c r="F15" i="29"/>
  <c r="J80" i="6"/>
  <c r="F16" i="29"/>
  <c r="J138" i="6"/>
  <c r="F17" i="29"/>
  <c r="F18" i="29"/>
  <c r="F19" i="29"/>
  <c r="F38" i="29"/>
  <c r="F39" i="2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I56" i="68"/>
  <c r="I58" i="68"/>
  <c r="I59" i="68"/>
  <c r="I60" i="68"/>
  <c r="I61" i="68"/>
  <c r="I62" i="68"/>
  <c r="I63" i="68"/>
  <c r="I64" i="68"/>
  <c r="I65" i="68"/>
  <c r="K199" i="6"/>
  <c r="K201" i="6"/>
  <c r="K190" i="6"/>
  <c r="K192" i="6"/>
  <c r="K163" i="6"/>
  <c r="K165" i="6"/>
  <c r="K181" i="6"/>
  <c r="K183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6" i="6"/>
  <c r="K287" i="6"/>
  <c r="K288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K53" i="6"/>
  <c r="G24" i="29"/>
  <c r="K81" i="6"/>
  <c r="G25" i="29"/>
  <c r="K139" i="6"/>
  <c r="G26" i="29"/>
  <c r="K52" i="6"/>
  <c r="G15" i="29"/>
  <c r="K80" i="6"/>
  <c r="G16" i="29"/>
  <c r="K138" i="6"/>
  <c r="K29" i="6"/>
  <c r="K51" i="6"/>
  <c r="G6" i="29"/>
  <c r="K79" i="6"/>
  <c r="G7" i="29"/>
  <c r="K137" i="6"/>
  <c r="G8" i="29"/>
  <c r="J56" i="68"/>
  <c r="J58" i="68"/>
  <c r="J59" i="68"/>
  <c r="J60" i="68"/>
  <c r="J61" i="68"/>
  <c r="J62" i="68"/>
  <c r="J63" i="68"/>
  <c r="J64" i="68"/>
  <c r="J65" i="68"/>
  <c r="L199" i="6"/>
  <c r="L201" i="6"/>
  <c r="L190" i="6"/>
  <c r="L192" i="6"/>
  <c r="L163" i="6"/>
  <c r="L165" i="6"/>
  <c r="L181" i="6"/>
  <c r="L183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264" i="6"/>
  <c r="L266" i="6"/>
  <c r="L255" i="6"/>
  <c r="L257" i="6"/>
  <c r="L246" i="6"/>
  <c r="L248" i="6"/>
  <c r="L237" i="6"/>
  <c r="L239" i="6"/>
  <c r="L273" i="6"/>
  <c r="L274" i="6"/>
  <c r="L275" i="6"/>
  <c r="L286" i="6"/>
  <c r="L47" i="6"/>
  <c r="L287" i="6"/>
  <c r="L288" i="6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L53" i="6"/>
  <c r="H24" i="29"/>
  <c r="L81" i="6"/>
  <c r="H25" i="29"/>
  <c r="L52" i="6"/>
  <c r="H15" i="29"/>
  <c r="L80" i="6"/>
  <c r="H16" i="29"/>
  <c r="L138" i="6"/>
  <c r="L29" i="6"/>
  <c r="L51" i="6"/>
  <c r="H6" i="29"/>
  <c r="L79" i="6"/>
  <c r="H7" i="29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6" i="6"/>
  <c r="M47" i="6"/>
  <c r="M287" i="6"/>
  <c r="M288" i="6"/>
  <c r="J166" i="59"/>
  <c r="J151" i="59"/>
  <c r="M205" i="6"/>
  <c r="M196" i="6"/>
  <c r="M178" i="6"/>
  <c r="M169" i="6"/>
  <c r="M187" i="6"/>
  <c r="M212" i="6"/>
  <c r="J157" i="59"/>
  <c r="M270" i="6"/>
  <c r="M243" i="6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M31" i="6"/>
  <c r="I23" i="29"/>
  <c r="M81" i="6"/>
  <c r="I25" i="29"/>
  <c r="M139" i="6"/>
  <c r="I26" i="29"/>
  <c r="M30" i="6"/>
  <c r="I14" i="29"/>
  <c r="M80" i="6"/>
  <c r="I16" i="29"/>
  <c r="M138" i="6"/>
  <c r="I17" i="29"/>
  <c r="M29" i="6"/>
  <c r="I5" i="29"/>
  <c r="M79" i="6"/>
  <c r="I7" i="29"/>
  <c r="M137" i="6"/>
  <c r="I8" i="29"/>
  <c r="I34" i="29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264" i="6"/>
  <c r="N266" i="6"/>
  <c r="N255" i="6"/>
  <c r="N257" i="6"/>
  <c r="N246" i="6"/>
  <c r="N248" i="6"/>
  <c r="N237" i="6"/>
  <c r="N239" i="6"/>
  <c r="N273" i="6"/>
  <c r="N274" i="6"/>
  <c r="N275" i="6"/>
  <c r="N286" i="6"/>
  <c r="N47" i="6"/>
  <c r="N287" i="6"/>
  <c r="N288" i="6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N31" i="6"/>
  <c r="J23" i="29"/>
  <c r="N53" i="6"/>
  <c r="J24" i="29"/>
  <c r="N81" i="6"/>
  <c r="J25" i="29"/>
  <c r="N30" i="6"/>
  <c r="J14" i="29"/>
  <c r="N52" i="6"/>
  <c r="J15" i="29"/>
  <c r="N80" i="6"/>
  <c r="J16" i="29"/>
  <c r="N29" i="6"/>
  <c r="J5" i="29"/>
  <c r="N51" i="6"/>
  <c r="J6" i="29"/>
  <c r="N79" i="6"/>
  <c r="J7" i="29"/>
  <c r="J34" i="29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264" i="6"/>
  <c r="O266" i="6"/>
  <c r="O255" i="6"/>
  <c r="O257" i="6"/>
  <c r="O246" i="6"/>
  <c r="O248" i="6"/>
  <c r="O237" i="6"/>
  <c r="O239" i="6"/>
  <c r="O273" i="6"/>
  <c r="O274" i="6"/>
  <c r="O275" i="6"/>
  <c r="O286" i="6"/>
  <c r="O47" i="6"/>
  <c r="O287" i="6"/>
  <c r="O288" i="6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O31" i="6"/>
  <c r="K23" i="29"/>
  <c r="O53" i="6"/>
  <c r="K24" i="29"/>
  <c r="O81" i="6"/>
  <c r="K25" i="29"/>
  <c r="O30" i="6"/>
  <c r="K14" i="29"/>
  <c r="O52" i="6"/>
  <c r="K15" i="29"/>
  <c r="O80" i="6"/>
  <c r="K16" i="29"/>
  <c r="O29" i="6"/>
  <c r="K5" i="29"/>
  <c r="O51" i="6"/>
  <c r="K6" i="29"/>
  <c r="O79" i="6"/>
  <c r="K7" i="29"/>
  <c r="K34" i="29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264" i="6"/>
  <c r="P266" i="6"/>
  <c r="P255" i="6"/>
  <c r="P257" i="6"/>
  <c r="P246" i="6"/>
  <c r="P248" i="6"/>
  <c r="P237" i="6"/>
  <c r="P239" i="6"/>
  <c r="P273" i="6"/>
  <c r="P274" i="6"/>
  <c r="P275" i="6"/>
  <c r="P286" i="6"/>
  <c r="P47" i="6"/>
  <c r="P287" i="6"/>
  <c r="P288" i="6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P31" i="6"/>
  <c r="L23" i="29"/>
  <c r="P53" i="6"/>
  <c r="L24" i="29"/>
  <c r="P81" i="6"/>
  <c r="L25" i="29"/>
  <c r="P30" i="6"/>
  <c r="L14" i="29"/>
  <c r="P52" i="6"/>
  <c r="L15" i="29"/>
  <c r="P80" i="6"/>
  <c r="L16" i="29"/>
  <c r="P29" i="6"/>
  <c r="L5" i="29"/>
  <c r="P51" i="6"/>
  <c r="L6" i="29"/>
  <c r="P79" i="6"/>
  <c r="L7" i="29"/>
  <c r="L34" i="29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264" i="6"/>
  <c r="Q266" i="6"/>
  <c r="Q255" i="6"/>
  <c r="Q257" i="6"/>
  <c r="Q246" i="6"/>
  <c r="Q248" i="6"/>
  <c r="Q237" i="6"/>
  <c r="Q239" i="6"/>
  <c r="Q273" i="6"/>
  <c r="Q274" i="6"/>
  <c r="Q275" i="6"/>
  <c r="Q286" i="6"/>
  <c r="Q47" i="6"/>
  <c r="Q287" i="6"/>
  <c r="Q288" i="6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Q31" i="6"/>
  <c r="M23" i="29"/>
  <c r="Q53" i="6"/>
  <c r="M24" i="29"/>
  <c r="Q81" i="6"/>
  <c r="M25" i="29"/>
  <c r="Q30" i="6"/>
  <c r="M14" i="29"/>
  <c r="Q52" i="6"/>
  <c r="M15" i="29"/>
  <c r="Q80" i="6"/>
  <c r="M16" i="29"/>
  <c r="Q29" i="6"/>
  <c r="M5" i="29"/>
  <c r="Q51" i="6"/>
  <c r="M6" i="29"/>
  <c r="Q79" i="6"/>
  <c r="M7" i="29"/>
  <c r="M34" i="29"/>
  <c r="O11" i="111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264" i="6"/>
  <c r="R266" i="6"/>
  <c r="R255" i="6"/>
  <c r="R257" i="6"/>
  <c r="R246" i="6"/>
  <c r="R248" i="6"/>
  <c r="R237" i="6"/>
  <c r="R239" i="6"/>
  <c r="R273" i="6"/>
  <c r="R274" i="6"/>
  <c r="R275" i="6"/>
  <c r="R286" i="6"/>
  <c r="R47" i="6"/>
  <c r="R287" i="6"/>
  <c r="R288" i="6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R31" i="6"/>
  <c r="N23" i="29"/>
  <c r="R53" i="6"/>
  <c r="N24" i="29"/>
  <c r="R81" i="6"/>
  <c r="N25" i="29"/>
  <c r="R30" i="6"/>
  <c r="N14" i="29"/>
  <c r="R52" i="6"/>
  <c r="N15" i="29"/>
  <c r="R80" i="6"/>
  <c r="N16" i="29"/>
  <c r="R29" i="6"/>
  <c r="N5" i="29"/>
  <c r="R51" i="6"/>
  <c r="N6" i="29"/>
  <c r="R79" i="6"/>
  <c r="N7" i="29"/>
  <c r="N34" i="29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264" i="6"/>
  <c r="S266" i="6"/>
  <c r="S255" i="6"/>
  <c r="S257" i="6"/>
  <c r="S246" i="6"/>
  <c r="S248" i="6"/>
  <c r="S237" i="6"/>
  <c r="S239" i="6"/>
  <c r="S273" i="6"/>
  <c r="S274" i="6"/>
  <c r="S275" i="6"/>
  <c r="S286" i="6"/>
  <c r="S47" i="6"/>
  <c r="S287" i="6"/>
  <c r="S288" i="6"/>
  <c r="S293" i="6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S31" i="6"/>
  <c r="O23" i="29"/>
  <c r="S53" i="6"/>
  <c r="O24" i="29"/>
  <c r="S81" i="6"/>
  <c r="O25" i="29"/>
  <c r="S30" i="6"/>
  <c r="O14" i="29"/>
  <c r="S52" i="6"/>
  <c r="O15" i="29"/>
  <c r="S80" i="6"/>
  <c r="O16" i="29"/>
  <c r="S29" i="6"/>
  <c r="O5" i="29"/>
  <c r="S51" i="6"/>
  <c r="O6" i="29"/>
  <c r="S79" i="6"/>
  <c r="O7" i="29"/>
  <c r="O34" i="29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81" i="6"/>
  <c r="T183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6" i="6"/>
  <c r="T47" i="6"/>
  <c r="T287" i="6"/>
  <c r="T288" i="6"/>
  <c r="T293" i="6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T31" i="6"/>
  <c r="P23" i="29"/>
  <c r="T53" i="6"/>
  <c r="P24" i="29"/>
  <c r="T81" i="6"/>
  <c r="P25" i="29"/>
  <c r="T139" i="6"/>
  <c r="P26" i="29"/>
  <c r="P27" i="29"/>
  <c r="T30" i="6"/>
  <c r="P14" i="29"/>
  <c r="T52" i="6"/>
  <c r="P15" i="29"/>
  <c r="T80" i="6"/>
  <c r="P16" i="29"/>
  <c r="T138" i="6"/>
  <c r="P17" i="29"/>
  <c r="P18" i="29"/>
  <c r="T29" i="6"/>
  <c r="P5" i="29"/>
  <c r="T51" i="6"/>
  <c r="P6" i="29"/>
  <c r="T79" i="6"/>
  <c r="P7" i="29"/>
  <c r="T137" i="6"/>
  <c r="P8" i="29"/>
  <c r="P9" i="29"/>
  <c r="P33" i="29"/>
  <c r="P34" i="29"/>
  <c r="P42" i="29"/>
  <c r="P44" i="29"/>
  <c r="R6" i="28"/>
  <c r="Q172" i="59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81" i="6"/>
  <c r="U183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6" i="6"/>
  <c r="U47" i="6"/>
  <c r="U287" i="6"/>
  <c r="U288" i="6"/>
  <c r="U293" i="6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U31" i="6"/>
  <c r="Q23" i="29"/>
  <c r="U53" i="6"/>
  <c r="Q24" i="29"/>
  <c r="U81" i="6"/>
  <c r="Q25" i="29"/>
  <c r="U139" i="6"/>
  <c r="Q26" i="29"/>
  <c r="Q27" i="29"/>
  <c r="Q28" i="29"/>
  <c r="Q47" i="29"/>
  <c r="Q48" i="29"/>
  <c r="U30" i="6"/>
  <c r="Q14" i="29"/>
  <c r="U52" i="6"/>
  <c r="Q15" i="29"/>
  <c r="U80" i="6"/>
  <c r="Q16" i="29"/>
  <c r="U138" i="6"/>
  <c r="Q17" i="29"/>
  <c r="Q18" i="29"/>
  <c r="Q19" i="29"/>
  <c r="Q38" i="29"/>
  <c r="Q39" i="2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81" i="6"/>
  <c r="V183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6" i="6"/>
  <c r="V47" i="6"/>
  <c r="V287" i="6"/>
  <c r="V288" i="6"/>
  <c r="V293" i="6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V31" i="6"/>
  <c r="R23" i="29"/>
  <c r="V53" i="6"/>
  <c r="R24" i="29"/>
  <c r="V81" i="6"/>
  <c r="R25" i="29"/>
  <c r="V139" i="6"/>
  <c r="R26" i="29"/>
  <c r="R27" i="29"/>
  <c r="R28" i="29"/>
  <c r="R47" i="29"/>
  <c r="R48" i="29"/>
  <c r="V30" i="6"/>
  <c r="R14" i="29"/>
  <c r="V52" i="6"/>
  <c r="R15" i="29"/>
  <c r="V80" i="6"/>
  <c r="R16" i="29"/>
  <c r="V138" i="6"/>
  <c r="R17" i="29"/>
  <c r="R18" i="29"/>
  <c r="R19" i="29"/>
  <c r="R38" i="29"/>
  <c r="R39" i="2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81" i="6"/>
  <c r="W183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6" i="6"/>
  <c r="W47" i="6"/>
  <c r="W287" i="6"/>
  <c r="W288" i="6"/>
  <c r="W293" i="6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W31" i="6"/>
  <c r="S23" i="29"/>
  <c r="W53" i="6"/>
  <c r="S24" i="29"/>
  <c r="W81" i="6"/>
  <c r="S25" i="29"/>
  <c r="W139" i="6"/>
  <c r="S26" i="29"/>
  <c r="S27" i="29"/>
  <c r="S28" i="29"/>
  <c r="S47" i="29"/>
  <c r="S48" i="29"/>
  <c r="W30" i="6"/>
  <c r="S14" i="29"/>
  <c r="W52" i="6"/>
  <c r="S15" i="29"/>
  <c r="W80" i="6"/>
  <c r="S16" i="29"/>
  <c r="W138" i="6"/>
  <c r="S17" i="29"/>
  <c r="S18" i="29"/>
  <c r="S19" i="29"/>
  <c r="S38" i="29"/>
  <c r="S39" i="2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81" i="6"/>
  <c r="X183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6" i="6"/>
  <c r="X47" i="6"/>
  <c r="X287" i="6"/>
  <c r="X288" i="6"/>
  <c r="X293" i="6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X31" i="6"/>
  <c r="T23" i="29"/>
  <c r="X53" i="6"/>
  <c r="T24" i="29"/>
  <c r="X81" i="6"/>
  <c r="T25" i="29"/>
  <c r="X139" i="6"/>
  <c r="T26" i="29"/>
  <c r="T27" i="29"/>
  <c r="T28" i="29"/>
  <c r="T47" i="29"/>
  <c r="T48" i="29"/>
  <c r="X30" i="6"/>
  <c r="T14" i="29"/>
  <c r="X52" i="6"/>
  <c r="T15" i="29"/>
  <c r="X80" i="6"/>
  <c r="T16" i="29"/>
  <c r="X138" i="6"/>
  <c r="T17" i="29"/>
  <c r="T18" i="29"/>
  <c r="T19" i="29"/>
  <c r="T38" i="29"/>
  <c r="T39" i="2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81" i="6"/>
  <c r="Y183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6" i="6"/>
  <c r="Y47" i="6"/>
  <c r="Y287" i="6"/>
  <c r="Y288" i="6"/>
  <c r="Y293" i="6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Y31" i="6"/>
  <c r="U23" i="29"/>
  <c r="Y53" i="6"/>
  <c r="U24" i="29"/>
  <c r="Y81" i="6"/>
  <c r="U25" i="29"/>
  <c r="Y139" i="6"/>
  <c r="U26" i="29"/>
  <c r="U27" i="29"/>
  <c r="U28" i="29"/>
  <c r="U47" i="29"/>
  <c r="U48" i="29"/>
  <c r="Y30" i="6"/>
  <c r="U14" i="29"/>
  <c r="Y52" i="6"/>
  <c r="U15" i="29"/>
  <c r="Y80" i="6"/>
  <c r="U16" i="29"/>
  <c r="Y138" i="6"/>
  <c r="U17" i="29"/>
  <c r="U18" i="29"/>
  <c r="U19" i="29"/>
  <c r="U38" i="29"/>
  <c r="U39" i="2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81" i="6"/>
  <c r="Z183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6" i="6"/>
  <c r="Z47" i="6"/>
  <c r="Z287" i="6"/>
  <c r="Z288" i="6"/>
  <c r="Z293" i="6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Z31" i="6"/>
  <c r="V23" i="29"/>
  <c r="Z53" i="6"/>
  <c r="V24" i="29"/>
  <c r="Z81" i="6"/>
  <c r="V25" i="29"/>
  <c r="Z139" i="6"/>
  <c r="V26" i="29"/>
  <c r="V27" i="29"/>
  <c r="V28" i="29"/>
  <c r="V47" i="29"/>
  <c r="V48" i="29"/>
  <c r="Z30" i="6"/>
  <c r="V14" i="29"/>
  <c r="Z52" i="6"/>
  <c r="V15" i="29"/>
  <c r="Z80" i="6"/>
  <c r="V16" i="29"/>
  <c r="Z138" i="6"/>
  <c r="V17" i="29"/>
  <c r="V18" i="29"/>
  <c r="V19" i="29"/>
  <c r="V38" i="29"/>
  <c r="V39" i="2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81" i="6"/>
  <c r="AA183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6" i="6"/>
  <c r="AA47" i="6"/>
  <c r="AA287" i="6"/>
  <c r="AA288" i="6"/>
  <c r="AA293" i="6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AA31" i="6"/>
  <c r="W23" i="29"/>
  <c r="AA53" i="6"/>
  <c r="W24" i="29"/>
  <c r="AA81" i="6"/>
  <c r="W25" i="29"/>
  <c r="AA139" i="6"/>
  <c r="W26" i="29"/>
  <c r="W27" i="29"/>
  <c r="W28" i="29"/>
  <c r="W47" i="29"/>
  <c r="W48" i="29"/>
  <c r="AA30" i="6"/>
  <c r="W14" i="29"/>
  <c r="AA52" i="6"/>
  <c r="W15" i="29"/>
  <c r="AA80" i="6"/>
  <c r="W16" i="29"/>
  <c r="AA138" i="6"/>
  <c r="W17" i="29"/>
  <c r="W18" i="29"/>
  <c r="W19" i="29"/>
  <c r="W38" i="29"/>
  <c r="W39" i="2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81" i="6"/>
  <c r="AB183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6" i="6"/>
  <c r="AB47" i="6"/>
  <c r="AB287" i="6"/>
  <c r="AB288" i="6"/>
  <c r="AB293" i="6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AB31" i="6"/>
  <c r="X23" i="29"/>
  <c r="AB53" i="6"/>
  <c r="X24" i="29"/>
  <c r="AB81" i="6"/>
  <c r="X25" i="29"/>
  <c r="AB139" i="6"/>
  <c r="X26" i="29"/>
  <c r="X27" i="29"/>
  <c r="X28" i="29"/>
  <c r="X47" i="29"/>
  <c r="X48" i="29"/>
  <c r="AB30" i="6"/>
  <c r="X14" i="29"/>
  <c r="AB52" i="6"/>
  <c r="X15" i="29"/>
  <c r="AB80" i="6"/>
  <c r="X16" i="29"/>
  <c r="AB138" i="6"/>
  <c r="X17" i="29"/>
  <c r="X18" i="29"/>
  <c r="X19" i="29"/>
  <c r="X38" i="29"/>
  <c r="X39" i="2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81" i="6"/>
  <c r="AC183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6" i="6"/>
  <c r="AC47" i="6"/>
  <c r="AC287" i="6"/>
  <c r="AC288" i="6"/>
  <c r="AC293" i="6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C31" i="6"/>
  <c r="Y23" i="29"/>
  <c r="AC53" i="6"/>
  <c r="Y24" i="29"/>
  <c r="AC81" i="6"/>
  <c r="Y25" i="29"/>
  <c r="AC139" i="6"/>
  <c r="Y26" i="29"/>
  <c r="Y27" i="29"/>
  <c r="Y28" i="29"/>
  <c r="Y47" i="29"/>
  <c r="Y48" i="29"/>
  <c r="AC30" i="6"/>
  <c r="Y14" i="29"/>
  <c r="AC52" i="6"/>
  <c r="Y15" i="29"/>
  <c r="AC80" i="6"/>
  <c r="Y16" i="29"/>
  <c r="AC138" i="6"/>
  <c r="Y17" i="29"/>
  <c r="Y18" i="29"/>
  <c r="Y19" i="29"/>
  <c r="Y38" i="29"/>
  <c r="Y39" i="2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81" i="6"/>
  <c r="AD183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6" i="6"/>
  <c r="AD47" i="6"/>
  <c r="AD287" i="6"/>
  <c r="AD288" i="6"/>
  <c r="AD293" i="6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D31" i="6"/>
  <c r="Z23" i="29"/>
  <c r="AD53" i="6"/>
  <c r="Z24" i="29"/>
  <c r="AD81" i="6"/>
  <c r="Z25" i="29"/>
  <c r="AD139" i="6"/>
  <c r="Z26" i="29"/>
  <c r="Z27" i="29"/>
  <c r="Z28" i="29"/>
  <c r="Z47" i="29"/>
  <c r="Z48" i="29"/>
  <c r="AD30" i="6"/>
  <c r="Z14" i="29"/>
  <c r="AD52" i="6"/>
  <c r="Z15" i="29"/>
  <c r="AD80" i="6"/>
  <c r="Z16" i="29"/>
  <c r="AD138" i="6"/>
  <c r="Z17" i="29"/>
  <c r="Z18" i="29"/>
  <c r="Z19" i="29"/>
  <c r="Z38" i="29"/>
  <c r="Z39" i="2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81" i="6"/>
  <c r="AE183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6" i="6"/>
  <c r="AE47" i="6"/>
  <c r="AE287" i="6"/>
  <c r="AE288" i="6"/>
  <c r="AE293" i="6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S11" i="111"/>
  <c r="F53" i="82"/>
  <c r="F56" i="82"/>
  <c r="F75" i="82"/>
  <c r="F74" i="82"/>
  <c r="F79" i="82"/>
  <c r="F80" i="82"/>
  <c r="F81" i="82"/>
  <c r="F82" i="82"/>
  <c r="F83" i="82"/>
  <c r="F86" i="82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AN35" i="48"/>
  <c r="B170" i="46"/>
  <c r="AN46" i="48"/>
  <c r="AN74" i="48"/>
  <c r="AN76" i="48"/>
  <c r="B195" i="46"/>
  <c r="AN85" i="48"/>
  <c r="AP125" i="59"/>
  <c r="AO89" i="49"/>
  <c r="AO101" i="49"/>
  <c r="AL35" i="48"/>
  <c r="D113" i="49"/>
  <c r="AO113" i="49"/>
  <c r="AO139" i="49"/>
  <c r="AO140" i="49"/>
  <c r="AO141" i="49"/>
  <c r="AN47" i="48"/>
  <c r="AN86" i="48"/>
  <c r="AP126" i="59"/>
  <c r="AP127" i="59"/>
  <c r="AN36" i="48"/>
  <c r="AN40" i="48"/>
  <c r="AN41" i="48"/>
  <c r="AN42" i="48"/>
  <c r="AN75" i="48"/>
  <c r="AN79" i="48"/>
  <c r="AN80" i="48"/>
  <c r="AN81" i="48"/>
  <c r="AP120" i="59"/>
  <c r="AO16" i="49"/>
  <c r="AO28" i="49"/>
  <c r="AL36" i="48"/>
  <c r="D40" i="49"/>
  <c r="AO40" i="49"/>
  <c r="AO66" i="49"/>
  <c r="AO67" i="49"/>
  <c r="AO68" i="49"/>
  <c r="AN43" i="48"/>
  <c r="AP121" i="59"/>
  <c r="AP122" i="59"/>
  <c r="AN30" i="48"/>
  <c r="AN60" i="48"/>
  <c r="AN61" i="48"/>
  <c r="AN62" i="48"/>
  <c r="AN63" i="48"/>
  <c r="AN67" i="48"/>
  <c r="AN69" i="48"/>
  <c r="AP116" i="59"/>
  <c r="AP129" i="59"/>
  <c r="AN95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9" i="6"/>
  <c r="AH440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AI11" i="33"/>
  <c r="AJ11" i="33"/>
  <c r="AK11" i="33"/>
  <c r="AL11" i="33"/>
  <c r="AM11" i="33"/>
  <c r="AN11" i="33"/>
  <c r="AO11" i="33"/>
  <c r="AP11" i="33"/>
  <c r="AQ11" i="33"/>
  <c r="AI12" i="33"/>
  <c r="AJ12" i="33"/>
  <c r="AK12" i="33"/>
  <c r="AL12" i="33"/>
  <c r="AM12" i="33"/>
  <c r="AN12" i="33"/>
  <c r="AO12" i="33"/>
  <c r="AP12" i="33"/>
  <c r="AQ12" i="33"/>
  <c r="AI13" i="33"/>
  <c r="AJ13" i="33"/>
  <c r="AK13" i="33"/>
  <c r="AL13" i="33"/>
  <c r="AM13" i="33"/>
  <c r="AN13" i="33"/>
  <c r="AO13" i="33"/>
  <c r="AP13" i="33"/>
  <c r="AQ13" i="33"/>
  <c r="AI14" i="33"/>
  <c r="AJ14" i="33"/>
  <c r="AK14" i="33"/>
  <c r="AL14" i="33"/>
  <c r="AM14" i="33"/>
  <c r="AN14" i="33"/>
  <c r="AO14" i="33"/>
  <c r="AP14" i="33"/>
  <c r="AQ14" i="33"/>
  <c r="AI15" i="33"/>
  <c r="AJ15" i="33"/>
  <c r="AK15" i="33"/>
  <c r="AL15" i="33"/>
  <c r="AM15" i="33"/>
  <c r="AN15" i="33"/>
  <c r="AO15" i="33"/>
  <c r="AP15" i="33"/>
  <c r="AQ15" i="33"/>
  <c r="AI16" i="33"/>
  <c r="AJ16" i="33"/>
  <c r="AK16" i="33"/>
  <c r="AL16" i="33"/>
  <c r="AM16" i="33"/>
  <c r="AN16" i="33"/>
  <c r="AO16" i="33"/>
  <c r="AP16" i="33"/>
  <c r="AQ16" i="33"/>
  <c r="AI17" i="33"/>
  <c r="AJ17" i="33"/>
  <c r="AK17" i="33"/>
  <c r="AL17" i="33"/>
  <c r="AM17" i="33"/>
  <c r="AN17" i="33"/>
  <c r="AO17" i="33"/>
  <c r="AP17" i="33"/>
  <c r="AQ17" i="33"/>
  <c r="AI18" i="33"/>
  <c r="AJ18" i="33"/>
  <c r="AK18" i="33"/>
  <c r="AL18" i="33"/>
  <c r="AM18" i="33"/>
  <c r="AN18" i="33"/>
  <c r="AO18" i="33"/>
  <c r="AP18" i="33"/>
  <c r="AQ18" i="33"/>
  <c r="AI19" i="33"/>
  <c r="AJ19" i="33"/>
  <c r="AK19" i="33"/>
  <c r="AL19" i="33"/>
  <c r="AM19" i="33"/>
  <c r="AN19" i="33"/>
  <c r="AO19" i="33"/>
  <c r="AP19" i="33"/>
  <c r="AQ19" i="33"/>
  <c r="AI20" i="33"/>
  <c r="AJ20" i="33"/>
  <c r="AK20" i="33"/>
  <c r="AL20" i="33"/>
  <c r="AM20" i="33"/>
  <c r="AN20" i="33"/>
  <c r="AO20" i="33"/>
  <c r="AP20" i="33"/>
  <c r="AQ20" i="33"/>
  <c r="AI21" i="33"/>
  <c r="AJ21" i="33"/>
  <c r="AK21" i="33"/>
  <c r="AL21" i="33"/>
  <c r="AM21" i="33"/>
  <c r="AN21" i="33"/>
  <c r="AO21" i="33"/>
  <c r="AP21" i="33"/>
  <c r="AQ21" i="33"/>
  <c r="AI22" i="33"/>
  <c r="AJ22" i="33"/>
  <c r="AK22" i="33"/>
  <c r="AL22" i="33"/>
  <c r="AM22" i="33"/>
  <c r="AN22" i="33"/>
  <c r="AO22" i="33"/>
  <c r="AP22" i="33"/>
  <c r="AQ22" i="33"/>
  <c r="AI23" i="33"/>
  <c r="AJ23" i="33"/>
  <c r="AK23" i="33"/>
  <c r="AL23" i="33"/>
  <c r="AM23" i="33"/>
  <c r="AN23" i="33"/>
  <c r="AO23" i="33"/>
  <c r="AP23" i="33"/>
  <c r="AQ23" i="33"/>
  <c r="AI24" i="33"/>
  <c r="AJ24" i="33"/>
  <c r="AK24" i="33"/>
  <c r="AL24" i="33"/>
  <c r="AM24" i="33"/>
  <c r="AN24" i="33"/>
  <c r="AO24" i="33"/>
  <c r="AP24" i="33"/>
  <c r="AQ24" i="33"/>
  <c r="AI25" i="33"/>
  <c r="AJ25" i="33"/>
  <c r="AK25" i="33"/>
  <c r="AL25" i="33"/>
  <c r="AM25" i="33"/>
  <c r="AN25" i="33"/>
  <c r="AO25" i="33"/>
  <c r="AP25" i="33"/>
  <c r="AQ25" i="33"/>
  <c r="AI26" i="33"/>
  <c r="AJ26" i="33"/>
  <c r="AK26" i="33"/>
  <c r="AL26" i="33"/>
  <c r="AM26" i="33"/>
  <c r="AN26" i="33"/>
  <c r="AO26" i="33"/>
  <c r="AP26" i="33"/>
  <c r="AQ26" i="33"/>
  <c r="AI27" i="33"/>
  <c r="AJ27" i="33"/>
  <c r="AK27" i="33"/>
  <c r="AL27" i="33"/>
  <c r="AM27" i="33"/>
  <c r="AN27" i="33"/>
  <c r="AO27" i="33"/>
  <c r="AP27" i="33"/>
  <c r="AQ27" i="33"/>
  <c r="AI28" i="33"/>
  <c r="AJ28" i="33"/>
  <c r="AK28" i="33"/>
  <c r="AL28" i="33"/>
  <c r="AM28" i="33"/>
  <c r="AN28" i="33"/>
  <c r="AO28" i="33"/>
  <c r="AP28" i="33"/>
  <c r="AQ28" i="33"/>
  <c r="AI29" i="33"/>
  <c r="AJ29" i="33"/>
  <c r="AK29" i="33"/>
  <c r="AL29" i="33"/>
  <c r="AM29" i="33"/>
  <c r="AN29" i="33"/>
  <c r="AO29" i="33"/>
  <c r="AP29" i="33"/>
  <c r="AQ29" i="33"/>
  <c r="AI30" i="33"/>
  <c r="AJ30" i="33"/>
  <c r="AK30" i="33"/>
  <c r="AL30" i="33"/>
  <c r="AM30" i="33"/>
  <c r="AN30" i="33"/>
  <c r="AO30" i="33"/>
  <c r="AP30" i="33"/>
  <c r="AQ30" i="33"/>
  <c r="AI31" i="33"/>
  <c r="AJ31" i="33"/>
  <c r="AK31" i="33"/>
  <c r="AL31" i="33"/>
  <c r="AM31" i="33"/>
  <c r="AN31" i="33"/>
  <c r="AO31" i="33"/>
  <c r="AP31" i="33"/>
  <c r="AQ31" i="33"/>
  <c r="AI32" i="33"/>
  <c r="AJ32" i="33"/>
  <c r="AK32" i="33"/>
  <c r="AL32" i="33"/>
  <c r="AM32" i="33"/>
  <c r="AN32" i="33"/>
  <c r="AO32" i="33"/>
  <c r="AP32" i="33"/>
  <c r="AQ32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19" i="30"/>
  <c r="AI20" i="30"/>
  <c r="AI21" i="30"/>
  <c r="AI24" i="30"/>
  <c r="AI25" i="30"/>
  <c r="AI26" i="30"/>
  <c r="AI29" i="30"/>
  <c r="AI30" i="30"/>
  <c r="AI33" i="30"/>
  <c r="AI45" i="30"/>
  <c r="AI47" i="30"/>
  <c r="AI49" i="30"/>
  <c r="AI12" i="30"/>
  <c r="AI13" i="30"/>
  <c r="AI14" i="30"/>
  <c r="AI51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19" i="30"/>
  <c r="AJ20" i="30"/>
  <c r="AJ21" i="30"/>
  <c r="AJ24" i="30"/>
  <c r="AJ25" i="30"/>
  <c r="AJ26" i="30"/>
  <c r="AJ29" i="30"/>
  <c r="AJ30" i="30"/>
  <c r="AJ33" i="30"/>
  <c r="AJ45" i="30"/>
  <c r="AJ47" i="30"/>
  <c r="AJ49" i="30"/>
  <c r="AJ12" i="30"/>
  <c r="AJ13" i="30"/>
  <c r="AJ14" i="30"/>
  <c r="AJ51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19" i="30"/>
  <c r="AK20" i="30"/>
  <c r="AK21" i="30"/>
  <c r="AK24" i="30"/>
  <c r="AK25" i="30"/>
  <c r="AK26" i="30"/>
  <c r="AK29" i="30"/>
  <c r="AK30" i="30"/>
  <c r="AK33" i="30"/>
  <c r="AK45" i="30"/>
  <c r="AK47" i="30"/>
  <c r="AK49" i="30"/>
  <c r="AK12" i="30"/>
  <c r="AK13" i="30"/>
  <c r="AK14" i="30"/>
  <c r="AK51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19" i="30"/>
  <c r="AL20" i="30"/>
  <c r="AL21" i="30"/>
  <c r="AL24" i="30"/>
  <c r="AL25" i="30"/>
  <c r="AL26" i="30"/>
  <c r="AL29" i="30"/>
  <c r="AL30" i="30"/>
  <c r="AL33" i="30"/>
  <c r="AL45" i="30"/>
  <c r="AL47" i="30"/>
  <c r="AL49" i="30"/>
  <c r="AL12" i="30"/>
  <c r="AL13" i="30"/>
  <c r="AL14" i="30"/>
  <c r="AL51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19" i="30"/>
  <c r="AM20" i="30"/>
  <c r="AM21" i="30"/>
  <c r="AM24" i="30"/>
  <c r="AM25" i="30"/>
  <c r="AM26" i="30"/>
  <c r="AM29" i="30"/>
  <c r="AM30" i="30"/>
  <c r="AM33" i="30"/>
  <c r="AM45" i="30"/>
  <c r="AM47" i="30"/>
  <c r="AM49" i="30"/>
  <c r="AM12" i="30"/>
  <c r="AM13" i="30"/>
  <c r="AM14" i="30"/>
  <c r="AM51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19" i="30"/>
  <c r="AN20" i="30"/>
  <c r="AN21" i="30"/>
  <c r="AN24" i="30"/>
  <c r="AN25" i="30"/>
  <c r="AN26" i="30"/>
  <c r="AN29" i="30"/>
  <c r="AN30" i="30"/>
  <c r="AN33" i="30"/>
  <c r="AN45" i="30"/>
  <c r="AN47" i="30"/>
  <c r="AN49" i="30"/>
  <c r="AN12" i="30"/>
  <c r="AN13" i="30"/>
  <c r="AN14" i="30"/>
  <c r="AN51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19" i="30"/>
  <c r="AO20" i="30"/>
  <c r="AO21" i="30"/>
  <c r="AO24" i="30"/>
  <c r="AO25" i="30"/>
  <c r="AO26" i="30"/>
  <c r="AO29" i="30"/>
  <c r="AO30" i="30"/>
  <c r="AO33" i="30"/>
  <c r="AO45" i="30"/>
  <c r="AO47" i="30"/>
  <c r="AO49" i="30"/>
  <c r="AO12" i="30"/>
  <c r="AO13" i="30"/>
  <c r="AO14" i="30"/>
  <c r="AO51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19" i="30"/>
  <c r="AP20" i="30"/>
  <c r="AP21" i="30"/>
  <c r="AP24" i="30"/>
  <c r="AP25" i="30"/>
  <c r="AP26" i="30"/>
  <c r="AP29" i="30"/>
  <c r="AP30" i="30"/>
  <c r="AP33" i="30"/>
  <c r="AP45" i="30"/>
  <c r="AP47" i="30"/>
  <c r="AP49" i="30"/>
  <c r="AP12" i="30"/>
  <c r="AP13" i="30"/>
  <c r="AP14" i="30"/>
  <c r="AP51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19" i="30"/>
  <c r="AQ20" i="30"/>
  <c r="AQ21" i="30"/>
  <c r="AQ24" i="30"/>
  <c r="AQ25" i="30"/>
  <c r="AQ26" i="30"/>
  <c r="AQ29" i="30"/>
  <c r="AQ30" i="30"/>
  <c r="AQ33" i="30"/>
  <c r="AQ45" i="30"/>
  <c r="AQ47" i="30"/>
  <c r="AQ49" i="30"/>
  <c r="AQ12" i="30"/>
  <c r="AQ13" i="30"/>
  <c r="AQ14" i="30"/>
  <c r="AQ51" i="30"/>
  <c r="D45" i="33"/>
  <c r="AQ45" i="33"/>
  <c r="AI7" i="33"/>
  <c r="AJ7" i="33"/>
  <c r="AK7" i="33"/>
  <c r="AL7" i="33"/>
  <c r="AM7" i="33"/>
  <c r="AN7" i="33"/>
  <c r="AO7" i="33"/>
  <c r="AP7" i="33"/>
  <c r="AQ7" i="33"/>
  <c r="AI8" i="33"/>
  <c r="AJ8" i="33"/>
  <c r="AK8" i="33"/>
  <c r="AL8" i="33"/>
  <c r="AM8" i="33"/>
  <c r="AN8" i="33"/>
  <c r="AO8" i="33"/>
  <c r="AP8" i="33"/>
  <c r="AQ8" i="33"/>
  <c r="AI9" i="33"/>
  <c r="AJ9" i="33"/>
  <c r="AK9" i="33"/>
  <c r="AL9" i="33"/>
  <c r="AM9" i="33"/>
  <c r="AN9" i="33"/>
  <c r="AO9" i="33"/>
  <c r="AP9" i="33"/>
  <c r="AQ9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57" i="57"/>
  <c r="AP144" i="59"/>
  <c r="AP30" i="57"/>
  <c r="AP142" i="59"/>
  <c r="AP43" i="57"/>
  <c r="AP143" i="59"/>
  <c r="AP71" i="57"/>
  <c r="AP145" i="59"/>
  <c r="AP15" i="57"/>
  <c r="AP141" i="59"/>
  <c r="AP73" i="57"/>
  <c r="AP146" i="59"/>
  <c r="AP147" i="59"/>
  <c r="AP206" i="59"/>
  <c r="AP208" i="59"/>
  <c r="AO35" i="64"/>
  <c r="AN94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AG65" i="50"/>
  <c r="AG38" i="50"/>
  <c r="AG34" i="50"/>
  <c r="AG27" i="50"/>
  <c r="AG35" i="50"/>
  <c r="AG66" i="50"/>
  <c r="AG67" i="50"/>
  <c r="AG68" i="50"/>
  <c r="AG69" i="50"/>
  <c r="AH65" i="50"/>
  <c r="AH38" i="50"/>
  <c r="AH34" i="50"/>
  <c r="AH27" i="50"/>
  <c r="AH35" i="50"/>
  <c r="AH66" i="50"/>
  <c r="AH67" i="50"/>
  <c r="AH68" i="50"/>
  <c r="AH69" i="50"/>
  <c r="AI65" i="50"/>
  <c r="AI38" i="50"/>
  <c r="AI34" i="50"/>
  <c r="AI27" i="50"/>
  <c r="AI35" i="50"/>
  <c r="AI66" i="50"/>
  <c r="AI67" i="50"/>
  <c r="AI68" i="50"/>
  <c r="AI69" i="50"/>
  <c r="AJ65" i="50"/>
  <c r="AJ38" i="50"/>
  <c r="AJ34" i="50"/>
  <c r="AJ27" i="50"/>
  <c r="AJ35" i="50"/>
  <c r="AJ66" i="50"/>
  <c r="AJ67" i="50"/>
  <c r="AJ68" i="50"/>
  <c r="AJ69" i="50"/>
  <c r="AK65" i="50"/>
  <c r="AK38" i="50"/>
  <c r="AK34" i="50"/>
  <c r="AK27" i="50"/>
  <c r="AK35" i="50"/>
  <c r="AK66" i="50"/>
  <c r="AK67" i="50"/>
  <c r="AK68" i="50"/>
  <c r="AK69" i="50"/>
  <c r="AL65" i="50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35" i="48"/>
  <c r="AO46" i="48"/>
  <c r="AO74" i="48"/>
  <c r="AO76" i="48"/>
  <c r="AO85" i="48"/>
  <c r="AQ125" i="59"/>
  <c r="AO47" i="48"/>
  <c r="AO86" i="48"/>
  <c r="AQ126" i="59"/>
  <c r="AQ127" i="59"/>
  <c r="AO36" i="48"/>
  <c r="AO40" i="48"/>
  <c r="AO41" i="48"/>
  <c r="AO42" i="48"/>
  <c r="AO75" i="48"/>
  <c r="AO79" i="48"/>
  <c r="AO80" i="48"/>
  <c r="AO81" i="48"/>
  <c r="AQ120" i="59"/>
  <c r="AO43" i="48"/>
  <c r="AQ121" i="59"/>
  <c r="AQ122" i="59"/>
  <c r="AO30" i="48"/>
  <c r="AO60" i="48"/>
  <c r="AO61" i="48"/>
  <c r="AO62" i="48"/>
  <c r="AO63" i="48"/>
  <c r="AO67" i="48"/>
  <c r="AO69" i="48"/>
  <c r="AQ116" i="59"/>
  <c r="AQ129" i="59"/>
  <c r="AO95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9" i="6"/>
  <c r="AI440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19" i="30"/>
  <c r="AR20" i="30"/>
  <c r="AR21" i="30"/>
  <c r="AR24" i="30"/>
  <c r="AR25" i="30"/>
  <c r="AR26" i="30"/>
  <c r="AR29" i="30"/>
  <c r="AR30" i="30"/>
  <c r="AR33" i="30"/>
  <c r="AR45" i="30"/>
  <c r="AR47" i="30"/>
  <c r="AR49" i="30"/>
  <c r="AR12" i="30"/>
  <c r="AR13" i="30"/>
  <c r="AR14" i="30"/>
  <c r="AR51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57" i="57"/>
  <c r="AQ144" i="59"/>
  <c r="AQ30" i="57"/>
  <c r="AQ142" i="59"/>
  <c r="AQ43" i="57"/>
  <c r="AQ143" i="59"/>
  <c r="AQ71" i="57"/>
  <c r="AQ145" i="59"/>
  <c r="AQ15" i="57"/>
  <c r="AQ141" i="59"/>
  <c r="AQ73" i="57"/>
  <c r="AQ146" i="59"/>
  <c r="AQ147" i="59"/>
  <c r="AQ206" i="59"/>
  <c r="AQ208" i="59"/>
  <c r="AP35" i="64"/>
  <c r="AO94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35" i="48"/>
  <c r="AP46" i="48"/>
  <c r="AP74" i="48"/>
  <c r="AP76" i="48"/>
  <c r="AP85" i="48"/>
  <c r="AR125" i="59"/>
  <c r="AP47" i="48"/>
  <c r="AP86" i="48"/>
  <c r="AR126" i="59"/>
  <c r="AR127" i="59"/>
  <c r="AP36" i="48"/>
  <c r="AP40" i="48"/>
  <c r="AP41" i="48"/>
  <c r="AP42" i="48"/>
  <c r="AP75" i="48"/>
  <c r="AP79" i="48"/>
  <c r="AP80" i="48"/>
  <c r="AP81" i="48"/>
  <c r="AR120" i="59"/>
  <c r="AP43" i="48"/>
  <c r="AR121" i="59"/>
  <c r="AR122" i="59"/>
  <c r="AP30" i="48"/>
  <c r="AP60" i="48"/>
  <c r="AP61" i="48"/>
  <c r="AP62" i="48"/>
  <c r="AP63" i="48"/>
  <c r="AP67" i="48"/>
  <c r="AP69" i="48"/>
  <c r="AR116" i="59"/>
  <c r="AR129" i="59"/>
  <c r="AP95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9" i="6"/>
  <c r="AJ440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19" i="30"/>
  <c r="AS20" i="30"/>
  <c r="AS21" i="30"/>
  <c r="AS24" i="30"/>
  <c r="AS25" i="30"/>
  <c r="AS26" i="30"/>
  <c r="AS29" i="30"/>
  <c r="AS30" i="30"/>
  <c r="AS33" i="30"/>
  <c r="AS45" i="30"/>
  <c r="AS47" i="30"/>
  <c r="AS49" i="30"/>
  <c r="AS12" i="30"/>
  <c r="AS13" i="30"/>
  <c r="AS14" i="30"/>
  <c r="AS51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57" i="57"/>
  <c r="AR144" i="59"/>
  <c r="AR30" i="57"/>
  <c r="AR142" i="59"/>
  <c r="AR43" i="57"/>
  <c r="AR143" i="59"/>
  <c r="AR71" i="57"/>
  <c r="AR145" i="59"/>
  <c r="AR15" i="57"/>
  <c r="AR141" i="59"/>
  <c r="AR73" i="57"/>
  <c r="AR146" i="59"/>
  <c r="AR147" i="59"/>
  <c r="AR206" i="59"/>
  <c r="AR208" i="59"/>
  <c r="AQ35" i="64"/>
  <c r="AP94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35" i="48"/>
  <c r="AQ46" i="48"/>
  <c r="AQ74" i="48"/>
  <c r="AQ76" i="48"/>
  <c r="AQ85" i="48"/>
  <c r="AS125" i="59"/>
  <c r="AQ47" i="48"/>
  <c r="AQ86" i="48"/>
  <c r="AS126" i="59"/>
  <c r="AS127" i="59"/>
  <c r="AQ36" i="48"/>
  <c r="AQ40" i="48"/>
  <c r="AQ41" i="48"/>
  <c r="AQ42" i="48"/>
  <c r="AQ75" i="48"/>
  <c r="AQ79" i="48"/>
  <c r="AQ80" i="48"/>
  <c r="AQ81" i="48"/>
  <c r="AS120" i="59"/>
  <c r="AQ43" i="48"/>
  <c r="AS121" i="59"/>
  <c r="AS122" i="59"/>
  <c r="AQ30" i="48"/>
  <c r="AQ60" i="48"/>
  <c r="AQ61" i="48"/>
  <c r="AQ62" i="48"/>
  <c r="AQ63" i="48"/>
  <c r="AQ67" i="48"/>
  <c r="AQ69" i="48"/>
  <c r="AS116" i="59"/>
  <c r="AS129" i="59"/>
  <c r="AQ95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30" i="48"/>
  <c r="AF35" i="48"/>
  <c r="AF36" i="48"/>
  <c r="AF40" i="48"/>
  <c r="AF41" i="48"/>
  <c r="AF42" i="48"/>
  <c r="AI10" i="49"/>
  <c r="AI22" i="49"/>
  <c r="D34" i="49"/>
  <c r="AI34" i="49"/>
  <c r="AI66" i="49"/>
  <c r="AI67" i="49"/>
  <c r="AI68" i="49"/>
  <c r="AF43" i="48"/>
  <c r="AF46" i="48"/>
  <c r="AI83" i="49"/>
  <c r="AI95" i="49"/>
  <c r="D107" i="49"/>
  <c r="AI107" i="49"/>
  <c r="AI139" i="49"/>
  <c r="AI140" i="49"/>
  <c r="AI141" i="49"/>
  <c r="AF47" i="48"/>
  <c r="AF60" i="48"/>
  <c r="AF61" i="48"/>
  <c r="AF62" i="48"/>
  <c r="AF63" i="48"/>
  <c r="AF67" i="48"/>
  <c r="AF69" i="48"/>
  <c r="AF74" i="48"/>
  <c r="AF76" i="48"/>
  <c r="AF75" i="48"/>
  <c r="AF79" i="48"/>
  <c r="AF80" i="48"/>
  <c r="AF81" i="48"/>
  <c r="AF85" i="48"/>
  <c r="AF86" i="48"/>
  <c r="AF95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19" i="30"/>
  <c r="AT20" i="30"/>
  <c r="AT21" i="30"/>
  <c r="AT24" i="30"/>
  <c r="AT25" i="30"/>
  <c r="AT26" i="30"/>
  <c r="AT29" i="30"/>
  <c r="AT30" i="30"/>
  <c r="AT33" i="30"/>
  <c r="AT45" i="30"/>
  <c r="AT47" i="30"/>
  <c r="AT49" i="30"/>
  <c r="AT12" i="30"/>
  <c r="AT13" i="30"/>
  <c r="AT14" i="30"/>
  <c r="AT51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57" i="57"/>
  <c r="AS144" i="59"/>
  <c r="AS30" i="57"/>
  <c r="AS142" i="59"/>
  <c r="AS43" i="57"/>
  <c r="AS143" i="59"/>
  <c r="AS71" i="57"/>
  <c r="AS145" i="59"/>
  <c r="AS15" i="57"/>
  <c r="AS141" i="59"/>
  <c r="AS73" i="57"/>
  <c r="AS146" i="59"/>
  <c r="AS147" i="59"/>
  <c r="AS206" i="59"/>
  <c r="AS208" i="59"/>
  <c r="AR35" i="64"/>
  <c r="AQ94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35" i="48"/>
  <c r="AR46" i="48"/>
  <c r="AR74" i="48"/>
  <c r="AR76" i="48"/>
  <c r="AR85" i="48"/>
  <c r="AT125" i="59"/>
  <c r="AR47" i="48"/>
  <c r="AR86" i="48"/>
  <c r="AT126" i="59"/>
  <c r="AT127" i="59"/>
  <c r="AR36" i="48"/>
  <c r="AR40" i="48"/>
  <c r="AR41" i="48"/>
  <c r="AR42" i="48"/>
  <c r="AR75" i="48"/>
  <c r="AR79" i="48"/>
  <c r="AR80" i="48"/>
  <c r="AR81" i="48"/>
  <c r="AT120" i="59"/>
  <c r="AR43" i="48"/>
  <c r="AT121" i="59"/>
  <c r="AT122" i="59"/>
  <c r="AR30" i="48"/>
  <c r="AR60" i="48"/>
  <c r="AR61" i="48"/>
  <c r="AR62" i="48"/>
  <c r="AR63" i="48"/>
  <c r="AR67" i="48"/>
  <c r="AR69" i="48"/>
  <c r="AT116" i="59"/>
  <c r="AT129" i="59"/>
  <c r="AR95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30" i="48"/>
  <c r="AG35" i="48"/>
  <c r="AG36" i="48"/>
  <c r="AG40" i="48"/>
  <c r="AG41" i="48"/>
  <c r="AG42" i="48"/>
  <c r="AJ11" i="49"/>
  <c r="AJ23" i="49"/>
  <c r="D35" i="49"/>
  <c r="AJ35" i="49"/>
  <c r="AJ66" i="49"/>
  <c r="AJ67" i="49"/>
  <c r="AJ68" i="49"/>
  <c r="AG43" i="48"/>
  <c r="AG46" i="48"/>
  <c r="AJ84" i="49"/>
  <c r="AJ96" i="49"/>
  <c r="D108" i="49"/>
  <c r="AJ108" i="49"/>
  <c r="AJ139" i="49"/>
  <c r="AJ140" i="49"/>
  <c r="AJ141" i="49"/>
  <c r="AG47" i="48"/>
  <c r="AG60" i="48"/>
  <c r="AG61" i="48"/>
  <c r="AG62" i="48"/>
  <c r="AG63" i="48"/>
  <c r="AG67" i="48"/>
  <c r="AG69" i="48"/>
  <c r="AG74" i="48"/>
  <c r="AG76" i="48"/>
  <c r="AG75" i="48"/>
  <c r="AG79" i="48"/>
  <c r="AG80" i="48"/>
  <c r="AG81" i="48"/>
  <c r="AG85" i="48"/>
  <c r="AG86" i="48"/>
  <c r="AG95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19" i="30"/>
  <c r="AU20" i="30"/>
  <c r="AU21" i="30"/>
  <c r="AU24" i="30"/>
  <c r="AU25" i="30"/>
  <c r="AU26" i="30"/>
  <c r="AU29" i="30"/>
  <c r="AU30" i="30"/>
  <c r="AU33" i="30"/>
  <c r="AU45" i="30"/>
  <c r="AU47" i="30"/>
  <c r="AU49" i="30"/>
  <c r="AU12" i="30"/>
  <c r="AU13" i="30"/>
  <c r="AU14" i="30"/>
  <c r="AU51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57" i="57"/>
  <c r="AT144" i="59"/>
  <c r="AT30" i="57"/>
  <c r="AT142" i="59"/>
  <c r="AT43" i="57"/>
  <c r="AT143" i="59"/>
  <c r="AT71" i="57"/>
  <c r="AT145" i="59"/>
  <c r="AT15" i="57"/>
  <c r="AT141" i="59"/>
  <c r="AT73" i="57"/>
  <c r="AT146" i="59"/>
  <c r="AT147" i="59"/>
  <c r="AT206" i="59"/>
  <c r="AT208" i="59"/>
  <c r="AS35" i="64"/>
  <c r="AR94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35" i="48"/>
  <c r="AS46" i="48"/>
  <c r="AS74" i="48"/>
  <c r="AS76" i="48"/>
  <c r="AS85" i="48"/>
  <c r="AU125" i="59"/>
  <c r="AS47" i="48"/>
  <c r="AS86" i="48"/>
  <c r="AU126" i="59"/>
  <c r="AU127" i="59"/>
  <c r="AS36" i="48"/>
  <c r="AS40" i="48"/>
  <c r="AS41" i="48"/>
  <c r="AS42" i="48"/>
  <c r="AS75" i="48"/>
  <c r="AS79" i="48"/>
  <c r="AS80" i="48"/>
  <c r="AS81" i="48"/>
  <c r="AU120" i="59"/>
  <c r="AS43" i="48"/>
  <c r="AU121" i="59"/>
  <c r="AU122" i="59"/>
  <c r="AS30" i="48"/>
  <c r="AS60" i="48"/>
  <c r="AS61" i="48"/>
  <c r="AS62" i="48"/>
  <c r="AS63" i="48"/>
  <c r="AS67" i="48"/>
  <c r="AS69" i="48"/>
  <c r="AU116" i="59"/>
  <c r="AU129" i="59"/>
  <c r="AS95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30" i="48"/>
  <c r="AH35" i="48"/>
  <c r="AH36" i="48"/>
  <c r="AH40" i="48"/>
  <c r="AH41" i="48"/>
  <c r="AH42" i="48"/>
  <c r="AK12" i="49"/>
  <c r="AK24" i="49"/>
  <c r="D36" i="49"/>
  <c r="AK36" i="49"/>
  <c r="AK66" i="49"/>
  <c r="AK67" i="49"/>
  <c r="AK68" i="49"/>
  <c r="AH43" i="48"/>
  <c r="AH46" i="48"/>
  <c r="AK85" i="49"/>
  <c r="AK97" i="49"/>
  <c r="D109" i="49"/>
  <c r="AK109" i="49"/>
  <c r="AK139" i="49"/>
  <c r="AK140" i="49"/>
  <c r="AK141" i="49"/>
  <c r="AH47" i="48"/>
  <c r="AH60" i="48"/>
  <c r="AH61" i="48"/>
  <c r="AH62" i="48"/>
  <c r="AH63" i="48"/>
  <c r="AH67" i="48"/>
  <c r="AH69" i="48"/>
  <c r="AH74" i="48"/>
  <c r="AH76" i="48"/>
  <c r="AH75" i="48"/>
  <c r="AH79" i="48"/>
  <c r="AH80" i="48"/>
  <c r="AH81" i="48"/>
  <c r="AH85" i="48"/>
  <c r="AH86" i="48"/>
  <c r="AH95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19" i="30"/>
  <c r="AV20" i="30"/>
  <c r="AV21" i="30"/>
  <c r="AV24" i="30"/>
  <c r="AV25" i="30"/>
  <c r="AV26" i="30"/>
  <c r="AV29" i="30"/>
  <c r="AV30" i="30"/>
  <c r="AV33" i="30"/>
  <c r="AV45" i="30"/>
  <c r="AV47" i="30"/>
  <c r="AV49" i="30"/>
  <c r="AV12" i="30"/>
  <c r="AV13" i="30"/>
  <c r="AV14" i="30"/>
  <c r="AV51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57" i="57"/>
  <c r="AU144" i="59"/>
  <c r="AU30" i="57"/>
  <c r="AU142" i="59"/>
  <c r="AU43" i="57"/>
  <c r="AU143" i="59"/>
  <c r="AU71" i="57"/>
  <c r="AU145" i="59"/>
  <c r="AU15" i="57"/>
  <c r="AU141" i="59"/>
  <c r="AU73" i="57"/>
  <c r="AU146" i="59"/>
  <c r="AU147" i="59"/>
  <c r="AU206" i="59"/>
  <c r="AU208" i="59"/>
  <c r="AT35" i="64"/>
  <c r="AS94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35" i="48"/>
  <c r="AT46" i="48"/>
  <c r="AT74" i="48"/>
  <c r="AT76" i="48"/>
  <c r="AT85" i="48"/>
  <c r="AV125" i="59"/>
  <c r="AT47" i="48"/>
  <c r="AT86" i="48"/>
  <c r="AV126" i="59"/>
  <c r="AV127" i="59"/>
  <c r="AT36" i="48"/>
  <c r="AT40" i="48"/>
  <c r="AT41" i="48"/>
  <c r="AT42" i="48"/>
  <c r="AT75" i="48"/>
  <c r="AT79" i="48"/>
  <c r="AT80" i="48"/>
  <c r="AT81" i="48"/>
  <c r="AV120" i="59"/>
  <c r="AT43" i="48"/>
  <c r="AV121" i="59"/>
  <c r="AV122" i="59"/>
  <c r="AT30" i="48"/>
  <c r="AT60" i="48"/>
  <c r="AT61" i="48"/>
  <c r="AT62" i="48"/>
  <c r="AT63" i="48"/>
  <c r="AT67" i="48"/>
  <c r="AT69" i="48"/>
  <c r="AV116" i="59"/>
  <c r="AV129" i="59"/>
  <c r="AT95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30" i="48"/>
  <c r="AI35" i="48"/>
  <c r="AI36" i="48"/>
  <c r="AI40" i="48"/>
  <c r="AI41" i="48"/>
  <c r="AI42" i="48"/>
  <c r="AL13" i="49"/>
  <c r="AL25" i="49"/>
  <c r="D37" i="49"/>
  <c r="AL37" i="49"/>
  <c r="AL66" i="49"/>
  <c r="AL67" i="49"/>
  <c r="AL68" i="49"/>
  <c r="AI43" i="48"/>
  <c r="AI46" i="48"/>
  <c r="AL86" i="49"/>
  <c r="AL98" i="49"/>
  <c r="D110" i="49"/>
  <c r="AL110" i="49"/>
  <c r="AL139" i="49"/>
  <c r="AL140" i="49"/>
  <c r="AL141" i="49"/>
  <c r="AI47" i="48"/>
  <c r="AI60" i="48"/>
  <c r="AI61" i="48"/>
  <c r="AI62" i="48"/>
  <c r="AI63" i="48"/>
  <c r="AI67" i="48"/>
  <c r="AI69" i="48"/>
  <c r="AI74" i="48"/>
  <c r="AI76" i="48"/>
  <c r="AI75" i="48"/>
  <c r="AI79" i="48"/>
  <c r="AI80" i="48"/>
  <c r="AI81" i="48"/>
  <c r="AI85" i="48"/>
  <c r="AI86" i="48"/>
  <c r="AI95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19" i="30"/>
  <c r="AW20" i="30"/>
  <c r="AW21" i="30"/>
  <c r="AW24" i="30"/>
  <c r="AW25" i="30"/>
  <c r="AW26" i="30"/>
  <c r="AW29" i="30"/>
  <c r="AW30" i="30"/>
  <c r="AW33" i="30"/>
  <c r="AW45" i="30"/>
  <c r="AW47" i="30"/>
  <c r="AW49" i="30"/>
  <c r="AW12" i="30"/>
  <c r="AW13" i="30"/>
  <c r="AW14" i="30"/>
  <c r="AW51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57" i="57"/>
  <c r="AV144" i="59"/>
  <c r="AV30" i="57"/>
  <c r="AV142" i="59"/>
  <c r="AV43" i="57"/>
  <c r="AV143" i="59"/>
  <c r="AV71" i="57"/>
  <c r="AV145" i="59"/>
  <c r="AV15" i="57"/>
  <c r="AV141" i="59"/>
  <c r="AV73" i="57"/>
  <c r="AV146" i="59"/>
  <c r="AV147" i="59"/>
  <c r="AV206" i="59"/>
  <c r="AV208" i="59"/>
  <c r="AU35" i="64"/>
  <c r="AT94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35" i="48"/>
  <c r="AU46" i="48"/>
  <c r="AU74" i="48"/>
  <c r="AU76" i="48"/>
  <c r="AU85" i="48"/>
  <c r="AW125" i="59"/>
  <c r="AU47" i="48"/>
  <c r="AU86" i="48"/>
  <c r="AW126" i="59"/>
  <c r="AW127" i="59"/>
  <c r="AU36" i="48"/>
  <c r="AU40" i="48"/>
  <c r="AU41" i="48"/>
  <c r="AU42" i="48"/>
  <c r="AU75" i="48"/>
  <c r="AU79" i="48"/>
  <c r="AU80" i="48"/>
  <c r="AU81" i="48"/>
  <c r="AW120" i="59"/>
  <c r="AU43" i="48"/>
  <c r="AW121" i="59"/>
  <c r="AW122" i="59"/>
  <c r="AU30" i="48"/>
  <c r="AU60" i="48"/>
  <c r="AU61" i="48"/>
  <c r="AU62" i="48"/>
  <c r="AU63" i="48"/>
  <c r="AU67" i="48"/>
  <c r="AU69" i="48"/>
  <c r="AW116" i="59"/>
  <c r="AW129" i="59"/>
  <c r="AU95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30" i="48"/>
  <c r="AJ35" i="48"/>
  <c r="AJ36" i="48"/>
  <c r="AJ40" i="48"/>
  <c r="AJ41" i="48"/>
  <c r="AJ42" i="48"/>
  <c r="AM14" i="49"/>
  <c r="AM26" i="49"/>
  <c r="D38" i="49"/>
  <c r="AM38" i="49"/>
  <c r="AM66" i="49"/>
  <c r="AM67" i="49"/>
  <c r="AM68" i="49"/>
  <c r="AJ43" i="48"/>
  <c r="AJ46" i="48"/>
  <c r="AM87" i="49"/>
  <c r="AM99" i="49"/>
  <c r="D111" i="49"/>
  <c r="AM111" i="49"/>
  <c r="AM139" i="49"/>
  <c r="AM140" i="49"/>
  <c r="AM141" i="49"/>
  <c r="AJ47" i="48"/>
  <c r="AJ60" i="48"/>
  <c r="AJ61" i="48"/>
  <c r="AJ62" i="48"/>
  <c r="AJ63" i="48"/>
  <c r="AJ67" i="48"/>
  <c r="AJ69" i="48"/>
  <c r="AJ74" i="48"/>
  <c r="AJ76" i="48"/>
  <c r="AJ75" i="48"/>
  <c r="AJ79" i="48"/>
  <c r="AJ80" i="48"/>
  <c r="AJ81" i="48"/>
  <c r="AJ85" i="48"/>
  <c r="AJ86" i="48"/>
  <c r="AJ95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19" i="30"/>
  <c r="AX20" i="30"/>
  <c r="AX21" i="30"/>
  <c r="AX24" i="30"/>
  <c r="AX25" i="30"/>
  <c r="AX26" i="30"/>
  <c r="AX29" i="30"/>
  <c r="AX30" i="30"/>
  <c r="AX33" i="30"/>
  <c r="AX45" i="30"/>
  <c r="AX47" i="30"/>
  <c r="AX49" i="30"/>
  <c r="AX12" i="30"/>
  <c r="AX13" i="30"/>
  <c r="AX14" i="30"/>
  <c r="AX51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57" i="57"/>
  <c r="AW144" i="59"/>
  <c r="AW30" i="57"/>
  <c r="AW142" i="59"/>
  <c r="AW43" i="57"/>
  <c r="AW143" i="59"/>
  <c r="AW71" i="57"/>
  <c r="AW145" i="59"/>
  <c r="AW15" i="57"/>
  <c r="AW141" i="59"/>
  <c r="AW73" i="57"/>
  <c r="AW146" i="59"/>
  <c r="AW147" i="59"/>
  <c r="AW206" i="59"/>
  <c r="AW208" i="59"/>
  <c r="AV35" i="64"/>
  <c r="AU94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35" i="48"/>
  <c r="AV46" i="48"/>
  <c r="AV74" i="48"/>
  <c r="AV76" i="48"/>
  <c r="AV85" i="48"/>
  <c r="AX125" i="59"/>
  <c r="AV47" i="48"/>
  <c r="AV86" i="48"/>
  <c r="AX126" i="59"/>
  <c r="AX127" i="59"/>
  <c r="AV36" i="48"/>
  <c r="AV40" i="48"/>
  <c r="AV41" i="48"/>
  <c r="AV42" i="48"/>
  <c r="AV75" i="48"/>
  <c r="AV79" i="48"/>
  <c r="AV80" i="48"/>
  <c r="AV81" i="48"/>
  <c r="AX120" i="59"/>
  <c r="AV43" i="48"/>
  <c r="AX121" i="59"/>
  <c r="AX122" i="59"/>
  <c r="AV30" i="48"/>
  <c r="AV60" i="48"/>
  <c r="AV61" i="48"/>
  <c r="AV62" i="48"/>
  <c r="AV63" i="48"/>
  <c r="AV67" i="48"/>
  <c r="AV69" i="48"/>
  <c r="AX116" i="59"/>
  <c r="AX129" i="59"/>
  <c r="AV95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30" i="48"/>
  <c r="AK35" i="48"/>
  <c r="AK36" i="48"/>
  <c r="AK40" i="48"/>
  <c r="AK41" i="48"/>
  <c r="AK42" i="48"/>
  <c r="AN15" i="49"/>
  <c r="AN27" i="49"/>
  <c r="D39" i="49"/>
  <c r="AN39" i="49"/>
  <c r="AN66" i="49"/>
  <c r="AN67" i="49"/>
  <c r="AN68" i="49"/>
  <c r="AK43" i="48"/>
  <c r="AK46" i="48"/>
  <c r="AN88" i="49"/>
  <c r="AN100" i="49"/>
  <c r="D112" i="49"/>
  <c r="AN112" i="49"/>
  <c r="AN139" i="49"/>
  <c r="AN140" i="49"/>
  <c r="AN141" i="49"/>
  <c r="AK47" i="48"/>
  <c r="AK60" i="48"/>
  <c r="AK61" i="48"/>
  <c r="AK62" i="48"/>
  <c r="AK63" i="48"/>
  <c r="AK67" i="48"/>
  <c r="AK69" i="48"/>
  <c r="AK74" i="48"/>
  <c r="AK76" i="48"/>
  <c r="AK75" i="48"/>
  <c r="AK79" i="48"/>
  <c r="AK80" i="48"/>
  <c r="AK81" i="48"/>
  <c r="AK85" i="48"/>
  <c r="AK86" i="48"/>
  <c r="AK95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19" i="30"/>
  <c r="AY20" i="30"/>
  <c r="AY21" i="30"/>
  <c r="AY24" i="30"/>
  <c r="AY25" i="30"/>
  <c r="AY26" i="30"/>
  <c r="AY29" i="30"/>
  <c r="AY30" i="30"/>
  <c r="AY33" i="30"/>
  <c r="AY45" i="30"/>
  <c r="AY47" i="30"/>
  <c r="AY49" i="30"/>
  <c r="AY12" i="30"/>
  <c r="AY13" i="30"/>
  <c r="AY14" i="30"/>
  <c r="AY51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57" i="57"/>
  <c r="AX144" i="59"/>
  <c r="AX30" i="57"/>
  <c r="AX142" i="59"/>
  <c r="AX43" i="57"/>
  <c r="AX143" i="59"/>
  <c r="AX71" i="57"/>
  <c r="AX145" i="59"/>
  <c r="AX15" i="57"/>
  <c r="AX141" i="59"/>
  <c r="AX73" i="57"/>
  <c r="AX146" i="59"/>
  <c r="AX147" i="59"/>
  <c r="AX206" i="59"/>
  <c r="AX208" i="59"/>
  <c r="AW35" i="64"/>
  <c r="AV94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35" i="48"/>
  <c r="AW46" i="48"/>
  <c r="AW74" i="48"/>
  <c r="AW76" i="48"/>
  <c r="AW85" i="48"/>
  <c r="AY125" i="59"/>
  <c r="AW47" i="48"/>
  <c r="AW86" i="48"/>
  <c r="AY126" i="59"/>
  <c r="AY127" i="59"/>
  <c r="AW36" i="48"/>
  <c r="AW40" i="48"/>
  <c r="AW41" i="48"/>
  <c r="AW42" i="48"/>
  <c r="AW75" i="48"/>
  <c r="AW79" i="48"/>
  <c r="AW80" i="48"/>
  <c r="AW81" i="48"/>
  <c r="AY120" i="59"/>
  <c r="AW43" i="48"/>
  <c r="AY121" i="59"/>
  <c r="AY122" i="59"/>
  <c r="AW30" i="48"/>
  <c r="AW60" i="48"/>
  <c r="AW61" i="48"/>
  <c r="AW62" i="48"/>
  <c r="AW63" i="48"/>
  <c r="AW67" i="48"/>
  <c r="AW69" i="48"/>
  <c r="AY116" i="59"/>
  <c r="AY129" i="59"/>
  <c r="AW95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30" i="48"/>
  <c r="AL40" i="48"/>
  <c r="AL41" i="48"/>
  <c r="AL42" i="48"/>
  <c r="AL43" i="48"/>
  <c r="AL46" i="48"/>
  <c r="AL47" i="48"/>
  <c r="AL60" i="48"/>
  <c r="AL61" i="48"/>
  <c r="AL62" i="48"/>
  <c r="AL63" i="48"/>
  <c r="AL67" i="48"/>
  <c r="AL69" i="48"/>
  <c r="AL74" i="48"/>
  <c r="AL76" i="48"/>
  <c r="AL75" i="48"/>
  <c r="AL79" i="48"/>
  <c r="AL80" i="48"/>
  <c r="AL81" i="48"/>
  <c r="AL85" i="48"/>
  <c r="AL86" i="48"/>
  <c r="AL95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19" i="30"/>
  <c r="AZ20" i="30"/>
  <c r="AZ21" i="30"/>
  <c r="AZ24" i="30"/>
  <c r="AZ25" i="30"/>
  <c r="AZ26" i="30"/>
  <c r="AZ29" i="30"/>
  <c r="AZ30" i="30"/>
  <c r="AZ33" i="30"/>
  <c r="AZ45" i="30"/>
  <c r="AZ47" i="30"/>
  <c r="AZ49" i="30"/>
  <c r="AZ12" i="30"/>
  <c r="AZ13" i="30"/>
  <c r="AZ14" i="30"/>
  <c r="AZ51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57" i="57"/>
  <c r="AY144" i="59"/>
  <c r="AY30" i="57"/>
  <c r="AY142" i="59"/>
  <c r="AY43" i="57"/>
  <c r="AY143" i="59"/>
  <c r="AY71" i="57"/>
  <c r="AY145" i="59"/>
  <c r="AY15" i="57"/>
  <c r="AY141" i="59"/>
  <c r="AY73" i="57"/>
  <c r="AY146" i="59"/>
  <c r="AY147" i="59"/>
  <c r="AY206" i="59"/>
  <c r="AY208" i="59"/>
  <c r="AX35" i="64"/>
  <c r="AW94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35" i="48"/>
  <c r="AX46" i="48"/>
  <c r="AX74" i="48"/>
  <c r="AX76" i="48"/>
  <c r="AX85" i="48"/>
  <c r="AZ125" i="59"/>
  <c r="AX47" i="48"/>
  <c r="AX86" i="48"/>
  <c r="AZ126" i="59"/>
  <c r="AZ127" i="59"/>
  <c r="AX36" i="48"/>
  <c r="AX40" i="48"/>
  <c r="AX41" i="48"/>
  <c r="AX42" i="48"/>
  <c r="AX75" i="48"/>
  <c r="AX79" i="48"/>
  <c r="AX80" i="48"/>
  <c r="AX81" i="48"/>
  <c r="AZ120" i="59"/>
  <c r="AX43" i="48"/>
  <c r="AZ121" i="59"/>
  <c r="AZ122" i="59"/>
  <c r="AX30" i="48"/>
  <c r="AX60" i="48"/>
  <c r="AX61" i="48"/>
  <c r="AX62" i="48"/>
  <c r="AX63" i="48"/>
  <c r="AX67" i="48"/>
  <c r="AX69" i="48"/>
  <c r="AZ116" i="59"/>
  <c r="AZ129" i="59"/>
  <c r="AX95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30" i="48"/>
  <c r="AM35" i="48"/>
  <c r="AM36" i="48"/>
  <c r="AM40" i="48"/>
  <c r="AM41" i="48"/>
  <c r="AM42" i="48"/>
  <c r="AM43" i="48"/>
  <c r="AM46" i="48"/>
  <c r="AM47" i="48"/>
  <c r="AM60" i="48"/>
  <c r="AM61" i="48"/>
  <c r="AM62" i="48"/>
  <c r="AM63" i="48"/>
  <c r="AM67" i="48"/>
  <c r="AM69" i="48"/>
  <c r="AM74" i="48"/>
  <c r="AM76" i="48"/>
  <c r="AM75" i="48"/>
  <c r="AM79" i="48"/>
  <c r="AM80" i="48"/>
  <c r="AM81" i="48"/>
  <c r="AM85" i="48"/>
  <c r="AM86" i="48"/>
  <c r="AM95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19" i="30"/>
  <c r="BA20" i="30"/>
  <c r="BA21" i="30"/>
  <c r="BA24" i="30"/>
  <c r="BA25" i="30"/>
  <c r="BA26" i="30"/>
  <c r="BA29" i="30"/>
  <c r="BA30" i="30"/>
  <c r="BA33" i="30"/>
  <c r="BA45" i="30"/>
  <c r="BA47" i="30"/>
  <c r="BA49" i="30"/>
  <c r="BA12" i="30"/>
  <c r="BA13" i="30"/>
  <c r="BA14" i="30"/>
  <c r="BA51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57" i="57"/>
  <c r="AZ144" i="59"/>
  <c r="AZ30" i="57"/>
  <c r="AZ142" i="59"/>
  <c r="AZ43" i="57"/>
  <c r="AZ143" i="59"/>
  <c r="AZ71" i="57"/>
  <c r="AZ145" i="59"/>
  <c r="AZ15" i="57"/>
  <c r="AZ141" i="59"/>
  <c r="AZ73" i="57"/>
  <c r="AZ146" i="59"/>
  <c r="AZ147" i="59"/>
  <c r="AZ206" i="59"/>
  <c r="AZ208" i="59"/>
  <c r="AY35" i="64"/>
  <c r="AX94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AY35" i="48"/>
  <c r="B220" i="46"/>
  <c r="AY46" i="48"/>
  <c r="AY74" i="48"/>
  <c r="AY76" i="48"/>
  <c r="B245" i="46"/>
  <c r="AY85" i="48"/>
  <c r="BA125" i="59"/>
  <c r="AY47" i="48"/>
  <c r="AY86" i="48"/>
  <c r="BA126" i="59"/>
  <c r="BA127" i="59"/>
  <c r="AY36" i="48"/>
  <c r="AY40" i="48"/>
  <c r="AY41" i="48"/>
  <c r="AY42" i="48"/>
  <c r="AY75" i="48"/>
  <c r="AY79" i="48"/>
  <c r="AY80" i="48"/>
  <c r="AY81" i="48"/>
  <c r="BA120" i="59"/>
  <c r="AY43" i="48"/>
  <c r="BA121" i="59"/>
  <c r="BA122" i="59"/>
  <c r="AY30" i="48"/>
  <c r="E179" i="46"/>
  <c r="AY60" i="48"/>
  <c r="E180" i="46"/>
  <c r="AY61" i="48"/>
  <c r="E181" i="46"/>
  <c r="AY62" i="48"/>
  <c r="E182" i="46"/>
  <c r="AY63" i="48"/>
  <c r="AY67" i="48"/>
  <c r="AY69" i="48"/>
  <c r="BA116" i="59"/>
  <c r="BA129" i="59"/>
  <c r="AY95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19" i="30"/>
  <c r="BB20" i="30"/>
  <c r="BB21" i="30"/>
  <c r="BB24" i="30"/>
  <c r="BB25" i="30"/>
  <c r="BB26" i="30"/>
  <c r="BB29" i="30"/>
  <c r="BB30" i="30"/>
  <c r="BB33" i="30"/>
  <c r="BB45" i="30"/>
  <c r="BB47" i="30"/>
  <c r="BB49" i="30"/>
  <c r="BB12" i="30"/>
  <c r="BB13" i="30"/>
  <c r="BB14" i="30"/>
  <c r="BB51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57" i="57"/>
  <c r="BA144" i="59"/>
  <c r="BA30" i="57"/>
  <c r="BA142" i="59"/>
  <c r="BA43" i="57"/>
  <c r="BA143" i="59"/>
  <c r="BA71" i="57"/>
  <c r="BA145" i="59"/>
  <c r="BA15" i="57"/>
  <c r="BA141" i="59"/>
  <c r="BA73" i="57"/>
  <c r="BA146" i="59"/>
  <c r="BA147" i="59"/>
  <c r="BA206" i="59"/>
  <c r="BA208" i="59"/>
  <c r="AZ35" i="64"/>
  <c r="AY94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35" i="48"/>
  <c r="AZ46" i="48"/>
  <c r="AZ74" i="48"/>
  <c r="AZ76" i="48"/>
  <c r="AZ85" i="48"/>
  <c r="BB125" i="59"/>
  <c r="AZ47" i="48"/>
  <c r="AZ86" i="48"/>
  <c r="BB126" i="59"/>
  <c r="BB127" i="59"/>
  <c r="AZ36" i="48"/>
  <c r="AZ40" i="48"/>
  <c r="AZ41" i="48"/>
  <c r="AZ42" i="48"/>
  <c r="AZ75" i="48"/>
  <c r="AZ79" i="48"/>
  <c r="AZ80" i="48"/>
  <c r="AZ81" i="48"/>
  <c r="BB120" i="59"/>
  <c r="AZ43" i="48"/>
  <c r="BB121" i="59"/>
  <c r="BB122" i="59"/>
  <c r="AZ30" i="48"/>
  <c r="AZ60" i="48"/>
  <c r="AZ61" i="48"/>
  <c r="AZ62" i="48"/>
  <c r="AZ63" i="48"/>
  <c r="AZ67" i="48"/>
  <c r="AZ69" i="48"/>
  <c r="BB116" i="59"/>
  <c r="BB129" i="59"/>
  <c r="AZ95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19" i="30"/>
  <c r="BC20" i="30"/>
  <c r="BC21" i="30"/>
  <c r="BC24" i="30"/>
  <c r="BC25" i="30"/>
  <c r="BC26" i="30"/>
  <c r="BC29" i="30"/>
  <c r="BC30" i="30"/>
  <c r="BC33" i="30"/>
  <c r="BC45" i="30"/>
  <c r="BC47" i="30"/>
  <c r="BC49" i="30"/>
  <c r="BC12" i="30"/>
  <c r="BC13" i="30"/>
  <c r="BC14" i="30"/>
  <c r="BC51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57" i="57"/>
  <c r="BB144" i="59"/>
  <c r="BB30" i="57"/>
  <c r="BB142" i="59"/>
  <c r="BB43" i="57"/>
  <c r="BB143" i="59"/>
  <c r="BB71" i="57"/>
  <c r="BB145" i="59"/>
  <c r="BB15" i="57"/>
  <c r="BB141" i="59"/>
  <c r="BB73" i="57"/>
  <c r="BB146" i="59"/>
  <c r="BB147" i="59"/>
  <c r="BB206" i="59"/>
  <c r="BB208" i="59"/>
  <c r="BA35" i="64"/>
  <c r="AZ94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35" i="48"/>
  <c r="BA46" i="48"/>
  <c r="BA74" i="48"/>
  <c r="BA76" i="48"/>
  <c r="BA85" i="48"/>
  <c r="BC125" i="59"/>
  <c r="BA47" i="48"/>
  <c r="BA86" i="48"/>
  <c r="BC126" i="59"/>
  <c r="BC127" i="59"/>
  <c r="BA36" i="48"/>
  <c r="BA40" i="48"/>
  <c r="BA41" i="48"/>
  <c r="BA42" i="48"/>
  <c r="BA75" i="48"/>
  <c r="BA79" i="48"/>
  <c r="BA80" i="48"/>
  <c r="BA81" i="48"/>
  <c r="BC120" i="59"/>
  <c r="BA43" i="48"/>
  <c r="BD104" i="49"/>
  <c r="BC121" i="59"/>
  <c r="BC122" i="59"/>
  <c r="BA30" i="48"/>
  <c r="BA60" i="48"/>
  <c r="BA61" i="48"/>
  <c r="BA62" i="48"/>
  <c r="BA63" i="48"/>
  <c r="BA67" i="48"/>
  <c r="BA69" i="48"/>
  <c r="BC116" i="59"/>
  <c r="BC129" i="59"/>
  <c r="BA95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19" i="30"/>
  <c r="BD20" i="30"/>
  <c r="BD21" i="30"/>
  <c r="BD24" i="30"/>
  <c r="BD25" i="30"/>
  <c r="BD26" i="30"/>
  <c r="BD29" i="30"/>
  <c r="BD30" i="30"/>
  <c r="BD33" i="30"/>
  <c r="BD45" i="30"/>
  <c r="BD47" i="30"/>
  <c r="BD49" i="30"/>
  <c r="BD12" i="30"/>
  <c r="BD13" i="30"/>
  <c r="BD14" i="30"/>
  <c r="BD51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57" i="57"/>
  <c r="BC144" i="59"/>
  <c r="BC30" i="57"/>
  <c r="BC142" i="59"/>
  <c r="BC43" i="57"/>
  <c r="BC143" i="59"/>
  <c r="BC71" i="57"/>
  <c r="BC145" i="59"/>
  <c r="BC15" i="57"/>
  <c r="BC141" i="59"/>
  <c r="BC73" i="57"/>
  <c r="BC146" i="59"/>
  <c r="BC147" i="59"/>
  <c r="BC206" i="59"/>
  <c r="BC208" i="59"/>
  <c r="BB35" i="64"/>
  <c r="BA94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35" i="48"/>
  <c r="BB46" i="48"/>
  <c r="BB74" i="48"/>
  <c r="BB76" i="48"/>
  <c r="BB85" i="48"/>
  <c r="BD125" i="59"/>
  <c r="BB47" i="48"/>
  <c r="BB86" i="48"/>
  <c r="BD126" i="59"/>
  <c r="BD127" i="59"/>
  <c r="BB36" i="48"/>
  <c r="BB40" i="48"/>
  <c r="BB41" i="48"/>
  <c r="BB42" i="48"/>
  <c r="BB75" i="48"/>
  <c r="BB79" i="48"/>
  <c r="BB80" i="48"/>
  <c r="BB81" i="48"/>
  <c r="BD120" i="59"/>
  <c r="BB43" i="48"/>
  <c r="BD121" i="59"/>
  <c r="BD122" i="59"/>
  <c r="BB30" i="48"/>
  <c r="BB60" i="48"/>
  <c r="BB61" i="48"/>
  <c r="BB62" i="48"/>
  <c r="BB63" i="48"/>
  <c r="BB67" i="48"/>
  <c r="BB69" i="48"/>
  <c r="BD116" i="59"/>
  <c r="BD129" i="59"/>
  <c r="BB95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19" i="30"/>
  <c r="BE20" i="30"/>
  <c r="BE21" i="30"/>
  <c r="BE24" i="30"/>
  <c r="BE25" i="30"/>
  <c r="BE26" i="30"/>
  <c r="BE29" i="30"/>
  <c r="BE30" i="30"/>
  <c r="BE33" i="30"/>
  <c r="BE45" i="30"/>
  <c r="BE47" i="30"/>
  <c r="BE49" i="30"/>
  <c r="BE12" i="30"/>
  <c r="BE13" i="30"/>
  <c r="BE14" i="30"/>
  <c r="BE51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57" i="57"/>
  <c r="BD144" i="59"/>
  <c r="BD30" i="57"/>
  <c r="BD142" i="59"/>
  <c r="BD43" i="57"/>
  <c r="BD143" i="59"/>
  <c r="BD71" i="57"/>
  <c r="BD145" i="59"/>
  <c r="BD15" i="57"/>
  <c r="BD141" i="59"/>
  <c r="BD73" i="57"/>
  <c r="BD146" i="59"/>
  <c r="BD147" i="59"/>
  <c r="BD206" i="59"/>
  <c r="BD208" i="59"/>
  <c r="BC35" i="64"/>
  <c r="BB94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35" i="48"/>
  <c r="BC46" i="48"/>
  <c r="BC74" i="48"/>
  <c r="BC76" i="48"/>
  <c r="BC85" i="48"/>
  <c r="BE125" i="59"/>
  <c r="BC47" i="48"/>
  <c r="BC86" i="48"/>
  <c r="BE126" i="59"/>
  <c r="BE127" i="59"/>
  <c r="BC36" i="48"/>
  <c r="BC40" i="48"/>
  <c r="BC41" i="48"/>
  <c r="BC42" i="48"/>
  <c r="BC75" i="48"/>
  <c r="BC79" i="48"/>
  <c r="BC80" i="48"/>
  <c r="BC81" i="48"/>
  <c r="BE120" i="59"/>
  <c r="BC43" i="48"/>
  <c r="BE121" i="59"/>
  <c r="BE122" i="59"/>
  <c r="BC30" i="48"/>
  <c r="BC60" i="48"/>
  <c r="BC61" i="48"/>
  <c r="BC62" i="48"/>
  <c r="BC63" i="48"/>
  <c r="BC67" i="48"/>
  <c r="BC69" i="48"/>
  <c r="BE116" i="59"/>
  <c r="BE129" i="59"/>
  <c r="BC95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19" i="30"/>
  <c r="BF20" i="30"/>
  <c r="BF21" i="30"/>
  <c r="BF24" i="30"/>
  <c r="BF25" i="30"/>
  <c r="BF26" i="30"/>
  <c r="BF29" i="30"/>
  <c r="BF30" i="30"/>
  <c r="BF33" i="30"/>
  <c r="BF45" i="30"/>
  <c r="BF47" i="30"/>
  <c r="BF49" i="30"/>
  <c r="BF12" i="30"/>
  <c r="BF13" i="30"/>
  <c r="BF14" i="30"/>
  <c r="BF51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57" i="57"/>
  <c r="BE144" i="59"/>
  <c r="BE30" i="57"/>
  <c r="BE142" i="59"/>
  <c r="BE43" i="57"/>
  <c r="BE143" i="59"/>
  <c r="BE71" i="57"/>
  <c r="BE145" i="59"/>
  <c r="BE15" i="57"/>
  <c r="BE141" i="59"/>
  <c r="BE73" i="57"/>
  <c r="BE146" i="59"/>
  <c r="BE147" i="59"/>
  <c r="BE206" i="59"/>
  <c r="BE208" i="59"/>
  <c r="BD35" i="64"/>
  <c r="BC94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35" i="48"/>
  <c r="BD46" i="48"/>
  <c r="BD74" i="48"/>
  <c r="BD76" i="48"/>
  <c r="BD85" i="48"/>
  <c r="BF125" i="59"/>
  <c r="BD47" i="48"/>
  <c r="BD86" i="48"/>
  <c r="BF126" i="59"/>
  <c r="BF127" i="59"/>
  <c r="BD36" i="48"/>
  <c r="BD40" i="48"/>
  <c r="BD41" i="48"/>
  <c r="BD42" i="48"/>
  <c r="BD75" i="48"/>
  <c r="BD79" i="48"/>
  <c r="BD80" i="48"/>
  <c r="BD81" i="48"/>
  <c r="BF120" i="59"/>
  <c r="BD43" i="48"/>
  <c r="BF121" i="59"/>
  <c r="BF122" i="59"/>
  <c r="BD30" i="48"/>
  <c r="BD60" i="48"/>
  <c r="BD61" i="48"/>
  <c r="BD62" i="48"/>
  <c r="BD63" i="48"/>
  <c r="BD67" i="48"/>
  <c r="BD69" i="48"/>
  <c r="BF116" i="59"/>
  <c r="BF129" i="59"/>
  <c r="BD95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19" i="30"/>
  <c r="BG20" i="30"/>
  <c r="BG21" i="30"/>
  <c r="BG24" i="30"/>
  <c r="BG25" i="30"/>
  <c r="BG26" i="30"/>
  <c r="BG29" i="30"/>
  <c r="BG30" i="30"/>
  <c r="BG33" i="30"/>
  <c r="BG45" i="30"/>
  <c r="BG47" i="30"/>
  <c r="BG49" i="30"/>
  <c r="BG12" i="30"/>
  <c r="BG13" i="30"/>
  <c r="BG14" i="30"/>
  <c r="BG51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57" i="57"/>
  <c r="BF144" i="59"/>
  <c r="BF30" i="57"/>
  <c r="BF142" i="59"/>
  <c r="BF43" i="57"/>
  <c r="BF143" i="59"/>
  <c r="BF71" i="57"/>
  <c r="BF145" i="59"/>
  <c r="BF15" i="57"/>
  <c r="BF141" i="59"/>
  <c r="BF73" i="57"/>
  <c r="BF146" i="59"/>
  <c r="BF147" i="59"/>
  <c r="BF206" i="59"/>
  <c r="BF208" i="59"/>
  <c r="BE35" i="64"/>
  <c r="BD94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35" i="48"/>
  <c r="BE46" i="48"/>
  <c r="BE74" i="48"/>
  <c r="BE76" i="48"/>
  <c r="BE85" i="48"/>
  <c r="BG125" i="59"/>
  <c r="BE47" i="48"/>
  <c r="BE86" i="48"/>
  <c r="BG126" i="59"/>
  <c r="BG127" i="59"/>
  <c r="BE36" i="48"/>
  <c r="BE40" i="48"/>
  <c r="BE41" i="48"/>
  <c r="BE42" i="48"/>
  <c r="BE75" i="48"/>
  <c r="BE79" i="48"/>
  <c r="BE80" i="48"/>
  <c r="BE81" i="48"/>
  <c r="BG120" i="59"/>
  <c r="BE43" i="48"/>
  <c r="BG121" i="59"/>
  <c r="BG122" i="59"/>
  <c r="BE30" i="48"/>
  <c r="BE60" i="48"/>
  <c r="BE61" i="48"/>
  <c r="BE62" i="48"/>
  <c r="BE63" i="48"/>
  <c r="BE67" i="48"/>
  <c r="BE69" i="48"/>
  <c r="BG116" i="59"/>
  <c r="BG129" i="59"/>
  <c r="BE95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19" i="30"/>
  <c r="BH20" i="30"/>
  <c r="BH21" i="30"/>
  <c r="BH24" i="30"/>
  <c r="BH25" i="30"/>
  <c r="BH26" i="30"/>
  <c r="BH29" i="30"/>
  <c r="BH30" i="30"/>
  <c r="BH33" i="30"/>
  <c r="BH45" i="30"/>
  <c r="BH47" i="30"/>
  <c r="BH49" i="30"/>
  <c r="BH12" i="30"/>
  <c r="BH13" i="30"/>
  <c r="BH14" i="30"/>
  <c r="BH51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57" i="57"/>
  <c r="BG144" i="59"/>
  <c r="BG30" i="57"/>
  <c r="BG142" i="59"/>
  <c r="BG43" i="57"/>
  <c r="BG143" i="59"/>
  <c r="BG71" i="57"/>
  <c r="BG145" i="59"/>
  <c r="BG15" i="57"/>
  <c r="BG141" i="59"/>
  <c r="BG73" i="57"/>
  <c r="BG146" i="59"/>
  <c r="BG147" i="59"/>
  <c r="BG206" i="59"/>
  <c r="BG208" i="59"/>
  <c r="BF35" i="64"/>
  <c r="BE94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35" i="48"/>
  <c r="BF46" i="48"/>
  <c r="BF74" i="48"/>
  <c r="BF76" i="48"/>
  <c r="BF85" i="48"/>
  <c r="BH125" i="59"/>
  <c r="BF47" i="48"/>
  <c r="BF86" i="48"/>
  <c r="BH126" i="59"/>
  <c r="BH127" i="59"/>
  <c r="BF36" i="48"/>
  <c r="BF40" i="48"/>
  <c r="BF41" i="48"/>
  <c r="BF42" i="48"/>
  <c r="BF75" i="48"/>
  <c r="BF79" i="48"/>
  <c r="BF80" i="48"/>
  <c r="BF81" i="48"/>
  <c r="BH120" i="59"/>
  <c r="BF43" i="48"/>
  <c r="BH121" i="59"/>
  <c r="BH122" i="59"/>
  <c r="BF30" i="48"/>
  <c r="BF60" i="48"/>
  <c r="BF61" i="48"/>
  <c r="BF62" i="48"/>
  <c r="BF63" i="48"/>
  <c r="BF67" i="48"/>
  <c r="BF69" i="48"/>
  <c r="BH116" i="59"/>
  <c r="BH129" i="59"/>
  <c r="BF95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19" i="30"/>
  <c r="BI20" i="30"/>
  <c r="BI21" i="30"/>
  <c r="BI24" i="30"/>
  <c r="BI25" i="30"/>
  <c r="BI26" i="30"/>
  <c r="BI29" i="30"/>
  <c r="BI30" i="30"/>
  <c r="BI33" i="30"/>
  <c r="BI45" i="30"/>
  <c r="BI47" i="30"/>
  <c r="BI49" i="30"/>
  <c r="BI12" i="30"/>
  <c r="BI13" i="30"/>
  <c r="BI14" i="30"/>
  <c r="BI51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57" i="57"/>
  <c r="BH144" i="59"/>
  <c r="BH30" i="57"/>
  <c r="BH142" i="59"/>
  <c r="BH43" i="57"/>
  <c r="BH143" i="59"/>
  <c r="BH71" i="57"/>
  <c r="BH145" i="59"/>
  <c r="BH15" i="57"/>
  <c r="BH141" i="59"/>
  <c r="BH73" i="57"/>
  <c r="BH146" i="59"/>
  <c r="BH147" i="59"/>
  <c r="BH206" i="59"/>
  <c r="BH208" i="59"/>
  <c r="BG35" i="64"/>
  <c r="BF94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35" i="48"/>
  <c r="BG46" i="48"/>
  <c r="BG74" i="48"/>
  <c r="BG76" i="48"/>
  <c r="BG85" i="48"/>
  <c r="BI125" i="59"/>
  <c r="BG47" i="48"/>
  <c r="BG86" i="48"/>
  <c r="BI126" i="59"/>
  <c r="BI127" i="59"/>
  <c r="BG36" i="48"/>
  <c r="BG40" i="48"/>
  <c r="BG41" i="48"/>
  <c r="BG42" i="48"/>
  <c r="BG75" i="48"/>
  <c r="BG79" i="48"/>
  <c r="BG80" i="48"/>
  <c r="BG81" i="48"/>
  <c r="BI120" i="59"/>
  <c r="BG43" i="48"/>
  <c r="BI121" i="59"/>
  <c r="BI122" i="59"/>
  <c r="BG30" i="48"/>
  <c r="BG60" i="48"/>
  <c r="BG61" i="48"/>
  <c r="BG62" i="48"/>
  <c r="BG63" i="48"/>
  <c r="BG67" i="48"/>
  <c r="BG69" i="48"/>
  <c r="BI116" i="59"/>
  <c r="BI129" i="59"/>
  <c r="BG95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19" i="30"/>
  <c r="BJ20" i="30"/>
  <c r="BJ21" i="30"/>
  <c r="BJ24" i="30"/>
  <c r="BJ25" i="30"/>
  <c r="BJ26" i="30"/>
  <c r="BJ29" i="30"/>
  <c r="BJ30" i="30"/>
  <c r="BJ33" i="30"/>
  <c r="BJ45" i="30"/>
  <c r="BJ47" i="30"/>
  <c r="BJ49" i="30"/>
  <c r="BJ12" i="30"/>
  <c r="BJ13" i="30"/>
  <c r="BJ14" i="30"/>
  <c r="BJ51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57" i="57"/>
  <c r="BI144" i="59"/>
  <c r="BI30" i="57"/>
  <c r="BI142" i="59"/>
  <c r="BI43" i="57"/>
  <c r="BI143" i="59"/>
  <c r="BI71" i="57"/>
  <c r="BI145" i="59"/>
  <c r="BI15" i="57"/>
  <c r="BI141" i="59"/>
  <c r="BI73" i="57"/>
  <c r="BI146" i="59"/>
  <c r="BI147" i="59"/>
  <c r="BI206" i="59"/>
  <c r="BI208" i="59"/>
  <c r="BH35" i="64"/>
  <c r="BG94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35" i="48"/>
  <c r="BH46" i="48"/>
  <c r="BH74" i="48"/>
  <c r="BH76" i="48"/>
  <c r="BH85" i="48"/>
  <c r="BJ125" i="59"/>
  <c r="BH47" i="48"/>
  <c r="BH86" i="48"/>
  <c r="BJ126" i="59"/>
  <c r="BJ127" i="59"/>
  <c r="BH36" i="48"/>
  <c r="BH40" i="48"/>
  <c r="BH41" i="48"/>
  <c r="BH42" i="48"/>
  <c r="BH75" i="48"/>
  <c r="BH79" i="48"/>
  <c r="BH80" i="48"/>
  <c r="BH81" i="48"/>
  <c r="BJ120" i="59"/>
  <c r="BH43" i="48"/>
  <c r="BJ121" i="59"/>
  <c r="BJ122" i="59"/>
  <c r="BH30" i="48"/>
  <c r="BH60" i="48"/>
  <c r="BH61" i="48"/>
  <c r="BH62" i="48"/>
  <c r="BH63" i="48"/>
  <c r="BH67" i="48"/>
  <c r="BH69" i="48"/>
  <c r="BJ116" i="59"/>
  <c r="BJ129" i="59"/>
  <c r="BH95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19" i="30"/>
  <c r="BK20" i="30"/>
  <c r="BK21" i="30"/>
  <c r="BK24" i="30"/>
  <c r="BK25" i="30"/>
  <c r="BK26" i="30"/>
  <c r="BK29" i="30"/>
  <c r="BK30" i="30"/>
  <c r="BK33" i="30"/>
  <c r="BK45" i="30"/>
  <c r="BK47" i="30"/>
  <c r="BK49" i="30"/>
  <c r="BK12" i="30"/>
  <c r="BK13" i="30"/>
  <c r="BK14" i="30"/>
  <c r="BK51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57" i="57"/>
  <c r="BJ144" i="59"/>
  <c r="BJ30" i="57"/>
  <c r="BJ142" i="59"/>
  <c r="BJ43" i="57"/>
  <c r="BJ143" i="59"/>
  <c r="BJ71" i="57"/>
  <c r="BJ145" i="59"/>
  <c r="BJ15" i="57"/>
  <c r="BJ141" i="59"/>
  <c r="BJ73" i="57"/>
  <c r="BJ146" i="59"/>
  <c r="BJ147" i="59"/>
  <c r="BJ206" i="59"/>
  <c r="BJ208" i="59"/>
  <c r="BI35" i="64"/>
  <c r="BH94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35" i="48"/>
  <c r="BI46" i="48"/>
  <c r="BI74" i="48"/>
  <c r="BI76" i="48"/>
  <c r="BI85" i="48"/>
  <c r="BK125" i="59"/>
  <c r="BI47" i="48"/>
  <c r="BI86" i="48"/>
  <c r="BK126" i="59"/>
  <c r="BK127" i="59"/>
  <c r="BI36" i="48"/>
  <c r="BI40" i="48"/>
  <c r="BI41" i="48"/>
  <c r="BI42" i="48"/>
  <c r="BI75" i="48"/>
  <c r="BI79" i="48"/>
  <c r="BI80" i="48"/>
  <c r="BI81" i="48"/>
  <c r="BK120" i="59"/>
  <c r="BI43" i="48"/>
  <c r="BK121" i="59"/>
  <c r="BK122" i="59"/>
  <c r="BI30" i="48"/>
  <c r="BI60" i="48"/>
  <c r="BI61" i="48"/>
  <c r="BI62" i="48"/>
  <c r="BI63" i="48"/>
  <c r="BI67" i="48"/>
  <c r="BI69" i="48"/>
  <c r="BK116" i="59"/>
  <c r="BK129" i="59"/>
  <c r="BI95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19" i="30"/>
  <c r="BL20" i="30"/>
  <c r="BL21" i="30"/>
  <c r="BL24" i="30"/>
  <c r="BL25" i="30"/>
  <c r="BL26" i="30"/>
  <c r="BL29" i="30"/>
  <c r="BL30" i="30"/>
  <c r="BL33" i="30"/>
  <c r="BL45" i="30"/>
  <c r="BL47" i="30"/>
  <c r="BL49" i="30"/>
  <c r="BL12" i="30"/>
  <c r="BL13" i="30"/>
  <c r="BL14" i="30"/>
  <c r="BL51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57" i="57"/>
  <c r="BK144" i="59"/>
  <c r="BK30" i="57"/>
  <c r="BK142" i="59"/>
  <c r="BK43" i="57"/>
  <c r="BK143" i="59"/>
  <c r="BK71" i="57"/>
  <c r="BK145" i="59"/>
  <c r="BK15" i="57"/>
  <c r="BK141" i="59"/>
  <c r="BK73" i="57"/>
  <c r="BK146" i="59"/>
  <c r="BK147" i="59"/>
  <c r="BK206" i="59"/>
  <c r="BK208" i="59"/>
  <c r="BJ35" i="64"/>
  <c r="BI94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35" i="48"/>
  <c r="BJ46" i="48"/>
  <c r="BJ74" i="48"/>
  <c r="BJ76" i="48"/>
  <c r="BJ85" i="48"/>
  <c r="BL125" i="59"/>
  <c r="BJ47" i="48"/>
  <c r="BJ86" i="48"/>
  <c r="BL126" i="59"/>
  <c r="BL127" i="59"/>
  <c r="BJ36" i="48"/>
  <c r="BJ40" i="48"/>
  <c r="BJ41" i="48"/>
  <c r="BJ42" i="48"/>
  <c r="BJ75" i="48"/>
  <c r="BJ79" i="48"/>
  <c r="BJ80" i="48"/>
  <c r="BJ81" i="48"/>
  <c r="BL120" i="59"/>
  <c r="BJ43" i="48"/>
  <c r="BL121" i="59"/>
  <c r="BL122" i="59"/>
  <c r="BJ30" i="48"/>
  <c r="BJ60" i="48"/>
  <c r="BJ61" i="48"/>
  <c r="BJ62" i="48"/>
  <c r="BJ63" i="48"/>
  <c r="BJ67" i="48"/>
  <c r="BJ69" i="48"/>
  <c r="BL116" i="59"/>
  <c r="BL129" i="59"/>
  <c r="BJ95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19" i="30"/>
  <c r="BM20" i="30"/>
  <c r="BM21" i="30"/>
  <c r="BM24" i="30"/>
  <c r="BM25" i="30"/>
  <c r="BM26" i="30"/>
  <c r="BM29" i="30"/>
  <c r="BM30" i="30"/>
  <c r="BM33" i="30"/>
  <c r="BM45" i="30"/>
  <c r="BM47" i="30"/>
  <c r="BM49" i="30"/>
  <c r="BM12" i="30"/>
  <c r="BM13" i="30"/>
  <c r="BM14" i="30"/>
  <c r="BM51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57" i="57"/>
  <c r="BL144" i="59"/>
  <c r="BL30" i="57"/>
  <c r="BL142" i="59"/>
  <c r="BL43" i="57"/>
  <c r="BL143" i="59"/>
  <c r="BL71" i="57"/>
  <c r="BL145" i="59"/>
  <c r="BL15" i="57"/>
  <c r="BL141" i="59"/>
  <c r="BL73" i="57"/>
  <c r="BL146" i="59"/>
  <c r="BL147" i="59"/>
  <c r="BL206" i="59"/>
  <c r="BL208" i="59"/>
  <c r="BK35" i="64"/>
  <c r="BJ94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57" i="57"/>
  <c r="AN144" i="59"/>
  <c r="AN30" i="57"/>
  <c r="AN142" i="59"/>
  <c r="AN43" i="57"/>
  <c r="AN143" i="59"/>
  <c r="AN71" i="57"/>
  <c r="AN145" i="59"/>
  <c r="AN15" i="57"/>
  <c r="AN141" i="59"/>
  <c r="AN73" i="57"/>
  <c r="AN146" i="59"/>
  <c r="AN147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4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57" i="57"/>
  <c r="AO144" i="59"/>
  <c r="AO30" i="57"/>
  <c r="AO142" i="59"/>
  <c r="AO43" i="57"/>
  <c r="AO143" i="59"/>
  <c r="AO71" i="57"/>
  <c r="AO145" i="59"/>
  <c r="AO15" i="57"/>
  <c r="AO141" i="59"/>
  <c r="AO73" i="57"/>
  <c r="AO146" i="59"/>
  <c r="AO147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4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5" i="59"/>
  <c r="AH127" i="59"/>
  <c r="AH121" i="59"/>
  <c r="AH120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K227" i="6"/>
  <c r="AK292" i="6"/>
  <c r="AK375" i="6"/>
  <c r="AK548" i="6"/>
  <c r="AH165" i="59"/>
  <c r="AH167" i="59"/>
  <c r="AH150" i="59"/>
  <c r="AH152" i="59"/>
  <c r="AH153" i="59"/>
  <c r="AH154" i="59"/>
  <c r="AH169" i="59"/>
  <c r="AI69" i="33"/>
  <c r="AI39" i="28"/>
  <c r="AH204" i="59"/>
  <c r="AH57" i="57"/>
  <c r="AH144" i="59"/>
  <c r="AH30" i="57"/>
  <c r="AH142" i="59"/>
  <c r="AH43" i="57"/>
  <c r="AH143" i="59"/>
  <c r="AH71" i="57"/>
  <c r="AH145" i="59"/>
  <c r="AH15" i="57"/>
  <c r="AH141" i="59"/>
  <c r="AH73" i="57"/>
  <c r="AH146" i="59"/>
  <c r="AH147" i="59"/>
  <c r="AH206" i="59"/>
  <c r="AH208" i="59"/>
  <c r="AG35" i="64"/>
  <c r="AF94" i="48"/>
  <c r="AG14" i="67"/>
  <c r="AG17" i="67"/>
  <c r="AG18" i="67"/>
  <c r="AG20" i="67"/>
  <c r="AG39" i="64"/>
  <c r="AG70" i="50"/>
  <c r="AG41" i="64"/>
  <c r="AG39" i="50"/>
  <c r="AG43" i="50"/>
  <c r="AG40" i="64"/>
  <c r="AG38" i="64"/>
  <c r="AG43" i="64"/>
  <c r="AG45" i="64"/>
  <c r="AG48" i="64"/>
  <c r="AG50" i="64"/>
  <c r="AG67" i="64"/>
  <c r="AG7" i="111"/>
  <c r="AI126" i="59"/>
  <c r="AI125" i="59"/>
  <c r="AI127" i="59"/>
  <c r="AI121" i="59"/>
  <c r="AI120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L227" i="6"/>
  <c r="AL292" i="6"/>
  <c r="AL375" i="6"/>
  <c r="AL548" i="6"/>
  <c r="AI165" i="59"/>
  <c r="AI167" i="59"/>
  <c r="AI150" i="59"/>
  <c r="AI152" i="59"/>
  <c r="AI153" i="59"/>
  <c r="AI154" i="59"/>
  <c r="AI169" i="59"/>
  <c r="AJ69" i="33"/>
  <c r="AJ39" i="28"/>
  <c r="AI204" i="59"/>
  <c r="AI57" i="57"/>
  <c r="AI144" i="59"/>
  <c r="AI30" i="57"/>
  <c r="AI142" i="59"/>
  <c r="AI43" i="57"/>
  <c r="AI143" i="59"/>
  <c r="AI71" i="57"/>
  <c r="AI145" i="59"/>
  <c r="AI15" i="57"/>
  <c r="AI141" i="59"/>
  <c r="AI73" i="57"/>
  <c r="AI146" i="59"/>
  <c r="AI147" i="59"/>
  <c r="AI206" i="59"/>
  <c r="AI208" i="59"/>
  <c r="AH35" i="64"/>
  <c r="AG94" i="48"/>
  <c r="AH14" i="67"/>
  <c r="AH17" i="67"/>
  <c r="AH18" i="67"/>
  <c r="AH20" i="67"/>
  <c r="AH39" i="64"/>
  <c r="AH70" i="50"/>
  <c r="AH41" i="64"/>
  <c r="AH39" i="50"/>
  <c r="AH43" i="50"/>
  <c r="AH40" i="64"/>
  <c r="AH38" i="64"/>
  <c r="AH43" i="64"/>
  <c r="AH45" i="64"/>
  <c r="AH48" i="64"/>
  <c r="AH50" i="64"/>
  <c r="AH67" i="64"/>
  <c r="AH7" i="111"/>
  <c r="AJ126" i="59"/>
  <c r="AJ125" i="59"/>
  <c r="AJ127" i="59"/>
  <c r="AJ121" i="59"/>
  <c r="AJ120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M227" i="6"/>
  <c r="AM292" i="6"/>
  <c r="AM375" i="6"/>
  <c r="AM548" i="6"/>
  <c r="AJ165" i="59"/>
  <c r="AJ167" i="59"/>
  <c r="AJ150" i="59"/>
  <c r="AJ152" i="59"/>
  <c r="AJ153" i="59"/>
  <c r="AJ154" i="59"/>
  <c r="AJ169" i="59"/>
  <c r="AK69" i="33"/>
  <c r="AK39" i="28"/>
  <c r="AJ204" i="59"/>
  <c r="AJ57" i="57"/>
  <c r="AJ144" i="59"/>
  <c r="AJ30" i="57"/>
  <c r="AJ142" i="59"/>
  <c r="AJ43" i="57"/>
  <c r="AJ143" i="59"/>
  <c r="AJ71" i="57"/>
  <c r="AJ145" i="59"/>
  <c r="AJ15" i="57"/>
  <c r="AJ141" i="59"/>
  <c r="AJ73" i="57"/>
  <c r="AJ146" i="59"/>
  <c r="AJ147" i="59"/>
  <c r="AJ206" i="59"/>
  <c r="AJ208" i="59"/>
  <c r="AI35" i="64"/>
  <c r="AH94" i="48"/>
  <c r="AI14" i="67"/>
  <c r="AI17" i="67"/>
  <c r="AI18" i="67"/>
  <c r="AI20" i="67"/>
  <c r="AI39" i="64"/>
  <c r="AI70" i="50"/>
  <c r="AI41" i="64"/>
  <c r="AI39" i="50"/>
  <c r="AI43" i="50"/>
  <c r="AI40" i="64"/>
  <c r="AI38" i="64"/>
  <c r="AI43" i="64"/>
  <c r="AI45" i="64"/>
  <c r="AI48" i="64"/>
  <c r="AI50" i="64"/>
  <c r="AI67" i="64"/>
  <c r="AI7" i="111"/>
  <c r="AK126" i="59"/>
  <c r="AK125" i="59"/>
  <c r="AK127" i="59"/>
  <c r="AK121" i="59"/>
  <c r="AK120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N227" i="6"/>
  <c r="AN292" i="6"/>
  <c r="AN375" i="6"/>
  <c r="AN548" i="6"/>
  <c r="AK165" i="59"/>
  <c r="AK167" i="59"/>
  <c r="AK150" i="59"/>
  <c r="AK152" i="59"/>
  <c r="AK153" i="59"/>
  <c r="AK154" i="59"/>
  <c r="AK169" i="59"/>
  <c r="AL69" i="33"/>
  <c r="AL39" i="28"/>
  <c r="AK204" i="59"/>
  <c r="AK57" i="57"/>
  <c r="AK144" i="59"/>
  <c r="AK30" i="57"/>
  <c r="AK142" i="59"/>
  <c r="AK43" i="57"/>
  <c r="AK143" i="59"/>
  <c r="AK71" i="57"/>
  <c r="AK145" i="59"/>
  <c r="AK15" i="57"/>
  <c r="AK141" i="59"/>
  <c r="AK73" i="57"/>
  <c r="AK146" i="59"/>
  <c r="AK147" i="59"/>
  <c r="AK206" i="59"/>
  <c r="AK208" i="59"/>
  <c r="AJ35" i="64"/>
  <c r="AI94" i="48"/>
  <c r="AJ14" i="67"/>
  <c r="AJ17" i="67"/>
  <c r="AJ18" i="67"/>
  <c r="AJ20" i="67"/>
  <c r="AJ39" i="64"/>
  <c r="AJ70" i="50"/>
  <c r="AJ41" i="64"/>
  <c r="AJ39" i="50"/>
  <c r="AJ43" i="50"/>
  <c r="AJ40" i="64"/>
  <c r="AJ38" i="64"/>
  <c r="AJ43" i="64"/>
  <c r="AJ45" i="64"/>
  <c r="AJ48" i="64"/>
  <c r="AJ50" i="64"/>
  <c r="AJ67" i="64"/>
  <c r="AJ7" i="111"/>
  <c r="AL126" i="59"/>
  <c r="AL125" i="59"/>
  <c r="AL127" i="59"/>
  <c r="AL121" i="59"/>
  <c r="AL120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O227" i="6"/>
  <c r="AO292" i="6"/>
  <c r="AO375" i="6"/>
  <c r="AO548" i="6"/>
  <c r="AL165" i="59"/>
  <c r="AL167" i="59"/>
  <c r="AL150" i="59"/>
  <c r="AL152" i="59"/>
  <c r="AL153" i="59"/>
  <c r="AL154" i="59"/>
  <c r="AL169" i="59"/>
  <c r="AM69" i="33"/>
  <c r="AM39" i="28"/>
  <c r="AL204" i="59"/>
  <c r="AL57" i="57"/>
  <c r="AL144" i="59"/>
  <c r="AL30" i="57"/>
  <c r="AL142" i="59"/>
  <c r="AL43" i="57"/>
  <c r="AL143" i="59"/>
  <c r="AL71" i="57"/>
  <c r="AL145" i="59"/>
  <c r="AL15" i="57"/>
  <c r="AL141" i="59"/>
  <c r="AL73" i="57"/>
  <c r="AL146" i="59"/>
  <c r="AL147" i="59"/>
  <c r="AL206" i="59"/>
  <c r="AL208" i="59"/>
  <c r="AK35" i="64"/>
  <c r="AJ94" i="48"/>
  <c r="AK14" i="67"/>
  <c r="AK17" i="67"/>
  <c r="AK18" i="67"/>
  <c r="AK20" i="67"/>
  <c r="AK39" i="64"/>
  <c r="AK70" i="50"/>
  <c r="AK41" i="64"/>
  <c r="AK39" i="50"/>
  <c r="AK43" i="50"/>
  <c r="AK40" i="64"/>
  <c r="AK38" i="64"/>
  <c r="AK43" i="64"/>
  <c r="AK45" i="64"/>
  <c r="AK48" i="64"/>
  <c r="AK50" i="64"/>
  <c r="AK67" i="64"/>
  <c r="AK7" i="111"/>
  <c r="AM126" i="59"/>
  <c r="AM125" i="59"/>
  <c r="AM127" i="59"/>
  <c r="AM121" i="59"/>
  <c r="AM120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P227" i="6"/>
  <c r="AP292" i="6"/>
  <c r="AP375" i="6"/>
  <c r="AP548" i="6"/>
  <c r="AM165" i="59"/>
  <c r="AM167" i="59"/>
  <c r="AM150" i="59"/>
  <c r="AM152" i="59"/>
  <c r="AM153" i="59"/>
  <c r="AM154" i="59"/>
  <c r="AM169" i="59"/>
  <c r="AN69" i="33"/>
  <c r="AN39" i="28"/>
  <c r="AM204" i="59"/>
  <c r="AM57" i="57"/>
  <c r="AM144" i="59"/>
  <c r="AM30" i="57"/>
  <c r="AM142" i="59"/>
  <c r="AM43" i="57"/>
  <c r="AM143" i="59"/>
  <c r="AM71" i="57"/>
  <c r="AM145" i="59"/>
  <c r="AM15" i="57"/>
  <c r="AM141" i="59"/>
  <c r="AM73" i="57"/>
  <c r="AM146" i="59"/>
  <c r="AM147" i="59"/>
  <c r="AM206" i="59"/>
  <c r="AM208" i="59"/>
  <c r="AL35" i="64"/>
  <c r="AK94" i="48"/>
  <c r="AL14" i="67"/>
  <c r="AL17" i="67"/>
  <c r="AL18" i="67"/>
  <c r="AL20" i="67"/>
  <c r="AL39" i="64"/>
  <c r="AL70" i="50"/>
  <c r="AL41" i="64"/>
  <c r="AL39" i="50"/>
  <c r="AL43" i="50"/>
  <c r="AL40" i="64"/>
  <c r="AL38" i="64"/>
  <c r="AL43" i="64"/>
  <c r="AL45" i="64"/>
  <c r="AL48" i="64"/>
  <c r="AL50" i="64"/>
  <c r="AL67" i="64"/>
  <c r="AL7" i="111"/>
  <c r="AA7" i="111"/>
  <c r="AB7" i="111"/>
  <c r="AC7" i="111"/>
  <c r="AD7" i="111"/>
  <c r="AE7" i="111"/>
  <c r="AF7" i="111"/>
  <c r="D38" i="111"/>
  <c r="C37" i="111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Q7" i="111"/>
  <c r="R7" i="111"/>
  <c r="S7" i="111"/>
  <c r="O7" i="111"/>
  <c r="P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K7" i="111"/>
  <c r="L7" i="111"/>
  <c r="M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Z11" i="111"/>
  <c r="C4" i="111"/>
  <c r="C29" i="111"/>
  <c r="C30" i="111"/>
  <c r="C15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D55" i="64"/>
  <c r="AD58" i="64"/>
  <c r="AE57" i="64"/>
  <c r="AE55" i="64"/>
  <c r="AE58" i="64"/>
  <c r="AF57" i="64"/>
  <c r="AF55" i="64"/>
  <c r="AF58" i="64"/>
  <c r="AG57" i="64"/>
  <c r="AG55" i="64"/>
  <c r="AG58" i="64"/>
  <c r="AH57" i="64"/>
  <c r="AH55" i="64"/>
  <c r="AH58" i="64"/>
  <c r="AI57" i="64"/>
  <c r="AI55" i="64"/>
  <c r="AI58" i="64"/>
  <c r="AJ57" i="64"/>
  <c r="AJ55" i="64"/>
  <c r="AJ58" i="64"/>
  <c r="AK57" i="64"/>
  <c r="AK55" i="64"/>
  <c r="AK58" i="64"/>
  <c r="AL57" i="64"/>
  <c r="AL55" i="64"/>
  <c r="AL58" i="64"/>
  <c r="AM57" i="64"/>
  <c r="AM55" i="64"/>
  <c r="AM58" i="64"/>
  <c r="AN57" i="64"/>
  <c r="AN55" i="64"/>
  <c r="AN58" i="64"/>
  <c r="AO57" i="64"/>
  <c r="AO55" i="64"/>
  <c r="AO58" i="64"/>
  <c r="AP57" i="64"/>
  <c r="AP55" i="64"/>
  <c r="AP58" i="64"/>
  <c r="AQ57" i="64"/>
  <c r="AQ55" i="64"/>
  <c r="AQ58" i="64"/>
  <c r="AR57" i="64"/>
  <c r="AR55" i="64"/>
  <c r="AR58" i="64"/>
  <c r="AS57" i="64"/>
  <c r="AS55" i="64"/>
  <c r="AS58" i="64"/>
  <c r="AT57" i="64"/>
  <c r="AT55" i="64"/>
  <c r="AT58" i="64"/>
  <c r="AU57" i="64"/>
  <c r="AU55" i="64"/>
  <c r="AU58" i="64"/>
  <c r="AV57" i="64"/>
  <c r="AV55" i="64"/>
  <c r="AV58" i="64"/>
  <c r="AW57" i="64"/>
  <c r="AW55" i="64"/>
  <c r="AW58" i="64"/>
  <c r="AX57" i="64"/>
  <c r="AX55" i="64"/>
  <c r="AX58" i="64"/>
  <c r="AY57" i="64"/>
  <c r="AY55" i="64"/>
  <c r="AY58" i="64"/>
  <c r="AZ57" i="64"/>
  <c r="AZ55" i="64"/>
  <c r="AZ58" i="64"/>
  <c r="BA57" i="64"/>
  <c r="BA55" i="64"/>
  <c r="BA58" i="64"/>
  <c r="BB57" i="64"/>
  <c r="BB55" i="64"/>
  <c r="BB58" i="64"/>
  <c r="BC57" i="64"/>
  <c r="BC55" i="64"/>
  <c r="BC58" i="64"/>
  <c r="BD57" i="64"/>
  <c r="BD55" i="64"/>
  <c r="BD58" i="64"/>
  <c r="BE57" i="64"/>
  <c r="BE55" i="64"/>
  <c r="BE58" i="64"/>
  <c r="BF57" i="64"/>
  <c r="BF55" i="64"/>
  <c r="BF58" i="64"/>
  <c r="BG57" i="64"/>
  <c r="BG55" i="64"/>
  <c r="BG58" i="64"/>
  <c r="BH57" i="64"/>
  <c r="BH55" i="64"/>
  <c r="BH58" i="64"/>
  <c r="BI57" i="64"/>
  <c r="BI55" i="64"/>
  <c r="BI58" i="64"/>
  <c r="BJ57" i="64"/>
  <c r="BJ55" i="64"/>
  <c r="BJ58" i="64"/>
  <c r="BK57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9" i="64"/>
  <c r="C10" i="64"/>
  <c r="C11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5" i="48"/>
  <c r="F26" i="92"/>
  <c r="F110" i="91"/>
  <c r="F16" i="92"/>
  <c r="J76" i="6"/>
  <c r="F111" i="91"/>
  <c r="F17" i="92"/>
  <c r="F18" i="92"/>
  <c r="F27" i="92"/>
  <c r="F28" i="92"/>
  <c r="D95" i="48"/>
  <c r="E26" i="92"/>
  <c r="E110" i="91"/>
  <c r="E16" i="92"/>
  <c r="I76" i="6"/>
  <c r="E111" i="91"/>
  <c r="E17" i="92"/>
  <c r="E18" i="92"/>
  <c r="E27" i="92"/>
  <c r="E28" i="92"/>
  <c r="C95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F35" i="47"/>
  <c r="H11" i="111"/>
  <c r="O38" i="47"/>
  <c r="E25" i="47"/>
  <c r="O42" i="47"/>
  <c r="E26" i="47"/>
  <c r="O46" i="47"/>
  <c r="E27" i="47"/>
  <c r="O50" i="47"/>
  <c r="E28" i="47"/>
  <c r="O54" i="47"/>
  <c r="E29" i="47"/>
  <c r="E30" i="47"/>
  <c r="E138" i="59"/>
  <c r="D138" i="59"/>
  <c r="F138" i="59"/>
  <c r="G138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8" i="50"/>
  <c r="BM34" i="50"/>
  <c r="BM35" i="50"/>
  <c r="BM66" i="50"/>
  <c r="BM67" i="50"/>
  <c r="BM68" i="50"/>
  <c r="BM69" i="50"/>
  <c r="BN65" i="50"/>
  <c r="BN27" i="50"/>
  <c r="BN38" i="50"/>
  <c r="BN34" i="50"/>
  <c r="BN35" i="50"/>
  <c r="BN66" i="50"/>
  <c r="BN67" i="50"/>
  <c r="BN68" i="50"/>
  <c r="G30" i="50"/>
  <c r="D30" i="50"/>
  <c r="E25" i="50"/>
  <c r="F25" i="50"/>
  <c r="G25" i="50"/>
  <c r="E30" i="50"/>
  <c r="I184" i="59"/>
  <c r="H184" i="59"/>
  <c r="J184" i="59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G184" i="59"/>
  <c r="F184" i="59"/>
  <c r="E184" i="59"/>
  <c r="D184" i="59"/>
  <c r="B185" i="59"/>
  <c r="B184" i="59"/>
  <c r="B183" i="59"/>
  <c r="B182" i="59"/>
  <c r="B181" i="59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E111" i="59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31" i="48"/>
  <c r="BJ70" i="48"/>
  <c r="BL117" i="59"/>
  <c r="BI31" i="48"/>
  <c r="BI70" i="48"/>
  <c r="BK117" i="59"/>
  <c r="BH31" i="48"/>
  <c r="BH70" i="48"/>
  <c r="BJ117" i="59"/>
  <c r="BG31" i="48"/>
  <c r="BG70" i="48"/>
  <c r="BI117" i="59"/>
  <c r="BF31" i="48"/>
  <c r="BF70" i="48"/>
  <c r="BH117" i="59"/>
  <c r="BE31" i="48"/>
  <c r="BE70" i="48"/>
  <c r="BG117" i="59"/>
  <c r="BD31" i="48"/>
  <c r="BD70" i="48"/>
  <c r="BF117" i="59"/>
  <c r="BC31" i="48"/>
  <c r="BC70" i="48"/>
  <c r="BE117" i="59"/>
  <c r="BB31" i="48"/>
  <c r="BB70" i="48"/>
  <c r="BD117" i="59"/>
  <c r="BA31" i="48"/>
  <c r="BA70" i="48"/>
  <c r="BC117" i="59"/>
  <c r="AZ31" i="48"/>
  <c r="AZ70" i="48"/>
  <c r="BB117" i="59"/>
  <c r="AY31" i="48"/>
  <c r="AY70" i="48"/>
  <c r="BA117" i="59"/>
  <c r="AX31" i="48"/>
  <c r="AX70" i="48"/>
  <c r="AZ117" i="59"/>
  <c r="AW31" i="48"/>
  <c r="AW70" i="48"/>
  <c r="AY117" i="59"/>
  <c r="AV31" i="48"/>
  <c r="AV70" i="48"/>
  <c r="AX117" i="59"/>
  <c r="AU31" i="48"/>
  <c r="AU70" i="48"/>
  <c r="AW117" i="59"/>
  <c r="AT31" i="48"/>
  <c r="AT70" i="48"/>
  <c r="AV117" i="59"/>
  <c r="AS31" i="48"/>
  <c r="AS70" i="48"/>
  <c r="AU117" i="59"/>
  <c r="AR31" i="48"/>
  <c r="AR70" i="48"/>
  <c r="AT117" i="59"/>
  <c r="AQ31" i="48"/>
  <c r="AQ70" i="48"/>
  <c r="AS117" i="59"/>
  <c r="AP31" i="48"/>
  <c r="AP70" i="48"/>
  <c r="AR117" i="59"/>
  <c r="AO31" i="48"/>
  <c r="AO70" i="48"/>
  <c r="AQ117" i="59"/>
  <c r="AN31" i="48"/>
  <c r="AN70" i="48"/>
  <c r="AP117" i="59"/>
  <c r="AM31" i="48"/>
  <c r="AM70" i="48"/>
  <c r="AO117" i="59"/>
  <c r="AL31" i="48"/>
  <c r="AL70" i="48"/>
  <c r="AN117" i="59"/>
  <c r="AK31" i="48"/>
  <c r="AK70" i="48"/>
  <c r="AM117" i="59"/>
  <c r="AJ31" i="48"/>
  <c r="AJ70" i="48"/>
  <c r="AL117" i="59"/>
  <c r="AI31" i="48"/>
  <c r="AI70" i="48"/>
  <c r="AK117" i="59"/>
  <c r="AH31" i="48"/>
  <c r="AH70" i="48"/>
  <c r="AJ117" i="59"/>
  <c r="AG31" i="48"/>
  <c r="AG70" i="48"/>
  <c r="AI117" i="59"/>
  <c r="AF31" i="48"/>
  <c r="AF70" i="48"/>
  <c r="AH117" i="59"/>
  <c r="AE31" i="48"/>
  <c r="AE70" i="48"/>
  <c r="AG117" i="59"/>
  <c r="AD31" i="48"/>
  <c r="AD70" i="48"/>
  <c r="AF117" i="59"/>
  <c r="AC31" i="48"/>
  <c r="AC70" i="48"/>
  <c r="AE117" i="59"/>
  <c r="AB31" i="48"/>
  <c r="AB70" i="48"/>
  <c r="AD117" i="59"/>
  <c r="AA31" i="48"/>
  <c r="AA70" i="48"/>
  <c r="AC117" i="59"/>
  <c r="Z31" i="48"/>
  <c r="Z70" i="48"/>
  <c r="AB117" i="59"/>
  <c r="Y31" i="48"/>
  <c r="Y70" i="48"/>
  <c r="AA117" i="59"/>
  <c r="X31" i="48"/>
  <c r="X70" i="48"/>
  <c r="Z117" i="59"/>
  <c r="W31" i="48"/>
  <c r="W70" i="48"/>
  <c r="Y117" i="59"/>
  <c r="V31" i="48"/>
  <c r="V70" i="48"/>
  <c r="X117" i="59"/>
  <c r="U31" i="48"/>
  <c r="U70" i="48"/>
  <c r="W117" i="59"/>
  <c r="T31" i="48"/>
  <c r="T70" i="48"/>
  <c r="V117" i="59"/>
  <c r="S31" i="48"/>
  <c r="S70" i="48"/>
  <c r="U117" i="59"/>
  <c r="R31" i="48"/>
  <c r="R70" i="48"/>
  <c r="T117" i="59"/>
  <c r="Q31" i="48"/>
  <c r="Q70" i="48"/>
  <c r="S117" i="59"/>
  <c r="P31" i="48"/>
  <c r="P70" i="48"/>
  <c r="R117" i="59"/>
  <c r="O31" i="48"/>
  <c r="O70" i="48"/>
  <c r="Q117" i="59"/>
  <c r="N31" i="48"/>
  <c r="N70" i="48"/>
  <c r="P117" i="59"/>
  <c r="M31" i="48"/>
  <c r="M70" i="48"/>
  <c r="O117" i="59"/>
  <c r="L31" i="48"/>
  <c r="L70" i="48"/>
  <c r="N117" i="59"/>
  <c r="K31" i="48"/>
  <c r="K70" i="48"/>
  <c r="M117" i="59"/>
  <c r="J31" i="48"/>
  <c r="J70" i="48"/>
  <c r="L117" i="59"/>
  <c r="I31" i="48"/>
  <c r="I70" i="48"/>
  <c r="K117" i="59"/>
  <c r="H31" i="48"/>
  <c r="H70" i="48"/>
  <c r="J117" i="59"/>
  <c r="G31" i="48"/>
  <c r="G70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31" i="48"/>
  <c r="E70" i="48"/>
  <c r="G117" i="59"/>
  <c r="D31" i="48"/>
  <c r="D70" i="48"/>
  <c r="F117" i="59"/>
  <c r="C31" i="48"/>
  <c r="C70" i="48"/>
  <c r="E117" i="59"/>
  <c r="G115" i="59"/>
  <c r="F115" i="59"/>
  <c r="E115" i="59"/>
  <c r="G114" i="59"/>
  <c r="F114" i="59"/>
  <c r="E114" i="59"/>
  <c r="F31" i="48"/>
  <c r="F70" i="48"/>
  <c r="H117" i="59"/>
  <c r="H115" i="59"/>
  <c r="F92" i="48"/>
  <c r="H114" i="59"/>
  <c r="A46" i="48"/>
  <c r="B125" i="59"/>
  <c r="B35" i="30"/>
  <c r="B36" i="30"/>
  <c r="B37" i="30"/>
  <c r="B38" i="30"/>
  <c r="B39" i="30"/>
  <c r="B40" i="30"/>
  <c r="B41" i="30"/>
  <c r="B43" i="30"/>
  <c r="B44" i="30"/>
  <c r="B34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116" i="82"/>
  <c r="A125" i="82"/>
  <c r="A115" i="82"/>
  <c r="A118" i="82"/>
  <c r="A102" i="82"/>
  <c r="A101" i="82"/>
  <c r="A61" i="48"/>
  <c r="A60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50" i="48"/>
  <c r="A93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5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8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5" i="48"/>
  <c r="A79" i="48"/>
  <c r="A119" i="82"/>
  <c r="A92" i="48"/>
  <c r="BK54" i="48"/>
  <c r="A51" i="46"/>
  <c r="A49" i="46"/>
  <c r="F47" i="46"/>
  <c r="F46" i="46"/>
  <c r="G46" i="46"/>
  <c r="D45" i="46"/>
  <c r="F45" i="46"/>
  <c r="A42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A26" i="46"/>
  <c r="A75" i="82"/>
  <c r="A74" i="82"/>
  <c r="A17" i="46"/>
  <c r="F13" i="46"/>
  <c r="A24" i="46"/>
  <c r="B24" i="46"/>
  <c r="D12" i="46"/>
  <c r="F12" i="46"/>
  <c r="F6" i="46"/>
  <c r="F22" i="46"/>
  <c r="F21" i="46"/>
  <c r="G21" i="46"/>
  <c r="D20" i="46"/>
  <c r="F20" i="46"/>
  <c r="G20" i="46"/>
  <c r="A11" i="48"/>
  <c r="A91" i="48"/>
  <c r="A22" i="48"/>
  <c r="A21" i="48"/>
  <c r="A60" i="82"/>
  <c r="F7" i="46"/>
  <c r="F8" i="46"/>
  <c r="A9" i="46"/>
  <c r="BK86" i="48"/>
  <c r="N35" i="47"/>
  <c r="M35" i="47"/>
  <c r="L35" i="47"/>
  <c r="K35" i="47"/>
  <c r="J35" i="47"/>
  <c r="I35" i="47"/>
  <c r="H35" i="47"/>
  <c r="G35" i="47"/>
  <c r="O35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4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4" i="67"/>
  <c r="C8" i="67"/>
  <c r="C6" i="67"/>
  <c r="E143" i="49"/>
  <c r="E142" i="49"/>
  <c r="E70" i="49"/>
  <c r="E69" i="49"/>
  <c r="H39" i="51"/>
  <c r="G39" i="51"/>
  <c r="F39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42" i="50"/>
  <c r="BM30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C34" i="31"/>
  <c r="H32" i="31"/>
  <c r="D32" i="31"/>
  <c r="C32" i="31"/>
  <c r="H31" i="31"/>
  <c r="G31" i="31"/>
  <c r="F31" i="31"/>
  <c r="C31" i="31"/>
  <c r="H28" i="31"/>
  <c r="G28" i="31"/>
  <c r="D28" i="31"/>
  <c r="C28" i="31"/>
  <c r="G27" i="31"/>
  <c r="F27" i="31"/>
  <c r="D27" i="31"/>
  <c r="C27" i="31"/>
  <c r="H24" i="31"/>
  <c r="G24" i="31"/>
  <c r="F24" i="31"/>
  <c r="C24" i="31"/>
  <c r="E23" i="31"/>
  <c r="D23" i="31"/>
  <c r="C23" i="31"/>
  <c r="H22" i="31"/>
  <c r="G22" i="31"/>
  <c r="F22" i="31"/>
  <c r="E22" i="31"/>
  <c r="C22" i="31"/>
  <c r="H19" i="31"/>
  <c r="G19" i="31"/>
  <c r="E19" i="31"/>
  <c r="C19" i="31"/>
  <c r="F18" i="31"/>
  <c r="E17" i="31"/>
  <c r="D17" i="31"/>
  <c r="C17" i="31"/>
  <c r="E11" i="31"/>
  <c r="C11" i="31"/>
  <c r="F10" i="31"/>
  <c r="D10" i="31"/>
  <c r="C10" i="31"/>
  <c r="E39" i="51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10" i="57"/>
  <c r="BK110" i="57"/>
  <c r="BJ119" i="97"/>
  <c r="BJ110" i="57"/>
  <c r="BI119" i="97"/>
  <c r="BI110" i="57"/>
  <c r="BH110" i="57"/>
  <c r="BG110" i="57"/>
  <c r="BF110" i="57"/>
  <c r="BE110" i="57"/>
  <c r="BE141" i="97"/>
  <c r="BD110" i="57"/>
  <c r="BC110" i="57"/>
  <c r="BB119" i="97"/>
  <c r="BB110" i="57"/>
  <c r="BA119" i="97"/>
  <c r="BA110" i="57"/>
  <c r="AZ110" i="57"/>
  <c r="AY110" i="57"/>
  <c r="AX119" i="97"/>
  <c r="AX110" i="57"/>
  <c r="AX141" i="97"/>
  <c r="AW110" i="57"/>
  <c r="AW141" i="97"/>
  <c r="AV110" i="57"/>
  <c r="AU119" i="97"/>
  <c r="AU110" i="57"/>
  <c r="AT119" i="97"/>
  <c r="AT110" i="57"/>
  <c r="AS119" i="97"/>
  <c r="AS110" i="57"/>
  <c r="AR110" i="57"/>
  <c r="AQ110" i="57"/>
  <c r="AQ141" i="97"/>
  <c r="AP110" i="57"/>
  <c r="AP141" i="97"/>
  <c r="AO110" i="57"/>
  <c r="AO141" i="97"/>
  <c r="AN110" i="57"/>
  <c r="AM110" i="57"/>
  <c r="AL119" i="97"/>
  <c r="AL110" i="57"/>
  <c r="AK119" i="97"/>
  <c r="AK110" i="57"/>
  <c r="AJ110" i="57"/>
  <c r="AI110" i="57"/>
  <c r="AH110" i="57"/>
  <c r="AH141" i="97"/>
  <c r="AG110" i="57"/>
  <c r="AG141" i="97"/>
  <c r="AF110" i="57"/>
  <c r="AF141" i="97"/>
  <c r="AE110" i="57"/>
  <c r="AD119" i="97"/>
  <c r="AD110" i="57"/>
  <c r="AC119" i="97"/>
  <c r="AC110" i="57"/>
  <c r="AB110" i="57"/>
  <c r="AA110" i="57"/>
  <c r="Z110" i="57"/>
  <c r="Y110" i="57"/>
  <c r="Y141" i="97"/>
  <c r="X110" i="57"/>
  <c r="W110" i="57"/>
  <c r="V119" i="97"/>
  <c r="V110" i="57"/>
  <c r="U119" i="97"/>
  <c r="U110" i="57"/>
  <c r="T110" i="57"/>
  <c r="S110" i="57"/>
  <c r="R110" i="57"/>
  <c r="R141" i="97"/>
  <c r="Q110" i="57"/>
  <c r="Q141" i="97"/>
  <c r="P110" i="57"/>
  <c r="O119" i="97"/>
  <c r="O110" i="57"/>
  <c r="N119" i="97"/>
  <c r="N110" i="57"/>
  <c r="M110" i="57"/>
  <c r="L110" i="57"/>
  <c r="K110" i="57"/>
  <c r="J110" i="57"/>
  <c r="I110" i="57"/>
  <c r="I141" i="97"/>
  <c r="H110" i="57"/>
  <c r="G119" i="97"/>
  <c r="G110" i="57"/>
  <c r="F119" i="97"/>
  <c r="F110" i="57"/>
  <c r="E110" i="57"/>
  <c r="D110" i="57"/>
  <c r="C115" i="97"/>
  <c r="BH113" i="97"/>
  <c r="BG113" i="97"/>
  <c r="BD113" i="97"/>
  <c r="AZ113" i="97"/>
  <c r="BA113" i="97"/>
  <c r="BB113" i="97"/>
  <c r="BC113" i="97"/>
  <c r="BE113" i="97"/>
  <c r="BF113" i="97"/>
  <c r="BI113" i="97"/>
  <c r="BJ113" i="97"/>
  <c r="BK113" i="97"/>
  <c r="H38" i="97"/>
  <c r="AR113" i="9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J113" i="97"/>
  <c r="AF113" i="97"/>
  <c r="AE113" i="97"/>
  <c r="AB113" i="97"/>
  <c r="X113" i="97"/>
  <c r="W113" i="97"/>
  <c r="T113" i="97"/>
  <c r="P113" i="97"/>
  <c r="N113" i="97"/>
  <c r="M113" i="97"/>
  <c r="L113" i="97"/>
  <c r="H113" i="97"/>
  <c r="G113" i="97"/>
  <c r="E113" i="97"/>
  <c r="D113" i="97"/>
  <c r="D75" i="57"/>
  <c r="C117" i="97"/>
  <c r="BF85" i="97"/>
  <c r="BD85" i="97"/>
  <c r="AV85" i="97"/>
  <c r="AT85" i="97"/>
  <c r="AQ85" i="97"/>
  <c r="AN85" i="97"/>
  <c r="AI85" i="97"/>
  <c r="AF85" i="97"/>
  <c r="AA85" i="97"/>
  <c r="X85" i="97"/>
  <c r="S85" i="97"/>
  <c r="R85" i="97"/>
  <c r="P85" i="97"/>
  <c r="J85" i="97"/>
  <c r="H85" i="97"/>
  <c r="C85" i="97"/>
  <c r="BK72" i="97"/>
  <c r="BJ72" i="97"/>
  <c r="BI72" i="97"/>
  <c r="BD72" i="97"/>
  <c r="BB72" i="97"/>
  <c r="BA72" i="97"/>
  <c r="AU72" i="97"/>
  <c r="AT72" i="97"/>
  <c r="AL72" i="97"/>
  <c r="AI72" i="97"/>
  <c r="AD72" i="97"/>
  <c r="V72" i="97"/>
  <c r="P72" i="97"/>
  <c r="N72" i="97"/>
  <c r="H72" i="97"/>
  <c r="G72" i="97"/>
  <c r="F72" i="9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G41" i="59"/>
  <c r="F51" i="116"/>
  <c r="BM145" i="59"/>
  <c r="I40" i="59"/>
  <c r="H50" i="116"/>
  <c r="D40" i="59"/>
  <c r="F39" i="59"/>
  <c r="E49" i="116"/>
  <c r="E39" i="59"/>
  <c r="D39" i="59"/>
  <c r="H38" i="59"/>
  <c r="G48" i="116"/>
  <c r="F38" i="59"/>
  <c r="E48" i="116"/>
  <c r="G37" i="59"/>
  <c r="F47" i="116"/>
  <c r="E37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22" i="59"/>
  <c r="C32" i="116"/>
  <c r="D21" i="59"/>
  <c r="C31" i="116"/>
  <c r="D17" i="59"/>
  <c r="C27" i="116"/>
  <c r="D16" i="59"/>
  <c r="C26" i="116"/>
  <c r="D117" i="59"/>
  <c r="D13" i="59"/>
  <c r="C23" i="116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138" i="116"/>
  <c r="G138" i="116"/>
  <c r="F138" i="116"/>
  <c r="E138" i="116"/>
  <c r="O53" i="47"/>
  <c r="O49" i="47"/>
  <c r="O45" i="47"/>
  <c r="O41" i="47"/>
  <c r="O37" i="47"/>
  <c r="C18" i="47"/>
  <c r="D18" i="47"/>
  <c r="E18" i="47"/>
  <c r="F18" i="47"/>
  <c r="G18" i="47"/>
  <c r="H18" i="47"/>
  <c r="I18" i="47"/>
  <c r="J18" i="47"/>
  <c r="K18" i="47"/>
  <c r="L18" i="47"/>
  <c r="M18" i="47"/>
  <c r="N18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H34" i="31"/>
  <c r="E35" i="91"/>
  <c r="F35" i="97"/>
  <c r="G36" i="97"/>
  <c r="BL132" i="97"/>
  <c r="H11" i="31"/>
  <c r="E28" i="31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D18" i="31"/>
  <c r="BL123" i="97"/>
  <c r="BN12" i="30"/>
  <c r="C12" i="31"/>
  <c r="E10" i="31"/>
  <c r="F12" i="31"/>
  <c r="G17" i="31"/>
  <c r="G36" i="31"/>
  <c r="H18" i="31"/>
  <c r="E27" i="31"/>
  <c r="F34" i="31"/>
  <c r="D16" i="56"/>
  <c r="BL194" i="60"/>
  <c r="H17" i="31"/>
  <c r="E24" i="31"/>
  <c r="F32" i="31"/>
  <c r="G11" i="31"/>
  <c r="G18" i="31"/>
  <c r="G23" i="31"/>
  <c r="F28" i="31"/>
  <c r="C36" i="31"/>
  <c r="C18" i="31"/>
  <c r="C32" i="91"/>
  <c r="BN14" i="30"/>
  <c r="H10" i="31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D36" i="31"/>
  <c r="F17" i="31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5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Y196" i="60"/>
  <c r="Y199" i="60"/>
  <c r="AW196" i="60"/>
  <c r="AW199" i="60"/>
  <c r="BN49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Q193" i="60"/>
  <c r="E10" i="36"/>
  <c r="G186" i="59"/>
  <c r="Z10" i="36"/>
  <c r="AB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F199" i="60"/>
  <c r="G199" i="60"/>
  <c r="H199" i="60"/>
  <c r="J199" i="60"/>
  <c r="L199" i="60"/>
  <c r="N199" i="60"/>
  <c r="O199" i="60"/>
  <c r="P199" i="60"/>
  <c r="Q199" i="60"/>
  <c r="R199" i="60"/>
  <c r="S199" i="60"/>
  <c r="T199" i="60"/>
  <c r="U199" i="60"/>
  <c r="V199" i="60"/>
  <c r="W199" i="60"/>
  <c r="X199" i="60"/>
  <c r="Z199" i="60"/>
  <c r="AA199" i="60"/>
  <c r="AB199" i="60"/>
  <c r="AC199" i="60"/>
  <c r="AD199" i="60"/>
  <c r="AE199" i="60"/>
  <c r="AF199" i="60"/>
  <c r="AG199" i="60"/>
  <c r="AH199" i="60"/>
  <c r="AJ199" i="60"/>
  <c r="AK199" i="60"/>
  <c r="AL199" i="60"/>
  <c r="AM199" i="60"/>
  <c r="AN199" i="60"/>
  <c r="AO199" i="60"/>
  <c r="AP199" i="60"/>
  <c r="AQ199" i="60"/>
  <c r="AR199" i="60"/>
  <c r="AS199" i="60"/>
  <c r="AT199" i="60"/>
  <c r="AU199" i="60"/>
  <c r="AV199" i="60"/>
  <c r="AZ199" i="60"/>
  <c r="BA199" i="60"/>
  <c r="BB199" i="60"/>
  <c r="BC199" i="60"/>
  <c r="BD199" i="60"/>
  <c r="BF199" i="60"/>
  <c r="BG199" i="60"/>
  <c r="BH199" i="60"/>
  <c r="BJ199" i="60"/>
  <c r="BK199" i="60"/>
  <c r="BL199" i="60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75" i="57"/>
  <c r="BK115" i="97"/>
  <c r="BJ12" i="98"/>
  <c r="BJ115" i="97"/>
  <c r="BI12" i="98"/>
  <c r="BK75" i="57"/>
  <c r="BJ75" i="57"/>
  <c r="BI115" i="97"/>
  <c r="BH12" i="98"/>
  <c r="BI75" i="57"/>
  <c r="BH115" i="97"/>
  <c r="BG12" i="98"/>
  <c r="BH75" i="57"/>
  <c r="BG115" i="97"/>
  <c r="BF12" i="98"/>
  <c r="BG75" i="57"/>
  <c r="BF115" i="97"/>
  <c r="BE12" i="98"/>
  <c r="BF75" i="57"/>
  <c r="BE115" i="97"/>
  <c r="BD12" i="98"/>
  <c r="BE75" i="57"/>
  <c r="BD115" i="97"/>
  <c r="BC12" i="98"/>
  <c r="BD75" i="57"/>
  <c r="BC115" i="97"/>
  <c r="BB12" i="98"/>
  <c r="BC75" i="57"/>
  <c r="BB115" i="97"/>
  <c r="BA12" i="98"/>
  <c r="BB75" i="57"/>
  <c r="BA115" i="97"/>
  <c r="AZ12" i="98"/>
  <c r="BA75" i="57"/>
  <c r="AZ115" i="97"/>
  <c r="AZ75" i="57"/>
  <c r="AY115" i="97"/>
  <c r="AX12" i="98"/>
  <c r="AY75" i="57"/>
  <c r="AX115" i="97"/>
  <c r="AW12" i="98"/>
  <c r="AX75" i="57"/>
  <c r="AW115" i="97"/>
  <c r="AV12" i="98"/>
  <c r="AW75" i="57"/>
  <c r="AV115" i="97"/>
  <c r="AU12" i="98"/>
  <c r="AV75" i="57"/>
  <c r="AU115" i="97"/>
  <c r="AT12" i="98"/>
  <c r="AU75" i="57"/>
  <c r="AT115" i="97"/>
  <c r="AS12" i="98"/>
  <c r="AT75" i="57"/>
  <c r="AS115" i="97"/>
  <c r="AR12" i="98"/>
  <c r="AS75" i="57"/>
  <c r="AR115" i="97"/>
  <c r="AQ12" i="98"/>
  <c r="AR75" i="57"/>
  <c r="AQ115" i="97"/>
  <c r="AP12" i="98"/>
  <c r="AQ75" i="57"/>
  <c r="AP115" i="97"/>
  <c r="AO12" i="98"/>
  <c r="AP75" i="57"/>
  <c r="AO115" i="97"/>
  <c r="AN12" i="98"/>
  <c r="AO75" i="57"/>
  <c r="AN115" i="97"/>
  <c r="AN75" i="57"/>
  <c r="AM115" i="97"/>
  <c r="AL12" i="98"/>
  <c r="AM75" i="57"/>
  <c r="AL115" i="97"/>
  <c r="AK12" i="98"/>
  <c r="AL75" i="57"/>
  <c r="AK115" i="97"/>
  <c r="AJ12" i="98"/>
  <c r="AK75" i="57"/>
  <c r="AJ115" i="97"/>
  <c r="AI12" i="98"/>
  <c r="AJ75" i="57"/>
  <c r="AI115" i="97"/>
  <c r="AH12" i="98"/>
  <c r="AI75" i="57"/>
  <c r="AH115" i="97"/>
  <c r="AG12" i="98"/>
  <c r="AH75" i="57"/>
  <c r="AG115" i="97"/>
  <c r="AF12" i="98"/>
  <c r="AG75" i="57"/>
  <c r="AF115" i="97"/>
  <c r="AE12" i="98"/>
  <c r="AF75" i="57"/>
  <c r="AE115" i="97"/>
  <c r="AD12" i="98"/>
  <c r="AE75" i="57"/>
  <c r="AD115" i="97"/>
  <c r="AC12" i="98"/>
  <c r="AD75" i="57"/>
  <c r="AC115" i="97"/>
  <c r="AB12" i="98"/>
  <c r="AC75" i="57"/>
  <c r="AB115" i="97"/>
  <c r="AB75" i="57"/>
  <c r="AA115" i="97"/>
  <c r="Z12" i="98"/>
  <c r="AA75" i="57"/>
  <c r="Z115" i="97"/>
  <c r="Y12" i="98"/>
  <c r="Z75" i="57"/>
  <c r="Y117" i="97"/>
  <c r="X13" i="98"/>
  <c r="Y115" i="97"/>
  <c r="X12" i="98"/>
  <c r="Y75" i="57"/>
  <c r="X115" i="97"/>
  <c r="W12" i="98"/>
  <c r="X75" i="57"/>
  <c r="W115" i="97"/>
  <c r="V12" i="98"/>
  <c r="W75" i="57"/>
  <c r="V117" i="97"/>
  <c r="U13" i="98"/>
  <c r="V115" i="97"/>
  <c r="U12" i="98"/>
  <c r="V75" i="57"/>
  <c r="U115" i="97"/>
  <c r="T12" i="98"/>
  <c r="U75" i="57"/>
  <c r="T115" i="97"/>
  <c r="S12" i="98"/>
  <c r="T75" i="57"/>
  <c r="S115" i="97"/>
  <c r="R12" i="98"/>
  <c r="S75" i="57"/>
  <c r="R115" i="97"/>
  <c r="Q12" i="98"/>
  <c r="R75" i="57"/>
  <c r="P30" i="71"/>
  <c r="Q115" i="97"/>
  <c r="P12" i="98"/>
  <c r="Q75" i="57"/>
  <c r="P115" i="97"/>
  <c r="P75" i="57"/>
  <c r="O117" i="97"/>
  <c r="N13" i="98"/>
  <c r="O115" i="97"/>
  <c r="N12" i="98"/>
  <c r="O75" i="57"/>
  <c r="N115" i="97"/>
  <c r="M12" i="98"/>
  <c r="N75" i="57"/>
  <c r="M115" i="97"/>
  <c r="L12" i="98"/>
  <c r="M75" i="57"/>
  <c r="L117" i="97"/>
  <c r="K13" i="98"/>
  <c r="L115" i="97"/>
  <c r="K12" i="98"/>
  <c r="L75" i="57"/>
  <c r="K115" i="97"/>
  <c r="J12" i="98"/>
  <c r="K75" i="57"/>
  <c r="J115" i="97"/>
  <c r="I12" i="98"/>
  <c r="J75" i="57"/>
  <c r="I115" i="97"/>
  <c r="H12" i="98"/>
  <c r="I75" i="57"/>
  <c r="H115" i="97"/>
  <c r="G12" i="98"/>
  <c r="H75" i="57"/>
  <c r="F30" i="71"/>
  <c r="G115" i="97"/>
  <c r="F12" i="98"/>
  <c r="G75" i="57"/>
  <c r="F115" i="97"/>
  <c r="E12" i="98"/>
  <c r="F75" i="57"/>
  <c r="E117" i="97"/>
  <c r="D13" i="98"/>
  <c r="E115" i="97"/>
  <c r="D12" i="98"/>
  <c r="E75" i="57"/>
  <c r="C30" i="71"/>
  <c r="D115" i="97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E51" i="68"/>
  <c r="E7" i="68"/>
  <c r="E50" i="68"/>
  <c r="E6" i="68"/>
  <c r="B26" i="46"/>
  <c r="B17" i="46"/>
  <c r="E26" i="46"/>
  <c r="E17" i="46"/>
  <c r="H45" i="51"/>
  <c r="G45" i="51"/>
  <c r="U80" i="82"/>
  <c r="V80" i="82"/>
  <c r="I45" i="51"/>
  <c r="O80" i="82"/>
  <c r="X80" i="82"/>
  <c r="T80" i="82"/>
  <c r="P80" i="82"/>
  <c r="W80" i="82"/>
  <c r="Y80" i="82"/>
  <c r="Q80" i="82"/>
  <c r="S80" i="82"/>
  <c r="F45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9" i="67"/>
  <c r="D6" i="67"/>
  <c r="C33" i="92"/>
  <c r="G214" i="6"/>
  <c r="C10" i="67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40" i="51"/>
  <c r="B43" i="51"/>
  <c r="D79" i="46"/>
  <c r="F79" i="46"/>
  <c r="G79" i="46"/>
  <c r="D240" i="46"/>
  <c r="F34" i="46"/>
  <c r="I39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41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4" i="51"/>
  <c r="E84" i="46"/>
  <c r="E92" i="46"/>
  <c r="G29" i="46"/>
  <c r="B51" i="46"/>
  <c r="A81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9" i="51"/>
  <c r="A61" i="82"/>
  <c r="B28" i="51"/>
  <c r="F112" i="46"/>
  <c r="A49" i="82"/>
  <c r="A90" i="48"/>
  <c r="G187" i="46"/>
  <c r="F190" i="46"/>
  <c r="G212" i="46"/>
  <c r="A74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8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6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92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92" i="48"/>
  <c r="BA21" i="71"/>
  <c r="BB25" i="50"/>
  <c r="BB51" i="52"/>
  <c r="BB15" i="92"/>
  <c r="AC92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2" i="30"/>
  <c r="BM172" i="59"/>
  <c r="D68" i="59"/>
  <c r="D12" i="35"/>
  <c r="C9" i="36"/>
  <c r="AA24" i="36"/>
  <c r="AO52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2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2" i="30"/>
  <c r="H38" i="31"/>
  <c r="BN9" i="30"/>
  <c r="BO49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93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92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92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92" i="48"/>
  <c r="Z25" i="50"/>
  <c r="Y7" i="52"/>
  <c r="Z15" i="92"/>
  <c r="Z51" i="52"/>
  <c r="S25" i="50"/>
  <c r="R7" i="52"/>
  <c r="O92" i="48"/>
  <c r="Y21" i="71"/>
  <c r="V92" i="48"/>
  <c r="BA30" i="50"/>
  <c r="Q92" i="48"/>
  <c r="BE30" i="50"/>
  <c r="AD92" i="48"/>
  <c r="R21" i="71"/>
  <c r="W92" i="48"/>
  <c r="S15" i="92"/>
  <c r="AB92" i="48"/>
  <c r="X92" i="48"/>
  <c r="AG92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93" i="48"/>
  <c r="Y92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93" i="48"/>
  <c r="AL92" i="48"/>
  <c r="D134" i="49"/>
  <c r="BJ134" i="49"/>
  <c r="BN134" i="49"/>
  <c r="H12" i="50"/>
  <c r="I32" i="51"/>
  <c r="P92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92" i="48"/>
  <c r="U7" i="52"/>
  <c r="X7" i="52"/>
  <c r="D127" i="49"/>
  <c r="BC127" i="49"/>
  <c r="BN127" i="49"/>
  <c r="L51" i="82"/>
  <c r="L19" i="82"/>
  <c r="P25" i="50"/>
  <c r="F20" i="51"/>
  <c r="P15" i="92"/>
  <c r="O21" i="71"/>
  <c r="S92" i="48"/>
  <c r="AF92" i="48"/>
  <c r="BG7" i="52"/>
  <c r="I41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93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92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2" i="30"/>
  <c r="BN51" i="30"/>
  <c r="H18" i="64"/>
  <c r="F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2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93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92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2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92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41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92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2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92" i="48"/>
  <c r="L51" i="52"/>
  <c r="I40" i="51"/>
  <c r="AE30" i="50"/>
  <c r="F12" i="50"/>
  <c r="V93" i="48"/>
  <c r="AB93" i="48"/>
  <c r="AL93" i="48"/>
  <c r="AE93" i="48"/>
  <c r="X93" i="48"/>
  <c r="AD93" i="48"/>
  <c r="R93" i="48"/>
  <c r="BJ8" i="52"/>
  <c r="W93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92" i="48"/>
  <c r="P10" i="52"/>
  <c r="BA8" i="52"/>
  <c r="AY7" i="52"/>
  <c r="L92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93" i="48"/>
  <c r="O93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93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2" i="48"/>
  <c r="AF93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41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92" i="48"/>
  <c r="S30" i="50"/>
  <c r="E92" i="82"/>
  <c r="E27" i="82"/>
  <c r="AE7" i="52"/>
  <c r="Y93" i="48"/>
  <c r="BJ98" i="49"/>
  <c r="BN98" i="49"/>
  <c r="AX98" i="49"/>
  <c r="D27" i="82"/>
  <c r="D92" i="82"/>
  <c r="K92" i="48"/>
  <c r="M92" i="48"/>
  <c r="BD31" i="49"/>
  <c r="BN31" i="49"/>
  <c r="AR31" i="49"/>
  <c r="X8" i="52"/>
  <c r="Q93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92" i="48"/>
  <c r="Z10" i="52"/>
  <c r="Q10" i="52"/>
  <c r="BE93" i="49"/>
  <c r="BN93" i="49"/>
  <c r="AS93" i="49"/>
  <c r="Q8" i="52"/>
  <c r="BC10" i="52"/>
  <c r="J19" i="82"/>
  <c r="J51" i="82"/>
  <c r="I33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9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92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93" i="48"/>
  <c r="F21" i="51"/>
  <c r="BI30" i="50"/>
  <c r="BC103" i="49"/>
  <c r="BN103" i="49"/>
  <c r="AQ103" i="49"/>
  <c r="AJ10" i="52"/>
  <c r="AZ8" i="52"/>
  <c r="S93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2" i="30"/>
  <c r="I38" i="31"/>
  <c r="F3" i="97"/>
  <c r="G27" i="51"/>
  <c r="G32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92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92" i="48"/>
  <c r="BB35" i="82"/>
  <c r="BD116" i="82"/>
  <c r="BD101" i="82"/>
  <c r="BD93" i="82"/>
  <c r="BD97" i="82"/>
  <c r="BD104" i="82"/>
  <c r="BD103" i="82"/>
  <c r="BD102" i="82"/>
  <c r="BD96" i="82"/>
  <c r="BD28" i="82"/>
  <c r="BE35" i="82"/>
  <c r="G3" i="51"/>
  <c r="BJ116" i="82"/>
  <c r="BJ101" i="82"/>
  <c r="BJ93" i="82"/>
  <c r="BJ97" i="82"/>
  <c r="BJ96" i="82"/>
  <c r="BJ28" i="82"/>
  <c r="BJ102" i="82"/>
  <c r="BJ103" i="82"/>
  <c r="BJ104" i="82"/>
  <c r="BK61" i="48"/>
  <c r="AN92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41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40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9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93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9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3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40" i="51"/>
  <c r="D44" i="49"/>
  <c r="AA93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93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4" i="51"/>
  <c r="E92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92" i="48"/>
  <c r="L65" i="82"/>
  <c r="L68" i="82"/>
  <c r="L69" i="82"/>
  <c r="AI42" i="50"/>
  <c r="F93" i="48"/>
  <c r="G36" i="82"/>
  <c r="AY42" i="50"/>
  <c r="K93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60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3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93" i="48"/>
  <c r="AE8" i="52"/>
  <c r="F49" i="51"/>
  <c r="F13" i="51"/>
  <c r="O10" i="52"/>
  <c r="BK63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82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93" i="48"/>
  <c r="F8" i="52"/>
  <c r="AF30" i="50"/>
  <c r="BM16" i="49"/>
  <c r="L93" i="48"/>
  <c r="BE8" i="49"/>
  <c r="AS8" i="49"/>
  <c r="F106" i="82"/>
  <c r="F109" i="82"/>
  <c r="F110" i="82"/>
  <c r="G115" i="82"/>
  <c r="I35" i="51"/>
  <c r="I36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93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E51" i="82"/>
  <c r="E19" i="82"/>
  <c r="H93" i="48"/>
  <c r="F40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93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3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6" i="51"/>
  <c r="I9" i="51"/>
  <c r="X42" i="50"/>
  <c r="L115" i="82"/>
  <c r="AN50" i="52"/>
  <c r="N115" i="82"/>
  <c r="H115" i="82"/>
  <c r="BB42" i="50"/>
  <c r="G93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2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93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93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92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92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93" i="48"/>
  <c r="BB106" i="82"/>
  <c r="BB108" i="82"/>
  <c r="BB29" i="82"/>
  <c r="BD92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92" i="48"/>
  <c r="AQ108" i="82"/>
  <c r="AQ29" i="82"/>
  <c r="AQ31" i="82"/>
  <c r="AQ16" i="82"/>
  <c r="AQ30" i="52"/>
  <c r="BH92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92" i="48"/>
  <c r="BB55" i="82"/>
  <c r="BB20" i="82"/>
  <c r="BB36" i="52"/>
  <c r="BC55" i="82"/>
  <c r="BC20" i="82"/>
  <c r="BC36" i="52"/>
  <c r="AQ92" i="48"/>
  <c r="AU108" i="82"/>
  <c r="AU29" i="82"/>
  <c r="BH109" i="82"/>
  <c r="BH110" i="82"/>
  <c r="AP92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92" i="48"/>
  <c r="G33" i="51"/>
  <c r="G5" i="51"/>
  <c r="G6" i="51"/>
  <c r="BK76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5" i="51"/>
  <c r="H36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4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40" i="51"/>
  <c r="J40" i="51"/>
  <c r="BK36" i="48"/>
  <c r="AC42" i="50"/>
  <c r="G37" i="82"/>
  <c r="N69" i="82"/>
  <c r="AG8" i="52"/>
  <c r="Q50" i="52"/>
  <c r="S50" i="52"/>
  <c r="J32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93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4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J27" i="51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J29" i="51"/>
  <c r="BK23" i="48"/>
  <c r="F35" i="51"/>
  <c r="F36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93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4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J28" i="51"/>
  <c r="BK22" i="48"/>
  <c r="E41" i="51"/>
  <c r="J41" i="51"/>
  <c r="BK37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92" i="48"/>
  <c r="AW93" i="48"/>
  <c r="BE30" i="82"/>
  <c r="AP31" i="82"/>
  <c r="AP16" i="82"/>
  <c r="AP30" i="52"/>
  <c r="BB109" i="82"/>
  <c r="BB110" i="82"/>
  <c r="AS92" i="48"/>
  <c r="AT50" i="52"/>
  <c r="AS74" i="82"/>
  <c r="AS79" i="82"/>
  <c r="AS81" i="82"/>
  <c r="BI30" i="82"/>
  <c r="BI31" i="82"/>
  <c r="BI16" i="82"/>
  <c r="BI30" i="52"/>
  <c r="BK75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92" i="48"/>
  <c r="BB93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5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92" i="48"/>
  <c r="BC93" i="48"/>
  <c r="AR16" i="82"/>
  <c r="AR30" i="52"/>
  <c r="AR32" i="82"/>
  <c r="BH31" i="82"/>
  <c r="BH16" i="82"/>
  <c r="BH30" i="52"/>
  <c r="AO93" i="48"/>
  <c r="AO92" i="48"/>
  <c r="AV92" i="48"/>
  <c r="AV93" i="48"/>
  <c r="AV65" i="82"/>
  <c r="AV68" i="82"/>
  <c r="AV69" i="82"/>
  <c r="AR93" i="48"/>
  <c r="BH37" i="52"/>
  <c r="BH37" i="82"/>
  <c r="AN36" i="82"/>
  <c r="AN36" i="52"/>
  <c r="AQ93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92" i="48"/>
  <c r="BJ93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93" i="48"/>
  <c r="BA30" i="82"/>
  <c r="AZ36" i="82"/>
  <c r="BB31" i="82"/>
  <c r="BB16" i="82"/>
  <c r="BB30" i="52"/>
  <c r="BB36" i="82"/>
  <c r="BF37" i="52"/>
  <c r="BC32" i="82"/>
  <c r="AZ93" i="48"/>
  <c r="BG32" i="82"/>
  <c r="H3" i="91"/>
  <c r="H3" i="97"/>
  <c r="AY115" i="82"/>
  <c r="AY119" i="82"/>
  <c r="AY121" i="82"/>
  <c r="AY123" i="82"/>
  <c r="AY30" i="82"/>
  <c r="BE31" i="82"/>
  <c r="BE16" i="82"/>
  <c r="BE30" i="52"/>
  <c r="AY92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93" i="48"/>
  <c r="AV36" i="82"/>
  <c r="AP32" i="82"/>
  <c r="AX65" i="82"/>
  <c r="AX67" i="82"/>
  <c r="AX21" i="82"/>
  <c r="BI32" i="82"/>
  <c r="BI55" i="82"/>
  <c r="BI20" i="82"/>
  <c r="BA74" i="82"/>
  <c r="BA79" i="82"/>
  <c r="BA81" i="82"/>
  <c r="AP93" i="48"/>
  <c r="BI92" i="48"/>
  <c r="BE68" i="82"/>
  <c r="BE69" i="82"/>
  <c r="BK61" i="82"/>
  <c r="BD55" i="82"/>
  <c r="BD20" i="82"/>
  <c r="AR36" i="82"/>
  <c r="BG37" i="82"/>
  <c r="BG37" i="52"/>
  <c r="AP67" i="82"/>
  <c r="AP21" i="82"/>
  <c r="BD93" i="48"/>
  <c r="G3" i="91"/>
  <c r="G3" i="97"/>
  <c r="AM115" i="82"/>
  <c r="AM119" i="82"/>
  <c r="AM121" i="82"/>
  <c r="AM123" i="82"/>
  <c r="AM30" i="82"/>
  <c r="AS93" i="48"/>
  <c r="AT31" i="82"/>
  <c r="AT16" i="82"/>
  <c r="AT30" i="52"/>
  <c r="T82" i="82"/>
  <c r="T83" i="82"/>
  <c r="BK67" i="48"/>
  <c r="AU32" i="82"/>
  <c r="AN37" i="82"/>
  <c r="AN37" i="52"/>
  <c r="AW32" i="82"/>
  <c r="AM92" i="48"/>
  <c r="BK79" i="48"/>
  <c r="BA55" i="82"/>
  <c r="BA20" i="82"/>
  <c r="BA68" i="82"/>
  <c r="BA69" i="82"/>
  <c r="BF74" i="82"/>
  <c r="BF79" i="82"/>
  <c r="BF81" i="82"/>
  <c r="AX93" i="48"/>
  <c r="AM106" i="82"/>
  <c r="AM108" i="82"/>
  <c r="AM29" i="82"/>
  <c r="BH68" i="82"/>
  <c r="BH69" i="82"/>
  <c r="BK62" i="82"/>
  <c r="G35" i="51"/>
  <c r="G36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93" i="48"/>
  <c r="BE36" i="82"/>
  <c r="AK87" i="82"/>
  <c r="AK88" i="82"/>
  <c r="AU11" i="52"/>
  <c r="AO50" i="52"/>
  <c r="AU91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91" i="48"/>
  <c r="K97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90" i="48"/>
  <c r="W96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6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91" i="48"/>
  <c r="M97" i="48"/>
  <c r="K40" i="51"/>
  <c r="K29" i="51"/>
  <c r="K41" i="51"/>
  <c r="N91" i="48"/>
  <c r="N97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9" i="51"/>
  <c r="C10" i="52"/>
  <c r="BK46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90" i="48"/>
  <c r="M96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90" i="48"/>
  <c r="Z96" i="48"/>
  <c r="Z91" i="48"/>
  <c r="Z97" i="48"/>
  <c r="F7" i="51"/>
  <c r="I82" i="82"/>
  <c r="I83" i="82"/>
  <c r="Q82" i="82"/>
  <c r="Q83" i="82"/>
  <c r="Z11" i="52"/>
  <c r="E44" i="51"/>
  <c r="J44" i="51"/>
  <c r="BK40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90" i="48"/>
  <c r="AU96" i="48"/>
  <c r="D69" i="82"/>
  <c r="AF8" i="52"/>
  <c r="G46" i="51"/>
  <c r="G9" i="51"/>
  <c r="H54" i="50"/>
  <c r="H56" i="50"/>
  <c r="K50" i="52"/>
  <c r="N9" i="52"/>
  <c r="N90" i="48"/>
  <c r="N96" i="48"/>
  <c r="AD9" i="52"/>
  <c r="Z22" i="82"/>
  <c r="AD87" i="82"/>
  <c r="AD88" i="82"/>
  <c r="Y82" i="82"/>
  <c r="Y83" i="82"/>
  <c r="BD66" i="49"/>
  <c r="BD68" i="49"/>
  <c r="BN7" i="49"/>
  <c r="Z132" i="82"/>
  <c r="Z12" i="82"/>
  <c r="K32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D7" i="52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91" i="48"/>
  <c r="R97" i="48"/>
  <c r="R90" i="48"/>
  <c r="R96" i="48"/>
  <c r="E82" i="82"/>
  <c r="E83" i="82"/>
  <c r="J37" i="82"/>
  <c r="C93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C68" i="82"/>
  <c r="E87" i="82"/>
  <c r="E88" i="82"/>
  <c r="O8" i="52"/>
  <c r="F46" i="51"/>
  <c r="F9" i="51"/>
  <c r="BF139" i="49"/>
  <c r="BF141" i="49"/>
  <c r="BN82" i="49"/>
  <c r="G42" i="50"/>
  <c r="AL82" i="82"/>
  <c r="AL83" i="82"/>
  <c r="K9" i="52"/>
  <c r="K90" i="48"/>
  <c r="K96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90" i="48"/>
  <c r="F96" i="48"/>
  <c r="F91" i="48"/>
  <c r="F97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9" i="48"/>
  <c r="AV32" i="82"/>
  <c r="AU97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91" i="48"/>
  <c r="W97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92" i="48"/>
  <c r="BF93" i="48"/>
  <c r="AY30" i="52"/>
  <c r="AY32" i="82"/>
  <c r="M32" i="82"/>
  <c r="AK132" i="82"/>
  <c r="AK12" i="82"/>
  <c r="AK32" i="52"/>
  <c r="AM30" i="52"/>
  <c r="BA92" i="48"/>
  <c r="BA93" i="48"/>
  <c r="BI93" i="48"/>
  <c r="AY74" i="82"/>
  <c r="AY79" i="82"/>
  <c r="AY81" i="82"/>
  <c r="BK81" i="82"/>
  <c r="AT32" i="82"/>
  <c r="BI68" i="82"/>
  <c r="BI69" i="82"/>
  <c r="AM67" i="82"/>
  <c r="AM21" i="82"/>
  <c r="AM93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93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90" i="48"/>
  <c r="AI96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91" i="48"/>
  <c r="AI97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90" i="48"/>
  <c r="AP96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91" i="48"/>
  <c r="AP97" i="48"/>
  <c r="G91" i="48"/>
  <c r="G97" i="48"/>
  <c r="G133" i="82"/>
  <c r="G13" i="82"/>
  <c r="G28" i="52"/>
  <c r="M23" i="82"/>
  <c r="M24" i="82"/>
  <c r="AD91" i="48"/>
  <c r="AD97" i="48"/>
  <c r="V132" i="82"/>
  <c r="V12" i="82"/>
  <c r="V32" i="52"/>
  <c r="J133" i="82"/>
  <c r="J13" i="82"/>
  <c r="J28" i="52"/>
  <c r="N12" i="52"/>
  <c r="J91" i="48"/>
  <c r="J97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4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W38" i="82"/>
  <c r="W39" i="52"/>
  <c r="W23" i="82"/>
  <c r="W24" i="82"/>
  <c r="W38" i="52"/>
  <c r="F16" i="59"/>
  <c r="E26" i="116"/>
  <c r="S20" i="92"/>
  <c r="V9" i="52"/>
  <c r="V90" i="48"/>
  <c r="V96" i="48"/>
  <c r="V91" i="48"/>
  <c r="V97" i="48"/>
  <c r="G20" i="92"/>
  <c r="AQ9" i="52"/>
  <c r="AQ90" i="48"/>
  <c r="AQ96" i="48"/>
  <c r="AQ91" i="48"/>
  <c r="AQ97" i="48"/>
  <c r="T11" i="52"/>
  <c r="AE20" i="92"/>
  <c r="BB139" i="49"/>
  <c r="BN78" i="49"/>
  <c r="M22" i="71"/>
  <c r="N19" i="92"/>
  <c r="Q69" i="49"/>
  <c r="AJ19" i="92"/>
  <c r="AI22" i="71"/>
  <c r="Q9" i="52"/>
  <c r="Q91" i="48"/>
  <c r="Q97" i="48"/>
  <c r="Q90" i="48"/>
  <c r="Q96" i="48"/>
  <c r="BG22" i="82"/>
  <c r="BG133" i="82"/>
  <c r="BG13" i="82"/>
  <c r="BG28" i="52"/>
  <c r="U11" i="52"/>
  <c r="R22" i="71"/>
  <c r="S19" i="92"/>
  <c r="G11" i="52"/>
  <c r="AX9" i="52"/>
  <c r="AX90" i="48"/>
  <c r="AX96" i="48"/>
  <c r="AX91" i="48"/>
  <c r="AX97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90" i="48"/>
  <c r="H96" i="48"/>
  <c r="H91" i="48"/>
  <c r="H97" i="48"/>
  <c r="BF83" i="82"/>
  <c r="BJ22" i="82"/>
  <c r="BJ133" i="82"/>
  <c r="BJ13" i="82"/>
  <c r="BJ28" i="52"/>
  <c r="BI9" i="52"/>
  <c r="BI90" i="48"/>
  <c r="BI96" i="48"/>
  <c r="BI91" i="48"/>
  <c r="AO9" i="52"/>
  <c r="AO90" i="48"/>
  <c r="AO96" i="48"/>
  <c r="AO91" i="48"/>
  <c r="AO97" i="48"/>
  <c r="X82" i="82"/>
  <c r="X83" i="82"/>
  <c r="X132" i="82"/>
  <c r="X12" i="82"/>
  <c r="BG11" i="52"/>
  <c r="E21" i="59"/>
  <c r="BM125" i="59"/>
  <c r="E5" i="51"/>
  <c r="J5" i="51"/>
  <c r="J33" i="51"/>
  <c r="K33" i="51"/>
  <c r="BB66" i="49"/>
  <c r="BN5" i="49"/>
  <c r="Q11" i="52"/>
  <c r="BI22" i="82"/>
  <c r="BI133" i="82"/>
  <c r="BI13" i="82"/>
  <c r="BI28" i="52"/>
  <c r="I11" i="52"/>
  <c r="AE9" i="52"/>
  <c r="AE90" i="48"/>
  <c r="AE96" i="48"/>
  <c r="AE91" i="48"/>
  <c r="AE97" i="48"/>
  <c r="M12" i="52"/>
  <c r="AJ82" i="82"/>
  <c r="AJ83" i="82"/>
  <c r="AJ132" i="82"/>
  <c r="AJ12" i="82"/>
  <c r="N32" i="52"/>
  <c r="N14" i="82"/>
  <c r="N31" i="52"/>
  <c r="BG132" i="82"/>
  <c r="BG12" i="82"/>
  <c r="J49" i="51"/>
  <c r="K49" i="51"/>
  <c r="E13" i="51"/>
  <c r="L11" i="52"/>
  <c r="H50" i="52"/>
  <c r="F15" i="82"/>
  <c r="F29" i="52"/>
  <c r="F39" i="82"/>
  <c r="D6" i="50"/>
  <c r="BE83" i="82"/>
  <c r="L20" i="92"/>
  <c r="U9" i="52"/>
  <c r="U91" i="48"/>
  <c r="U97" i="48"/>
  <c r="U90" i="48"/>
  <c r="U96" i="48"/>
  <c r="BK66" i="49"/>
  <c r="BK68" i="49"/>
  <c r="BN14" i="49"/>
  <c r="AH11" i="52"/>
  <c r="AK9" i="52"/>
  <c r="AK12" i="52"/>
  <c r="AK90" i="48"/>
  <c r="AK96" i="48"/>
  <c r="AK91" i="48"/>
  <c r="AK97" i="48"/>
  <c r="L82" i="82"/>
  <c r="L83" i="82"/>
  <c r="L132" i="82"/>
  <c r="L12" i="82"/>
  <c r="AK22" i="82"/>
  <c r="AK133" i="82"/>
  <c r="AK13" i="82"/>
  <c r="AK28" i="52"/>
  <c r="BI11" i="52"/>
  <c r="AQ11" i="52"/>
  <c r="AL9" i="52"/>
  <c r="AL90" i="48"/>
  <c r="AL96" i="48"/>
  <c r="AL91" i="48"/>
  <c r="AL97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5" i="51"/>
  <c r="BK30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90" i="48"/>
  <c r="AD96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81" i="48"/>
  <c r="C92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90" i="48"/>
  <c r="G96" i="48"/>
  <c r="AC69" i="49"/>
  <c r="Z22" i="71"/>
  <c r="AA19" i="92"/>
  <c r="S22" i="82"/>
  <c r="S133" i="82"/>
  <c r="S13" i="82"/>
  <c r="S28" i="52"/>
  <c r="G50" i="52"/>
  <c r="E9" i="52"/>
  <c r="E91" i="48"/>
  <c r="E97" i="48"/>
  <c r="E90" i="48"/>
  <c r="E96" i="48"/>
  <c r="H132" i="82"/>
  <c r="H12" i="82"/>
  <c r="AF11" i="52"/>
  <c r="BF88" i="82"/>
  <c r="R23" i="82"/>
  <c r="R24" i="82"/>
  <c r="R38" i="52"/>
  <c r="BG9" i="52"/>
  <c r="BG90" i="48"/>
  <c r="BG96" i="48"/>
  <c r="BG91" i="48"/>
  <c r="BG97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90" i="48"/>
  <c r="I96" i="48"/>
  <c r="I91" i="48"/>
  <c r="I97" i="48"/>
  <c r="Z12" i="52"/>
  <c r="F54" i="50"/>
  <c r="E56" i="50"/>
  <c r="E54" i="50"/>
  <c r="N20" i="92"/>
  <c r="AH9" i="52"/>
  <c r="AH91" i="48"/>
  <c r="AH97" i="48"/>
  <c r="AH90" i="48"/>
  <c r="AH96" i="48"/>
  <c r="J9" i="52"/>
  <c r="J90" i="48"/>
  <c r="J96" i="48"/>
  <c r="X11" i="52"/>
  <c r="AT11" i="52"/>
  <c r="AW9" i="52"/>
  <c r="AW12" i="52"/>
  <c r="AW90" i="48"/>
  <c r="AW96" i="48"/>
  <c r="AW91" i="48"/>
  <c r="AW97" i="48"/>
  <c r="S11" i="52"/>
  <c r="H22" i="82"/>
  <c r="H133" i="82"/>
  <c r="H13" i="82"/>
  <c r="H28" i="52"/>
  <c r="T9" i="52"/>
  <c r="T90" i="48"/>
  <c r="T96" i="48"/>
  <c r="T91" i="48"/>
  <c r="T97" i="48"/>
  <c r="BM115" i="59"/>
  <c r="E11" i="59"/>
  <c r="AO69" i="49"/>
  <c r="K22" i="71"/>
  <c r="L19" i="92"/>
  <c r="S9" i="52"/>
  <c r="S90" i="48"/>
  <c r="S96" i="48"/>
  <c r="S91" i="48"/>
  <c r="S97" i="48"/>
  <c r="H11" i="52"/>
  <c r="V22" i="82"/>
  <c r="V133" i="82"/>
  <c r="V13" i="82"/>
  <c r="V28" i="52"/>
  <c r="Y9" i="52"/>
  <c r="Y12" i="52"/>
  <c r="Y91" i="48"/>
  <c r="Y97" i="48"/>
  <c r="Y90" i="48"/>
  <c r="Y96" i="48"/>
  <c r="G16" i="59"/>
  <c r="F26" i="116"/>
  <c r="X19" i="92"/>
  <c r="W22" i="71"/>
  <c r="BB9" i="52"/>
  <c r="BB91" i="48"/>
  <c r="BB97" i="48"/>
  <c r="BB90" i="48"/>
  <c r="BB96" i="48"/>
  <c r="U22" i="82"/>
  <c r="U133" i="82"/>
  <c r="U13" i="82"/>
  <c r="U28" i="52"/>
  <c r="AX11" i="52"/>
  <c r="G22" i="82"/>
  <c r="AU22" i="71"/>
  <c r="AV19" i="92"/>
  <c r="AC9" i="52"/>
  <c r="AC90" i="48"/>
  <c r="AC96" i="48"/>
  <c r="AC91" i="48"/>
  <c r="AC97" i="48"/>
  <c r="K12" i="52"/>
  <c r="AT9" i="52"/>
  <c r="AT91" i="48"/>
  <c r="AT97" i="48"/>
  <c r="AT90" i="48"/>
  <c r="AT96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6" i="51"/>
  <c r="C8" i="52"/>
  <c r="BK42" i="48"/>
  <c r="I22" i="82"/>
  <c r="I133" i="82"/>
  <c r="I13" i="82"/>
  <c r="I28" i="52"/>
  <c r="BJ9" i="52"/>
  <c r="BJ90" i="48"/>
  <c r="BJ96" i="48"/>
  <c r="BJ91" i="48"/>
  <c r="BJ97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7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91" i="48"/>
  <c r="D97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6" i="51"/>
  <c r="J35" i="51"/>
  <c r="K35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90" i="48"/>
  <c r="P96" i="48"/>
  <c r="P91" i="48"/>
  <c r="P97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90" i="48"/>
  <c r="X96" i="48"/>
  <c r="X91" i="48"/>
  <c r="X97" i="48"/>
  <c r="BF22" i="82"/>
  <c r="BF133" i="82"/>
  <c r="BF13" i="82"/>
  <c r="BF28" i="52"/>
  <c r="D9" i="52"/>
  <c r="D90" i="48"/>
  <c r="D96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90" i="48"/>
  <c r="BE96" i="48"/>
  <c r="BE91" i="48"/>
  <c r="BE97" i="48"/>
  <c r="J13" i="51"/>
  <c r="AJ9" i="52"/>
  <c r="AJ12" i="52"/>
  <c r="AJ90" i="48"/>
  <c r="AJ96" i="48"/>
  <c r="AJ91" i="48"/>
  <c r="AJ97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91" i="48"/>
  <c r="AG97" i="48"/>
  <c r="AG90" i="48"/>
  <c r="AG96" i="48"/>
  <c r="AF9" i="52"/>
  <c r="AF12" i="52"/>
  <c r="AF90" i="48"/>
  <c r="AF96" i="48"/>
  <c r="AF91" i="48"/>
  <c r="AF97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91" i="48"/>
  <c r="AR97" i="48"/>
  <c r="AR90" i="48"/>
  <c r="AR96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91" i="48"/>
  <c r="BC97" i="48"/>
  <c r="BC90" i="48"/>
  <c r="BC96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90" i="48"/>
  <c r="BA96" i="48"/>
  <c r="BA91" i="48"/>
  <c r="BA97" i="48"/>
  <c r="AV9" i="52"/>
  <c r="AV12" i="52"/>
  <c r="AV91" i="48"/>
  <c r="AV97" i="48"/>
  <c r="AV90" i="48"/>
  <c r="AV96" i="48"/>
  <c r="AD19" i="92"/>
  <c r="AC22" i="71"/>
  <c r="BK19" i="92"/>
  <c r="BJ22" i="71"/>
  <c r="C87" i="82"/>
  <c r="Q143" i="49"/>
  <c r="E12" i="59"/>
  <c r="BM116" i="59"/>
  <c r="AS9" i="52"/>
  <c r="AS12" i="52"/>
  <c r="AS90" i="48"/>
  <c r="AS96" i="48"/>
  <c r="AS91" i="48"/>
  <c r="AS97" i="48"/>
  <c r="BC19" i="92"/>
  <c r="BB22" i="71"/>
  <c r="BD9" i="52"/>
  <c r="BD90" i="48"/>
  <c r="BD96" i="48"/>
  <c r="BD91" i="48"/>
  <c r="BD97" i="48"/>
  <c r="AK38" i="82"/>
  <c r="AK39" i="52"/>
  <c r="AK23" i="82"/>
  <c r="E9" i="51"/>
  <c r="J46" i="51"/>
  <c r="K46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90" i="48"/>
  <c r="AB96" i="48"/>
  <c r="AB91" i="48"/>
  <c r="AB97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90" i="48"/>
  <c r="AN96" i="48"/>
  <c r="AN91" i="48"/>
  <c r="AN97" i="48"/>
  <c r="BA143" i="49"/>
  <c r="AO22" i="71"/>
  <c r="AP19" i="92"/>
  <c r="AQ22" i="71"/>
  <c r="AR19" i="92"/>
  <c r="L9" i="52"/>
  <c r="L12" i="52"/>
  <c r="L91" i="48"/>
  <c r="L97" i="48"/>
  <c r="L90" i="48"/>
  <c r="L96" i="48"/>
  <c r="AE39" i="52"/>
  <c r="AE38" i="82"/>
  <c r="AE23" i="82"/>
  <c r="BF9" i="52"/>
  <c r="BF90" i="48"/>
  <c r="BF96" i="48"/>
  <c r="BF91" i="48"/>
  <c r="BF97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7" i="51"/>
  <c r="F10" i="51"/>
  <c r="F11" i="51"/>
  <c r="O90" i="48"/>
  <c r="O96" i="48"/>
  <c r="O91" i="48"/>
  <c r="O97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7" i="51"/>
  <c r="BK43" i="48"/>
  <c r="C9" i="52"/>
  <c r="C91" i="48"/>
  <c r="C97" i="48"/>
  <c r="C90" i="48"/>
  <c r="C96" i="48"/>
  <c r="BH22" i="82"/>
  <c r="BH133" i="82"/>
  <c r="BH13" i="82"/>
  <c r="BH28" i="52"/>
  <c r="BB20" i="52"/>
  <c r="BC7" i="92"/>
  <c r="AZ9" i="52"/>
  <c r="AZ90" i="48"/>
  <c r="AZ96" i="48"/>
  <c r="AZ91" i="48"/>
  <c r="AZ97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7" i="51"/>
  <c r="H10" i="51"/>
  <c r="H11" i="51"/>
  <c r="AM91" i="48"/>
  <c r="AM97" i="48"/>
  <c r="AM90" i="48"/>
  <c r="AM96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50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7" i="51"/>
  <c r="G10" i="51"/>
  <c r="G11" i="51"/>
  <c r="AA9" i="52"/>
  <c r="AA90" i="48"/>
  <c r="AA96" i="48"/>
  <c r="AA91" i="48"/>
  <c r="AA97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50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50" i="51"/>
  <c r="BK47" i="48"/>
  <c r="C11" i="52"/>
  <c r="O132" i="82"/>
  <c r="O12" i="82"/>
  <c r="V7" i="92"/>
  <c r="U20" i="52"/>
  <c r="AM11" i="52"/>
  <c r="H50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90" i="48"/>
  <c r="BH96" i="48"/>
  <c r="BH91" i="48"/>
  <c r="BH97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4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AQ229" i="97"/>
  <c r="AU407" i="6"/>
  <c r="AQ230" i="97"/>
  <c r="X15" i="82"/>
  <c r="X29" i="52"/>
  <c r="X42" i="52"/>
  <c r="X39" i="82"/>
  <c r="AN194" i="6"/>
  <c r="I47" i="51"/>
  <c r="I10" i="51"/>
  <c r="I11" i="51"/>
  <c r="AY9" i="52"/>
  <c r="AY90" i="48"/>
  <c r="AY96" i="48"/>
  <c r="BK95" i="48"/>
  <c r="AY91" i="48"/>
  <c r="AY97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50" i="51"/>
  <c r="I14" i="51"/>
  <c r="I15" i="51"/>
  <c r="BK94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7" i="51"/>
  <c r="K47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50" i="51"/>
  <c r="K50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140" i="116"/>
  <c r="AG48" i="50"/>
  <c r="AG31" i="50"/>
  <c r="AG49" i="52"/>
  <c r="AF58" i="52"/>
  <c r="AG52" i="63"/>
  <c r="AF52" i="52"/>
  <c r="AB44" i="71"/>
  <c r="AB17" i="111"/>
  <c r="J45" i="71"/>
  <c r="J58" i="7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>panfletos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Harry Alfredo Wong Molina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  <comment ref="F38" authorId="1" shapeId="0" xr:uid="{919C3A6B-40AE-2D48-AABD-69CCCBA6212B}">
      <text>
        <r>
          <rPr>
            <sz val="10"/>
            <color rgb="FF000000"/>
            <rFont val="Tahoma"/>
            <family val="2"/>
          </rPr>
          <t xml:space="preserve">prom diario (6)
</t>
        </r>
        <r>
          <rPr>
            <sz val="10"/>
            <color rgb="FF000000"/>
            <rFont val="Tahoma"/>
            <family val="2"/>
          </rPr>
          <t>6 x (3 + 5 + 5)</t>
        </r>
      </text>
    </comment>
    <comment ref="G38" authorId="1" shapeId="0" xr:uid="{B92F5B16-DB4C-E147-8FA8-8F7D75331108}">
      <text>
        <r>
          <rPr>
            <sz val="10"/>
            <color rgb="FF000000"/>
            <rFont val="Arial"/>
            <family val="2"/>
          </rPr>
          <t>prom</t>
        </r>
        <r>
          <rPr>
            <sz val="10"/>
            <color rgb="FF000000"/>
            <rFont val="Arial"/>
            <family val="2"/>
          </rPr>
          <t xml:space="preserve"> diario (9)
</t>
        </r>
        <r>
          <rPr>
            <sz val="10"/>
            <color rgb="FF000000"/>
            <rFont val="Arial"/>
            <family val="2"/>
          </rPr>
          <t>9 x (5 + 5 + 5 + 5 + 3)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<sst xmlns="http://schemas.openxmlformats.org/spreadsheetml/2006/main" count="7596" uniqueCount="1281">
  <si>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</si>
  <si>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</si>
  <si>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</si>
  <si>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</si>
  <si>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</si>
  <si>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</si>
  <si>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</si>
  <si>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</si>
  <si>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</si>
  <si>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</si>
  <si>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</si>
  <si>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</si>
  <si>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</si>
  <si>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</si>
  <si>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</si>
  <si>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</si>
  <si>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</si>
  <si>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</si>
  <si>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</si>
  <si>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</si>
  <si>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</si>
  <si>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</si>
  <si>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</si>
  <si>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</si>
  <si>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</si>
  <si>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</si>
  <si>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</si>
  <si>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</si>
  <si>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</si>
  <si>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</si>
  <si>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</si>
  <si>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</si>
  <si>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</si>
  <si>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</si>
  <si>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</si>
  <si>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</si>
  <si>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</si>
  <si>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</si>
  <si>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</si>
  <si>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</si>
  <si>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</si>
  <si>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</si>
  <si>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</si>
  <si>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</si>
  <si>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</si>
  <si>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</si>
  <si>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</si>
  <si>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</si>
  <si>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</si>
  <si>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</si>
  <si>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</si>
  <si>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</si>
  <si>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</si>
  <si>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</si>
  <si>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</si>
  <si>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</si>
  <si>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</si>
  <si>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</si>
  <si>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</si>
  <si>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</si>
  <si>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</si>
  <si>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</si>
  <si>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</si>
  <si>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</si>
  <si>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</si>
  <si>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</si>
  <si>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</si>
  <si>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</si>
  <si>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</si>
  <si>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</si>
  <si>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</si>
  <si>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</si>
  <si>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</si>
  <si>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</si>
  <si>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</si>
  <si>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</si>
  <si>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</si>
  <si>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</si>
  <si>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</si>
  <si>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</si>
  <si>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</si>
  <si>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</si>
  <si>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</si>
  <si>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</si>
  <si>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</si>
  <si>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</si>
  <si>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</si>
  <si>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</si>
  <si>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</si>
  <si>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</si>
  <si>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</si>
  <si>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</si>
  <si>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</si>
  <si>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</si>
  <si>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</si>
  <si>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</si>
  <si>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</si>
  <si>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</si>
  <si>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</si>
  <si>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</si>
  <si>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</si>
  <si>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</si>
  <si>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</si>
  <si>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</si>
  <si>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</si>
  <si>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</si>
  <si>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</si>
  <si>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</si>
  <si>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</si>
  <si>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</si>
  <si>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</si>
  <si>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</si>
  <si>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</si>
  <si>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</si>
  <si>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</si>
  <si>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</si>
  <si>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</si>
  <si>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</si>
  <si>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</si>
  <si>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</si>
  <si>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</si>
  <si>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</si>
  <si>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</si>
  <si>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</si>
  <si>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</si>
  <si>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</si>
  <si>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</si>
  <si>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</si>
  <si>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</si>
  <si>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</si>
  <si>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</si>
  <si>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</si>
  <si>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</si>
  <si>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</si>
  <si>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</si>
  <si>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</si>
  <si>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</si>
  <si>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</si>
  <si>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</si>
  <si>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</si>
  <si>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</si>
  <si>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</si>
  <si>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</si>
  <si>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</si>
  <si>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</si>
  <si>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</si>
  <si>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</si>
  <si>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</si>
  <si>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</si>
  <si>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</si>
  <si>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</si>
  <si>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</si>
  <si>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</si>
  <si>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</si>
  <si>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</si>
  <si>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</si>
  <si>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</si>
  <si>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</si>
  <si>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</si>
  <si>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</si>
  <si>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</si>
  <si>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</si>
  <si>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</si>
  <si>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</si>
  <si>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</si>
  <si>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</si>
  <si>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</si>
  <si>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</si>
  <si>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</si>
  <si>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</si>
  <si>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</si>
  <si>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</si>
  <si>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</si>
  <si>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</si>
  <si>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</si>
  <si>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</si>
  <si>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</si>
  <si>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</si>
  <si>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</si>
  <si>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</si>
  <si>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</si>
  <si>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</si>
  <si>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</si>
  <si>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</si>
  <si>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</si>
  <si>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</si>
  <si>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</si>
  <si>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</si>
  <si>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</si>
  <si>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</si>
  <si>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</si>
  <si>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</si>
  <si>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</si>
  <si>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</si>
  <si>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</si>
  <si>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</si>
  <si>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</si>
  <si>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</si>
  <si>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</si>
  <si>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</si>
  <si>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</si>
  <si>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</si>
  <si>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</si>
  <si>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</si>
  <si>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</si>
  <si>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</si>
  <si>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</si>
  <si>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</si>
  <si>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</si>
  <si>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</si>
  <si>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</si>
  <si>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</si>
  <si>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</si>
  <si>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</si>
  <si>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</si>
  <si>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</si>
  <si>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</si>
  <si>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</si>
  <si>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</si>
  <si>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</si>
  <si>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</si>
  <si>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</si>
  <si>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</si>
  <si>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</si>
  <si>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</si>
  <si>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</si>
  <si>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</si>
  <si>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</si>
  <si>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</si>
  <si>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</si>
  <si>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</si>
  <si>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</si>
  <si>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</si>
  <si>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</si>
  <si>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</si>
  <si>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</si>
  <si>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</si>
  <si>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</si>
  <si>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</si>
  <si>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</si>
  <si>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</si>
  <si>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</si>
  <si>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</si>
  <si>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</si>
  <si>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</si>
  <si>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</si>
  <si>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</si>
  <si>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</si>
  <si>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</si>
  <si>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</si>
  <si>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</si>
  <si>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</si>
  <si>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</si>
  <si>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</si>
  <si>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</si>
  <si>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</si>
  <si>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</si>
  <si>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</si>
  <si>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</si>
  <si>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</si>
  <si>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</si>
  <si>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</si>
  <si>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</si>
  <si>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</si>
  <si>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</si>
  <si>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</si>
  <si>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</si>
  <si>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</si>
  <si>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</si>
  <si>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</si>
  <si>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</si>
  <si>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</si>
  <si>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</si>
  <si>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</si>
  <si>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</si>
  <si>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</si>
  <si>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</si>
  <si>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</si>
  <si>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</si>
  <si>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</si>
  <si>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</si>
  <si>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</si>
  <si>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</si>
  <si>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</si>
  <si>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</si>
  <si>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</si>
  <si>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</si>
  <si>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</si>
  <si>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</si>
  <si>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</si>
  <si>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</si>
  <si>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</si>
  <si>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</si>
  <si>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</si>
  <si>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</si>
  <si>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</si>
  <si>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</si>
  <si>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</si>
  <si>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</si>
  <si>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</si>
  <si>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</si>
  <si>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</si>
  <si>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</si>
  <si>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</si>
  <si>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</si>
  <si>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</si>
  <si>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</si>
  <si>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</si>
  <si>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</si>
  <si>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</si>
  <si>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</si>
  <si>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</si>
  <si>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</si>
  <si>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</si>
  <si>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</si>
  <si>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</si>
  <si>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</si>
  <si>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</si>
  <si>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</si>
  <si>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</si>
  <si>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</si>
  <si>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</si>
  <si>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</si>
  <si>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</si>
  <si>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</si>
  <si>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</si>
  <si>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</si>
  <si>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</si>
  <si>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</si>
  <si>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</si>
  <si>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</si>
  <si>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</si>
  <si>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</si>
  <si>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</si>
  <si>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</si>
  <si>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</si>
  <si>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</si>
  <si>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</si>
  <si>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</si>
  <si>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</si>
  <si>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</si>
  <si>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</si>
  <si>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</si>
  <si>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</si>
  <si>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</si>
  <si>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</si>
  <si>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</si>
  <si>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</si>
  <si>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</si>
  <si>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</si>
  <si>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</si>
  <si>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</si>
  <si>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</si>
  <si>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</si>
  <si>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</si>
  <si>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</si>
  <si>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</si>
  <si>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</si>
  <si>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</si>
  <si>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</si>
  <si>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</si>
  <si>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</si>
  <si>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</si>
  <si>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</si>
  <si>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</si>
  <si>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</si>
  <si>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</si>
  <si>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</si>
  <si>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</si>
  <si>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</si>
  <si>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</si>
  <si>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</si>
  <si>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</si>
  <si>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</si>
  <si>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</si>
  <si>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</si>
  <si>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</si>
  <si>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</si>
  <si>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</si>
  <si>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</si>
  <si>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</si>
  <si>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</si>
  <si>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</si>
  <si>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</si>
  <si>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</si>
  <si>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</si>
  <si>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</si>
  <si>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</si>
  <si>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</si>
  <si>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</si>
  <si>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</si>
  <si>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</si>
  <si>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</si>
  <si>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</si>
  <si>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</si>
  <si>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</si>
  <si>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</si>
  <si>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</si>
  <si>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</si>
  <si>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</si>
  <si>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</si>
  <si>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</si>
  <si>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</si>
  <si>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</si>
  <si>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</si>
  <si>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</si>
  <si>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</si>
  <si>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</si>
  <si>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</si>
  <si>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</si>
  <si>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</si>
  <si>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</si>
  <si>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</si>
  <si>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</si>
  <si>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</si>
  <si>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</si>
  <si>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</si>
  <si>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</si>
  <si>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</si>
  <si>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</si>
  <si>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</si>
  <si>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</si>
  <si>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</si>
  <si>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</si>
  <si>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</si>
  <si>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</si>
  <si>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</si>
  <si>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</si>
  <si>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</si>
  <si>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</si>
  <si>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</si>
  <si>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</si>
  <si>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</si>
  <si>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</si>
  <si>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</si>
  <si>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</si>
  <si>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</si>
  <si>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</si>
  <si>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</si>
  <si>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</si>
  <si>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</si>
  <si>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</si>
  <si>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</si>
  <si>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</si>
  <si>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</si>
  <si>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</si>
  <si>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</si>
  <si>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</si>
  <si>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</si>
  <si>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</si>
  <si>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</si>
  <si>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</si>
  <si>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</si>
  <si>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</si>
  <si>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</si>
  <si>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</si>
  <si>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</si>
  <si>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</si>
  <si>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</si>
  <si>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</si>
  <si>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</si>
  <si>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</si>
  <si>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</si>
  <si>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</si>
  <si>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</si>
  <si>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</si>
  <si>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</si>
  <si>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</si>
  <si>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</si>
  <si>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</si>
  <si>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</si>
  <si>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</si>
  <si>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</si>
  <si>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</si>
  <si>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</si>
  <si>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</si>
  <si>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</si>
  <si>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</si>
  <si>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</si>
  <si>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</si>
  <si>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</si>
  <si>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</si>
  <si>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</si>
  <si>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</si>
  <si>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</si>
  <si>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</si>
  <si>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</si>
  <si>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</si>
  <si>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</si>
  <si>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</si>
  <si>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</si>
  <si>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</si>
  <si>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</si>
  <si>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</si>
  <si>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</si>
  <si>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</si>
  <si>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</si>
  <si>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</si>
  <si>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</si>
  <si>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</si>
  <si>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</si>
  <si>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</si>
  <si>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</si>
  <si>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</si>
  <si>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</si>
  <si>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</si>
  <si>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</si>
  <si>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</si>
  <si>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</si>
  <si>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</si>
  <si>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</si>
  <si>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</si>
  <si>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</si>
  <si>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</si>
  <si>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</si>
  <si>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</si>
  <si>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</si>
  <si>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</si>
  <si>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</si>
  <si>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</si>
  <si>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</si>
  <si>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</si>
  <si>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</si>
  <si>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</si>
  <si>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</si>
  <si>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</si>
  <si>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</si>
  <si>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</si>
  <si>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</si>
  <si>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</si>
  <si>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</si>
  <si>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</si>
  <si>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</si>
  <si>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</si>
  <si>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</si>
  <si>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</si>
  <si>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</si>
  <si>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</si>
  <si>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</si>
  <si>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</si>
  <si>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</si>
  <si>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</si>
  <si>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</si>
  <si>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</si>
  <si>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</si>
  <si>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</si>
  <si>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</si>
  <si>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</si>
  <si>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</si>
  <si>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</si>
  <si>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</si>
  <si>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</si>
  <si>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</si>
  <si>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</si>
  <si>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</si>
  <si>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</si>
  <si>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</si>
  <si>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</si>
  <si>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</si>
  <si>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</si>
  <si>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</si>
  <si>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</si>
  <si>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</si>
  <si>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</si>
  <si>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</si>
  <si>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</si>
  <si>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</si>
  <si>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</si>
  <si>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</si>
  <si>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</si>
  <si>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</si>
  <si>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</si>
  <si>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</si>
  <si>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</si>
  <si>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</si>
  <si>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</si>
  <si>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</si>
  <si>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</si>
  <si>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</si>
  <si>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</si>
  <si>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</si>
  <si>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</si>
  <si>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</si>
  <si>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</si>
  <si>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</si>
  <si>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</si>
  <si>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</si>
  <si>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</si>
  <si>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</si>
  <si>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</si>
  <si>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</si>
  <si>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</si>
  <si>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</si>
  <si>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</si>
  <si>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</si>
  <si>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</si>
  <si>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</si>
  <si>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</si>
  <si>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</si>
  <si>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</si>
  <si>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</si>
  <si>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</si>
  <si>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</si>
  <si>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</si>
  <si>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</si>
  <si>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</si>
  <si>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</si>
  <si>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</si>
  <si>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</si>
  <si>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</si>
  <si>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</si>
  <si>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</si>
  <si>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</si>
  <si>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</si>
  <si>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</si>
  <si>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</si>
  <si>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</si>
  <si>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</si>
  <si>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</si>
  <si>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</si>
  <si>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</si>
  <si>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</si>
  <si>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</si>
  <si>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</si>
  <si>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</si>
  <si>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</si>
  <si>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</si>
  <si>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</si>
  <si>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</si>
  <si>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</si>
  <si>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</si>
  <si>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</si>
  <si>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</si>
  <si>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</si>
  <si>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</si>
  <si>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</si>
  <si>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</si>
  <si>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</si>
  <si>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</si>
  <si>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</si>
  <si>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</si>
  <si>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</si>
  <si>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</si>
  <si>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</si>
  <si>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</si>
  <si>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</si>
  <si>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</si>
  <si>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</si>
  <si>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</si>
  <si>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</si>
  <si>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</si>
  <si>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</si>
  <si>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</si>
  <si>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</si>
  <si>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</si>
  <si>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</si>
  <si>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</si>
  <si>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</si>
  <si>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</si>
  <si>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</si>
  <si>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</si>
  <si>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</si>
  <si>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</si>
  <si>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</si>
  <si>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</si>
  <si>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</si>
  <si>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</si>
  <si>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</si>
  <si>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</si>
  <si>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</si>
  <si>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</si>
  <si>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</si>
  <si>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</si>
  <si>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</si>
  <si>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</si>
  <si>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</si>
  <si>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</si>
  <si>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</si>
  <si>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</si>
  <si>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</si>
  <si>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</si>
  <si>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</si>
  <si>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</si>
  <si>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</si>
  <si>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</si>
  <si>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</si>
  <si>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</si>
  <si>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</si>
  <si>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</si>
  <si>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</si>
  <si>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</si>
  <si>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</si>
  <si>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</si>
  <si>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</si>
  <si>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</si>
  <si>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</si>
  <si>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</si>
  <si>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</si>
  <si>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</si>
  <si>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</si>
  <si>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</si>
  <si>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</si>
  <si>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</si>
  <si>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</si>
  <si>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</si>
  <si>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</si>
  <si>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</si>
  <si>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</si>
  <si>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</si>
  <si>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</si>
  <si>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</si>
  <si>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</si>
  <si>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</si>
  <si>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</si>
  <si>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</si>
  <si>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</si>
  <si>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</si>
  <si>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</si>
  <si>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</si>
  <si>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</si>
  <si>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</si>
  <si>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</si>
  <si>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</si>
  <si>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</si>
  <si>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</si>
  <si>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</si>
  <si>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</si>
  <si>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</si>
  <si>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</si>
  <si>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</si>
  <si>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</si>
  <si>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</si>
  <si>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</si>
  <si>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</si>
  <si>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</si>
  <si>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</si>
  <si>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</si>
  <si>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</si>
  <si>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</si>
  <si>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</si>
  <si>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</si>
  <si>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</si>
  <si>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</si>
  <si>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</si>
  <si>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</si>
  <si>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</si>
  <si>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</si>
  <si>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</si>
  <si>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</si>
  <si>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</si>
  <si>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</si>
  <si>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</si>
  <si>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</si>
  <si>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</si>
  <si>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</si>
  <si>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</si>
  <si>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</si>
  <si>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</si>
  <si>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</si>
  <si>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</si>
  <si>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</si>
  <si>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</si>
  <si>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</si>
  <si>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</si>
  <si>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</si>
  <si>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</si>
  <si>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</si>
  <si>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</si>
  <si>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</si>
  <si>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</si>
  <si>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</si>
  <si>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</si>
  <si>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</si>
  <si>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</si>
  <si>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</si>
  <si>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</si>
  <si>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</si>
  <si>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</si>
  <si>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</si>
  <si>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</si>
  <si>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</si>
  <si>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</si>
  <si>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</si>
  <si>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</si>
  <si>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</si>
  <si>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</si>
  <si>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</si>
  <si>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</si>
  <si>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</si>
  <si>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</si>
  <si>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</si>
  <si>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</si>
  <si>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</si>
  <si>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</si>
  <si>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</si>
  <si>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</si>
  <si>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</si>
  <si>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</si>
  <si>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</si>
  <si>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</si>
  <si>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</si>
  <si>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</si>
  <si>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</si>
  <si>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</si>
  <si>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</si>
  <si>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</si>
  <si>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</si>
  <si>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</si>
  <si>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</si>
  <si>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</si>
  <si>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</si>
  <si>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</si>
  <si>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</si>
  <si>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</si>
  <si>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</si>
  <si>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</si>
  <si>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</si>
  <si>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</si>
  <si>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</si>
  <si>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</si>
  <si>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</si>
  <si>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</si>
  <si>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</si>
  <si>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</si>
  <si>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</si>
  <si>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</si>
  <si>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</si>
  <si>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</si>
  <si>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</si>
  <si>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</si>
  <si>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</si>
  <si>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</si>
  <si>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</si>
  <si>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</si>
  <si>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</si>
  <si>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</si>
  <si>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</si>
  <si>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</si>
  <si>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</si>
  <si>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</si>
  <si>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</si>
  <si>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</si>
  <si>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</si>
  <si>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</si>
  <si>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</si>
  <si>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</si>
  <si>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</si>
  <si>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</si>
  <si>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</si>
  <si>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</si>
  <si>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</si>
  <si>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</si>
  <si>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</si>
  <si>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</si>
  <si>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</si>
  <si>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</si>
  <si>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</si>
  <si>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</si>
  <si>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</si>
  <si>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</si>
  <si>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</si>
  <si>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</si>
  <si>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</si>
  <si>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</si>
  <si>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</si>
  <si>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</si>
  <si>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</si>
  <si>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</si>
  <si>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</si>
  <si>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</si>
  <si>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</si>
  <si>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</si>
  <si>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</si>
  <si>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</si>
  <si>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</si>
  <si>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</si>
  <si>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</si>
  <si>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</si>
  <si>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</si>
  <si>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</si>
  <si>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</si>
  <si>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</si>
  <si>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</si>
  <si>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</si>
  <si>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</si>
  <si>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</si>
  <si>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</si>
  <si>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</si>
  <si>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</si>
  <si>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</si>
  <si>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</si>
  <si>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</si>
  <si>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</si>
  <si>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</si>
  <si>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</si>
  <si>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</si>
  <si>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</si>
  <si>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</si>
  <si>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</si>
  <si>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</si>
  <si>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</si>
  <si>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</si>
  <si>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</si>
  <si>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</si>
  <si>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</si>
  <si>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</si>
  <si>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</si>
  <si>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</si>
  <si>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</si>
  <si>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</si>
  <si>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</si>
  <si>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</si>
  <si>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</si>
  <si>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</si>
  <si>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</si>
  <si>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</si>
  <si>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</si>
  <si>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</si>
  <si>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</si>
  <si>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</si>
  <si>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</si>
  <si>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</si>
  <si>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</si>
  <si>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</si>
  <si>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</si>
  <si>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</si>
  <si>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</si>
  <si>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</si>
  <si>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</si>
  <si>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</si>
  <si>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</si>
  <si>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</si>
  <si>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</si>
  <si>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</si>
  <si>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</si>
  <si>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</si>
  <si>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</si>
  <si>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</si>
  <si>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</si>
  <si>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</si>
  <si>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</si>
  <si>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</si>
  <si>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</si>
  <si>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</si>
  <si>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</si>
  <si>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</si>
  <si>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</si>
  <si>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</si>
  <si>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</si>
  <si>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</si>
  <si>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</si>
  <si>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</si>
  <si>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</si>
  <si>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</si>
  <si>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</si>
  <si>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</si>
  <si>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</si>
  <si>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</si>
  <si>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</si>
  <si>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</si>
  <si>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</si>
  <si>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</si>
  <si>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</si>
  <si>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</si>
  <si>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</si>
  <si>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</si>
  <si>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</si>
  <si>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</si>
  <si>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</si>
  <si>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</si>
  <si>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</si>
  <si>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</si>
  <si>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</si>
  <si>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</si>
  <si>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</si>
  <si>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</si>
  <si>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</si>
  <si>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</si>
  <si>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</si>
  <si>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</si>
  <si>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</si>
  <si>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</si>
  <si>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</si>
  <si>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</si>
  <si>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</si>
  <si>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</si>
  <si>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</si>
  <si>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</si>
  <si>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</si>
  <si>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</si>
  <si>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</si>
  <si>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</si>
  <si>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</si>
  <si>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</si>
  <si>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</si>
  <si>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</si>
  <si>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</si>
  <si>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</si>
  <si>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</si>
  <si>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</si>
  <si>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</si>
  <si>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</si>
  <si>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</si>
  <si>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</si>
  <si>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</si>
  <si>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</si>
  <si>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</si>
  <si>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</si>
  <si>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</si>
  <si>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</si>
  <si>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</si>
  <si>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</si>
  <si>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</si>
  <si>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</si>
  <si>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</si>
  <si>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</si>
  <si>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</si>
  <si>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</si>
  <si>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</si>
  <si>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</si>
  <si>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</si>
  <si>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</si>
  <si>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</si>
  <si>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</si>
  <si>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</si>
  <si>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</si>
  <si>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</si>
  <si>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</si>
  <si>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</si>
  <si>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</si>
  <si>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</si>
  <si>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</si>
  <si>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</si>
  <si>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</si>
  <si>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</si>
  <si>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</si>
  <si>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</si>
  <si>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</si>
  <si>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</si>
  <si>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</si>
  <si>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</si>
  <si>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</si>
  <si>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</si>
  <si>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</si>
  <si>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</si>
  <si>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</si>
  <si>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</si>
  <si>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</si>
  <si>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</si>
  <si>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</si>
  <si>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</si>
  <si>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</si>
  <si>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</si>
  <si>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</si>
  <si>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</si>
  <si>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</si>
  <si>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</si>
  <si>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</si>
  <si>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</si>
  <si>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</si>
  <si>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</si>
  <si>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</si>
  <si>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</si>
  <si>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</si>
  <si>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</si>
  <si>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</si>
  <si>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</si>
  <si>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</si>
  <si>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</si>
  <si>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</si>
  <si>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</si>
  <si>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</si>
  <si>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</si>
  <si>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</si>
  <si>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</si>
  <si>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</si>
  <si>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</si>
  <si>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</si>
  <si>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</si>
  <si>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</si>
  <si>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</si>
  <si>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</si>
  <si>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</si>
  <si>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</si>
  <si>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</si>
  <si>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</si>
  <si>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</si>
  <si>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</si>
  <si>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</si>
  <si>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</si>
  <si>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</si>
  <si>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</si>
  <si>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</si>
  <si>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</si>
  <si>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</si>
  <si>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</si>
  <si>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</si>
  <si>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</si>
  <si>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</si>
  <si>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</si>
  <si>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</si>
  <si>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</si>
  <si>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</si>
  <si>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</si>
  <si>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</si>
  <si>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</si>
  <si>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</si>
  <si>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</si>
  <si>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</si>
  <si>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</si>
  <si>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</si>
  <si>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</si>
  <si>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</si>
  <si>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</si>
  <si>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</si>
  <si>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</si>
  <si>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</si>
  <si>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</si>
  <si>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</si>
  <si>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</si>
  <si>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</si>
  <si>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</si>
  <si>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</si>
  <si>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</si>
  <si>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</si>
  <si>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</si>
  <si>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</si>
  <si>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</si>
  <si>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</si>
  <si>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</si>
  <si>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</si>
  <si>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</si>
  <si>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</si>
  <si>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</si>
  <si>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</si>
  <si>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</si>
  <si>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</si>
  <si>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</si>
  <si>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</si>
  <si>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</si>
  <si>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</si>
  <si>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</si>
  <si>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</si>
  <si>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</si>
  <si>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</si>
  <si>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</si>
  <si>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</si>
  <si>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</si>
  <si>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</si>
  <si>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</si>
  <si>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</si>
  <si>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</si>
  <si>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</si>
  <si>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</si>
  <si>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</si>
  <si>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</si>
  <si>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</si>
  <si>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</si>
  <si>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</si>
  <si>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</si>
  <si>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</si>
  <si>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</si>
  <si>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</si>
  <si>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</si>
  <si>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</si>
  <si>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</si>
  <si>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</si>
  <si>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</si>
  <si>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</si>
  <si>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</si>
  <si>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</si>
  <si>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</si>
  <si>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</si>
  <si>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</si>
  <si>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</si>
  <si>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</si>
  <si>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</si>
  <si>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</si>
  <si>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</si>
  <si>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</si>
  <si>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</si>
  <si>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</si>
  <si>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</si>
  <si>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</si>
  <si>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</si>
  <si>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</si>
  <si>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</si>
  <si>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</si>
  <si>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</si>
  <si>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</si>
  <si>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</si>
  <si>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</si>
  <si>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</si>
  <si>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</si>
  <si>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</si>
  <si>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</si>
  <si>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</si>
  <si>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</si>
  <si>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</si>
  <si>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</si>
  <si>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</si>
  <si>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</si>
  <si>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</si>
  <si>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</si>
  <si>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</si>
  <si>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</si>
  <si>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</si>
  <si>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</si>
  <si>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</si>
  <si>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</si>
  <si>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</si>
  <si>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</si>
  <si>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</si>
  <si>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</si>
  <si>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</si>
  <si>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</si>
  <si>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</si>
  <si>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</si>
  <si>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</si>
  <si>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</si>
  <si>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</si>
  <si>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</si>
  <si>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</si>
  <si>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</si>
  <si>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</si>
  <si>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</si>
  <si>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</si>
  <si>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</si>
  <si>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</si>
  <si>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</si>
  <si>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</si>
  <si>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</si>
  <si>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</si>
  <si>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</si>
  <si>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</si>
  <si>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</si>
  <si>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</si>
  <si>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</si>
  <si>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</si>
  <si>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</si>
  <si>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</si>
  <si>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</si>
  <si>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</si>
  <si>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</si>
  <si>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</si>
  <si>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</si>
  <si>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</si>
  <si>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</si>
  <si>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</si>
  <si>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</si>
  <si>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</si>
  <si>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</si>
  <si>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</si>
  <si>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</si>
  <si>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</si>
  <si>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</si>
  <si>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</si>
  <si>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</si>
  <si>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</si>
  <si>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</si>
  <si>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</si>
  <si>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</si>
  <si>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</si>
  <si>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</si>
  <si>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</si>
  <si>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</si>
  <si>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DecYR2</t>
  </si>
  <si>
    <t>JulYR1</t>
  </si>
  <si>
    <t>Domicilio Service</t>
  </si>
  <si>
    <t>`</t>
  </si>
  <si>
    <t>Unidades ventas, pronosticadas</t>
  </si>
  <si>
    <t>Letreros</t>
  </si>
  <si>
    <t>Material Impreso / Web</t>
  </si>
  <si>
    <t>Víveres y Manufactura</t>
  </si>
  <si>
    <t>Computadora</t>
  </si>
  <si>
    <t>Licencia Herramientas Oficina</t>
  </si>
  <si>
    <t>Barra bar</t>
  </si>
  <si>
    <t>Uniformes provisional</t>
  </si>
  <si>
    <t>NovYR1</t>
  </si>
  <si>
    <t>FebYR3</t>
  </si>
  <si>
    <t>Unidades Target por 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</si>
</sst>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$&quot;* #,##0_-;\-&quot;$&quot;* #,##0_-;_-&quot;$&quot;* &quot;-&quot;_-;_-@_-"/>
    <numFmt numFmtId="41" formatCode="_-* #,##0_-;\-* #,##0_-;_-* &quot;-&quot;_-;_-@_-"/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4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3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  <xf numFmtId="41" fontId="43" fillId="0" borderId="0" applyFont="0" applyFill="0" applyBorder="0" applyAlignment="0" applyProtection="0"/>
  </cellStyleXfs>
  <cellXfs count="423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2" fillId="0" borderId="0" xfId="3" applyNumberFormat="1" applyFont="1"/>
    <xf numFmtId="169" fontId="42" fillId="0" borderId="0" xfId="0" applyNumberFormat="1" applyFont="1"/>
    <xf numFmtId="9" fontId="27" fillId="0" borderId="0" xfId="3" applyNumberFormat="1" applyFont="1" applyAlignment="1">
      <alignment horizontal="center"/>
    </xf>
    <xf numFmtId="42" fontId="1" fillId="0" borderId="0" xfId="3" applyNumberFormat="1" applyFont="1"/>
    <xf numFmtId="42" fontId="4" fillId="0" borderId="0" xfId="0" applyNumberFormat="1" applyFont="1"/>
    <xf numFmtId="42" fontId="0" fillId="0" borderId="0" xfId="0" applyNumberFormat="1"/>
    <xf numFmtId="42" fontId="22" fillId="0" borderId="0" xfId="3" applyNumberFormat="1" applyFont="1"/>
    <xf numFmtId="42" fontId="0" fillId="0" borderId="0" xfId="1" applyNumberFormat="1" applyFont="1"/>
    <xf numFmtId="42" fontId="4" fillId="0" borderId="0" xfId="1" applyNumberFormat="1" applyFont="1"/>
    <xf numFmtId="42" fontId="21" fillId="0" borderId="0" xfId="3" applyNumberFormat="1" applyFont="1"/>
    <xf numFmtId="2" fontId="1" fillId="0" borderId="0" xfId="12" applyNumberFormat="1" applyFont="1"/>
    <xf numFmtId="1" fontId="1" fillId="0" borderId="0" xfId="0" applyNumberFormat="1" applyFont="1"/>
    <xf numFmtId="42" fontId="27" fillId="0" borderId="0" xfId="3" applyNumberFormat="1" applyFont="1" applyAlignment="1">
      <alignment horizontal="center"/>
    </xf>
    <xf numFmtId="42" fontId="27" fillId="0" borderId="0" xfId="9" applyNumberFormat="1" applyFont="1" applyAlignment="1">
      <alignment horizontal="center"/>
    </xf>
    <xf numFmtId="42" fontId="0" fillId="0" borderId="0" xfId="3" applyNumberFormat="1" applyFont="1" applyAlignment="1">
      <alignment horizontal="center"/>
    </xf>
    <xf numFmtId="42" fontId="0" fillId="0" borderId="0" xfId="0" applyNumberFormat="1" applyAlignment="1">
      <alignment horizontal="center"/>
    </xf>
    <xf numFmtId="42" fontId="4" fillId="0" borderId="0" xfId="3" applyNumberFormat="1" applyFont="1" applyAlignment="1">
      <alignment horizontal="center"/>
    </xf>
    <xf numFmtId="42" fontId="0" fillId="0" borderId="0" xfId="3" applyNumberFormat="1" applyFont="1"/>
    <xf numFmtId="42" fontId="22" fillId="0" borderId="0" xfId="1" applyNumberFormat="1" applyFont="1"/>
    <xf numFmtId="42" fontId="1" fillId="0" borderId="0" xfId="1" applyNumberFormat="1" applyFont="1"/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42" fontId="1" fillId="0" borderId="0" xfId="0" applyNumberFormat="1" applyFont="1" applyAlignment="1">
      <alignment horizontal="left"/>
    </xf>
    <xf numFmtId="42" fontId="1" fillId="0" borderId="0" xfId="0" applyNumberFormat="1" applyFont="1"/>
    <xf numFmtId="42" fontId="1" fillId="0" borderId="0" xfId="0" applyNumberFormat="1" applyFont="1" applyAlignment="1">
      <alignment horizontal="left" indent="1"/>
    </xf>
    <xf numFmtId="168" fontId="27" fillId="0" borderId="0" xfId="0" applyNumberFormat="1" applyFont="1" applyAlignment="1">
      <alignment wrapText="1"/>
    </xf>
    <xf numFmtId="170" fontId="0" fillId="0" borderId="0" xfId="0" applyFill="1"/>
    <xf numFmtId="10" fontId="27" fillId="0" borderId="0" xfId="9" applyNumberFormat="1" applyFont="1" applyAlignment="1">
      <alignment horizontal="center" wrapText="1"/>
    </xf>
    <xf numFmtId="175" fontId="1" fillId="0" borderId="0" xfId="1" applyNumberFormat="1" applyFont="1" applyProtection="1"/>
    <xf numFmtId="170" fontId="1" fillId="0" borderId="0" xfId="0" applyFont="1" applyProtection="1"/>
  </cellXfs>
  <cellStyles count="13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illares [0]" xfId="12" builtinId="6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  <c:pt idx="49">
                  <c:v>9157164.7419683337</c:v>
                </c:pt>
                <c:pt idx="50">
                  <c:v>24392499.609618343</c:v>
                </c:pt>
                <c:pt idx="51">
                  <c:v>29455399.478103347</c:v>
                </c:pt>
                <c:pt idx="52">
                  <c:v>29455399.478103347</c:v>
                </c:pt>
                <c:pt idx="53">
                  <c:v>29455399.478103347</c:v>
                </c:pt>
                <c:pt idx="54">
                  <c:v>29455399.478103347</c:v>
                </c:pt>
                <c:pt idx="55">
                  <c:v>29455399.478103347</c:v>
                </c:pt>
                <c:pt idx="56">
                  <c:v>29455399.478103347</c:v>
                </c:pt>
                <c:pt idx="57">
                  <c:v>29455399.478103347</c:v>
                </c:pt>
                <c:pt idx="58">
                  <c:v>29455399.478103347</c:v>
                </c:pt>
                <c:pt idx="59">
                  <c:v>29455399.478103347</c:v>
                </c:pt>
                <c:pt idx="60">
                  <c:v>14244365.338558339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  <c:pt idx="49">
                  <c:v>9318081.4086349998</c:v>
                </c:pt>
                <c:pt idx="50">
                  <c:v>24553416.276285011</c:v>
                </c:pt>
                <c:pt idx="51">
                  <c:v>29616316.144770015</c:v>
                </c:pt>
                <c:pt idx="52">
                  <c:v>29616316.144770015</c:v>
                </c:pt>
                <c:pt idx="53">
                  <c:v>29616316.144770015</c:v>
                </c:pt>
                <c:pt idx="54">
                  <c:v>29616316.144770015</c:v>
                </c:pt>
                <c:pt idx="55">
                  <c:v>29616316.144770015</c:v>
                </c:pt>
                <c:pt idx="56">
                  <c:v>29616316.144770015</c:v>
                </c:pt>
                <c:pt idx="57">
                  <c:v>29616316.144770015</c:v>
                </c:pt>
                <c:pt idx="58">
                  <c:v>29616316.144770015</c:v>
                </c:pt>
                <c:pt idx="59">
                  <c:v>29616316.144770015</c:v>
                </c:pt>
                <c:pt idx="60">
                  <c:v>14405282.005225005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-21545166.666666664</c:v>
                </c:pt>
                <c:pt idx="6">
                  <c:v>-29175049.999999996</c:v>
                </c:pt>
                <c:pt idx="7">
                  <c:v>-36908333.333333328</c:v>
                </c:pt>
                <c:pt idx="8">
                  <c:v>-44248016.666666657</c:v>
                </c:pt>
                <c:pt idx="9">
                  <c:v>-51191099.999999985</c:v>
                </c:pt>
                <c:pt idx="10">
                  <c:v>-57740583.333333313</c:v>
                </c:pt>
                <c:pt idx="11">
                  <c:v>-63893466.666666642</c:v>
                </c:pt>
                <c:pt idx="12">
                  <c:v>-70671949.99999997</c:v>
                </c:pt>
                <c:pt idx="13">
                  <c:v>-77313581.666666642</c:v>
                </c:pt>
                <c:pt idx="14">
                  <c:v>-80225478.333333313</c:v>
                </c:pt>
                <c:pt idx="15">
                  <c:v>-81897609.999999985</c:v>
                </c:pt>
                <c:pt idx="16">
                  <c:v>-82569741.666666657</c:v>
                </c:pt>
                <c:pt idx="17">
                  <c:v>-83241873.333333328</c:v>
                </c:pt>
                <c:pt idx="18">
                  <c:v>-83914005</c:v>
                </c:pt>
                <c:pt idx="19">
                  <c:v>-84586136.666666672</c:v>
                </c:pt>
                <c:pt idx="20">
                  <c:v>-85258268.333333343</c:v>
                </c:pt>
                <c:pt idx="21">
                  <c:v>-85930400.000000015</c:v>
                </c:pt>
                <c:pt idx="22">
                  <c:v>-86602531.666666687</c:v>
                </c:pt>
                <c:pt idx="23">
                  <c:v>-87274663.333333358</c:v>
                </c:pt>
                <c:pt idx="24">
                  <c:v>-91671715.00000003</c:v>
                </c:pt>
                <c:pt idx="25">
                  <c:v>-92315667.766666695</c:v>
                </c:pt>
                <c:pt idx="26">
                  <c:v>-84502166.483333349</c:v>
                </c:pt>
                <c:pt idx="27">
                  <c:v>-73871803.650000006</c:v>
                </c:pt>
                <c:pt idx="28">
                  <c:v>-63241440.816666663</c:v>
                </c:pt>
                <c:pt idx="29">
                  <c:v>-52611077.983333319</c:v>
                </c:pt>
                <c:pt idx="30">
                  <c:v>-41980715.149999976</c:v>
                </c:pt>
                <c:pt idx="31">
                  <c:v>-31350352.316666637</c:v>
                </c:pt>
                <c:pt idx="32">
                  <c:v>-20719989.483333297</c:v>
                </c:pt>
                <c:pt idx="33">
                  <c:v>-10089626.649999958</c:v>
                </c:pt>
                <c:pt idx="34">
                  <c:v>540736.18333338201</c:v>
                </c:pt>
                <c:pt idx="35">
                  <c:v>11171099.016666722</c:v>
                </c:pt>
                <c:pt idx="36">
                  <c:v>13344007.800000053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-30738500</c:v>
                </c:pt>
                <c:pt idx="6">
                  <c:v>-38288800</c:v>
                </c:pt>
                <c:pt idx="7">
                  <c:v>-45862500</c:v>
                </c:pt>
                <c:pt idx="8">
                  <c:v>-53042600</c:v>
                </c:pt>
                <c:pt idx="9">
                  <c:v>-59826100</c:v>
                </c:pt>
                <c:pt idx="10">
                  <c:v>-66216000</c:v>
                </c:pt>
                <c:pt idx="11">
                  <c:v>-72209300</c:v>
                </c:pt>
                <c:pt idx="12">
                  <c:v>-78828200</c:v>
                </c:pt>
                <c:pt idx="13">
                  <c:v>-85388915</c:v>
                </c:pt>
                <c:pt idx="14">
                  <c:v>-88139895</c:v>
                </c:pt>
                <c:pt idx="15">
                  <c:v>-89651110</c:v>
                </c:pt>
                <c:pt idx="16">
                  <c:v>-90162325</c:v>
                </c:pt>
                <c:pt idx="17">
                  <c:v>-90673540</c:v>
                </c:pt>
                <c:pt idx="18">
                  <c:v>-91184755</c:v>
                </c:pt>
                <c:pt idx="19">
                  <c:v>-91695970</c:v>
                </c:pt>
                <c:pt idx="20">
                  <c:v>-92207185</c:v>
                </c:pt>
                <c:pt idx="21">
                  <c:v>-92718400</c:v>
                </c:pt>
                <c:pt idx="22">
                  <c:v>-93229615</c:v>
                </c:pt>
                <c:pt idx="23">
                  <c:v>-93740830</c:v>
                </c:pt>
                <c:pt idx="24">
                  <c:v>-97976965</c:v>
                </c:pt>
                <c:pt idx="25">
                  <c:v>-98460001.099999994</c:v>
                </c:pt>
                <c:pt idx="26">
                  <c:v>-90485583.149999991</c:v>
                </c:pt>
                <c:pt idx="27">
                  <c:v>-79694303.649999991</c:v>
                </c:pt>
                <c:pt idx="28">
                  <c:v>-68903024.149999991</c:v>
                </c:pt>
                <c:pt idx="29">
                  <c:v>-58111744.649999984</c:v>
                </c:pt>
                <c:pt idx="30">
                  <c:v>-47320465.149999976</c:v>
                </c:pt>
                <c:pt idx="31">
                  <c:v>-36529185.649999969</c:v>
                </c:pt>
                <c:pt idx="32">
                  <c:v>-25737906.149999961</c:v>
                </c:pt>
                <c:pt idx="33">
                  <c:v>-14946626.649999956</c:v>
                </c:pt>
                <c:pt idx="34">
                  <c:v>-4155347.1499999501</c:v>
                </c:pt>
                <c:pt idx="35">
                  <c:v>6635932.3500000555</c:v>
                </c:pt>
                <c:pt idx="36">
                  <c:v>8969757.8000000529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-21545166.666666664</c:v>
                </c:pt>
                <c:pt idx="6">
                  <c:v>-29175049.999999996</c:v>
                </c:pt>
                <c:pt idx="7">
                  <c:v>-36908333.333333328</c:v>
                </c:pt>
                <c:pt idx="8">
                  <c:v>-44248016.666666657</c:v>
                </c:pt>
                <c:pt idx="9">
                  <c:v>-51191099.999999985</c:v>
                </c:pt>
                <c:pt idx="10">
                  <c:v>-57740583.333333313</c:v>
                </c:pt>
                <c:pt idx="11">
                  <c:v>-63893466.666666642</c:v>
                </c:pt>
                <c:pt idx="12">
                  <c:v>-70671949.99999997</c:v>
                </c:pt>
                <c:pt idx="13">
                  <c:v>-77313581.666666642</c:v>
                </c:pt>
                <c:pt idx="14">
                  <c:v>-80225478.333333313</c:v>
                </c:pt>
                <c:pt idx="15">
                  <c:v>-81897609.999999985</c:v>
                </c:pt>
                <c:pt idx="16">
                  <c:v>-82569741.666666657</c:v>
                </c:pt>
                <c:pt idx="17">
                  <c:v>-83241873.333333328</c:v>
                </c:pt>
                <c:pt idx="18">
                  <c:v>-83914005</c:v>
                </c:pt>
                <c:pt idx="19">
                  <c:v>-84586136.666666672</c:v>
                </c:pt>
                <c:pt idx="20">
                  <c:v>-85258268.333333343</c:v>
                </c:pt>
                <c:pt idx="21">
                  <c:v>-85930400.000000015</c:v>
                </c:pt>
                <c:pt idx="22">
                  <c:v>-86602531.666666687</c:v>
                </c:pt>
                <c:pt idx="23">
                  <c:v>-87274663.333333358</c:v>
                </c:pt>
                <c:pt idx="24">
                  <c:v>-91671715.00000003</c:v>
                </c:pt>
                <c:pt idx="25">
                  <c:v>-92315667.766666695</c:v>
                </c:pt>
                <c:pt idx="26">
                  <c:v>-84502166.483333349</c:v>
                </c:pt>
                <c:pt idx="27">
                  <c:v>-73871803.650000006</c:v>
                </c:pt>
                <c:pt idx="28">
                  <c:v>-63241440.816666663</c:v>
                </c:pt>
                <c:pt idx="29">
                  <c:v>-52611077.983333319</c:v>
                </c:pt>
                <c:pt idx="30">
                  <c:v>-41980715.149999976</c:v>
                </c:pt>
                <c:pt idx="31">
                  <c:v>-31350352.316666637</c:v>
                </c:pt>
                <c:pt idx="32">
                  <c:v>-20719989.483333297</c:v>
                </c:pt>
                <c:pt idx="33">
                  <c:v>-10089626.649999958</c:v>
                </c:pt>
                <c:pt idx="34">
                  <c:v>540736.18333338201</c:v>
                </c:pt>
                <c:pt idx="35">
                  <c:v>11171099.016666722</c:v>
                </c:pt>
                <c:pt idx="36">
                  <c:v>13344007.800000053</c:v>
                </c:pt>
                <c:pt idx="37">
                  <c:v>23995625.412833389</c:v>
                </c:pt>
                <c:pt idx="38">
                  <c:v>50307416.983666733</c:v>
                </c:pt>
                <c:pt idx="39">
                  <c:v>81838441.497500077</c:v>
                </c:pt>
                <c:pt idx="40">
                  <c:v>113369466.01133342</c:v>
                </c:pt>
                <c:pt idx="41">
                  <c:v>144900490.52516678</c:v>
                </c:pt>
                <c:pt idx="42">
                  <c:v>176431515.03900012</c:v>
                </c:pt>
                <c:pt idx="43">
                  <c:v>207962539.55283347</c:v>
                </c:pt>
                <c:pt idx="44">
                  <c:v>239493564.06666681</c:v>
                </c:pt>
                <c:pt idx="45">
                  <c:v>271024588.58050019</c:v>
                </c:pt>
                <c:pt idx="46">
                  <c:v>302555613.09433353</c:v>
                </c:pt>
                <c:pt idx="47">
                  <c:v>334086637.60816687</c:v>
                </c:pt>
                <c:pt idx="48">
                  <c:v>349957488.16400021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-30738500</c:v>
                </c:pt>
                <c:pt idx="6">
                  <c:v>-38288800</c:v>
                </c:pt>
                <c:pt idx="7">
                  <c:v>-45862500</c:v>
                </c:pt>
                <c:pt idx="8">
                  <c:v>-53042600</c:v>
                </c:pt>
                <c:pt idx="9">
                  <c:v>-59826100</c:v>
                </c:pt>
                <c:pt idx="10">
                  <c:v>-66216000</c:v>
                </c:pt>
                <c:pt idx="11">
                  <c:v>-72209300</c:v>
                </c:pt>
                <c:pt idx="12">
                  <c:v>-78828200</c:v>
                </c:pt>
                <c:pt idx="13">
                  <c:v>-85388915</c:v>
                </c:pt>
                <c:pt idx="14">
                  <c:v>-88139895</c:v>
                </c:pt>
                <c:pt idx="15">
                  <c:v>-89651110</c:v>
                </c:pt>
                <c:pt idx="16">
                  <c:v>-90162325</c:v>
                </c:pt>
                <c:pt idx="17">
                  <c:v>-90673540</c:v>
                </c:pt>
                <c:pt idx="18">
                  <c:v>-91184755</c:v>
                </c:pt>
                <c:pt idx="19">
                  <c:v>-91695970</c:v>
                </c:pt>
                <c:pt idx="20">
                  <c:v>-92207185</c:v>
                </c:pt>
                <c:pt idx="21">
                  <c:v>-92718400</c:v>
                </c:pt>
                <c:pt idx="22">
                  <c:v>-93229615</c:v>
                </c:pt>
                <c:pt idx="23">
                  <c:v>-93740830</c:v>
                </c:pt>
                <c:pt idx="24">
                  <c:v>-97976965</c:v>
                </c:pt>
                <c:pt idx="25">
                  <c:v>-98460001.099999994</c:v>
                </c:pt>
                <c:pt idx="26">
                  <c:v>-90485583.149999991</c:v>
                </c:pt>
                <c:pt idx="27">
                  <c:v>-79694303.649999991</c:v>
                </c:pt>
                <c:pt idx="28">
                  <c:v>-68903024.149999991</c:v>
                </c:pt>
                <c:pt idx="29">
                  <c:v>-58111744.649999984</c:v>
                </c:pt>
                <c:pt idx="30">
                  <c:v>-47320465.149999976</c:v>
                </c:pt>
                <c:pt idx="31">
                  <c:v>-36529185.649999969</c:v>
                </c:pt>
                <c:pt idx="32">
                  <c:v>-25737906.149999961</c:v>
                </c:pt>
                <c:pt idx="33">
                  <c:v>-14946626.649999956</c:v>
                </c:pt>
                <c:pt idx="34">
                  <c:v>-4155347.1499999501</c:v>
                </c:pt>
                <c:pt idx="35">
                  <c:v>6635932.3500000555</c:v>
                </c:pt>
                <c:pt idx="36">
                  <c:v>8969757.8000000529</c:v>
                </c:pt>
                <c:pt idx="37">
                  <c:v>19782292.079500057</c:v>
                </c:pt>
                <c:pt idx="38">
                  <c:v>46255000.317000069</c:v>
                </c:pt>
                <c:pt idx="39">
                  <c:v>77946941.497500092</c:v>
                </c:pt>
                <c:pt idx="40">
                  <c:v>109638882.67800011</c:v>
                </c:pt>
                <c:pt idx="41">
                  <c:v>141330823.85850012</c:v>
                </c:pt>
                <c:pt idx="42">
                  <c:v>173022765.03900015</c:v>
                </c:pt>
                <c:pt idx="43">
                  <c:v>204714706.21950018</c:v>
                </c:pt>
                <c:pt idx="44">
                  <c:v>236406647.40000021</c:v>
                </c:pt>
                <c:pt idx="45">
                  <c:v>268098588.58050025</c:v>
                </c:pt>
                <c:pt idx="46">
                  <c:v>299790529.76100028</c:v>
                </c:pt>
                <c:pt idx="47">
                  <c:v>331482470.94150031</c:v>
                </c:pt>
                <c:pt idx="48">
                  <c:v>347514238.16400033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-21545166.666666664</c:v>
                </c:pt>
                <c:pt idx="6">
                  <c:v>-29175049.999999996</c:v>
                </c:pt>
                <c:pt idx="7">
                  <c:v>-36908333.333333328</c:v>
                </c:pt>
                <c:pt idx="8">
                  <c:v>-44248016.666666657</c:v>
                </c:pt>
                <c:pt idx="9">
                  <c:v>-51191099.999999985</c:v>
                </c:pt>
                <c:pt idx="10">
                  <c:v>-57740583.333333313</c:v>
                </c:pt>
                <c:pt idx="11">
                  <c:v>-63893466.666666642</c:v>
                </c:pt>
                <c:pt idx="12">
                  <c:v>-70671949.99999997</c:v>
                </c:pt>
                <c:pt idx="13">
                  <c:v>-77313581.666666642</c:v>
                </c:pt>
                <c:pt idx="14">
                  <c:v>-80225478.333333313</c:v>
                </c:pt>
                <c:pt idx="15">
                  <c:v>-81897609.999999985</c:v>
                </c:pt>
                <c:pt idx="16">
                  <c:v>-82569741.666666657</c:v>
                </c:pt>
                <c:pt idx="17">
                  <c:v>-83241873.333333328</c:v>
                </c:pt>
                <c:pt idx="18">
                  <c:v>-83914005</c:v>
                </c:pt>
                <c:pt idx="19">
                  <c:v>-84586136.666666672</c:v>
                </c:pt>
                <c:pt idx="20">
                  <c:v>-85258268.333333343</c:v>
                </c:pt>
                <c:pt idx="21">
                  <c:v>-85930400.000000015</c:v>
                </c:pt>
                <c:pt idx="22">
                  <c:v>-86602531.666666687</c:v>
                </c:pt>
                <c:pt idx="23">
                  <c:v>-87274663.333333358</c:v>
                </c:pt>
                <c:pt idx="24">
                  <c:v>-91671715.00000003</c:v>
                </c:pt>
                <c:pt idx="25">
                  <c:v>-92315667.766666695</c:v>
                </c:pt>
                <c:pt idx="26">
                  <c:v>-84502166.483333349</c:v>
                </c:pt>
                <c:pt idx="27">
                  <c:v>-73871803.650000006</c:v>
                </c:pt>
                <c:pt idx="28">
                  <c:v>-63241440.816666663</c:v>
                </c:pt>
                <c:pt idx="29">
                  <c:v>-52611077.983333319</c:v>
                </c:pt>
                <c:pt idx="30">
                  <c:v>-41980715.149999976</c:v>
                </c:pt>
                <c:pt idx="31">
                  <c:v>-31350352.316666637</c:v>
                </c:pt>
                <c:pt idx="32">
                  <c:v>-20719989.483333297</c:v>
                </c:pt>
                <c:pt idx="33">
                  <c:v>-10089626.649999958</c:v>
                </c:pt>
                <c:pt idx="34">
                  <c:v>540736.18333338201</c:v>
                </c:pt>
                <c:pt idx="35">
                  <c:v>11171099.016666722</c:v>
                </c:pt>
                <c:pt idx="36">
                  <c:v>13344007.800000053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-30738500</c:v>
                </c:pt>
                <c:pt idx="6">
                  <c:v>-38288800</c:v>
                </c:pt>
                <c:pt idx="7">
                  <c:v>-45862500</c:v>
                </c:pt>
                <c:pt idx="8">
                  <c:v>-53042600</c:v>
                </c:pt>
                <c:pt idx="9">
                  <c:v>-59826100</c:v>
                </c:pt>
                <c:pt idx="10">
                  <c:v>-66216000</c:v>
                </c:pt>
                <c:pt idx="11">
                  <c:v>-72209300</c:v>
                </c:pt>
                <c:pt idx="12">
                  <c:v>-78828200</c:v>
                </c:pt>
                <c:pt idx="13">
                  <c:v>-85388915</c:v>
                </c:pt>
                <c:pt idx="14">
                  <c:v>-88139895</c:v>
                </c:pt>
                <c:pt idx="15">
                  <c:v>-89651110</c:v>
                </c:pt>
                <c:pt idx="16">
                  <c:v>-90162325</c:v>
                </c:pt>
                <c:pt idx="17">
                  <c:v>-90673540</c:v>
                </c:pt>
                <c:pt idx="18">
                  <c:v>-91184755</c:v>
                </c:pt>
                <c:pt idx="19">
                  <c:v>-91695970</c:v>
                </c:pt>
                <c:pt idx="20">
                  <c:v>-92207185</c:v>
                </c:pt>
                <c:pt idx="21">
                  <c:v>-92718400</c:v>
                </c:pt>
                <c:pt idx="22">
                  <c:v>-93229615</c:v>
                </c:pt>
                <c:pt idx="23">
                  <c:v>-93740830</c:v>
                </c:pt>
                <c:pt idx="24">
                  <c:v>-97976965</c:v>
                </c:pt>
                <c:pt idx="25">
                  <c:v>-98460001.099999994</c:v>
                </c:pt>
                <c:pt idx="26">
                  <c:v>-90485583.149999991</c:v>
                </c:pt>
                <c:pt idx="27">
                  <c:v>-79694303.649999991</c:v>
                </c:pt>
                <c:pt idx="28">
                  <c:v>-68903024.149999991</c:v>
                </c:pt>
                <c:pt idx="29">
                  <c:v>-58111744.649999984</c:v>
                </c:pt>
                <c:pt idx="30">
                  <c:v>-47320465.149999976</c:v>
                </c:pt>
                <c:pt idx="31">
                  <c:v>-36529185.649999969</c:v>
                </c:pt>
                <c:pt idx="32">
                  <c:v>-25737906.149999961</c:v>
                </c:pt>
                <c:pt idx="33">
                  <c:v>-14946626.649999956</c:v>
                </c:pt>
                <c:pt idx="34">
                  <c:v>-4155347.1499999501</c:v>
                </c:pt>
                <c:pt idx="35">
                  <c:v>6635932.3500000555</c:v>
                </c:pt>
                <c:pt idx="36">
                  <c:v>8969757.8000000529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45862500</c:v>
                </c:pt>
                <c:pt idx="1">
                  <c:v>45862500</c:v>
                </c:pt>
                <c:pt idx="2">
                  <c:v>45862500</c:v>
                </c:pt>
                <c:pt idx="3">
                  <c:v>45862500</c:v>
                </c:pt>
                <c:pt idx="4">
                  <c:v>23911000</c:v>
                </c:pt>
                <c:pt idx="5">
                  <c:v>15124000</c:v>
                </c:pt>
                <c:pt idx="6">
                  <c:v>7573700.0000000009</c:v>
                </c:pt>
                <c:pt idx="7">
                  <c:v>0</c:v>
                </c:pt>
                <c:pt idx="8">
                  <c:v>19166700</c:v>
                </c:pt>
                <c:pt idx="9">
                  <c:v>12383200</c:v>
                </c:pt>
                <c:pt idx="10">
                  <c:v>5993300.0000000009</c:v>
                </c:pt>
                <c:pt idx="11">
                  <c:v>0</c:v>
                </c:pt>
                <c:pt idx="12">
                  <c:v>11657383.149999991</c:v>
                </c:pt>
                <c:pt idx="13">
                  <c:v>5096668.1499999901</c:v>
                </c:pt>
                <c:pt idx="14">
                  <c:v>2345688.1499999887</c:v>
                </c:pt>
                <c:pt idx="15">
                  <c:v>834473.14999998757</c:v>
                </c:pt>
                <c:pt idx="16">
                  <c:v>323258.14999998634</c:v>
                </c:pt>
                <c:pt idx="17">
                  <c:v>-187956.85000001488</c:v>
                </c:pt>
                <c:pt idx="18">
                  <c:v>-699171.85000001616</c:v>
                </c:pt>
                <c:pt idx="19">
                  <c:v>-1210386.8500000173</c:v>
                </c:pt>
                <c:pt idx="20">
                  <c:v>-1721601.8500000185</c:v>
                </c:pt>
                <c:pt idx="21">
                  <c:v>-2232816.8500000197</c:v>
                </c:pt>
                <c:pt idx="22">
                  <c:v>-2744031.850000021</c:v>
                </c:pt>
                <c:pt idx="23">
                  <c:v>-3255246.8500000224</c:v>
                </c:pt>
                <c:pt idx="24">
                  <c:v>-7491381.8500000238</c:v>
                </c:pt>
                <c:pt idx="25">
                  <c:v>-7974417.9500000244</c:v>
                </c:pt>
                <c:pt idx="26">
                  <c:v>-1.862645149230957E-8</c:v>
                </c:pt>
                <c:pt idx="27">
                  <c:v>10791279.499999987</c:v>
                </c:pt>
                <c:pt idx="28">
                  <c:v>21582558.999999993</c:v>
                </c:pt>
                <c:pt idx="29">
                  <c:v>32373838.5</c:v>
                </c:pt>
                <c:pt idx="30">
                  <c:v>43165118.000000007</c:v>
                </c:pt>
                <c:pt idx="31">
                  <c:v>53956397.500000015</c:v>
                </c:pt>
                <c:pt idx="32">
                  <c:v>64747677.000000022</c:v>
                </c:pt>
                <c:pt idx="33">
                  <c:v>75538956.50000003</c:v>
                </c:pt>
                <c:pt idx="34">
                  <c:v>86330236.00000003</c:v>
                </c:pt>
                <c:pt idx="35">
                  <c:v>97121515.50000003</c:v>
                </c:pt>
                <c:pt idx="36">
                  <c:v>99455340.950000033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-21545166.666666664</c:v>
                </c:pt>
                <c:pt idx="6">
                  <c:v>-29175049.999999996</c:v>
                </c:pt>
                <c:pt idx="7">
                  <c:v>-36908333.333333328</c:v>
                </c:pt>
                <c:pt idx="8">
                  <c:v>-44248016.666666657</c:v>
                </c:pt>
                <c:pt idx="9">
                  <c:v>-51191099.999999985</c:v>
                </c:pt>
                <c:pt idx="10">
                  <c:v>-57740583.333333313</c:v>
                </c:pt>
                <c:pt idx="11">
                  <c:v>-63893466.666666642</c:v>
                </c:pt>
                <c:pt idx="12">
                  <c:v>-70671949.99999997</c:v>
                </c:pt>
                <c:pt idx="13">
                  <c:v>-77313581.666666642</c:v>
                </c:pt>
                <c:pt idx="14">
                  <c:v>-80225478.333333313</c:v>
                </c:pt>
                <c:pt idx="15">
                  <c:v>-81897609.999999985</c:v>
                </c:pt>
                <c:pt idx="16">
                  <c:v>-82569741.666666657</c:v>
                </c:pt>
                <c:pt idx="17">
                  <c:v>-83241873.333333328</c:v>
                </c:pt>
                <c:pt idx="18">
                  <c:v>-83914005</c:v>
                </c:pt>
                <c:pt idx="19">
                  <c:v>-84586136.666666672</c:v>
                </c:pt>
                <c:pt idx="20">
                  <c:v>-85258268.333333343</c:v>
                </c:pt>
                <c:pt idx="21">
                  <c:v>-85930400.000000015</c:v>
                </c:pt>
                <c:pt idx="22">
                  <c:v>-86602531.666666687</c:v>
                </c:pt>
                <c:pt idx="23">
                  <c:v>-87274663.333333358</c:v>
                </c:pt>
                <c:pt idx="24">
                  <c:v>-91671715.00000003</c:v>
                </c:pt>
                <c:pt idx="25">
                  <c:v>-92315667.766666695</c:v>
                </c:pt>
                <c:pt idx="26">
                  <c:v>-84502166.483333349</c:v>
                </c:pt>
                <c:pt idx="27">
                  <c:v>-73871803.650000006</c:v>
                </c:pt>
                <c:pt idx="28">
                  <c:v>-63241440.816666663</c:v>
                </c:pt>
                <c:pt idx="29">
                  <c:v>-52611077.983333319</c:v>
                </c:pt>
                <c:pt idx="30">
                  <c:v>-41980715.149999976</c:v>
                </c:pt>
                <c:pt idx="31">
                  <c:v>-31350352.316666637</c:v>
                </c:pt>
                <c:pt idx="32">
                  <c:v>-20719989.483333297</c:v>
                </c:pt>
                <c:pt idx="33">
                  <c:v>-10089626.649999958</c:v>
                </c:pt>
                <c:pt idx="34">
                  <c:v>540736.18333338201</c:v>
                </c:pt>
                <c:pt idx="35">
                  <c:v>11171099.016666722</c:v>
                </c:pt>
                <c:pt idx="36">
                  <c:v>13344007.800000053</c:v>
                </c:pt>
                <c:pt idx="37">
                  <c:v>23995625.412833389</c:v>
                </c:pt>
                <c:pt idx="38">
                  <c:v>50307416.983666733</c:v>
                </c:pt>
                <c:pt idx="39">
                  <c:v>81838441.497500077</c:v>
                </c:pt>
                <c:pt idx="40">
                  <c:v>113369466.01133342</c:v>
                </c:pt>
                <c:pt idx="41">
                  <c:v>144900490.52516678</c:v>
                </c:pt>
                <c:pt idx="42">
                  <c:v>176431515.03900012</c:v>
                </c:pt>
                <c:pt idx="43">
                  <c:v>207962539.55283347</c:v>
                </c:pt>
                <c:pt idx="44">
                  <c:v>239493564.06666681</c:v>
                </c:pt>
                <c:pt idx="45">
                  <c:v>271024588.58050019</c:v>
                </c:pt>
                <c:pt idx="46">
                  <c:v>302555613.09433353</c:v>
                </c:pt>
                <c:pt idx="47">
                  <c:v>334086637.60816687</c:v>
                </c:pt>
                <c:pt idx="48">
                  <c:v>349957488.16400021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-30738500</c:v>
                </c:pt>
                <c:pt idx="6">
                  <c:v>-38288800</c:v>
                </c:pt>
                <c:pt idx="7">
                  <c:v>-45862500</c:v>
                </c:pt>
                <c:pt idx="8">
                  <c:v>-53042600</c:v>
                </c:pt>
                <c:pt idx="9">
                  <c:v>-59826100</c:v>
                </c:pt>
                <c:pt idx="10">
                  <c:v>-66216000</c:v>
                </c:pt>
                <c:pt idx="11">
                  <c:v>-72209300</c:v>
                </c:pt>
                <c:pt idx="12">
                  <c:v>-78828200</c:v>
                </c:pt>
                <c:pt idx="13">
                  <c:v>-85388915</c:v>
                </c:pt>
                <c:pt idx="14">
                  <c:v>-88139895</c:v>
                </c:pt>
                <c:pt idx="15">
                  <c:v>-89651110</c:v>
                </c:pt>
                <c:pt idx="16">
                  <c:v>-90162325</c:v>
                </c:pt>
                <c:pt idx="17">
                  <c:v>-90673540</c:v>
                </c:pt>
                <c:pt idx="18">
                  <c:v>-91184755</c:v>
                </c:pt>
                <c:pt idx="19">
                  <c:v>-91695970</c:v>
                </c:pt>
                <c:pt idx="20">
                  <c:v>-92207185</c:v>
                </c:pt>
                <c:pt idx="21">
                  <c:v>-92718400</c:v>
                </c:pt>
                <c:pt idx="22">
                  <c:v>-93229615</c:v>
                </c:pt>
                <c:pt idx="23">
                  <c:v>-93740830</c:v>
                </c:pt>
                <c:pt idx="24">
                  <c:v>-97976965</c:v>
                </c:pt>
                <c:pt idx="25">
                  <c:v>-98460001.099999994</c:v>
                </c:pt>
                <c:pt idx="26">
                  <c:v>-90485583.149999991</c:v>
                </c:pt>
                <c:pt idx="27">
                  <c:v>-79694303.649999991</c:v>
                </c:pt>
                <c:pt idx="28">
                  <c:v>-68903024.149999991</c:v>
                </c:pt>
                <c:pt idx="29">
                  <c:v>-58111744.649999984</c:v>
                </c:pt>
                <c:pt idx="30">
                  <c:v>-47320465.149999976</c:v>
                </c:pt>
                <c:pt idx="31">
                  <c:v>-36529185.649999969</c:v>
                </c:pt>
                <c:pt idx="32">
                  <c:v>-25737906.149999961</c:v>
                </c:pt>
                <c:pt idx="33">
                  <c:v>-14946626.649999956</c:v>
                </c:pt>
                <c:pt idx="34">
                  <c:v>-4155347.1499999501</c:v>
                </c:pt>
                <c:pt idx="35">
                  <c:v>6635932.3500000555</c:v>
                </c:pt>
                <c:pt idx="36">
                  <c:v>8969757.8000000529</c:v>
                </c:pt>
                <c:pt idx="37">
                  <c:v>19782292.079500057</c:v>
                </c:pt>
                <c:pt idx="38">
                  <c:v>46255000.317000069</c:v>
                </c:pt>
                <c:pt idx="39">
                  <c:v>77946941.497500092</c:v>
                </c:pt>
                <c:pt idx="40">
                  <c:v>109638882.67800011</c:v>
                </c:pt>
                <c:pt idx="41">
                  <c:v>141330823.85850012</c:v>
                </c:pt>
                <c:pt idx="42">
                  <c:v>173022765.03900015</c:v>
                </c:pt>
                <c:pt idx="43">
                  <c:v>204714706.21950018</c:v>
                </c:pt>
                <c:pt idx="44">
                  <c:v>236406647.40000021</c:v>
                </c:pt>
                <c:pt idx="45">
                  <c:v>268098588.58050025</c:v>
                </c:pt>
                <c:pt idx="46">
                  <c:v>299790529.76100028</c:v>
                </c:pt>
                <c:pt idx="47">
                  <c:v>331482470.94150031</c:v>
                </c:pt>
                <c:pt idx="48">
                  <c:v>347514238.16400033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45862500</c:v>
                </c:pt>
                <c:pt idx="1">
                  <c:v>45862500</c:v>
                </c:pt>
                <c:pt idx="2">
                  <c:v>45862500</c:v>
                </c:pt>
                <c:pt idx="3">
                  <c:v>45862500</c:v>
                </c:pt>
                <c:pt idx="4">
                  <c:v>23911000</c:v>
                </c:pt>
                <c:pt idx="5">
                  <c:v>15124000</c:v>
                </c:pt>
                <c:pt idx="6">
                  <c:v>7573700.0000000009</c:v>
                </c:pt>
                <c:pt idx="7">
                  <c:v>0</c:v>
                </c:pt>
                <c:pt idx="8">
                  <c:v>19166700</c:v>
                </c:pt>
                <c:pt idx="9">
                  <c:v>12383200</c:v>
                </c:pt>
                <c:pt idx="10">
                  <c:v>5993300.0000000009</c:v>
                </c:pt>
                <c:pt idx="11">
                  <c:v>0</c:v>
                </c:pt>
                <c:pt idx="12">
                  <c:v>11657383.149999991</c:v>
                </c:pt>
                <c:pt idx="13">
                  <c:v>5096668.1499999901</c:v>
                </c:pt>
                <c:pt idx="14">
                  <c:v>2345688.1499999887</c:v>
                </c:pt>
                <c:pt idx="15">
                  <c:v>834473.14999998757</c:v>
                </c:pt>
                <c:pt idx="16">
                  <c:v>323258.14999998634</c:v>
                </c:pt>
                <c:pt idx="17">
                  <c:v>-187956.85000001488</c:v>
                </c:pt>
                <c:pt idx="18">
                  <c:v>-699171.85000001616</c:v>
                </c:pt>
                <c:pt idx="19">
                  <c:v>-1210386.8500000173</c:v>
                </c:pt>
                <c:pt idx="20">
                  <c:v>-1721601.8500000185</c:v>
                </c:pt>
                <c:pt idx="21">
                  <c:v>-2232816.8500000197</c:v>
                </c:pt>
                <c:pt idx="22">
                  <c:v>-2744031.850000021</c:v>
                </c:pt>
                <c:pt idx="23">
                  <c:v>-3255246.8500000224</c:v>
                </c:pt>
                <c:pt idx="24">
                  <c:v>-7491381.8500000238</c:v>
                </c:pt>
                <c:pt idx="25">
                  <c:v>-7974417.9500000244</c:v>
                </c:pt>
                <c:pt idx="26">
                  <c:v>-1.862645149230957E-8</c:v>
                </c:pt>
                <c:pt idx="27">
                  <c:v>10791279.499999987</c:v>
                </c:pt>
                <c:pt idx="28">
                  <c:v>21582558.999999993</c:v>
                </c:pt>
                <c:pt idx="29">
                  <c:v>32373838.5</c:v>
                </c:pt>
                <c:pt idx="30">
                  <c:v>43165118.000000007</c:v>
                </c:pt>
                <c:pt idx="31">
                  <c:v>53956397.500000015</c:v>
                </c:pt>
                <c:pt idx="32">
                  <c:v>64747677.000000022</c:v>
                </c:pt>
                <c:pt idx="33">
                  <c:v>75538956.50000003</c:v>
                </c:pt>
                <c:pt idx="34">
                  <c:v>86330236.00000003</c:v>
                </c:pt>
                <c:pt idx="35">
                  <c:v>97121515.50000003</c:v>
                </c:pt>
                <c:pt idx="36">
                  <c:v>99455340.950000033</c:v>
                </c:pt>
                <c:pt idx="37">
                  <c:v>110267875.22950004</c:v>
                </c:pt>
                <c:pt idx="38">
                  <c:v>136740583.46700007</c:v>
                </c:pt>
                <c:pt idx="39">
                  <c:v>168432524.6475001</c:v>
                </c:pt>
                <c:pt idx="40">
                  <c:v>200124465.82800013</c:v>
                </c:pt>
                <c:pt idx="41">
                  <c:v>231816407.00850016</c:v>
                </c:pt>
                <c:pt idx="42">
                  <c:v>263508348.18900019</c:v>
                </c:pt>
                <c:pt idx="43">
                  <c:v>295200289.36950022</c:v>
                </c:pt>
                <c:pt idx="44">
                  <c:v>326892230.55000025</c:v>
                </c:pt>
                <c:pt idx="45">
                  <c:v>358584171.73050028</c:v>
                </c:pt>
                <c:pt idx="46">
                  <c:v>390276112.91100031</c:v>
                </c:pt>
                <c:pt idx="47">
                  <c:v>421968054.09150034</c:v>
                </c:pt>
                <c:pt idx="48">
                  <c:v>437999821.31400037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1092000</c:v>
                </c:pt>
                <c:pt idx="4">
                  <c:v>1498000</c:v>
                </c:pt>
                <c:pt idx="5">
                  <c:v>3918000</c:v>
                </c:pt>
                <c:pt idx="6">
                  <c:v>4897000</c:v>
                </c:pt>
                <c:pt idx="7">
                  <c:v>5873000</c:v>
                </c:pt>
                <c:pt idx="8">
                  <c:v>6852000</c:v>
                </c:pt>
                <c:pt idx="9">
                  <c:v>7828000</c:v>
                </c:pt>
                <c:pt idx="10">
                  <c:v>8807000</c:v>
                </c:pt>
                <c:pt idx="11">
                  <c:v>7828000</c:v>
                </c:pt>
                <c:pt idx="12">
                  <c:v>15196140</c:v>
                </c:pt>
                <c:pt idx="13">
                  <c:v>24323240</c:v>
                </c:pt>
                <c:pt idx="14">
                  <c:v>27354550</c:v>
                </c:pt>
                <c:pt idx="15">
                  <c:v>27354550</c:v>
                </c:pt>
                <c:pt idx="16">
                  <c:v>27354550</c:v>
                </c:pt>
                <c:pt idx="17">
                  <c:v>27354550</c:v>
                </c:pt>
                <c:pt idx="18">
                  <c:v>27354550</c:v>
                </c:pt>
                <c:pt idx="19">
                  <c:v>27354550</c:v>
                </c:pt>
                <c:pt idx="20">
                  <c:v>27354550</c:v>
                </c:pt>
                <c:pt idx="21">
                  <c:v>27354550</c:v>
                </c:pt>
                <c:pt idx="22">
                  <c:v>27354550</c:v>
                </c:pt>
                <c:pt idx="23">
                  <c:v>18242430</c:v>
                </c:pt>
                <c:pt idx="24">
                  <c:v>31448113.200000003</c:v>
                </c:pt>
                <c:pt idx="25">
                  <c:v>50312630.5</c:v>
                </c:pt>
                <c:pt idx="26">
                  <c:v>56594696.800000004</c:v>
                </c:pt>
                <c:pt idx="27">
                  <c:v>56594696.800000004</c:v>
                </c:pt>
                <c:pt idx="28">
                  <c:v>56594696.800000004</c:v>
                </c:pt>
                <c:pt idx="29">
                  <c:v>56594696.800000004</c:v>
                </c:pt>
                <c:pt idx="30">
                  <c:v>56594696.800000004</c:v>
                </c:pt>
                <c:pt idx="31">
                  <c:v>56594696.800000004</c:v>
                </c:pt>
                <c:pt idx="32">
                  <c:v>56594696.800000004</c:v>
                </c:pt>
                <c:pt idx="33">
                  <c:v>56594696.800000004</c:v>
                </c:pt>
                <c:pt idx="34">
                  <c:v>56594696.800000004</c:v>
                </c:pt>
                <c:pt idx="35">
                  <c:v>37730179.5</c:v>
                </c:pt>
                <c:pt idx="36">
                  <c:v>60348068.266000003</c:v>
                </c:pt>
                <c:pt idx="37">
                  <c:v>96566464.561000019</c:v>
                </c:pt>
                <c:pt idx="38">
                  <c:v>108638038.28300001</c:v>
                </c:pt>
                <c:pt idx="39">
                  <c:v>108638038.28300001</c:v>
                </c:pt>
                <c:pt idx="40">
                  <c:v>108638038.28300001</c:v>
                </c:pt>
                <c:pt idx="41">
                  <c:v>108638038.28300001</c:v>
                </c:pt>
                <c:pt idx="42">
                  <c:v>108638038.28300001</c:v>
                </c:pt>
                <c:pt idx="43">
                  <c:v>108638038.28300001</c:v>
                </c:pt>
                <c:pt idx="44">
                  <c:v>108638038.28300001</c:v>
                </c:pt>
                <c:pt idx="45">
                  <c:v>108638038.28300001</c:v>
                </c:pt>
                <c:pt idx="46">
                  <c:v>108638038.28300001</c:v>
                </c:pt>
                <c:pt idx="47">
                  <c:v>72419641.98800002</c:v>
                </c:pt>
                <c:pt idx="48">
                  <c:v>62991184.291510016</c:v>
                </c:pt>
                <c:pt idx="49">
                  <c:v>100812429.48098002</c:v>
                </c:pt>
                <c:pt idx="50">
                  <c:v>113390048.31604002</c:v>
                </c:pt>
                <c:pt idx="51">
                  <c:v>113390048.31604002</c:v>
                </c:pt>
                <c:pt idx="52">
                  <c:v>113390048.31604002</c:v>
                </c:pt>
                <c:pt idx="53">
                  <c:v>113390048.31604002</c:v>
                </c:pt>
                <c:pt idx="54">
                  <c:v>113390048.31604002</c:v>
                </c:pt>
                <c:pt idx="55">
                  <c:v>113390048.31604002</c:v>
                </c:pt>
                <c:pt idx="56">
                  <c:v>113390048.31604002</c:v>
                </c:pt>
                <c:pt idx="57">
                  <c:v>113390048.31604002</c:v>
                </c:pt>
                <c:pt idx="58">
                  <c:v>113390048.31604002</c:v>
                </c:pt>
                <c:pt idx="59">
                  <c:v>75620206.846770018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Víveres y Manufactura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78</c:v>
                </c:pt>
                <c:pt idx="5">
                  <c:v>107</c:v>
                </c:pt>
                <c:pt idx="6">
                  <c:v>159</c:v>
                </c:pt>
                <c:pt idx="7">
                  <c:v>199</c:v>
                </c:pt>
                <c:pt idx="8">
                  <c:v>239</c:v>
                </c:pt>
                <c:pt idx="9">
                  <c:v>279</c:v>
                </c:pt>
                <c:pt idx="10">
                  <c:v>319</c:v>
                </c:pt>
                <c:pt idx="11">
                  <c:v>359</c:v>
                </c:pt>
                <c:pt idx="12">
                  <c:v>319</c:v>
                </c:pt>
                <c:pt idx="13">
                  <c:v>567</c:v>
                </c:pt>
                <c:pt idx="14">
                  <c:v>908</c:v>
                </c:pt>
                <c:pt idx="15">
                  <c:v>1021</c:v>
                </c:pt>
                <c:pt idx="16">
                  <c:v>1021</c:v>
                </c:pt>
                <c:pt idx="17">
                  <c:v>1021</c:v>
                </c:pt>
                <c:pt idx="18">
                  <c:v>1021</c:v>
                </c:pt>
                <c:pt idx="19">
                  <c:v>1021</c:v>
                </c:pt>
                <c:pt idx="20">
                  <c:v>1021</c:v>
                </c:pt>
                <c:pt idx="21">
                  <c:v>1021</c:v>
                </c:pt>
                <c:pt idx="22">
                  <c:v>1021</c:v>
                </c:pt>
                <c:pt idx="23">
                  <c:v>1021</c:v>
                </c:pt>
                <c:pt idx="24">
                  <c:v>681</c:v>
                </c:pt>
                <c:pt idx="25">
                  <c:v>726</c:v>
                </c:pt>
                <c:pt idx="26">
                  <c:v>1161</c:v>
                </c:pt>
                <c:pt idx="27">
                  <c:v>1306</c:v>
                </c:pt>
                <c:pt idx="28">
                  <c:v>1306</c:v>
                </c:pt>
                <c:pt idx="29">
                  <c:v>1306</c:v>
                </c:pt>
                <c:pt idx="30">
                  <c:v>1306</c:v>
                </c:pt>
                <c:pt idx="31">
                  <c:v>1306</c:v>
                </c:pt>
                <c:pt idx="32">
                  <c:v>1306</c:v>
                </c:pt>
                <c:pt idx="33">
                  <c:v>1306</c:v>
                </c:pt>
                <c:pt idx="34">
                  <c:v>1306</c:v>
                </c:pt>
                <c:pt idx="35">
                  <c:v>1306</c:v>
                </c:pt>
                <c:pt idx="36">
                  <c:v>871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351000</c:v>
                </c:pt>
                <c:pt idx="4">
                  <c:v>481500</c:v>
                </c:pt>
                <c:pt idx="5">
                  <c:v>1586700</c:v>
                </c:pt>
                <c:pt idx="6">
                  <c:v>1983300</c:v>
                </c:pt>
                <c:pt idx="7">
                  <c:v>2376900</c:v>
                </c:pt>
                <c:pt idx="8">
                  <c:v>2773500</c:v>
                </c:pt>
                <c:pt idx="9">
                  <c:v>3167100</c:v>
                </c:pt>
                <c:pt idx="10">
                  <c:v>3563700</c:v>
                </c:pt>
                <c:pt idx="11">
                  <c:v>3167100</c:v>
                </c:pt>
                <c:pt idx="12">
                  <c:v>6213285</c:v>
                </c:pt>
                <c:pt idx="13">
                  <c:v>9943020</c:v>
                </c:pt>
                <c:pt idx="14">
                  <c:v>11182785</c:v>
                </c:pt>
                <c:pt idx="15">
                  <c:v>11182785</c:v>
                </c:pt>
                <c:pt idx="16">
                  <c:v>11182785</c:v>
                </c:pt>
                <c:pt idx="17">
                  <c:v>11182785</c:v>
                </c:pt>
                <c:pt idx="18">
                  <c:v>11182785</c:v>
                </c:pt>
                <c:pt idx="19">
                  <c:v>11182785</c:v>
                </c:pt>
                <c:pt idx="20">
                  <c:v>11182785</c:v>
                </c:pt>
                <c:pt idx="21">
                  <c:v>11182785</c:v>
                </c:pt>
                <c:pt idx="22">
                  <c:v>11182785</c:v>
                </c:pt>
                <c:pt idx="23">
                  <c:v>7457865</c:v>
                </c:pt>
                <c:pt idx="24">
                  <c:v>14097363.9</c:v>
                </c:pt>
                <c:pt idx="25">
                  <c:v>22554817.950000007</c:v>
                </c:pt>
                <c:pt idx="26">
                  <c:v>25371679.500000007</c:v>
                </c:pt>
                <c:pt idx="27">
                  <c:v>25371679.500000007</c:v>
                </c:pt>
                <c:pt idx="28">
                  <c:v>25371679.500000007</c:v>
                </c:pt>
                <c:pt idx="29">
                  <c:v>25371679.500000007</c:v>
                </c:pt>
                <c:pt idx="30">
                  <c:v>25371679.500000007</c:v>
                </c:pt>
                <c:pt idx="31">
                  <c:v>25371679.500000007</c:v>
                </c:pt>
                <c:pt idx="32">
                  <c:v>25371679.500000007</c:v>
                </c:pt>
                <c:pt idx="33">
                  <c:v>25371679.500000007</c:v>
                </c:pt>
                <c:pt idx="34">
                  <c:v>25371679.500000007</c:v>
                </c:pt>
                <c:pt idx="35">
                  <c:v>16914225.449999999</c:v>
                </c:pt>
                <c:pt idx="36">
                  <c:v>26096802.279500004</c:v>
                </c:pt>
                <c:pt idx="37">
                  <c:v>41756976.237500012</c:v>
                </c:pt>
                <c:pt idx="38">
                  <c:v>46976209.180500016</c:v>
                </c:pt>
                <c:pt idx="39">
                  <c:v>46976209.180500016</c:v>
                </c:pt>
                <c:pt idx="40">
                  <c:v>46976209.180500016</c:v>
                </c:pt>
                <c:pt idx="41">
                  <c:v>46976209.180500016</c:v>
                </c:pt>
                <c:pt idx="42">
                  <c:v>46976209.180500016</c:v>
                </c:pt>
                <c:pt idx="43">
                  <c:v>46976209.180500016</c:v>
                </c:pt>
                <c:pt idx="44">
                  <c:v>46976209.180500016</c:v>
                </c:pt>
                <c:pt idx="45">
                  <c:v>46976209.180500016</c:v>
                </c:pt>
                <c:pt idx="46">
                  <c:v>46976209.180500016</c:v>
                </c:pt>
                <c:pt idx="47">
                  <c:v>31316035.222500008</c:v>
                </c:pt>
                <c:pt idx="48">
                  <c:v>25373638.168635003</c:v>
                </c:pt>
                <c:pt idx="49">
                  <c:v>40608973.036285006</c:v>
                </c:pt>
                <c:pt idx="50">
                  <c:v>45671872.904770017</c:v>
                </c:pt>
                <c:pt idx="51">
                  <c:v>45671872.904770017</c:v>
                </c:pt>
                <c:pt idx="52">
                  <c:v>45671872.904770017</c:v>
                </c:pt>
                <c:pt idx="53">
                  <c:v>45671872.904770017</c:v>
                </c:pt>
                <c:pt idx="54">
                  <c:v>45671872.904770017</c:v>
                </c:pt>
                <c:pt idx="55">
                  <c:v>45671872.904770017</c:v>
                </c:pt>
                <c:pt idx="56">
                  <c:v>45671872.904770017</c:v>
                </c:pt>
                <c:pt idx="57">
                  <c:v>45671872.904770017</c:v>
                </c:pt>
                <c:pt idx="58">
                  <c:v>45671872.904770017</c:v>
                </c:pt>
                <c:pt idx="59">
                  <c:v>30460838.765225008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741000</c:v>
                </c:pt>
                <c:pt idx="4">
                  <c:v>1016500</c:v>
                </c:pt>
                <c:pt idx="5">
                  <c:v>1510500</c:v>
                </c:pt>
                <c:pt idx="6">
                  <c:v>1890500</c:v>
                </c:pt>
                <c:pt idx="7">
                  <c:v>2270500</c:v>
                </c:pt>
                <c:pt idx="8">
                  <c:v>2650500</c:v>
                </c:pt>
                <c:pt idx="9">
                  <c:v>3030500</c:v>
                </c:pt>
                <c:pt idx="10">
                  <c:v>3410500</c:v>
                </c:pt>
                <c:pt idx="11">
                  <c:v>3030500</c:v>
                </c:pt>
                <c:pt idx="12">
                  <c:v>5763555</c:v>
                </c:pt>
                <c:pt idx="13">
                  <c:v>9229820</c:v>
                </c:pt>
                <c:pt idx="14">
                  <c:v>10378465</c:v>
                </c:pt>
                <c:pt idx="15">
                  <c:v>10378465</c:v>
                </c:pt>
                <c:pt idx="16">
                  <c:v>10378465</c:v>
                </c:pt>
                <c:pt idx="17">
                  <c:v>10378465</c:v>
                </c:pt>
                <c:pt idx="18">
                  <c:v>10378465</c:v>
                </c:pt>
                <c:pt idx="19">
                  <c:v>10378465</c:v>
                </c:pt>
                <c:pt idx="20">
                  <c:v>10378465</c:v>
                </c:pt>
                <c:pt idx="21">
                  <c:v>10378465</c:v>
                </c:pt>
                <c:pt idx="22">
                  <c:v>10378465</c:v>
                </c:pt>
                <c:pt idx="23">
                  <c:v>6922365</c:v>
                </c:pt>
                <c:pt idx="24">
                  <c:v>8311974</c:v>
                </c:pt>
                <c:pt idx="25">
                  <c:v>13292289</c:v>
                </c:pt>
                <c:pt idx="26">
                  <c:v>14952394</c:v>
                </c:pt>
                <c:pt idx="27">
                  <c:v>14952394</c:v>
                </c:pt>
                <c:pt idx="28">
                  <c:v>14952394</c:v>
                </c:pt>
                <c:pt idx="29">
                  <c:v>14952394</c:v>
                </c:pt>
                <c:pt idx="30">
                  <c:v>14952394</c:v>
                </c:pt>
                <c:pt idx="31">
                  <c:v>14952394</c:v>
                </c:pt>
                <c:pt idx="32">
                  <c:v>14952394</c:v>
                </c:pt>
                <c:pt idx="33">
                  <c:v>14952394</c:v>
                </c:pt>
                <c:pt idx="34">
                  <c:v>14952394</c:v>
                </c:pt>
                <c:pt idx="35">
                  <c:v>9972079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741000</c:v>
                </c:pt>
                <c:pt idx="4">
                  <c:v>1016500</c:v>
                </c:pt>
                <c:pt idx="5">
                  <c:v>1510500</c:v>
                </c:pt>
                <c:pt idx="6">
                  <c:v>1890500</c:v>
                </c:pt>
                <c:pt idx="7">
                  <c:v>2270500</c:v>
                </c:pt>
                <c:pt idx="8">
                  <c:v>2650500</c:v>
                </c:pt>
                <c:pt idx="9">
                  <c:v>3030500</c:v>
                </c:pt>
                <c:pt idx="10">
                  <c:v>3410500</c:v>
                </c:pt>
                <c:pt idx="11">
                  <c:v>3030500</c:v>
                </c:pt>
                <c:pt idx="12">
                  <c:v>5763555</c:v>
                </c:pt>
                <c:pt idx="13">
                  <c:v>9229820</c:v>
                </c:pt>
                <c:pt idx="14">
                  <c:v>10378465</c:v>
                </c:pt>
                <c:pt idx="15">
                  <c:v>10378465</c:v>
                </c:pt>
                <c:pt idx="16">
                  <c:v>10378465</c:v>
                </c:pt>
                <c:pt idx="17">
                  <c:v>10378465</c:v>
                </c:pt>
                <c:pt idx="18">
                  <c:v>10378465</c:v>
                </c:pt>
                <c:pt idx="19">
                  <c:v>10378465</c:v>
                </c:pt>
                <c:pt idx="20">
                  <c:v>10378465</c:v>
                </c:pt>
                <c:pt idx="21">
                  <c:v>10378465</c:v>
                </c:pt>
                <c:pt idx="22">
                  <c:v>10378465</c:v>
                </c:pt>
                <c:pt idx="23">
                  <c:v>6922365</c:v>
                </c:pt>
                <c:pt idx="24">
                  <c:v>8311974</c:v>
                </c:pt>
                <c:pt idx="25">
                  <c:v>13292289</c:v>
                </c:pt>
                <c:pt idx="26">
                  <c:v>14952394</c:v>
                </c:pt>
                <c:pt idx="27">
                  <c:v>14952394</c:v>
                </c:pt>
                <c:pt idx="28">
                  <c:v>14952394</c:v>
                </c:pt>
                <c:pt idx="29">
                  <c:v>14952394</c:v>
                </c:pt>
                <c:pt idx="30">
                  <c:v>14952394</c:v>
                </c:pt>
                <c:pt idx="31">
                  <c:v>14952394</c:v>
                </c:pt>
                <c:pt idx="32">
                  <c:v>14952394</c:v>
                </c:pt>
                <c:pt idx="33">
                  <c:v>14952394</c:v>
                </c:pt>
                <c:pt idx="34">
                  <c:v>14952394</c:v>
                </c:pt>
                <c:pt idx="35">
                  <c:v>9972079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351000</c:v>
                </c:pt>
                <c:pt idx="4">
                  <c:v>481500</c:v>
                </c:pt>
                <c:pt idx="5">
                  <c:v>1717500</c:v>
                </c:pt>
                <c:pt idx="6">
                  <c:v>2146500</c:v>
                </c:pt>
                <c:pt idx="7">
                  <c:v>2572500</c:v>
                </c:pt>
                <c:pt idx="8">
                  <c:v>3001500</c:v>
                </c:pt>
                <c:pt idx="9">
                  <c:v>3427500</c:v>
                </c:pt>
                <c:pt idx="10">
                  <c:v>3856500</c:v>
                </c:pt>
                <c:pt idx="11">
                  <c:v>3427500</c:v>
                </c:pt>
                <c:pt idx="12">
                  <c:v>6639885</c:v>
                </c:pt>
                <c:pt idx="13">
                  <c:v>10727820</c:v>
                </c:pt>
                <c:pt idx="14">
                  <c:v>12064785</c:v>
                </c:pt>
                <c:pt idx="15">
                  <c:v>12064785</c:v>
                </c:pt>
                <c:pt idx="16">
                  <c:v>12064785</c:v>
                </c:pt>
                <c:pt idx="17">
                  <c:v>12064785</c:v>
                </c:pt>
                <c:pt idx="18">
                  <c:v>12064785</c:v>
                </c:pt>
                <c:pt idx="19">
                  <c:v>12064785</c:v>
                </c:pt>
                <c:pt idx="20">
                  <c:v>12064785</c:v>
                </c:pt>
                <c:pt idx="21">
                  <c:v>12064785</c:v>
                </c:pt>
                <c:pt idx="22">
                  <c:v>12064785</c:v>
                </c:pt>
                <c:pt idx="23">
                  <c:v>8045865</c:v>
                </c:pt>
                <c:pt idx="24">
                  <c:v>15239763.9</c:v>
                </c:pt>
                <c:pt idx="25">
                  <c:v>24381217.950000007</c:v>
                </c:pt>
                <c:pt idx="26">
                  <c:v>27426079.500000007</c:v>
                </c:pt>
                <c:pt idx="27">
                  <c:v>27426079.500000007</c:v>
                </c:pt>
                <c:pt idx="28">
                  <c:v>27426079.500000007</c:v>
                </c:pt>
                <c:pt idx="29">
                  <c:v>27426079.500000007</c:v>
                </c:pt>
                <c:pt idx="30">
                  <c:v>27426079.500000007</c:v>
                </c:pt>
                <c:pt idx="31">
                  <c:v>27426079.500000007</c:v>
                </c:pt>
                <c:pt idx="32">
                  <c:v>27426079.500000007</c:v>
                </c:pt>
                <c:pt idx="33">
                  <c:v>27426079.500000007</c:v>
                </c:pt>
                <c:pt idx="34">
                  <c:v>27426079.500000007</c:v>
                </c:pt>
                <c:pt idx="35">
                  <c:v>18284625.449999999</c:v>
                </c:pt>
                <c:pt idx="36">
                  <c:v>20959260.687000003</c:v>
                </c:pt>
                <c:pt idx="37">
                  <c:v>33533714.560500003</c:v>
                </c:pt>
                <c:pt idx="38">
                  <c:v>37725199.18500001</c:v>
                </c:pt>
                <c:pt idx="39">
                  <c:v>37725199.18500001</c:v>
                </c:pt>
                <c:pt idx="40">
                  <c:v>37725199.18500001</c:v>
                </c:pt>
                <c:pt idx="41">
                  <c:v>37725199.18500001</c:v>
                </c:pt>
                <c:pt idx="42">
                  <c:v>37725199.18500001</c:v>
                </c:pt>
                <c:pt idx="43">
                  <c:v>37725199.18500001</c:v>
                </c:pt>
                <c:pt idx="44">
                  <c:v>37725199.18500001</c:v>
                </c:pt>
                <c:pt idx="45">
                  <c:v>37725199.18500001</c:v>
                </c:pt>
                <c:pt idx="46">
                  <c:v>37725199.18500001</c:v>
                </c:pt>
                <c:pt idx="47">
                  <c:v>25150745.311500005</c:v>
                </c:pt>
                <c:pt idx="48">
                  <c:v>23094914.900190003</c:v>
                </c:pt>
                <c:pt idx="49">
                  <c:v>36960515.093970008</c:v>
                </c:pt>
                <c:pt idx="50">
                  <c:v>41571240.059145004</c:v>
                </c:pt>
                <c:pt idx="51">
                  <c:v>41571240.059145004</c:v>
                </c:pt>
                <c:pt idx="52">
                  <c:v>41571240.059145004</c:v>
                </c:pt>
                <c:pt idx="53">
                  <c:v>41571240.059145004</c:v>
                </c:pt>
                <c:pt idx="54">
                  <c:v>41571240.059145004</c:v>
                </c:pt>
                <c:pt idx="55">
                  <c:v>41571240.059145004</c:v>
                </c:pt>
                <c:pt idx="56">
                  <c:v>41571240.059145004</c:v>
                </c:pt>
                <c:pt idx="57">
                  <c:v>41571240.059145004</c:v>
                </c:pt>
                <c:pt idx="58">
                  <c:v>41571240.059145004</c:v>
                </c:pt>
                <c:pt idx="59">
                  <c:v>27725301.805515002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351000</c:v>
                </c:pt>
                <c:pt idx="4">
                  <c:v>481500</c:v>
                </c:pt>
                <c:pt idx="5">
                  <c:v>835500</c:v>
                </c:pt>
                <c:pt idx="6">
                  <c:v>1045500</c:v>
                </c:pt>
                <c:pt idx="7">
                  <c:v>1255500</c:v>
                </c:pt>
                <c:pt idx="8">
                  <c:v>1465500</c:v>
                </c:pt>
                <c:pt idx="9">
                  <c:v>1675500</c:v>
                </c:pt>
                <c:pt idx="10">
                  <c:v>1885500</c:v>
                </c:pt>
                <c:pt idx="11">
                  <c:v>1675500</c:v>
                </c:pt>
                <c:pt idx="12">
                  <c:v>3269385</c:v>
                </c:pt>
                <c:pt idx="13">
                  <c:v>5161680</c:v>
                </c:pt>
                <c:pt idx="14">
                  <c:v>5802075</c:v>
                </c:pt>
                <c:pt idx="15">
                  <c:v>5802075</c:v>
                </c:pt>
                <c:pt idx="16">
                  <c:v>5802075</c:v>
                </c:pt>
                <c:pt idx="17">
                  <c:v>5802075</c:v>
                </c:pt>
                <c:pt idx="18">
                  <c:v>5802075</c:v>
                </c:pt>
                <c:pt idx="19">
                  <c:v>5802075</c:v>
                </c:pt>
                <c:pt idx="20">
                  <c:v>5802075</c:v>
                </c:pt>
                <c:pt idx="21">
                  <c:v>5802075</c:v>
                </c:pt>
                <c:pt idx="22">
                  <c:v>5802075</c:v>
                </c:pt>
                <c:pt idx="23">
                  <c:v>3869655</c:v>
                </c:pt>
                <c:pt idx="24">
                  <c:v>4516630.4999999991</c:v>
                </c:pt>
                <c:pt idx="25">
                  <c:v>7218022.0500000017</c:v>
                </c:pt>
                <c:pt idx="26">
                  <c:v>8119630.7999999998</c:v>
                </c:pt>
                <c:pt idx="27">
                  <c:v>8119630.7999999998</c:v>
                </c:pt>
                <c:pt idx="28">
                  <c:v>8119630.7999999998</c:v>
                </c:pt>
                <c:pt idx="29">
                  <c:v>8119630.7999999998</c:v>
                </c:pt>
                <c:pt idx="30">
                  <c:v>8119630.7999999998</c:v>
                </c:pt>
                <c:pt idx="31">
                  <c:v>8119630.7999999998</c:v>
                </c:pt>
                <c:pt idx="32">
                  <c:v>8119630.7999999998</c:v>
                </c:pt>
                <c:pt idx="33">
                  <c:v>8119630.7999999998</c:v>
                </c:pt>
                <c:pt idx="34">
                  <c:v>8119630.7999999998</c:v>
                </c:pt>
                <c:pt idx="35">
                  <c:v>5418239.2499999991</c:v>
                </c:pt>
                <c:pt idx="36">
                  <c:v>6181566.978000002</c:v>
                </c:pt>
                <c:pt idx="37">
                  <c:v>9891609.7034999989</c:v>
                </c:pt>
                <c:pt idx="38">
                  <c:v>11128290.612</c:v>
                </c:pt>
                <c:pt idx="39">
                  <c:v>11128290.612</c:v>
                </c:pt>
                <c:pt idx="40">
                  <c:v>11128290.612</c:v>
                </c:pt>
                <c:pt idx="41">
                  <c:v>11128290.612</c:v>
                </c:pt>
                <c:pt idx="42">
                  <c:v>11128290.612</c:v>
                </c:pt>
                <c:pt idx="43">
                  <c:v>11128290.612</c:v>
                </c:pt>
                <c:pt idx="44">
                  <c:v>11128290.612</c:v>
                </c:pt>
                <c:pt idx="45">
                  <c:v>11128290.612</c:v>
                </c:pt>
                <c:pt idx="46">
                  <c:v>11128290.612</c:v>
                </c:pt>
                <c:pt idx="47">
                  <c:v>7418247.8865000019</c:v>
                </c:pt>
                <c:pt idx="48">
                  <c:v>6810896.0679599997</c:v>
                </c:pt>
                <c:pt idx="49">
                  <c:v>10900579.619160004</c:v>
                </c:pt>
                <c:pt idx="50">
                  <c:v>12267084.459585004</c:v>
                </c:pt>
                <c:pt idx="51">
                  <c:v>12267084.459585004</c:v>
                </c:pt>
                <c:pt idx="52">
                  <c:v>12267084.459585004</c:v>
                </c:pt>
                <c:pt idx="53">
                  <c:v>12267084.459585004</c:v>
                </c:pt>
                <c:pt idx="54">
                  <c:v>12267084.459585004</c:v>
                </c:pt>
                <c:pt idx="55">
                  <c:v>12267084.459585004</c:v>
                </c:pt>
                <c:pt idx="56">
                  <c:v>12267084.459585004</c:v>
                </c:pt>
                <c:pt idx="57">
                  <c:v>12267084.459585004</c:v>
                </c:pt>
                <c:pt idx="58">
                  <c:v>12267084.459585004</c:v>
                </c:pt>
                <c:pt idx="59">
                  <c:v>8177400.9083850002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882000</c:v>
                </c:pt>
                <c:pt idx="6">
                  <c:v>1101000</c:v>
                </c:pt>
                <c:pt idx="7">
                  <c:v>1317000</c:v>
                </c:pt>
                <c:pt idx="8">
                  <c:v>1536000</c:v>
                </c:pt>
                <c:pt idx="9">
                  <c:v>1752000</c:v>
                </c:pt>
                <c:pt idx="10">
                  <c:v>1971000</c:v>
                </c:pt>
                <c:pt idx="11">
                  <c:v>1752000</c:v>
                </c:pt>
                <c:pt idx="12">
                  <c:v>3370500</c:v>
                </c:pt>
                <c:pt idx="13">
                  <c:v>5566140</c:v>
                </c:pt>
                <c:pt idx="14">
                  <c:v>6262710</c:v>
                </c:pt>
                <c:pt idx="15">
                  <c:v>6262710</c:v>
                </c:pt>
                <c:pt idx="16">
                  <c:v>6262710</c:v>
                </c:pt>
                <c:pt idx="17">
                  <c:v>6262710</c:v>
                </c:pt>
                <c:pt idx="18">
                  <c:v>6262710</c:v>
                </c:pt>
                <c:pt idx="19">
                  <c:v>6262710</c:v>
                </c:pt>
                <c:pt idx="20">
                  <c:v>6262710</c:v>
                </c:pt>
                <c:pt idx="21">
                  <c:v>6262710</c:v>
                </c:pt>
                <c:pt idx="22">
                  <c:v>6262710</c:v>
                </c:pt>
                <c:pt idx="23">
                  <c:v>4176210</c:v>
                </c:pt>
                <c:pt idx="24">
                  <c:v>10723133.4</c:v>
                </c:pt>
                <c:pt idx="25">
                  <c:v>17163195.900000006</c:v>
                </c:pt>
                <c:pt idx="26">
                  <c:v>19306448.700000007</c:v>
                </c:pt>
                <c:pt idx="27">
                  <c:v>19306448.700000007</c:v>
                </c:pt>
                <c:pt idx="28">
                  <c:v>19306448.700000007</c:v>
                </c:pt>
                <c:pt idx="29">
                  <c:v>19306448.700000007</c:v>
                </c:pt>
                <c:pt idx="30">
                  <c:v>19306448.700000007</c:v>
                </c:pt>
                <c:pt idx="31">
                  <c:v>19306448.700000007</c:v>
                </c:pt>
                <c:pt idx="32">
                  <c:v>19306448.700000007</c:v>
                </c:pt>
                <c:pt idx="33">
                  <c:v>19306448.700000007</c:v>
                </c:pt>
                <c:pt idx="34">
                  <c:v>19306448.700000007</c:v>
                </c:pt>
                <c:pt idx="35">
                  <c:v>12866386.200000001</c:v>
                </c:pt>
                <c:pt idx="36">
                  <c:v>14777693.709000001</c:v>
                </c:pt>
                <c:pt idx="37">
                  <c:v>23642104.857000005</c:v>
                </c:pt>
                <c:pt idx="38">
                  <c:v>26596908.573000006</c:v>
                </c:pt>
                <c:pt idx="39">
                  <c:v>26596908.573000006</c:v>
                </c:pt>
                <c:pt idx="40">
                  <c:v>26596908.573000006</c:v>
                </c:pt>
                <c:pt idx="41">
                  <c:v>26596908.573000006</c:v>
                </c:pt>
                <c:pt idx="42">
                  <c:v>26596908.573000006</c:v>
                </c:pt>
                <c:pt idx="43">
                  <c:v>26596908.573000006</c:v>
                </c:pt>
                <c:pt idx="44">
                  <c:v>26596908.573000006</c:v>
                </c:pt>
                <c:pt idx="45">
                  <c:v>26596908.573000006</c:v>
                </c:pt>
                <c:pt idx="46">
                  <c:v>26596908.573000006</c:v>
                </c:pt>
                <c:pt idx="47">
                  <c:v>17732497.425000004</c:v>
                </c:pt>
                <c:pt idx="48">
                  <c:v>16284018.832230002</c:v>
                </c:pt>
                <c:pt idx="49">
                  <c:v>26059935.474810004</c:v>
                </c:pt>
                <c:pt idx="50">
                  <c:v>29304155.599560004</c:v>
                </c:pt>
                <c:pt idx="51">
                  <c:v>29304155.599560004</c:v>
                </c:pt>
                <c:pt idx="52">
                  <c:v>29304155.599560004</c:v>
                </c:pt>
                <c:pt idx="53">
                  <c:v>29304155.599560004</c:v>
                </c:pt>
                <c:pt idx="54">
                  <c:v>29304155.599560004</c:v>
                </c:pt>
                <c:pt idx="55">
                  <c:v>29304155.599560004</c:v>
                </c:pt>
                <c:pt idx="56">
                  <c:v>29304155.599560004</c:v>
                </c:pt>
                <c:pt idx="57">
                  <c:v>29304155.599560004</c:v>
                </c:pt>
                <c:pt idx="58">
                  <c:v>29304155.599560004</c:v>
                </c:pt>
                <c:pt idx="59">
                  <c:v>19547900.897130001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513</c:v>
                </c:pt>
                <c:pt idx="4">
                  <c:v>513</c:v>
                </c:pt>
                <c:pt idx="5">
                  <c:v>513</c:v>
                </c:pt>
                <c:pt idx="6">
                  <c:v>513</c:v>
                </c:pt>
                <c:pt idx="7">
                  <c:v>513</c:v>
                </c:pt>
                <c:pt idx="8">
                  <c:v>513</c:v>
                </c:pt>
                <c:pt idx="9">
                  <c:v>513</c:v>
                </c:pt>
                <c:pt idx="10">
                  <c:v>513</c:v>
                </c:pt>
                <c:pt idx="1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822</c:v>
                </c:pt>
                <c:pt idx="1">
                  <c:v>1316</c:v>
                </c:pt>
                <c:pt idx="2">
                  <c:v>1480</c:v>
                </c:pt>
                <c:pt idx="3">
                  <c:v>1480</c:v>
                </c:pt>
                <c:pt idx="4">
                  <c:v>1480</c:v>
                </c:pt>
                <c:pt idx="5">
                  <c:v>1480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1480</c:v>
                </c:pt>
                <c:pt idx="10">
                  <c:v>1480</c:v>
                </c:pt>
                <c:pt idx="11">
                  <c:v>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1452</c:v>
                </c:pt>
                <c:pt idx="1">
                  <c:v>2323</c:v>
                </c:pt>
                <c:pt idx="2">
                  <c:v>2613</c:v>
                </c:pt>
                <c:pt idx="3">
                  <c:v>2613</c:v>
                </c:pt>
                <c:pt idx="4">
                  <c:v>2613</c:v>
                </c:pt>
                <c:pt idx="5">
                  <c:v>2613</c:v>
                </c:pt>
                <c:pt idx="6">
                  <c:v>2613</c:v>
                </c:pt>
                <c:pt idx="7">
                  <c:v>2613</c:v>
                </c:pt>
                <c:pt idx="8">
                  <c:v>2613</c:v>
                </c:pt>
                <c:pt idx="9">
                  <c:v>2613</c:v>
                </c:pt>
                <c:pt idx="10">
                  <c:v>2613</c:v>
                </c:pt>
                <c:pt idx="11">
                  <c:v>1742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120000</c:v>
                </c:pt>
                <c:pt idx="6">
                  <c:v>150000</c:v>
                </c:pt>
                <c:pt idx="7">
                  <c:v>180000</c:v>
                </c:pt>
                <c:pt idx="8">
                  <c:v>210000</c:v>
                </c:pt>
                <c:pt idx="9">
                  <c:v>240000</c:v>
                </c:pt>
                <c:pt idx="10">
                  <c:v>270000</c:v>
                </c:pt>
                <c:pt idx="11">
                  <c:v>240000</c:v>
                </c:pt>
                <c:pt idx="12">
                  <c:v>494340</c:v>
                </c:pt>
                <c:pt idx="13">
                  <c:v>789660</c:v>
                </c:pt>
                <c:pt idx="14">
                  <c:v>885960</c:v>
                </c:pt>
                <c:pt idx="15">
                  <c:v>885960</c:v>
                </c:pt>
                <c:pt idx="16">
                  <c:v>885960</c:v>
                </c:pt>
                <c:pt idx="17">
                  <c:v>885960</c:v>
                </c:pt>
                <c:pt idx="18">
                  <c:v>885960</c:v>
                </c:pt>
                <c:pt idx="19">
                  <c:v>885960</c:v>
                </c:pt>
                <c:pt idx="20">
                  <c:v>885960</c:v>
                </c:pt>
                <c:pt idx="21">
                  <c:v>885960</c:v>
                </c:pt>
                <c:pt idx="22">
                  <c:v>885960</c:v>
                </c:pt>
                <c:pt idx="23">
                  <c:v>590640</c:v>
                </c:pt>
                <c:pt idx="24">
                  <c:v>776242.20000000007</c:v>
                </c:pt>
                <c:pt idx="25">
                  <c:v>1236492</c:v>
                </c:pt>
                <c:pt idx="26">
                  <c:v>1391053.5</c:v>
                </c:pt>
                <c:pt idx="27">
                  <c:v>1391053.5</c:v>
                </c:pt>
                <c:pt idx="28">
                  <c:v>1391053.5</c:v>
                </c:pt>
                <c:pt idx="29">
                  <c:v>1391053.5</c:v>
                </c:pt>
                <c:pt idx="30">
                  <c:v>1391053.5</c:v>
                </c:pt>
                <c:pt idx="31">
                  <c:v>1391053.5</c:v>
                </c:pt>
                <c:pt idx="32">
                  <c:v>1391053.5</c:v>
                </c:pt>
                <c:pt idx="33">
                  <c:v>1391053.5</c:v>
                </c:pt>
                <c:pt idx="34">
                  <c:v>1391053.5</c:v>
                </c:pt>
                <c:pt idx="35">
                  <c:v>930803.70000000007</c:v>
                </c:pt>
                <c:pt idx="36">
                  <c:v>2061747.3690000002</c:v>
                </c:pt>
                <c:pt idx="37">
                  <c:v>3300265.8420000002</c:v>
                </c:pt>
                <c:pt idx="38">
                  <c:v>3711880.2900000005</c:v>
                </c:pt>
                <c:pt idx="39">
                  <c:v>3711880.2900000005</c:v>
                </c:pt>
                <c:pt idx="40">
                  <c:v>3711880.2900000005</c:v>
                </c:pt>
                <c:pt idx="41">
                  <c:v>3711880.2900000005</c:v>
                </c:pt>
                <c:pt idx="42">
                  <c:v>3711880.2900000005</c:v>
                </c:pt>
                <c:pt idx="43">
                  <c:v>3711880.2900000005</c:v>
                </c:pt>
                <c:pt idx="44">
                  <c:v>3711880.2900000005</c:v>
                </c:pt>
                <c:pt idx="45">
                  <c:v>3711880.2900000005</c:v>
                </c:pt>
                <c:pt idx="46">
                  <c:v>3711880.2900000005</c:v>
                </c:pt>
                <c:pt idx="47">
                  <c:v>2473361.8170000003</c:v>
                </c:pt>
                <c:pt idx="48">
                  <c:v>2272920.2813400002</c:v>
                </c:pt>
                <c:pt idx="49">
                  <c:v>3637458.9277500003</c:v>
                </c:pt>
                <c:pt idx="50">
                  <c:v>4089683.5512000006</c:v>
                </c:pt>
                <c:pt idx="51">
                  <c:v>4089683.5512000006</c:v>
                </c:pt>
                <c:pt idx="52">
                  <c:v>4089683.5512000006</c:v>
                </c:pt>
                <c:pt idx="53">
                  <c:v>4089683.5512000006</c:v>
                </c:pt>
                <c:pt idx="54">
                  <c:v>4089683.5512000006</c:v>
                </c:pt>
                <c:pt idx="55">
                  <c:v>4089683.5512000006</c:v>
                </c:pt>
                <c:pt idx="56">
                  <c:v>4089683.5512000006</c:v>
                </c:pt>
                <c:pt idx="57">
                  <c:v>4089683.5512000006</c:v>
                </c:pt>
                <c:pt idx="58">
                  <c:v>4089683.5512000006</c:v>
                </c:pt>
                <c:pt idx="59">
                  <c:v>2729077.2928200006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1092000</c:v>
                </c:pt>
                <c:pt idx="4">
                  <c:v>1498000</c:v>
                </c:pt>
                <c:pt idx="5">
                  <c:v>2226000</c:v>
                </c:pt>
                <c:pt idx="6">
                  <c:v>2786000</c:v>
                </c:pt>
                <c:pt idx="7">
                  <c:v>3346000</c:v>
                </c:pt>
                <c:pt idx="8">
                  <c:v>3906000</c:v>
                </c:pt>
                <c:pt idx="9">
                  <c:v>4466000</c:v>
                </c:pt>
                <c:pt idx="10">
                  <c:v>5026000</c:v>
                </c:pt>
                <c:pt idx="11">
                  <c:v>4466000</c:v>
                </c:pt>
                <c:pt idx="12">
                  <c:v>8493660</c:v>
                </c:pt>
                <c:pt idx="13">
                  <c:v>13601840</c:v>
                </c:pt>
                <c:pt idx="14">
                  <c:v>15294580</c:v>
                </c:pt>
                <c:pt idx="15">
                  <c:v>15294580</c:v>
                </c:pt>
                <c:pt idx="16">
                  <c:v>15294580</c:v>
                </c:pt>
                <c:pt idx="17">
                  <c:v>15294580</c:v>
                </c:pt>
                <c:pt idx="18">
                  <c:v>15294580</c:v>
                </c:pt>
                <c:pt idx="19">
                  <c:v>15294580</c:v>
                </c:pt>
                <c:pt idx="20">
                  <c:v>15294580</c:v>
                </c:pt>
                <c:pt idx="21">
                  <c:v>15294580</c:v>
                </c:pt>
                <c:pt idx="22">
                  <c:v>15294580</c:v>
                </c:pt>
                <c:pt idx="23">
                  <c:v>10201380</c:v>
                </c:pt>
                <c:pt idx="24">
                  <c:v>11636763.6</c:v>
                </c:pt>
                <c:pt idx="25">
                  <c:v>18609204.600000001</c:v>
                </c:pt>
                <c:pt idx="26">
                  <c:v>20933351.600000001</c:v>
                </c:pt>
                <c:pt idx="27">
                  <c:v>20933351.600000001</c:v>
                </c:pt>
                <c:pt idx="28">
                  <c:v>20933351.600000001</c:v>
                </c:pt>
                <c:pt idx="29">
                  <c:v>20933351.600000001</c:v>
                </c:pt>
                <c:pt idx="30">
                  <c:v>20933351.600000001</c:v>
                </c:pt>
                <c:pt idx="31">
                  <c:v>20933351.600000001</c:v>
                </c:pt>
                <c:pt idx="32">
                  <c:v>20933351.600000001</c:v>
                </c:pt>
                <c:pt idx="33">
                  <c:v>20933351.600000001</c:v>
                </c:pt>
                <c:pt idx="34">
                  <c:v>20933351.600000001</c:v>
                </c:pt>
                <c:pt idx="35">
                  <c:v>13960910.6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200000</c:v>
                </c:pt>
                <c:pt idx="6">
                  <c:v>200000</c:v>
                </c:pt>
                <c:pt idx="7">
                  <c:v>200000</c:v>
                </c:pt>
                <c:pt idx="8">
                  <c:v>200000</c:v>
                </c:pt>
                <c:pt idx="9">
                  <c:v>200000</c:v>
                </c:pt>
                <c:pt idx="10">
                  <c:v>200000</c:v>
                </c:pt>
                <c:pt idx="11">
                  <c:v>200000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9500000</c:v>
                </c:pt>
                <c:pt idx="4">
                  <c:v>4500000</c:v>
                </c:pt>
                <c:pt idx="5">
                  <c:v>4500000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158250</c:v>
                </c:pt>
                <c:pt idx="5">
                  <c:v>159583.33333333334</c:v>
                </c:pt>
                <c:pt idx="6">
                  <c:v>159583.33333333334</c:v>
                </c:pt>
                <c:pt idx="7">
                  <c:v>159583.33333333334</c:v>
                </c:pt>
                <c:pt idx="8">
                  <c:v>159583.33333333334</c:v>
                </c:pt>
                <c:pt idx="9">
                  <c:v>159583.33333333334</c:v>
                </c:pt>
                <c:pt idx="10">
                  <c:v>159583.33333333334</c:v>
                </c:pt>
                <c:pt idx="11">
                  <c:v>159583.33333333334</c:v>
                </c:pt>
                <c:pt idx="12">
                  <c:v>160916.66666666669</c:v>
                </c:pt>
                <c:pt idx="13">
                  <c:v>160916.66666666669</c:v>
                </c:pt>
                <c:pt idx="14">
                  <c:v>160916.66666666669</c:v>
                </c:pt>
                <c:pt idx="15">
                  <c:v>160916.66666666669</c:v>
                </c:pt>
                <c:pt idx="16">
                  <c:v>160916.66666666669</c:v>
                </c:pt>
                <c:pt idx="17">
                  <c:v>160916.66666666669</c:v>
                </c:pt>
                <c:pt idx="18">
                  <c:v>160916.66666666669</c:v>
                </c:pt>
                <c:pt idx="19">
                  <c:v>160916.66666666669</c:v>
                </c:pt>
                <c:pt idx="20">
                  <c:v>160916.66666666669</c:v>
                </c:pt>
                <c:pt idx="21">
                  <c:v>160916.66666666669</c:v>
                </c:pt>
                <c:pt idx="22">
                  <c:v>160916.66666666669</c:v>
                </c:pt>
                <c:pt idx="23">
                  <c:v>160916.66666666669</c:v>
                </c:pt>
                <c:pt idx="24">
                  <c:v>160916.66666666669</c:v>
                </c:pt>
                <c:pt idx="25">
                  <c:v>160916.66666666669</c:v>
                </c:pt>
                <c:pt idx="26">
                  <c:v>160916.66666666669</c:v>
                </c:pt>
                <c:pt idx="27">
                  <c:v>160916.66666666669</c:v>
                </c:pt>
                <c:pt idx="28">
                  <c:v>160916.66666666669</c:v>
                </c:pt>
                <c:pt idx="29">
                  <c:v>160916.66666666669</c:v>
                </c:pt>
                <c:pt idx="30">
                  <c:v>160916.66666666669</c:v>
                </c:pt>
                <c:pt idx="31">
                  <c:v>160916.66666666669</c:v>
                </c:pt>
                <c:pt idx="32">
                  <c:v>160916.66666666669</c:v>
                </c:pt>
                <c:pt idx="33">
                  <c:v>160916.66666666669</c:v>
                </c:pt>
                <c:pt idx="34">
                  <c:v>160916.66666666669</c:v>
                </c:pt>
                <c:pt idx="35">
                  <c:v>160916.66666666669</c:v>
                </c:pt>
                <c:pt idx="36">
                  <c:v>160916.66666666669</c:v>
                </c:pt>
                <c:pt idx="37">
                  <c:v>160916.66666666669</c:v>
                </c:pt>
                <c:pt idx="38">
                  <c:v>160916.66666666669</c:v>
                </c:pt>
                <c:pt idx="39">
                  <c:v>160916.66666666669</c:v>
                </c:pt>
                <c:pt idx="40">
                  <c:v>160916.66666666669</c:v>
                </c:pt>
                <c:pt idx="41">
                  <c:v>160916.66666666669</c:v>
                </c:pt>
                <c:pt idx="42">
                  <c:v>160916.66666666669</c:v>
                </c:pt>
                <c:pt idx="43">
                  <c:v>160916.66666666669</c:v>
                </c:pt>
                <c:pt idx="44">
                  <c:v>160916.66666666669</c:v>
                </c:pt>
                <c:pt idx="45">
                  <c:v>160916.66666666669</c:v>
                </c:pt>
                <c:pt idx="46">
                  <c:v>160916.66666666669</c:v>
                </c:pt>
                <c:pt idx="47">
                  <c:v>160916.66666666669</c:v>
                </c:pt>
                <c:pt idx="48">
                  <c:v>160916.66666666669</c:v>
                </c:pt>
                <c:pt idx="49">
                  <c:v>160916.66666666669</c:v>
                </c:pt>
                <c:pt idx="50">
                  <c:v>160916.66666666669</c:v>
                </c:pt>
                <c:pt idx="51">
                  <c:v>160916.66666666669</c:v>
                </c:pt>
                <c:pt idx="52">
                  <c:v>160916.66666666669</c:v>
                </c:pt>
                <c:pt idx="53">
                  <c:v>160916.66666666669</c:v>
                </c:pt>
                <c:pt idx="54">
                  <c:v>160916.66666666669</c:v>
                </c:pt>
                <c:pt idx="55">
                  <c:v>160916.66666666669</c:v>
                </c:pt>
                <c:pt idx="56">
                  <c:v>160916.66666666669</c:v>
                </c:pt>
                <c:pt idx="57">
                  <c:v>160916.66666666669</c:v>
                </c:pt>
                <c:pt idx="58">
                  <c:v>160916.66666666669</c:v>
                </c:pt>
                <c:pt idx="59">
                  <c:v>160916.66666666669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</c:v>
                </c:pt>
                <c:pt idx="4">
                  <c:v>1.5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tabSelected="1" workbookViewId="0"/>
    <sheetView workbookViewId="1"/>
    <sheetView workbookViewId="2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>
      <selection activeCell="A8" sqref="A8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1150</v>
      </c>
      <c r="C1" s="325"/>
    </row>
    <row r="2" spans="1:5" ht="19" x14ac:dyDescent="0.25">
      <c r="A2" s="326" t="s">
        <v>1149</v>
      </c>
      <c r="C2" s="326" t="s">
        <v>1148</v>
      </c>
      <c r="D2" s="326" t="s">
        <v>1209</v>
      </c>
    </row>
    <row r="3" spans="1:5" ht="3" customHeight="1" x14ac:dyDescent="0.2"/>
    <row r="4" spans="1:5" ht="15" x14ac:dyDescent="0.2">
      <c r="A4" s="327" t="s">
        <v>1130</v>
      </c>
      <c r="C4" s="327" t="s">
        <v>1086</v>
      </c>
      <c r="D4" s="327" t="s">
        <v>1114</v>
      </c>
    </row>
    <row r="5" spans="1:5" ht="15" x14ac:dyDescent="0.2">
      <c r="A5" s="328" t="s">
        <v>1135</v>
      </c>
      <c r="C5" s="327" t="s">
        <v>1087</v>
      </c>
      <c r="D5" s="327" t="s">
        <v>1120</v>
      </c>
    </row>
    <row r="6" spans="1:5" ht="15" x14ac:dyDescent="0.2">
      <c r="A6" s="327" t="s">
        <v>1133</v>
      </c>
      <c r="C6" s="327" t="s">
        <v>1088</v>
      </c>
      <c r="D6" s="327" t="s">
        <v>1125</v>
      </c>
    </row>
    <row r="7" spans="1:5" ht="15" x14ac:dyDescent="0.2">
      <c r="A7" s="327" t="s">
        <v>1131</v>
      </c>
      <c r="C7" s="327" t="s">
        <v>1089</v>
      </c>
      <c r="D7" s="327" t="s">
        <v>1121</v>
      </c>
    </row>
    <row r="8" spans="1:5" ht="15" x14ac:dyDescent="0.2">
      <c r="A8" s="327" t="s">
        <v>1132</v>
      </c>
      <c r="C8" s="327" t="s">
        <v>1090</v>
      </c>
      <c r="D8" s="327" t="s">
        <v>1115</v>
      </c>
    </row>
    <row r="9" spans="1:5" ht="15" x14ac:dyDescent="0.2">
      <c r="A9" s="327" t="s">
        <v>1088</v>
      </c>
      <c r="C9" s="327" t="s">
        <v>1091</v>
      </c>
      <c r="D9" s="327" t="s">
        <v>1128</v>
      </c>
    </row>
    <row r="10" spans="1:5" ht="15" x14ac:dyDescent="0.2">
      <c r="A10" s="327" t="s">
        <v>1086</v>
      </c>
      <c r="C10" s="327" t="s">
        <v>1092</v>
      </c>
      <c r="D10" s="327" t="s">
        <v>1119</v>
      </c>
    </row>
    <row r="11" spans="1:5" ht="15" x14ac:dyDescent="0.2">
      <c r="A11" s="328" t="s">
        <v>1137</v>
      </c>
      <c r="C11" s="327" t="s">
        <v>1093</v>
      </c>
      <c r="D11" s="327" t="s">
        <v>1092</v>
      </c>
    </row>
    <row r="12" spans="1:5" ht="15" x14ac:dyDescent="0.2">
      <c r="A12" s="328" t="s">
        <v>1144</v>
      </c>
      <c r="C12" s="327" t="s">
        <v>1094</v>
      </c>
      <c r="D12" s="327" t="s">
        <v>1113</v>
      </c>
      <c r="E12" s="324" t="s">
        <v>751</v>
      </c>
    </row>
    <row r="13" spans="1:5" ht="15" x14ac:dyDescent="0.2">
      <c r="A13" s="328" t="s">
        <v>1122</v>
      </c>
      <c r="C13" s="327" t="s">
        <v>1095</v>
      </c>
      <c r="D13" s="327" t="s">
        <v>1106</v>
      </c>
      <c r="E13" s="324" t="s">
        <v>751</v>
      </c>
    </row>
    <row r="14" spans="1:5" ht="15" x14ac:dyDescent="0.2">
      <c r="A14" s="328" t="s">
        <v>1118</v>
      </c>
      <c r="C14" s="328" t="s">
        <v>1096</v>
      </c>
      <c r="D14" s="327" t="s">
        <v>1141</v>
      </c>
    </row>
    <row r="15" spans="1:5" ht="15" x14ac:dyDescent="0.2">
      <c r="A15" s="327" t="s">
        <v>1121</v>
      </c>
      <c r="C15" s="328" t="s">
        <v>1097</v>
      </c>
      <c r="D15" s="327" t="s">
        <v>1095</v>
      </c>
    </row>
    <row r="16" spans="1:5" ht="15" x14ac:dyDescent="0.2">
      <c r="A16" s="327" t="s">
        <v>1119</v>
      </c>
      <c r="C16" s="328" t="s">
        <v>1098</v>
      </c>
      <c r="D16" s="327" t="s">
        <v>1130</v>
      </c>
    </row>
    <row r="17" spans="1:4" ht="15" x14ac:dyDescent="0.2">
      <c r="A17" s="327" t="s">
        <v>1120</v>
      </c>
      <c r="C17" s="327" t="s">
        <v>1099</v>
      </c>
      <c r="D17" s="327" t="s">
        <v>1140</v>
      </c>
    </row>
    <row r="18" spans="1:4" ht="15" x14ac:dyDescent="0.2">
      <c r="A18" s="327" t="s">
        <v>1110</v>
      </c>
      <c r="C18" s="328" t="s">
        <v>1100</v>
      </c>
    </row>
    <row r="19" spans="1:4" ht="15" x14ac:dyDescent="0.2">
      <c r="A19" s="328" t="s">
        <v>1107</v>
      </c>
      <c r="C19" s="328" t="s">
        <v>1101</v>
      </c>
    </row>
    <row r="20" spans="1:4" ht="15" x14ac:dyDescent="0.2">
      <c r="A20" s="328" t="s">
        <v>1109</v>
      </c>
      <c r="C20" s="327" t="s">
        <v>1102</v>
      </c>
    </row>
    <row r="21" spans="1:4" ht="15" x14ac:dyDescent="0.2">
      <c r="A21" s="328" t="s">
        <v>1108</v>
      </c>
      <c r="C21" s="327" t="s">
        <v>1103</v>
      </c>
    </row>
    <row r="22" spans="1:4" ht="15" x14ac:dyDescent="0.2">
      <c r="A22" s="327" t="s">
        <v>1113</v>
      </c>
      <c r="C22" s="328" t="s">
        <v>1104</v>
      </c>
    </row>
    <row r="23" spans="1:4" ht="15" x14ac:dyDescent="0.2">
      <c r="A23" s="327" t="s">
        <v>1112</v>
      </c>
      <c r="C23" s="328" t="s">
        <v>1105</v>
      </c>
    </row>
    <row r="24" spans="1:4" ht="15" x14ac:dyDescent="0.2">
      <c r="A24" s="327" t="s">
        <v>1111</v>
      </c>
      <c r="C24" s="327" t="s">
        <v>1106</v>
      </c>
    </row>
    <row r="25" spans="1:4" ht="15" x14ac:dyDescent="0.2">
      <c r="A25" s="327" t="s">
        <v>1116</v>
      </c>
      <c r="C25" s="328" t="s">
        <v>1107</v>
      </c>
    </row>
    <row r="26" spans="1:4" ht="15" x14ac:dyDescent="0.2">
      <c r="A26" s="327" t="s">
        <v>1117</v>
      </c>
      <c r="C26" s="328" t="s">
        <v>1108</v>
      </c>
    </row>
    <row r="27" spans="1:4" ht="15" x14ac:dyDescent="0.2">
      <c r="A27" s="327" t="s">
        <v>1102</v>
      </c>
      <c r="C27" s="328" t="s">
        <v>1109</v>
      </c>
    </row>
    <row r="28" spans="1:4" ht="15" x14ac:dyDescent="0.2">
      <c r="A28" s="328" t="s">
        <v>1105</v>
      </c>
      <c r="C28" s="327" t="s">
        <v>1110</v>
      </c>
    </row>
    <row r="29" spans="1:4" ht="15" x14ac:dyDescent="0.2">
      <c r="A29" s="328" t="s">
        <v>1101</v>
      </c>
      <c r="C29" s="327" t="s">
        <v>1111</v>
      </c>
    </row>
    <row r="30" spans="1:4" ht="15" x14ac:dyDescent="0.2">
      <c r="A30" s="328" t="s">
        <v>1104</v>
      </c>
      <c r="C30" s="327" t="s">
        <v>1112</v>
      </c>
    </row>
    <row r="31" spans="1:4" ht="15" x14ac:dyDescent="0.2">
      <c r="A31" s="327" t="s">
        <v>1106</v>
      </c>
      <c r="C31" s="327" t="s">
        <v>1113</v>
      </c>
    </row>
    <row r="32" spans="1:4" ht="15" x14ac:dyDescent="0.2">
      <c r="A32" s="327" t="s">
        <v>1103</v>
      </c>
      <c r="C32" s="327" t="s">
        <v>1114</v>
      </c>
    </row>
    <row r="33" spans="1:3" ht="15" x14ac:dyDescent="0.2">
      <c r="A33" s="328" t="s">
        <v>1096</v>
      </c>
      <c r="C33" s="327" t="s">
        <v>1115</v>
      </c>
    </row>
    <row r="34" spans="1:3" ht="15" x14ac:dyDescent="0.2">
      <c r="A34" s="327" t="s">
        <v>1099</v>
      </c>
      <c r="C34" s="327" t="s">
        <v>1116</v>
      </c>
    </row>
    <row r="35" spans="1:3" ht="15" x14ac:dyDescent="0.2">
      <c r="A35" s="328" t="s">
        <v>1097</v>
      </c>
      <c r="C35" s="327" t="s">
        <v>1117</v>
      </c>
    </row>
    <row r="36" spans="1:3" ht="15" x14ac:dyDescent="0.2">
      <c r="A36" s="328" t="s">
        <v>1098</v>
      </c>
      <c r="C36" s="328" t="s">
        <v>1118</v>
      </c>
    </row>
    <row r="37" spans="1:3" ht="15" x14ac:dyDescent="0.2">
      <c r="A37" s="327" t="s">
        <v>1093</v>
      </c>
      <c r="C37" s="327" t="s">
        <v>1119</v>
      </c>
    </row>
    <row r="38" spans="1:3" ht="15" x14ac:dyDescent="0.2">
      <c r="A38" s="327" t="s">
        <v>1092</v>
      </c>
      <c r="C38" s="327" t="s">
        <v>1120</v>
      </c>
    </row>
    <row r="39" spans="1:3" ht="15" x14ac:dyDescent="0.2">
      <c r="A39" s="327" t="s">
        <v>1090</v>
      </c>
      <c r="C39" s="327" t="s">
        <v>1121</v>
      </c>
    </row>
    <row r="40" spans="1:3" ht="15" x14ac:dyDescent="0.2">
      <c r="A40" s="327" t="s">
        <v>1091</v>
      </c>
      <c r="C40" s="328" t="s">
        <v>1122</v>
      </c>
    </row>
    <row r="41" spans="1:3" ht="15" x14ac:dyDescent="0.2">
      <c r="A41" s="327" t="s">
        <v>1089</v>
      </c>
      <c r="C41" s="328" t="s">
        <v>1123</v>
      </c>
    </row>
    <row r="42" spans="1:3" ht="15" x14ac:dyDescent="0.2">
      <c r="A42" s="327" t="s">
        <v>1095</v>
      </c>
      <c r="C42" s="327" t="s">
        <v>1124</v>
      </c>
    </row>
    <row r="43" spans="1:3" ht="15" x14ac:dyDescent="0.2">
      <c r="A43" s="327" t="s">
        <v>1094</v>
      </c>
      <c r="C43" s="327" t="s">
        <v>1125</v>
      </c>
    </row>
    <row r="44" spans="1:3" ht="15" x14ac:dyDescent="0.2">
      <c r="A44" s="327" t="s">
        <v>1087</v>
      </c>
      <c r="C44" s="328" t="s">
        <v>1126</v>
      </c>
    </row>
    <row r="45" spans="1:3" ht="15" x14ac:dyDescent="0.2">
      <c r="A45" s="328" t="s">
        <v>1134</v>
      </c>
      <c r="C45" s="327" t="s">
        <v>1127</v>
      </c>
    </row>
    <row r="46" spans="1:3" ht="15" x14ac:dyDescent="0.2">
      <c r="A46" s="327" t="s">
        <v>1140</v>
      </c>
      <c r="C46" s="327" t="s">
        <v>1128</v>
      </c>
    </row>
    <row r="47" spans="1:3" ht="15" x14ac:dyDescent="0.2">
      <c r="A47" s="327" t="s">
        <v>1138</v>
      </c>
      <c r="C47" s="328" t="s">
        <v>1129</v>
      </c>
    </row>
    <row r="48" spans="1:3" ht="15" x14ac:dyDescent="0.2">
      <c r="A48" s="327" t="s">
        <v>1139</v>
      </c>
      <c r="C48" s="327" t="s">
        <v>1130</v>
      </c>
    </row>
    <row r="49" spans="1:3" ht="15" x14ac:dyDescent="0.2">
      <c r="A49" s="327" t="s">
        <v>1136</v>
      </c>
      <c r="C49" s="327" t="s">
        <v>1131</v>
      </c>
    </row>
    <row r="50" spans="1:3" ht="15" x14ac:dyDescent="0.2">
      <c r="A50" s="328" t="s">
        <v>1123</v>
      </c>
      <c r="C50" s="327" t="s">
        <v>1132</v>
      </c>
    </row>
    <row r="51" spans="1:3" ht="15" x14ac:dyDescent="0.2">
      <c r="A51" s="328" t="s">
        <v>1129</v>
      </c>
      <c r="C51" s="327" t="s">
        <v>1133</v>
      </c>
    </row>
    <row r="52" spans="1:3" ht="15" x14ac:dyDescent="0.2">
      <c r="A52" s="328" t="s">
        <v>1100</v>
      </c>
      <c r="C52" s="328" t="s">
        <v>1134</v>
      </c>
    </row>
    <row r="53" spans="1:3" ht="15" x14ac:dyDescent="0.2">
      <c r="A53" s="328" t="s">
        <v>1126</v>
      </c>
      <c r="C53" s="328" t="s">
        <v>1135</v>
      </c>
    </row>
    <row r="54" spans="1:3" ht="15" x14ac:dyDescent="0.2">
      <c r="A54" s="327" t="s">
        <v>1115</v>
      </c>
      <c r="C54" s="327" t="s">
        <v>1136</v>
      </c>
    </row>
    <row r="55" spans="1:3" ht="15" x14ac:dyDescent="0.2">
      <c r="A55" s="327" t="s">
        <v>1128</v>
      </c>
      <c r="C55" s="328" t="s">
        <v>1137</v>
      </c>
    </row>
    <row r="56" spans="1:3" ht="15" x14ac:dyDescent="0.2">
      <c r="A56" s="327" t="s">
        <v>1124</v>
      </c>
      <c r="C56" s="327" t="s">
        <v>1138</v>
      </c>
    </row>
    <row r="57" spans="1:3" ht="15" x14ac:dyDescent="0.2">
      <c r="A57" s="327" t="s">
        <v>1127</v>
      </c>
      <c r="C57" s="327" t="s">
        <v>1139</v>
      </c>
    </row>
    <row r="58" spans="1:3" ht="15" x14ac:dyDescent="0.2">
      <c r="A58" s="327" t="s">
        <v>1125</v>
      </c>
      <c r="C58" s="327" t="s">
        <v>1140</v>
      </c>
    </row>
    <row r="59" spans="1:3" ht="15" x14ac:dyDescent="0.2">
      <c r="A59" s="327" t="s">
        <v>1114</v>
      </c>
      <c r="C59" s="327" t="s">
        <v>1141</v>
      </c>
    </row>
    <row r="60" spans="1:3" ht="15" x14ac:dyDescent="0.2">
      <c r="A60" s="328" t="s">
        <v>1146</v>
      </c>
      <c r="C60" s="327" t="s">
        <v>1142</v>
      </c>
    </row>
    <row r="61" spans="1:3" ht="15" x14ac:dyDescent="0.2">
      <c r="A61" s="328" t="s">
        <v>1147</v>
      </c>
      <c r="C61" s="327" t="s">
        <v>1143</v>
      </c>
    </row>
    <row r="62" spans="1:3" ht="15" x14ac:dyDescent="0.2">
      <c r="A62" s="327" t="s">
        <v>1145</v>
      </c>
      <c r="C62" s="328" t="s">
        <v>1144</v>
      </c>
    </row>
    <row r="63" spans="1:3" ht="15" x14ac:dyDescent="0.2">
      <c r="A63" s="327" t="s">
        <v>1141</v>
      </c>
      <c r="C63" s="327" t="s">
        <v>1145</v>
      </c>
    </row>
    <row r="64" spans="1:3" ht="15" x14ac:dyDescent="0.2">
      <c r="A64" s="327" t="s">
        <v>1143</v>
      </c>
      <c r="C64" s="328" t="s">
        <v>1146</v>
      </c>
    </row>
    <row r="65" spans="1:3" ht="15" x14ac:dyDescent="0.2">
      <c r="A65" s="327" t="s">
        <v>1142</v>
      </c>
      <c r="C65" s="328" t="s">
        <v>1147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  <hyperlink ref="D16" location="'CAPEX _CWS '!A1" tooltip="Activate CAPEX _CWS " display="• CAPEX _CWS " xr:uid="{19464ED0-36B4-914E-A2E8-E457F8FE97CB}"/>
    <hyperlink ref="D17" location="'OPEX _CWS '!A1" tooltip="Activate OPEX _CWS " display="• OPEX _CWS " xr:uid="{2ABA11AC-32A9-9448-A701-C16FEA32B35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917</v>
      </c>
      <c r="E2" s="6" t="s">
        <v>830</v>
      </c>
      <c r="F2" s="6" t="s">
        <v>890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920</v>
      </c>
      <c r="D9" s="6" t="s">
        <v>917</v>
      </c>
      <c r="E9" s="6" t="s">
        <v>830</v>
      </c>
      <c r="F9" s="6" t="s">
        <v>890</v>
      </c>
    </row>
    <row r="10" spans="2:6" x14ac:dyDescent="0.15">
      <c r="D10" s="6"/>
      <c r="E10" s="6"/>
    </row>
    <row r="11" spans="2:6" x14ac:dyDescent="0.15">
      <c r="B11" t="s">
        <v>918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919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931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923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917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1018</v>
      </c>
      <c r="D22" s="6" t="s">
        <v>1019</v>
      </c>
      <c r="E22" s="6" t="s">
        <v>1020</v>
      </c>
      <c r="F22" s="6" t="s">
        <v>1024</v>
      </c>
    </row>
    <row r="23" spans="2:7" x14ac:dyDescent="0.15">
      <c r="B23" s="21" t="s">
        <v>839</v>
      </c>
      <c r="C23" s="9"/>
      <c r="D23" s="9"/>
      <c r="F23"/>
    </row>
    <row r="24" spans="2:7" x14ac:dyDescent="0.15">
      <c r="B24" t="s">
        <v>924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925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926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927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928</v>
      </c>
      <c r="D29" s="252">
        <f>NPV(D27,C19:G19)</f>
        <v>785408.06015043741</v>
      </c>
      <c r="F29"/>
    </row>
    <row r="30" spans="2:7" x14ac:dyDescent="0.15">
      <c r="B30" t="s">
        <v>929</v>
      </c>
      <c r="E30" s="252">
        <f>NPV(E27,D19:G19)</f>
        <v>2486810.2746222913</v>
      </c>
      <c r="F30"/>
    </row>
    <row r="31" spans="2:7" x14ac:dyDescent="0.15">
      <c r="B31" t="s">
        <v>930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1023</v>
      </c>
      <c r="C34" s="6"/>
      <c r="D34" s="6">
        <f>+C20</f>
        <v>150000</v>
      </c>
      <c r="E34" s="6">
        <f>+D20</f>
        <v>250000</v>
      </c>
      <c r="F34" s="6" t="s">
        <v>1022</v>
      </c>
      <c r="G34" s="6" t="s">
        <v>1025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1045</v>
      </c>
      <c r="D36" s="295"/>
      <c r="E36" s="295"/>
      <c r="G36" s="6"/>
    </row>
    <row r="37" spans="2:7" x14ac:dyDescent="0.15">
      <c r="B37" t="s">
        <v>908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1021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1021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208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1022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762</v>
      </c>
      <c r="D1" s="33" t="s">
        <v>764</v>
      </c>
      <c r="E1" s="33" t="s">
        <v>766</v>
      </c>
      <c r="F1" s="33" t="s">
        <v>765</v>
      </c>
      <c r="H1" s="34" t="s">
        <v>767</v>
      </c>
      <c r="I1" s="34" t="s">
        <v>991</v>
      </c>
      <c r="J1" s="34" t="s">
        <v>992</v>
      </c>
      <c r="K1" s="34" t="s">
        <v>311</v>
      </c>
    </row>
    <row r="2" spans="1:11" x14ac:dyDescent="0.15">
      <c r="C2" s="33" t="s">
        <v>763</v>
      </c>
    </row>
    <row r="3" spans="1:11" x14ac:dyDescent="0.15">
      <c r="A3" s="271">
        <v>1</v>
      </c>
      <c r="B3" s="271">
        <v>1</v>
      </c>
      <c r="C3" s="185" t="s">
        <v>757</v>
      </c>
      <c r="D3" s="185" t="s">
        <v>597</v>
      </c>
      <c r="E3" s="185" t="s">
        <v>654</v>
      </c>
      <c r="F3" s="185" t="s">
        <v>745</v>
      </c>
      <c r="G3" s="272">
        <v>1</v>
      </c>
      <c r="H3" s="261" t="s">
        <v>990</v>
      </c>
      <c r="I3" s="10"/>
      <c r="J3" s="10"/>
    </row>
    <row r="4" spans="1:11" x14ac:dyDescent="0.15">
      <c r="A4" s="271" t="s">
        <v>994</v>
      </c>
      <c r="B4" s="271">
        <v>1</v>
      </c>
      <c r="C4" s="185" t="s">
        <v>757</v>
      </c>
      <c r="D4" s="185" t="s">
        <v>993</v>
      </c>
      <c r="E4" s="185" t="s">
        <v>739</v>
      </c>
      <c r="F4" s="185" t="s">
        <v>745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757</v>
      </c>
      <c r="D5" s="185" t="s">
        <v>598</v>
      </c>
      <c r="E5" s="185" t="s">
        <v>738</v>
      </c>
      <c r="F5" s="185" t="s">
        <v>748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757</v>
      </c>
      <c r="D6" s="185" t="s">
        <v>596</v>
      </c>
      <c r="E6" s="185" t="s">
        <v>737</v>
      </c>
      <c r="F6" s="185" t="s">
        <v>746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758</v>
      </c>
      <c r="D7" s="185" t="s">
        <v>592</v>
      </c>
      <c r="E7" s="185" t="s">
        <v>606</v>
      </c>
      <c r="F7" s="185" t="s">
        <v>745</v>
      </c>
      <c r="G7" s="272">
        <v>1</v>
      </c>
      <c r="H7" s="10"/>
      <c r="I7" s="10" t="s">
        <v>990</v>
      </c>
      <c r="J7" s="10" t="s">
        <v>990</v>
      </c>
    </row>
    <row r="8" spans="1:11" x14ac:dyDescent="0.15">
      <c r="A8" s="271">
        <v>0</v>
      </c>
      <c r="B8" s="271">
        <v>2</v>
      </c>
      <c r="C8" s="185" t="s">
        <v>758</v>
      </c>
      <c r="D8" s="185" t="s">
        <v>594</v>
      </c>
      <c r="E8" s="185" t="s">
        <v>603</v>
      </c>
      <c r="F8" s="185" t="s">
        <v>745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758</v>
      </c>
      <c r="D9" s="185" t="s">
        <v>607</v>
      </c>
      <c r="E9" s="185" t="s">
        <v>608</v>
      </c>
      <c r="F9" s="185" t="s">
        <v>745</v>
      </c>
      <c r="G9" s="272">
        <v>1</v>
      </c>
      <c r="H9" s="261" t="s">
        <v>990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758</v>
      </c>
      <c r="D10" s="185" t="s">
        <v>595</v>
      </c>
      <c r="E10" s="185" t="s">
        <v>601</v>
      </c>
      <c r="F10" s="185" t="s">
        <v>745</v>
      </c>
      <c r="G10" s="272">
        <v>1</v>
      </c>
      <c r="H10" s="10"/>
      <c r="I10" s="10"/>
      <c r="J10" s="10"/>
    </row>
    <row r="11" spans="1:11" x14ac:dyDescent="0.15">
      <c r="A11" s="271" t="s">
        <v>994</v>
      </c>
      <c r="B11" s="271">
        <v>2</v>
      </c>
      <c r="C11" s="185" t="s">
        <v>758</v>
      </c>
      <c r="D11" s="185" t="s">
        <v>591</v>
      </c>
      <c r="E11" s="185" t="s">
        <v>605</v>
      </c>
      <c r="F11" s="185" t="s">
        <v>748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758</v>
      </c>
      <c r="D12" s="185" t="s">
        <v>593</v>
      </c>
      <c r="E12" s="185" t="s">
        <v>600</v>
      </c>
      <c r="F12" s="185" t="s">
        <v>746</v>
      </c>
      <c r="G12" s="272">
        <v>3</v>
      </c>
      <c r="H12" s="10"/>
      <c r="I12" s="10"/>
      <c r="J12" s="10"/>
    </row>
    <row r="13" spans="1:11" x14ac:dyDescent="0.15">
      <c r="A13" s="271" t="s">
        <v>995</v>
      </c>
      <c r="B13" s="271">
        <v>2</v>
      </c>
      <c r="C13" s="185" t="s">
        <v>758</v>
      </c>
      <c r="D13" s="185" t="s">
        <v>743</v>
      </c>
      <c r="E13" s="185" t="s">
        <v>744</v>
      </c>
      <c r="F13" s="185" t="s">
        <v>750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327</v>
      </c>
      <c r="D14" s="185" t="s">
        <v>609</v>
      </c>
      <c r="E14" s="185" t="s">
        <v>604</v>
      </c>
      <c r="F14" s="185" t="s">
        <v>745</v>
      </c>
      <c r="G14" s="272">
        <v>1</v>
      </c>
      <c r="H14" s="10"/>
      <c r="I14" s="10" t="s">
        <v>990</v>
      </c>
      <c r="J14" s="10" t="s">
        <v>990</v>
      </c>
    </row>
    <row r="15" spans="1:11" x14ac:dyDescent="0.15">
      <c r="A15" s="271">
        <v>0</v>
      </c>
      <c r="B15" s="271">
        <v>3</v>
      </c>
      <c r="C15" s="185" t="s">
        <v>327</v>
      </c>
      <c r="D15" s="185" t="s">
        <v>610</v>
      </c>
      <c r="E15" s="185" t="s">
        <v>602</v>
      </c>
      <c r="F15" s="185" t="s">
        <v>745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327</v>
      </c>
      <c r="D16" s="185" t="s">
        <v>754</v>
      </c>
      <c r="E16" s="185" t="s">
        <v>755</v>
      </c>
      <c r="F16" s="185" t="s">
        <v>748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756</v>
      </c>
      <c r="D17" s="185" t="s">
        <v>580</v>
      </c>
      <c r="E17" s="185" t="s">
        <v>658</v>
      </c>
      <c r="F17" s="185" t="s">
        <v>745</v>
      </c>
      <c r="G17" s="272">
        <v>1</v>
      </c>
      <c r="H17" s="10" t="s">
        <v>990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756</v>
      </c>
      <c r="D18" s="185" t="s">
        <v>599</v>
      </c>
      <c r="E18" s="185" t="s">
        <v>702</v>
      </c>
      <c r="F18" s="185" t="s">
        <v>745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756</v>
      </c>
      <c r="D19" s="185" t="s">
        <v>581</v>
      </c>
      <c r="E19" s="185" t="s">
        <v>656</v>
      </c>
      <c r="F19" s="185" t="s">
        <v>745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756</v>
      </c>
      <c r="D20" s="185" t="s">
        <v>582</v>
      </c>
      <c r="E20" s="185" t="s">
        <v>657</v>
      </c>
      <c r="F20" s="185" t="s">
        <v>745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756</v>
      </c>
      <c r="D21" s="185" t="s">
        <v>652</v>
      </c>
      <c r="E21" s="185" t="s">
        <v>653</v>
      </c>
      <c r="F21" s="185" t="s">
        <v>748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756</v>
      </c>
      <c r="D22" s="185" t="s">
        <v>703</v>
      </c>
      <c r="E22" s="185" t="s">
        <v>708</v>
      </c>
      <c r="F22" s="185" t="s">
        <v>746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761</v>
      </c>
      <c r="D23" s="185" t="s">
        <v>704</v>
      </c>
      <c r="E23" s="185" t="s">
        <v>707</v>
      </c>
      <c r="F23" s="185" t="s">
        <v>745</v>
      </c>
      <c r="G23" s="272">
        <v>1</v>
      </c>
      <c r="H23" s="10" t="s">
        <v>990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761</v>
      </c>
      <c r="D24" s="185" t="s">
        <v>705</v>
      </c>
      <c r="E24" s="185" t="s">
        <v>706</v>
      </c>
      <c r="F24" s="185" t="s">
        <v>748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761</v>
      </c>
      <c r="D25" s="185" t="s">
        <v>729</v>
      </c>
      <c r="E25" s="185" t="s">
        <v>730</v>
      </c>
      <c r="F25" s="185" t="s">
        <v>746</v>
      </c>
      <c r="G25" s="272">
        <v>3</v>
      </c>
      <c r="H25" s="10"/>
      <c r="I25" s="10"/>
      <c r="J25" s="10"/>
    </row>
    <row r="26" spans="1:10" x14ac:dyDescent="0.15">
      <c r="A26" s="271" t="s">
        <v>995</v>
      </c>
      <c r="B26" s="271">
        <v>5</v>
      </c>
      <c r="C26" s="185" t="s">
        <v>761</v>
      </c>
      <c r="D26" s="185" t="s">
        <v>741</v>
      </c>
      <c r="E26" s="185" t="s">
        <v>742</v>
      </c>
      <c r="F26" s="185" t="s">
        <v>751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759</v>
      </c>
      <c r="D27" s="185" t="s">
        <v>587</v>
      </c>
      <c r="E27" s="185" t="s">
        <v>734</v>
      </c>
      <c r="F27" s="185" t="s">
        <v>749</v>
      </c>
      <c r="G27" s="272">
        <v>1</v>
      </c>
      <c r="H27" s="10"/>
      <c r="I27" s="10"/>
      <c r="J27" s="10"/>
    </row>
    <row r="28" spans="1:10" x14ac:dyDescent="0.15">
      <c r="A28" s="271" t="s">
        <v>997</v>
      </c>
      <c r="B28" s="271">
        <v>6</v>
      </c>
      <c r="C28" s="185" t="s">
        <v>759</v>
      </c>
      <c r="D28" s="185" t="s">
        <v>589</v>
      </c>
      <c r="E28" s="185" t="s">
        <v>734</v>
      </c>
      <c r="F28" s="185" t="s">
        <v>745</v>
      </c>
      <c r="G28" s="272">
        <v>1</v>
      </c>
      <c r="H28" s="10" t="s">
        <v>990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759</v>
      </c>
      <c r="D29" s="185" t="s">
        <v>740</v>
      </c>
      <c r="E29" s="185" t="s">
        <v>608</v>
      </c>
      <c r="F29" s="185" t="s">
        <v>745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759</v>
      </c>
      <c r="D30" s="185" t="s">
        <v>590</v>
      </c>
      <c r="E30" s="185" t="s">
        <v>736</v>
      </c>
      <c r="F30" s="185" t="s">
        <v>748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759</v>
      </c>
      <c r="D31" s="185" t="s">
        <v>588</v>
      </c>
      <c r="E31" s="185" t="s">
        <v>735</v>
      </c>
      <c r="F31" s="185" t="s">
        <v>746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270</v>
      </c>
      <c r="D32" s="185" t="s">
        <v>577</v>
      </c>
      <c r="E32" s="185" t="s">
        <v>817</v>
      </c>
      <c r="F32" s="185" t="s">
        <v>745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270</v>
      </c>
      <c r="D33" s="185" t="s">
        <v>578</v>
      </c>
      <c r="E33" s="185" t="s">
        <v>731</v>
      </c>
      <c r="F33" s="185" t="s">
        <v>745</v>
      </c>
      <c r="G33" s="272">
        <v>1</v>
      </c>
      <c r="H33" s="10"/>
      <c r="I33" s="10"/>
      <c r="J33" s="10" t="s">
        <v>990</v>
      </c>
    </row>
    <row r="34" spans="1:10" x14ac:dyDescent="0.15">
      <c r="A34" s="271">
        <v>0</v>
      </c>
      <c r="B34" s="271">
        <v>7</v>
      </c>
      <c r="C34" s="185" t="s">
        <v>270</v>
      </c>
      <c r="D34" s="185" t="s">
        <v>579</v>
      </c>
      <c r="E34" s="185" t="s">
        <v>732</v>
      </c>
      <c r="F34" s="185" t="s">
        <v>748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270</v>
      </c>
      <c r="D35" s="185" t="s">
        <v>754</v>
      </c>
      <c r="E35" s="185" t="s">
        <v>755</v>
      </c>
      <c r="F35" s="185" t="s">
        <v>748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270</v>
      </c>
      <c r="D36" s="185" t="s">
        <v>752</v>
      </c>
      <c r="E36" s="185" t="s">
        <v>753</v>
      </c>
      <c r="F36" s="185" t="s">
        <v>747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760</v>
      </c>
      <c r="D37" s="185" t="s">
        <v>583</v>
      </c>
      <c r="E37" s="185" t="s">
        <v>727</v>
      </c>
      <c r="F37" s="185" t="s">
        <v>745</v>
      </c>
      <c r="G37" s="272">
        <v>1</v>
      </c>
      <c r="H37" s="10"/>
      <c r="I37" s="10"/>
      <c r="J37" s="10" t="s">
        <v>990</v>
      </c>
    </row>
    <row r="38" spans="1:10" x14ac:dyDescent="0.15">
      <c r="A38" s="271">
        <v>0</v>
      </c>
      <c r="B38" s="271">
        <v>8</v>
      </c>
      <c r="C38" s="185" t="s">
        <v>760</v>
      </c>
      <c r="D38" s="185" t="s">
        <v>584</v>
      </c>
      <c r="E38" s="185" t="s">
        <v>816</v>
      </c>
      <c r="F38" s="185" t="s">
        <v>745</v>
      </c>
      <c r="G38" s="272">
        <v>1</v>
      </c>
      <c r="H38" s="10"/>
      <c r="I38" s="10" t="s">
        <v>990</v>
      </c>
      <c r="J38" s="10" t="s">
        <v>990</v>
      </c>
    </row>
    <row r="39" spans="1:10" x14ac:dyDescent="0.15">
      <c r="A39" s="271">
        <v>5</v>
      </c>
      <c r="B39" s="271">
        <v>8</v>
      </c>
      <c r="C39" s="185" t="s">
        <v>760</v>
      </c>
      <c r="D39" s="185" t="s">
        <v>585</v>
      </c>
      <c r="E39" s="185" t="s">
        <v>728</v>
      </c>
      <c r="F39" s="185" t="s">
        <v>745</v>
      </c>
      <c r="G39" s="272">
        <v>1</v>
      </c>
      <c r="H39" s="10" t="s">
        <v>990</v>
      </c>
      <c r="I39" s="10" t="s">
        <v>990</v>
      </c>
      <c r="J39" s="10"/>
    </row>
    <row r="40" spans="1:10" x14ac:dyDescent="0.15">
      <c r="A40" s="271">
        <v>0</v>
      </c>
      <c r="B40" s="271">
        <v>8</v>
      </c>
      <c r="C40" s="185" t="s">
        <v>760</v>
      </c>
      <c r="D40" s="185" t="s">
        <v>768</v>
      </c>
      <c r="E40" s="185" t="s">
        <v>769</v>
      </c>
      <c r="F40" s="185" t="s">
        <v>745</v>
      </c>
      <c r="G40" s="272">
        <v>1</v>
      </c>
      <c r="H40" s="10"/>
      <c r="I40" s="10" t="s">
        <v>990</v>
      </c>
      <c r="J40" s="10"/>
    </row>
    <row r="41" spans="1:10" x14ac:dyDescent="0.15">
      <c r="A41" s="271">
        <v>0</v>
      </c>
      <c r="B41" s="271">
        <v>8</v>
      </c>
      <c r="C41" s="185" t="s">
        <v>760</v>
      </c>
      <c r="D41" s="185" t="s">
        <v>770</v>
      </c>
      <c r="E41" s="185" t="s">
        <v>771</v>
      </c>
      <c r="F41" s="185" t="s">
        <v>745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760</v>
      </c>
      <c r="D42" s="185" t="s">
        <v>932</v>
      </c>
      <c r="E42" s="185" t="s">
        <v>933</v>
      </c>
      <c r="F42" s="185" t="s">
        <v>748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760</v>
      </c>
      <c r="D43" s="185" t="s">
        <v>982</v>
      </c>
      <c r="E43" s="185" t="s">
        <v>968</v>
      </c>
      <c r="F43" s="185" t="s">
        <v>746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760</v>
      </c>
      <c r="D44" s="185" t="s">
        <v>586</v>
      </c>
      <c r="E44" s="185" t="s">
        <v>733</v>
      </c>
      <c r="F44" s="185" t="s">
        <v>747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576</v>
      </c>
      <c r="E45" s="185" t="s">
        <v>655</v>
      </c>
      <c r="F45" s="185" t="s">
        <v>745</v>
      </c>
      <c r="G45" s="171">
        <v>1</v>
      </c>
      <c r="H45" s="10"/>
      <c r="I45" s="10" t="s">
        <v>990</v>
      </c>
      <c r="J45" s="10"/>
    </row>
    <row r="46" spans="1:10" x14ac:dyDescent="0.15">
      <c r="B46" s="180">
        <v>1</v>
      </c>
      <c r="C46" s="185" t="s">
        <v>757</v>
      </c>
      <c r="G46" s="272"/>
    </row>
    <row r="47" spans="1:10" x14ac:dyDescent="0.15">
      <c r="E47" s="185" t="s">
        <v>996</v>
      </c>
    </row>
    <row r="48" spans="1:10" x14ac:dyDescent="0.15">
      <c r="E48" s="185"/>
    </row>
    <row r="49" spans="3:6" x14ac:dyDescent="0.15">
      <c r="C49" s="273" t="s">
        <v>763</v>
      </c>
      <c r="D49" s="273" t="s">
        <v>998</v>
      </c>
      <c r="E49" s="273" t="s">
        <v>766</v>
      </c>
      <c r="F49" s="273" t="s">
        <v>765</v>
      </c>
    </row>
    <row r="51" spans="3:6" x14ac:dyDescent="0.15">
      <c r="C51" s="185" t="s">
        <v>757</v>
      </c>
      <c r="D51" s="185" t="s">
        <v>597</v>
      </c>
      <c r="E51" s="185" t="s">
        <v>654</v>
      </c>
      <c r="F51" s="185" t="s">
        <v>745</v>
      </c>
    </row>
    <row r="52" spans="3:6" x14ac:dyDescent="0.15">
      <c r="C52" s="185" t="s">
        <v>757</v>
      </c>
      <c r="D52" s="185" t="s">
        <v>993</v>
      </c>
      <c r="E52" s="185" t="s">
        <v>739</v>
      </c>
      <c r="F52" s="185" t="s">
        <v>745</v>
      </c>
    </row>
    <row r="53" spans="3:6" x14ac:dyDescent="0.15">
      <c r="C53" s="185" t="s">
        <v>757</v>
      </c>
      <c r="D53" s="185" t="s">
        <v>598</v>
      </c>
      <c r="E53" s="185" t="s">
        <v>738</v>
      </c>
      <c r="F53" s="185" t="s">
        <v>748</v>
      </c>
    </row>
    <row r="54" spans="3:6" x14ac:dyDescent="0.15">
      <c r="C54" s="185" t="s">
        <v>757</v>
      </c>
      <c r="D54" s="185" t="s">
        <v>596</v>
      </c>
      <c r="E54" s="185" t="s">
        <v>737</v>
      </c>
      <c r="F54" s="185" t="s">
        <v>746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758</v>
      </c>
      <c r="D56" s="185" t="s">
        <v>592</v>
      </c>
      <c r="E56" s="185" t="s">
        <v>606</v>
      </c>
      <c r="F56" s="185" t="s">
        <v>745</v>
      </c>
    </row>
    <row r="57" spans="3:6" x14ac:dyDescent="0.15">
      <c r="C57" s="185" t="s">
        <v>758</v>
      </c>
      <c r="D57" s="185" t="s">
        <v>594</v>
      </c>
      <c r="E57" s="185" t="s">
        <v>603</v>
      </c>
      <c r="F57" s="185" t="s">
        <v>745</v>
      </c>
    </row>
    <row r="58" spans="3:6" x14ac:dyDescent="0.15">
      <c r="C58" s="185" t="s">
        <v>758</v>
      </c>
      <c r="D58" s="185" t="s">
        <v>607</v>
      </c>
      <c r="E58" s="185" t="s">
        <v>608</v>
      </c>
      <c r="F58" s="185" t="s">
        <v>745</v>
      </c>
    </row>
    <row r="59" spans="3:6" x14ac:dyDescent="0.15">
      <c r="C59" s="185" t="s">
        <v>758</v>
      </c>
      <c r="D59" s="185" t="s">
        <v>595</v>
      </c>
      <c r="E59" s="185" t="s">
        <v>601</v>
      </c>
      <c r="F59" s="185" t="s">
        <v>745</v>
      </c>
    </row>
    <row r="60" spans="3:6" x14ac:dyDescent="0.15">
      <c r="C60" s="185" t="s">
        <v>758</v>
      </c>
      <c r="D60" s="185" t="s">
        <v>591</v>
      </c>
      <c r="E60" s="185" t="s">
        <v>605</v>
      </c>
      <c r="F60" s="185" t="s">
        <v>748</v>
      </c>
    </row>
    <row r="61" spans="3:6" x14ac:dyDescent="0.15">
      <c r="C61" s="185" t="s">
        <v>758</v>
      </c>
      <c r="D61" s="185" t="s">
        <v>593</v>
      </c>
      <c r="E61" s="185" t="s">
        <v>600</v>
      </c>
      <c r="F61" s="185" t="s">
        <v>746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327</v>
      </c>
      <c r="D63" s="185" t="s">
        <v>609</v>
      </c>
      <c r="E63" s="185" t="s">
        <v>604</v>
      </c>
      <c r="F63" s="185" t="s">
        <v>745</v>
      </c>
    </row>
    <row r="64" spans="3:6" x14ac:dyDescent="0.15">
      <c r="C64" s="185" t="s">
        <v>327</v>
      </c>
      <c r="D64" s="185" t="s">
        <v>610</v>
      </c>
      <c r="E64" s="185" t="s">
        <v>602</v>
      </c>
      <c r="F64" s="185" t="s">
        <v>745</v>
      </c>
    </row>
    <row r="65" spans="3:6" x14ac:dyDescent="0.15">
      <c r="C65" s="185" t="s">
        <v>327</v>
      </c>
      <c r="D65" s="185" t="s">
        <v>754</v>
      </c>
      <c r="E65" s="185" t="s">
        <v>755</v>
      </c>
      <c r="F65" s="185" t="s">
        <v>748</v>
      </c>
    </row>
    <row r="66" spans="3:6" x14ac:dyDescent="0.15">
      <c r="C66" s="185" t="s">
        <v>758</v>
      </c>
      <c r="D66" s="185" t="s">
        <v>593</v>
      </c>
      <c r="E66" s="185" t="s">
        <v>600</v>
      </c>
      <c r="F66" s="185" t="s">
        <v>746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756</v>
      </c>
      <c r="D68" s="185" t="s">
        <v>580</v>
      </c>
      <c r="E68" s="185" t="s">
        <v>658</v>
      </c>
      <c r="F68" s="185" t="s">
        <v>745</v>
      </c>
    </row>
    <row r="69" spans="3:6" x14ac:dyDescent="0.15">
      <c r="C69" s="185" t="s">
        <v>756</v>
      </c>
      <c r="D69" s="185" t="s">
        <v>599</v>
      </c>
      <c r="E69" s="185" t="s">
        <v>702</v>
      </c>
      <c r="F69" s="185" t="s">
        <v>745</v>
      </c>
    </row>
    <row r="70" spans="3:6" x14ac:dyDescent="0.15">
      <c r="C70" s="185" t="s">
        <v>756</v>
      </c>
      <c r="D70" s="185" t="s">
        <v>581</v>
      </c>
      <c r="E70" s="185" t="s">
        <v>656</v>
      </c>
      <c r="F70" s="185" t="s">
        <v>745</v>
      </c>
    </row>
    <row r="71" spans="3:6" x14ac:dyDescent="0.15">
      <c r="C71" s="185" t="s">
        <v>756</v>
      </c>
      <c r="D71" s="185" t="s">
        <v>582</v>
      </c>
      <c r="E71" s="185" t="s">
        <v>657</v>
      </c>
      <c r="F71" s="185" t="s">
        <v>745</v>
      </c>
    </row>
    <row r="72" spans="3:6" x14ac:dyDescent="0.15">
      <c r="C72" s="185" t="s">
        <v>756</v>
      </c>
      <c r="D72" s="185" t="s">
        <v>652</v>
      </c>
      <c r="E72" s="185" t="s">
        <v>653</v>
      </c>
      <c r="F72" s="185" t="s">
        <v>748</v>
      </c>
    </row>
    <row r="73" spans="3:6" x14ac:dyDescent="0.15">
      <c r="C73" s="185" t="s">
        <v>756</v>
      </c>
      <c r="D73" s="185" t="s">
        <v>1070</v>
      </c>
      <c r="E73" s="185" t="s">
        <v>1071</v>
      </c>
      <c r="F73" s="185" t="s">
        <v>746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761</v>
      </c>
      <c r="D75" s="185" t="s">
        <v>704</v>
      </c>
      <c r="E75" s="185" t="s">
        <v>707</v>
      </c>
      <c r="F75" s="185" t="s">
        <v>745</v>
      </c>
    </row>
    <row r="76" spans="3:6" x14ac:dyDescent="0.15">
      <c r="C76" s="185" t="s">
        <v>761</v>
      </c>
      <c r="D76" s="185" t="s">
        <v>705</v>
      </c>
      <c r="E76" s="185" t="s">
        <v>706</v>
      </c>
      <c r="F76" s="185" t="s">
        <v>748</v>
      </c>
    </row>
    <row r="77" spans="3:6" x14ac:dyDescent="0.15">
      <c r="C77" s="185" t="s">
        <v>761</v>
      </c>
      <c r="D77" s="185" t="s">
        <v>703</v>
      </c>
      <c r="E77" s="185" t="s">
        <v>708</v>
      </c>
      <c r="F77" s="185" t="s">
        <v>746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759</v>
      </c>
      <c r="D79" s="185" t="s">
        <v>587</v>
      </c>
      <c r="E79" s="185" t="s">
        <v>734</v>
      </c>
      <c r="F79" s="185" t="s">
        <v>749</v>
      </c>
    </row>
    <row r="80" spans="3:6" x14ac:dyDescent="0.15">
      <c r="C80" s="185" t="s">
        <v>759</v>
      </c>
      <c r="D80" s="185" t="s">
        <v>1072</v>
      </c>
      <c r="E80" s="185" t="s">
        <v>734</v>
      </c>
      <c r="F80" s="185" t="s">
        <v>745</v>
      </c>
    </row>
    <row r="81" spans="3:6" x14ac:dyDescent="0.15">
      <c r="C81" s="185" t="s">
        <v>759</v>
      </c>
      <c r="D81" s="185" t="s">
        <v>590</v>
      </c>
      <c r="E81" s="185" t="s">
        <v>736</v>
      </c>
      <c r="F81" s="185" t="s">
        <v>748</v>
      </c>
    </row>
    <row r="82" spans="3:6" x14ac:dyDescent="0.15">
      <c r="C82" s="185" t="s">
        <v>759</v>
      </c>
      <c r="D82" s="185" t="s">
        <v>588</v>
      </c>
      <c r="E82" s="185" t="s">
        <v>735</v>
      </c>
      <c r="F82" s="185" t="s">
        <v>746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270</v>
      </c>
      <c r="D84" s="185" t="s">
        <v>576</v>
      </c>
      <c r="E84" s="185" t="s">
        <v>655</v>
      </c>
      <c r="F84" s="185" t="s">
        <v>745</v>
      </c>
    </row>
    <row r="85" spans="3:6" x14ac:dyDescent="0.15">
      <c r="C85" s="185" t="s">
        <v>270</v>
      </c>
      <c r="D85" s="185" t="s">
        <v>577</v>
      </c>
      <c r="E85" s="185" t="s">
        <v>817</v>
      </c>
      <c r="F85" s="185" t="s">
        <v>745</v>
      </c>
    </row>
    <row r="86" spans="3:6" x14ac:dyDescent="0.15">
      <c r="C86" s="185" t="s">
        <v>270</v>
      </c>
      <c r="D86" s="185" t="s">
        <v>578</v>
      </c>
      <c r="E86" s="185" t="s">
        <v>731</v>
      </c>
      <c r="F86" s="185" t="s">
        <v>745</v>
      </c>
    </row>
    <row r="87" spans="3:6" x14ac:dyDescent="0.15">
      <c r="C87" s="185" t="s">
        <v>270</v>
      </c>
      <c r="D87" s="185" t="s">
        <v>579</v>
      </c>
      <c r="E87" s="185" t="s">
        <v>732</v>
      </c>
      <c r="F87" s="185" t="s">
        <v>748</v>
      </c>
    </row>
    <row r="88" spans="3:6" x14ac:dyDescent="0.15">
      <c r="C88" s="185" t="s">
        <v>270</v>
      </c>
      <c r="D88" s="185" t="s">
        <v>754</v>
      </c>
      <c r="E88" s="185" t="s">
        <v>755</v>
      </c>
      <c r="F88" s="185" t="s">
        <v>748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760</v>
      </c>
      <c r="D90" s="185" t="s">
        <v>583</v>
      </c>
      <c r="E90" s="185" t="s">
        <v>727</v>
      </c>
      <c r="F90" s="185" t="s">
        <v>745</v>
      </c>
    </row>
    <row r="91" spans="3:6" x14ac:dyDescent="0.15">
      <c r="C91" s="185" t="s">
        <v>760</v>
      </c>
      <c r="D91" s="185" t="s">
        <v>584</v>
      </c>
      <c r="E91" s="185" t="s">
        <v>816</v>
      </c>
      <c r="F91" s="185" t="s">
        <v>745</v>
      </c>
    </row>
    <row r="92" spans="3:6" x14ac:dyDescent="0.15">
      <c r="C92" s="185" t="s">
        <v>760</v>
      </c>
      <c r="D92" s="185" t="s">
        <v>585</v>
      </c>
      <c r="E92" s="185" t="s">
        <v>728</v>
      </c>
      <c r="F92" s="185" t="s">
        <v>745</v>
      </c>
    </row>
    <row r="93" spans="3:6" x14ac:dyDescent="0.15">
      <c r="C93" s="185" t="s">
        <v>760</v>
      </c>
      <c r="D93" s="185" t="s">
        <v>768</v>
      </c>
      <c r="E93" s="185" t="s">
        <v>769</v>
      </c>
      <c r="F93" s="185" t="s">
        <v>745</v>
      </c>
    </row>
    <row r="94" spans="3:6" x14ac:dyDescent="0.15">
      <c r="C94" s="185" t="s">
        <v>760</v>
      </c>
      <c r="D94" s="185" t="s">
        <v>770</v>
      </c>
      <c r="E94" s="185" t="s">
        <v>771</v>
      </c>
      <c r="F94" s="185" t="s">
        <v>745</v>
      </c>
    </row>
    <row r="95" spans="3:6" x14ac:dyDescent="0.15">
      <c r="C95" s="185" t="s">
        <v>760</v>
      </c>
      <c r="D95" s="185" t="s">
        <v>932</v>
      </c>
      <c r="E95" s="185" t="s">
        <v>933</v>
      </c>
      <c r="F95" s="185" t="s">
        <v>748</v>
      </c>
    </row>
    <row r="96" spans="3:6" x14ac:dyDescent="0.15">
      <c r="C96" s="185" t="s">
        <v>760</v>
      </c>
      <c r="D96" s="185" t="s">
        <v>982</v>
      </c>
      <c r="E96" s="185" t="s">
        <v>968</v>
      </c>
      <c r="F96" s="185" t="s">
        <v>748</v>
      </c>
    </row>
    <row r="97" spans="3:6" x14ac:dyDescent="0.15">
      <c r="C97" s="185" t="s">
        <v>760</v>
      </c>
      <c r="D97" s="185" t="s">
        <v>1069</v>
      </c>
      <c r="E97" s="185" t="s">
        <v>730</v>
      </c>
      <c r="F97" s="185" t="s">
        <v>746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799</v>
      </c>
      <c r="C2" s="10" t="s">
        <v>783</v>
      </c>
      <c r="D2" s="10" t="s">
        <v>784</v>
      </c>
      <c r="E2" s="34"/>
      <c r="F2" s="406" t="s">
        <v>793</v>
      </c>
      <c r="G2" s="406"/>
      <c r="H2" s="406"/>
      <c r="J2" s="406" t="s">
        <v>442</v>
      </c>
      <c r="K2" s="406"/>
      <c r="L2" s="406"/>
      <c r="M2" s="406"/>
      <c r="N2" s="406"/>
      <c r="O2" s="406"/>
    </row>
    <row r="3" spans="2:15" x14ac:dyDescent="0.15">
      <c r="E3" s="33"/>
      <c r="F3" s="14"/>
      <c r="G3" s="10" t="s">
        <v>783</v>
      </c>
      <c r="H3" s="10" t="s">
        <v>784</v>
      </c>
      <c r="K3" s="10" t="s">
        <v>783</v>
      </c>
      <c r="L3" s="10" t="s">
        <v>784</v>
      </c>
      <c r="M3" s="10"/>
      <c r="N3" s="10" t="s">
        <v>1058</v>
      </c>
      <c r="O3" s="10" t="s">
        <v>1059</v>
      </c>
    </row>
    <row r="4" spans="2:15" x14ac:dyDescent="0.15">
      <c r="B4" s="33" t="s">
        <v>798</v>
      </c>
      <c r="C4" s="9">
        <v>15000</v>
      </c>
      <c r="D4" s="9">
        <v>25000</v>
      </c>
      <c r="E4" s="33"/>
      <c r="G4" s="34"/>
      <c r="H4" s="33"/>
      <c r="J4" s="135" t="s">
        <v>443</v>
      </c>
    </row>
    <row r="5" spans="2:15" x14ac:dyDescent="0.15">
      <c r="B5" s="47" t="s">
        <v>785</v>
      </c>
      <c r="C5" s="9">
        <v>3500</v>
      </c>
      <c r="D5" s="9">
        <v>5000</v>
      </c>
      <c r="E5" s="66"/>
      <c r="F5" s="33" t="s">
        <v>774</v>
      </c>
      <c r="G5" s="9">
        <v>0</v>
      </c>
      <c r="H5" s="9">
        <f>+G8</f>
        <v>12500</v>
      </c>
      <c r="J5" s="135" t="s">
        <v>444</v>
      </c>
    </row>
    <row r="6" spans="2:15" x14ac:dyDescent="0.15">
      <c r="B6" s="33" t="s">
        <v>777</v>
      </c>
      <c r="C6" s="9">
        <f>+C4-C5</f>
        <v>11500</v>
      </c>
      <c r="D6" s="9">
        <f>+D4-D5</f>
        <v>20000</v>
      </c>
      <c r="E6" s="66"/>
      <c r="F6" s="33" t="s">
        <v>798</v>
      </c>
      <c r="G6" s="9">
        <f>+C4</f>
        <v>15000</v>
      </c>
      <c r="H6" s="9">
        <f>+D4</f>
        <v>25000</v>
      </c>
      <c r="J6" s="127" t="s">
        <v>440</v>
      </c>
      <c r="K6" s="9">
        <f>+C45</f>
        <v>14625</v>
      </c>
      <c r="L6" s="66">
        <f>+D45</f>
        <v>12825</v>
      </c>
      <c r="M6" s="66"/>
      <c r="N6" t="s">
        <v>300</v>
      </c>
      <c r="O6" s="33" t="s">
        <v>1067</v>
      </c>
    </row>
    <row r="7" spans="2:15" x14ac:dyDescent="0.15">
      <c r="C7" s="9"/>
      <c r="D7" s="9"/>
      <c r="F7" s="33" t="s">
        <v>775</v>
      </c>
      <c r="G7" s="9">
        <v>2500</v>
      </c>
      <c r="H7" s="9">
        <v>9000</v>
      </c>
      <c r="J7" s="127" t="s">
        <v>445</v>
      </c>
      <c r="K7" s="9">
        <f>+G8</f>
        <v>12500</v>
      </c>
      <c r="L7" s="66">
        <f>+H8</f>
        <v>28500</v>
      </c>
      <c r="M7" s="66"/>
      <c r="N7" t="s">
        <v>793</v>
      </c>
      <c r="O7" s="33" t="s">
        <v>1062</v>
      </c>
    </row>
    <row r="8" spans="2:15" x14ac:dyDescent="0.15">
      <c r="B8" s="47" t="s">
        <v>778</v>
      </c>
      <c r="C8" s="9">
        <v>1500</v>
      </c>
      <c r="D8" s="9">
        <v>2000</v>
      </c>
      <c r="E8" s="66"/>
      <c r="F8" s="33" t="s">
        <v>776</v>
      </c>
      <c r="G8" s="9">
        <f>+G5+G6-G7</f>
        <v>12500</v>
      </c>
      <c r="H8" s="9">
        <f>+H5+H6-H7</f>
        <v>28500</v>
      </c>
      <c r="J8" s="127" t="s">
        <v>446</v>
      </c>
      <c r="K8" s="9">
        <f>+G33</f>
        <v>500</v>
      </c>
      <c r="L8" s="66">
        <f>+H30</f>
        <v>1500</v>
      </c>
      <c r="M8" s="66"/>
      <c r="N8" t="s">
        <v>446</v>
      </c>
      <c r="O8" s="33" t="s">
        <v>1063</v>
      </c>
    </row>
    <row r="9" spans="2:15" x14ac:dyDescent="0.15">
      <c r="B9" s="47" t="s">
        <v>779</v>
      </c>
      <c r="C9" s="9">
        <v>1000</v>
      </c>
      <c r="D9" s="9">
        <v>1000</v>
      </c>
      <c r="G9" s="9"/>
      <c r="H9" s="9"/>
      <c r="J9" s="135" t="s">
        <v>447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780</v>
      </c>
      <c r="C10" s="9">
        <v>2500</v>
      </c>
      <c r="D10" s="9">
        <v>2500</v>
      </c>
      <c r="F10" s="33" t="s">
        <v>1031</v>
      </c>
      <c r="G10" s="9">
        <f>+G7</f>
        <v>2500</v>
      </c>
      <c r="H10" s="9">
        <f>+H7</f>
        <v>9000</v>
      </c>
      <c r="J10" s="136" t="s">
        <v>441</v>
      </c>
    </row>
    <row r="11" spans="2:15" x14ac:dyDescent="0.15">
      <c r="B11" s="47" t="s">
        <v>781</v>
      </c>
      <c r="C11" s="9">
        <v>1500</v>
      </c>
      <c r="D11" s="9">
        <v>2500</v>
      </c>
      <c r="E11" s="66"/>
      <c r="F11" s="33" t="s">
        <v>1032</v>
      </c>
      <c r="G11" s="9">
        <f>+G8-G5</f>
        <v>12500</v>
      </c>
      <c r="H11" s="9">
        <f>+H8-H5</f>
        <v>16000</v>
      </c>
      <c r="J11" s="135" t="s">
        <v>448</v>
      </c>
    </row>
    <row r="12" spans="2:15" x14ac:dyDescent="0.15">
      <c r="B12" s="47" t="s">
        <v>1043</v>
      </c>
      <c r="C12" s="66">
        <f>SUM(C8:C11)</f>
        <v>6500</v>
      </c>
      <c r="D12" s="66">
        <f>SUM(D8:D11)</f>
        <v>8000</v>
      </c>
      <c r="J12" s="127" t="s">
        <v>269</v>
      </c>
      <c r="K12" s="9">
        <f>+G58</f>
        <v>30000</v>
      </c>
      <c r="L12" s="66">
        <f>+H58</f>
        <v>30000</v>
      </c>
      <c r="M12" s="66"/>
      <c r="N12" t="s">
        <v>283</v>
      </c>
      <c r="O12" s="33" t="s">
        <v>1066</v>
      </c>
    </row>
    <row r="13" spans="2:15" x14ac:dyDescent="0.15">
      <c r="B13" s="47" t="s">
        <v>167</v>
      </c>
      <c r="C13" s="9">
        <v>500</v>
      </c>
      <c r="D13" s="9">
        <v>500</v>
      </c>
      <c r="F13" s="406" t="s">
        <v>1044</v>
      </c>
      <c r="G13" s="406"/>
      <c r="H13" s="406"/>
      <c r="J13" s="127" t="s">
        <v>273</v>
      </c>
      <c r="K13" s="9">
        <f>+G61</f>
        <v>500</v>
      </c>
      <c r="L13" s="66">
        <f>+H61</f>
        <v>1000</v>
      </c>
      <c r="M13" s="66"/>
      <c r="N13" t="s">
        <v>283</v>
      </c>
      <c r="O13" s="33" t="s">
        <v>1066</v>
      </c>
    </row>
    <row r="14" spans="2:15" x14ac:dyDescent="0.15">
      <c r="B14" s="44" t="s">
        <v>782</v>
      </c>
      <c r="C14" s="66">
        <f>+C13+C12</f>
        <v>7000</v>
      </c>
      <c r="D14" s="66">
        <f>+D13+D12</f>
        <v>8500</v>
      </c>
      <c r="E14" s="9"/>
      <c r="F14" s="14"/>
      <c r="G14" s="10" t="s">
        <v>783</v>
      </c>
      <c r="H14" s="14" t="s">
        <v>784</v>
      </c>
      <c r="J14" s="135" t="s">
        <v>449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458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774</v>
      </c>
      <c r="G16" s="9">
        <v>0</v>
      </c>
      <c r="H16" s="66">
        <f>+G19</f>
        <v>1000</v>
      </c>
      <c r="J16" s="135" t="s">
        <v>450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300</v>
      </c>
      <c r="E17" s="9"/>
      <c r="F17" s="33" t="s">
        <v>786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795</v>
      </c>
      <c r="G18" s="9">
        <f>+G17*0.75</f>
        <v>3000</v>
      </c>
      <c r="H18" s="9">
        <f>+H17*0.8</f>
        <v>4800</v>
      </c>
      <c r="J18" s="135" t="s">
        <v>1026</v>
      </c>
    </row>
    <row r="19" spans="2:15" x14ac:dyDescent="0.15">
      <c r="B19" s="14" t="s">
        <v>772</v>
      </c>
      <c r="E19" s="9"/>
      <c r="F19" s="33" t="s">
        <v>776</v>
      </c>
      <c r="G19" s="9">
        <f>+G16+G17-G18</f>
        <v>1000</v>
      </c>
      <c r="H19" s="66">
        <f>+H16+H17-H18</f>
        <v>2200</v>
      </c>
      <c r="J19" s="135" t="s">
        <v>451</v>
      </c>
    </row>
    <row r="20" spans="2:15" x14ac:dyDescent="0.15">
      <c r="B20" s="136" t="s">
        <v>458</v>
      </c>
      <c r="C20" s="66">
        <f>+C15</f>
        <v>4500</v>
      </c>
      <c r="D20" s="66">
        <f>+D15</f>
        <v>11500</v>
      </c>
      <c r="E20" s="9"/>
      <c r="J20" s="127" t="s">
        <v>358</v>
      </c>
      <c r="K20" s="9">
        <f>+G19+G42</f>
        <v>2625</v>
      </c>
      <c r="L20" s="66">
        <f>+H19+H42</f>
        <v>5825</v>
      </c>
      <c r="M20" s="66"/>
      <c r="N20" s="33" t="s">
        <v>1061</v>
      </c>
      <c r="O20" s="33" t="s">
        <v>1064</v>
      </c>
    </row>
    <row r="21" spans="2:15" x14ac:dyDescent="0.15">
      <c r="E21" s="9"/>
      <c r="F21" s="33" t="s">
        <v>1034</v>
      </c>
      <c r="G21" s="66">
        <f>+G18*-1</f>
        <v>-3000</v>
      </c>
      <c r="H21" s="66">
        <f>+H18*-1</f>
        <v>-4800</v>
      </c>
      <c r="J21" s="135" t="s">
        <v>452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802</v>
      </c>
      <c r="E22" s="9"/>
      <c r="F22" s="33" t="s">
        <v>1033</v>
      </c>
      <c r="G22" s="66">
        <f>+G19-G16</f>
        <v>1000</v>
      </c>
      <c r="H22" s="66">
        <f>+H19-H16</f>
        <v>1200</v>
      </c>
      <c r="J22" s="136" t="s">
        <v>441</v>
      </c>
    </row>
    <row r="23" spans="2:15" x14ac:dyDescent="0.15">
      <c r="B23" s="127" t="s">
        <v>473</v>
      </c>
      <c r="C23" s="9">
        <f>+C13</f>
        <v>500</v>
      </c>
      <c r="D23" s="9">
        <f>+D13</f>
        <v>500</v>
      </c>
      <c r="E23" s="9"/>
      <c r="J23" s="135" t="s">
        <v>453</v>
      </c>
    </row>
    <row r="24" spans="2:15" x14ac:dyDescent="0.15">
      <c r="B24" s="127" t="s">
        <v>460</v>
      </c>
      <c r="C24" s="70">
        <f>+G11*-1</f>
        <v>-12500</v>
      </c>
      <c r="D24" s="70">
        <f>+H11*-1</f>
        <v>-16000</v>
      </c>
      <c r="F24" s="406" t="s">
        <v>446</v>
      </c>
      <c r="G24" s="406"/>
      <c r="H24" s="406"/>
      <c r="J24" s="127" t="s">
        <v>454</v>
      </c>
      <c r="K24" s="9">
        <v>0</v>
      </c>
      <c r="L24" s="9">
        <v>0</v>
      </c>
      <c r="M24" s="9"/>
      <c r="N24" t="s">
        <v>1060</v>
      </c>
      <c r="O24" s="33" t="s">
        <v>1065</v>
      </c>
    </row>
    <row r="25" spans="2:15" x14ac:dyDescent="0.15">
      <c r="B25" s="127" t="s">
        <v>461</v>
      </c>
      <c r="C25" s="9">
        <f>+G33*-1</f>
        <v>-500</v>
      </c>
      <c r="D25" s="9">
        <f>+H33*-1</f>
        <v>-1000</v>
      </c>
      <c r="E25" s="66"/>
      <c r="F25" s="14"/>
      <c r="G25" s="10" t="s">
        <v>783</v>
      </c>
      <c r="H25" s="10" t="s">
        <v>784</v>
      </c>
      <c r="J25" s="135" t="s">
        <v>455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789</v>
      </c>
      <c r="C26" s="9">
        <f>+G22</f>
        <v>1000</v>
      </c>
      <c r="D26" s="9">
        <f>+H22</f>
        <v>1200</v>
      </c>
      <c r="G26" s="34"/>
      <c r="H26" s="33"/>
      <c r="J26" s="136" t="s">
        <v>441</v>
      </c>
    </row>
    <row r="27" spans="2:15" x14ac:dyDescent="0.15">
      <c r="B27" s="127" t="s">
        <v>790</v>
      </c>
      <c r="C27" s="9">
        <f>+G45</f>
        <v>1625</v>
      </c>
      <c r="D27" s="9">
        <f>+H45</f>
        <v>2000</v>
      </c>
      <c r="F27" s="33" t="s">
        <v>774</v>
      </c>
      <c r="G27" s="9">
        <v>0</v>
      </c>
      <c r="H27" s="66">
        <f>+G30</f>
        <v>500</v>
      </c>
      <c r="J27" s="135" t="s">
        <v>1050</v>
      </c>
    </row>
    <row r="28" spans="2:15" x14ac:dyDescent="0.15">
      <c r="B28" s="136" t="s">
        <v>803</v>
      </c>
      <c r="C28" s="9">
        <f>SUM(C23:C27)</f>
        <v>-9875</v>
      </c>
      <c r="D28" s="9">
        <f>SUM(D23:D27)</f>
        <v>-13300</v>
      </c>
      <c r="F28" s="33" t="s">
        <v>786</v>
      </c>
      <c r="G28" s="9">
        <v>4000</v>
      </c>
      <c r="H28" s="66">
        <v>6000</v>
      </c>
      <c r="J28" s="127" t="s">
        <v>1028</v>
      </c>
      <c r="K28" s="9">
        <f>+C38</f>
        <v>50000</v>
      </c>
      <c r="L28" s="66">
        <f>+K28</f>
        <v>50000</v>
      </c>
      <c r="M28" s="66"/>
      <c r="N28" t="s">
        <v>300</v>
      </c>
      <c r="O28" s="33" t="s">
        <v>1067</v>
      </c>
    </row>
    <row r="29" spans="2:15" x14ac:dyDescent="0.15">
      <c r="B29" s="137"/>
      <c r="F29" s="33" t="s">
        <v>796</v>
      </c>
      <c r="G29" s="9">
        <f>+C5</f>
        <v>3500</v>
      </c>
      <c r="H29" s="9">
        <f>+D5</f>
        <v>5000</v>
      </c>
      <c r="J29" s="127" t="s">
        <v>947</v>
      </c>
      <c r="L29" s="66">
        <f>+K30</f>
        <v>4500</v>
      </c>
      <c r="M29" s="66"/>
      <c r="N29" s="44" t="s">
        <v>799</v>
      </c>
      <c r="O29" s="33" t="s">
        <v>1067</v>
      </c>
    </row>
    <row r="30" spans="2:15" x14ac:dyDescent="0.15">
      <c r="B30" s="136" t="s">
        <v>1012</v>
      </c>
      <c r="C30" s="66">
        <f>+C20+C28</f>
        <v>-5375</v>
      </c>
      <c r="D30" s="66">
        <f>+D20+D28</f>
        <v>-1800</v>
      </c>
      <c r="F30" s="33" t="s">
        <v>776</v>
      </c>
      <c r="G30" s="9">
        <f>+G27+G28-G29</f>
        <v>500</v>
      </c>
      <c r="H30" s="66">
        <f>+H27+H28-H29</f>
        <v>1500</v>
      </c>
      <c r="J30" s="162" t="s">
        <v>458</v>
      </c>
      <c r="K30" s="9">
        <f>+C15</f>
        <v>4500</v>
      </c>
      <c r="L30" s="66">
        <f>+D15</f>
        <v>11500</v>
      </c>
      <c r="M30" s="66"/>
      <c r="N30" s="44" t="s">
        <v>799</v>
      </c>
      <c r="O30" s="33" t="s">
        <v>1067</v>
      </c>
    </row>
    <row r="31" spans="2:15" x14ac:dyDescent="0.15">
      <c r="J31" s="135" t="s">
        <v>1029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801</v>
      </c>
      <c r="F32" s="33" t="s">
        <v>1034</v>
      </c>
      <c r="G32" s="66">
        <v>0</v>
      </c>
      <c r="H32" s="66">
        <v>0</v>
      </c>
    </row>
    <row r="33" spans="2:14" x14ac:dyDescent="0.15">
      <c r="B33" s="136" t="s">
        <v>463</v>
      </c>
      <c r="C33" s="9">
        <f>+G57*-1</f>
        <v>-30000</v>
      </c>
      <c r="D33" s="9">
        <v>0</v>
      </c>
      <c r="F33" s="33" t="s">
        <v>1035</v>
      </c>
      <c r="G33" s="66">
        <f>+G30-G27</f>
        <v>500</v>
      </c>
      <c r="H33" s="66">
        <f>+H30-H27</f>
        <v>1000</v>
      </c>
      <c r="J33" s="135" t="s">
        <v>1030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459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800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794</v>
      </c>
      <c r="H36" s="10"/>
    </row>
    <row r="37" spans="2:14" x14ac:dyDescent="0.15">
      <c r="B37" s="135" t="s">
        <v>773</v>
      </c>
      <c r="C37" s="9"/>
      <c r="D37" s="9"/>
      <c r="F37" s="14"/>
      <c r="G37" s="10" t="s">
        <v>783</v>
      </c>
      <c r="H37" s="10" t="s">
        <v>784</v>
      </c>
    </row>
    <row r="38" spans="2:14" x14ac:dyDescent="0.15">
      <c r="B38" s="136" t="s">
        <v>1028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1013</v>
      </c>
      <c r="C39" s="9">
        <f>+C38</f>
        <v>50000</v>
      </c>
      <c r="D39" s="9">
        <f>+D38</f>
        <v>0</v>
      </c>
      <c r="F39" s="33" t="s">
        <v>774</v>
      </c>
      <c r="G39" s="9">
        <v>0</v>
      </c>
      <c r="H39" s="66">
        <f>+G42</f>
        <v>1625</v>
      </c>
    </row>
    <row r="40" spans="2:14" x14ac:dyDescent="0.15">
      <c r="F40" s="33" t="s">
        <v>788</v>
      </c>
      <c r="G40" s="9">
        <f>+C12</f>
        <v>6500</v>
      </c>
      <c r="H40" s="9">
        <f>+D12</f>
        <v>8000</v>
      </c>
    </row>
    <row r="41" spans="2:14" x14ac:dyDescent="0.15">
      <c r="F41" s="33" t="s">
        <v>787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464</v>
      </c>
      <c r="C42" s="9">
        <f>+C39+C35+C30</f>
        <v>14625</v>
      </c>
      <c r="D42" s="9">
        <f>+D39+D35+D30</f>
        <v>-1800</v>
      </c>
      <c r="F42" s="33" t="s">
        <v>776</v>
      </c>
      <c r="G42" s="9">
        <f>+G39+G40-G41</f>
        <v>1625</v>
      </c>
      <c r="H42" s="66">
        <f>+H39+H40-H41</f>
        <v>3625</v>
      </c>
      <c r="J42" s="14" t="s">
        <v>948</v>
      </c>
    </row>
    <row r="43" spans="2:14" x14ac:dyDescent="0.15">
      <c r="B43" s="137"/>
      <c r="C43" s="9"/>
      <c r="D43" s="9"/>
    </row>
    <row r="44" spans="2:14" x14ac:dyDescent="0.15">
      <c r="B44" s="136" t="s">
        <v>466</v>
      </c>
      <c r="C44" s="9">
        <v>0</v>
      </c>
      <c r="D44" s="9">
        <f>+C45</f>
        <v>14625</v>
      </c>
      <c r="F44" s="33" t="s">
        <v>1031</v>
      </c>
      <c r="G44" s="66">
        <f>+G41*-1</f>
        <v>-4875</v>
      </c>
      <c r="H44" s="66">
        <f>+H41*-1</f>
        <v>-6000</v>
      </c>
      <c r="J44" s="33" t="s">
        <v>949</v>
      </c>
    </row>
    <row r="45" spans="2:14" x14ac:dyDescent="0.15">
      <c r="B45" s="136" t="s">
        <v>465</v>
      </c>
      <c r="C45" s="9">
        <f>+C44+C42</f>
        <v>14625</v>
      </c>
      <c r="D45" s="9">
        <f>+D44+D42</f>
        <v>12825</v>
      </c>
      <c r="F45" s="33" t="s">
        <v>1036</v>
      </c>
      <c r="G45" s="66">
        <f>+G42-G39</f>
        <v>1625</v>
      </c>
      <c r="H45" s="66">
        <f>+H42-H39</f>
        <v>2000</v>
      </c>
      <c r="J45" s="47" t="s">
        <v>951</v>
      </c>
      <c r="K45" s="102">
        <f>+K16/K21</f>
        <v>21.761904761904763</v>
      </c>
      <c r="L45" s="102">
        <f>+L16/L21</f>
        <v>12.330472103004292</v>
      </c>
      <c r="M45" s="102"/>
      <c r="N45" s="33" t="s">
        <v>954</v>
      </c>
    </row>
    <row r="46" spans="2:14" x14ac:dyDescent="0.15">
      <c r="F46" s="33"/>
      <c r="G46" s="66"/>
      <c r="H46" s="66"/>
      <c r="J46" s="47" t="s">
        <v>952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955</v>
      </c>
    </row>
    <row r="47" spans="2:14" x14ac:dyDescent="0.15">
      <c r="F47" s="14" t="s">
        <v>797</v>
      </c>
      <c r="G47" s="405" t="s">
        <v>440</v>
      </c>
      <c r="H47" s="405"/>
      <c r="J47" s="47" t="s">
        <v>953</v>
      </c>
      <c r="N47" s="33" t="s">
        <v>956</v>
      </c>
    </row>
    <row r="48" spans="2:14" x14ac:dyDescent="0.15">
      <c r="B48" s="10" t="s">
        <v>799</v>
      </c>
      <c r="C48" s="10" t="s">
        <v>783</v>
      </c>
      <c r="D48" s="10" t="s">
        <v>784</v>
      </c>
      <c r="G48" s="10" t="s">
        <v>783</v>
      </c>
      <c r="H48" s="10" t="s">
        <v>784</v>
      </c>
    </row>
    <row r="49" spans="2:14" x14ac:dyDescent="0.15">
      <c r="F49" s="33" t="s">
        <v>246</v>
      </c>
      <c r="G49" s="9">
        <f>+G7</f>
        <v>2500</v>
      </c>
      <c r="H49" s="9">
        <f>+H7</f>
        <v>9000</v>
      </c>
      <c r="J49" s="44" t="s">
        <v>957</v>
      </c>
    </row>
    <row r="50" spans="2:14" x14ac:dyDescent="0.15">
      <c r="B50" s="33" t="s">
        <v>798</v>
      </c>
      <c r="C50" s="9">
        <v>15000</v>
      </c>
      <c r="D50" s="9">
        <v>25000</v>
      </c>
      <c r="F50" s="33" t="s">
        <v>791</v>
      </c>
      <c r="G50" s="9">
        <f>+G21</f>
        <v>-3000</v>
      </c>
      <c r="H50" s="9">
        <f>+H21</f>
        <v>-4800</v>
      </c>
      <c r="J50" s="47" t="s">
        <v>958</v>
      </c>
      <c r="N50" s="33" t="s">
        <v>959</v>
      </c>
    </row>
    <row r="51" spans="2:14" x14ac:dyDescent="0.15">
      <c r="B51" s="47" t="s">
        <v>785</v>
      </c>
      <c r="C51" s="9">
        <v>3500</v>
      </c>
      <c r="D51" s="9">
        <v>5000</v>
      </c>
      <c r="F51" s="33" t="s">
        <v>446</v>
      </c>
      <c r="G51" s="9">
        <f>+G32</f>
        <v>0</v>
      </c>
      <c r="H51" s="9">
        <f>+H32</f>
        <v>0</v>
      </c>
      <c r="J51" s="47" t="s">
        <v>960</v>
      </c>
      <c r="N51" s="33" t="s">
        <v>961</v>
      </c>
    </row>
    <row r="52" spans="2:14" x14ac:dyDescent="0.15">
      <c r="B52" s="33" t="s">
        <v>777</v>
      </c>
      <c r="C52" s="9">
        <f>+C50-C51</f>
        <v>11500</v>
      </c>
      <c r="D52" s="9">
        <f>+D50-D51</f>
        <v>20000</v>
      </c>
      <c r="F52" s="33" t="s">
        <v>792</v>
      </c>
      <c r="G52" s="9">
        <f>+G44</f>
        <v>-4875</v>
      </c>
      <c r="H52" s="9">
        <f>+H44</f>
        <v>-6000</v>
      </c>
      <c r="J52" s="47" t="s">
        <v>962</v>
      </c>
      <c r="N52" s="33" t="s">
        <v>963</v>
      </c>
    </row>
    <row r="53" spans="2:14" x14ac:dyDescent="0.15">
      <c r="B53" s="47" t="s">
        <v>782</v>
      </c>
      <c r="C53" s="66">
        <f>+C14</f>
        <v>7000</v>
      </c>
      <c r="D53" s="66">
        <f>+D14</f>
        <v>8500</v>
      </c>
      <c r="F53" s="33" t="s">
        <v>1014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458</v>
      </c>
      <c r="C54" s="66">
        <f>+C52-C53</f>
        <v>4500</v>
      </c>
      <c r="D54" s="66">
        <f>+D52-D53</f>
        <v>11500</v>
      </c>
      <c r="F54" s="73" t="s">
        <v>283</v>
      </c>
      <c r="G54" s="10" t="s">
        <v>783</v>
      </c>
      <c r="H54" s="10" t="s">
        <v>784</v>
      </c>
      <c r="J54" s="33" t="s">
        <v>950</v>
      </c>
    </row>
    <row r="55" spans="2:14" x14ac:dyDescent="0.15">
      <c r="B55" s="47"/>
      <c r="C55" s="9"/>
      <c r="D55" s="9"/>
      <c r="F55" s="73"/>
      <c r="G55" s="6"/>
      <c r="H55" s="6"/>
      <c r="J55" s="47" t="s">
        <v>964</v>
      </c>
      <c r="N55" s="33" t="s">
        <v>965</v>
      </c>
    </row>
    <row r="56" spans="2:14" x14ac:dyDescent="0.15">
      <c r="B56" s="47"/>
      <c r="C56" s="9"/>
      <c r="D56" s="9"/>
      <c r="F56" s="17" t="s">
        <v>269</v>
      </c>
      <c r="G56" s="3">
        <v>0</v>
      </c>
      <c r="H56" s="3">
        <f>+G58</f>
        <v>30000</v>
      </c>
      <c r="J56" s="47" t="s">
        <v>966</v>
      </c>
      <c r="N56" s="33" t="s">
        <v>967</v>
      </c>
    </row>
    <row r="57" spans="2:14" x14ac:dyDescent="0.15">
      <c r="B57" s="47"/>
      <c r="C57" s="9"/>
      <c r="D57" s="9"/>
      <c r="F57" s="17" t="s">
        <v>270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970</v>
      </c>
      <c r="J2" s="48" t="s">
        <v>973</v>
      </c>
    </row>
    <row r="4" spans="2:10" x14ac:dyDescent="0.15">
      <c r="B4" s="14" t="s">
        <v>949</v>
      </c>
    </row>
    <row r="5" spans="2:10" x14ac:dyDescent="0.15">
      <c r="B5" s="47" t="s">
        <v>951</v>
      </c>
      <c r="C5" s="75" t="s">
        <v>286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978</v>
      </c>
    </row>
    <row r="6" spans="2:10" x14ac:dyDescent="0.15">
      <c r="B6" s="47" t="s">
        <v>980</v>
      </c>
      <c r="C6" s="75" t="s">
        <v>286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985</v>
      </c>
    </row>
    <row r="7" spans="2:10" x14ac:dyDescent="0.15">
      <c r="C7" s="75"/>
    </row>
    <row r="8" spans="2:10" x14ac:dyDescent="0.15">
      <c r="B8" s="14" t="s">
        <v>971</v>
      </c>
      <c r="C8" s="75"/>
    </row>
    <row r="9" spans="2:10" x14ac:dyDescent="0.15">
      <c r="B9" s="47" t="s">
        <v>986</v>
      </c>
      <c r="C9" s="75" t="s">
        <v>286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987</v>
      </c>
    </row>
    <row r="10" spans="2:10" x14ac:dyDescent="0.15">
      <c r="B10" s="47" t="s">
        <v>960</v>
      </c>
      <c r="C10" s="75" t="s">
        <v>286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977</v>
      </c>
    </row>
    <row r="11" spans="2:10" x14ac:dyDescent="0.15">
      <c r="B11" s="47" t="s">
        <v>962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976</v>
      </c>
    </row>
    <row r="12" spans="2:10" x14ac:dyDescent="0.15">
      <c r="C12" s="75"/>
    </row>
    <row r="13" spans="2:10" x14ac:dyDescent="0.15">
      <c r="B13" s="14" t="s">
        <v>950</v>
      </c>
      <c r="C13" s="75"/>
    </row>
    <row r="14" spans="2:10" x14ac:dyDescent="0.15">
      <c r="B14" s="47" t="s">
        <v>964</v>
      </c>
      <c r="C14" s="75" t="s">
        <v>286</v>
      </c>
      <c r="D14" s="258">
        <f>D113/(D20+D28+D33)</f>
        <v>-1.4543648262095357</v>
      </c>
      <c r="E14" s="258">
        <f t="shared" ref="E14:H14" si="0">E113/(E20+E28+E33)</f>
        <v>-6.9088910395154871E-2</v>
      </c>
      <c r="F14" s="258">
        <f t="shared" si="0"/>
        <v>0.16699826560133013</v>
      </c>
      <c r="G14" s="258">
        <f t="shared" si="0"/>
        <v>0.27886672879853303</v>
      </c>
      <c r="H14" s="258">
        <f t="shared" si="0"/>
        <v>0.24834043811114517</v>
      </c>
      <c r="J14" s="48" t="s">
        <v>974</v>
      </c>
    </row>
    <row r="15" spans="2:10" x14ac:dyDescent="0.15">
      <c r="B15" s="47" t="s">
        <v>972</v>
      </c>
      <c r="C15" s="75" t="s">
        <v>286</v>
      </c>
      <c r="D15" s="258">
        <f ca="1">D113/(+D180/2)</f>
        <v>-7.1336689707510716</v>
      </c>
      <c r="E15" s="258">
        <f ca="1">E113/((D180+E180)/2)</f>
        <v>-2.2547055197360297</v>
      </c>
      <c r="F15" s="258">
        <f ca="1">F113/((E180+F180)/2)</f>
        <v>2.0462233779103038</v>
      </c>
      <c r="G15" s="258">
        <f ca="1">G113/((F180+G180)/2)</f>
        <v>1.2369295895325543</v>
      </c>
      <c r="H15" s="258">
        <f ca="1">H113/((G180+H180)/2)</f>
        <v>0.52420537788018717</v>
      </c>
      <c r="J15" s="48" t="s">
        <v>975</v>
      </c>
    </row>
    <row r="17" spans="1:55" ht="12.75" customHeight="1" x14ac:dyDescent="0.2">
      <c r="A17" s="220"/>
      <c r="B17" s="255" t="s">
        <v>979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477</v>
      </c>
      <c r="BC19" s="65"/>
    </row>
    <row r="20" spans="1:55" s="33" customFormat="1" x14ac:dyDescent="0.15">
      <c r="B20" s="47" t="s">
        <v>477</v>
      </c>
      <c r="C20" s="70">
        <f>'FIN-P&amp;L_CWS'!D10</f>
        <v>0</v>
      </c>
      <c r="D20" s="70">
        <f>'FIN-P&amp;L_CWS'!E10</f>
        <v>46544000</v>
      </c>
      <c r="E20" s="70">
        <f>'FIN-P&amp;L_CWS'!F10</f>
        <v>290002100</v>
      </c>
      <c r="F20" s="70">
        <f>'FIN-P&amp;L_CWS'!G10</f>
        <v>598384274.79999995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302</v>
      </c>
      <c r="C21" s="70">
        <f>'FIN-P&amp;L_CWS'!D11</f>
        <v>0</v>
      </c>
      <c r="D21" s="70">
        <f>'FIN-P&amp;L_CWS'!E11</f>
        <v>29142200</v>
      </c>
      <c r="E21" s="70">
        <f>'FIN-P&amp;L_CWS'!F11</f>
        <v>179693525</v>
      </c>
      <c r="F21" s="70">
        <f>'FIN-P&amp;L_CWS'!G11</f>
        <v>346931671.60000008</v>
      </c>
      <c r="G21" s="70">
        <f>'FIN-P&amp;L_CWS'!H11</f>
        <v>685120822.99800003</v>
      </c>
      <c r="H21" s="70">
        <f>'FIN-P&amp;L_CWS'!I11</f>
        <v>752443949.35054517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328</v>
      </c>
      <c r="C22" s="70">
        <f>'FIN-P&amp;L_CWS'!D12</f>
        <v>0</v>
      </c>
      <c r="D22" s="70">
        <f>'FIN-P&amp;L_CWS'!E12</f>
        <v>17401800</v>
      </c>
      <c r="E22" s="70">
        <f>'FIN-P&amp;L_CWS'!F12</f>
        <v>110308575</v>
      </c>
      <c r="F22" s="70">
        <f>'FIN-P&amp;L_CWS'!G12</f>
        <v>251452603.20000005</v>
      </c>
      <c r="G22" s="70">
        <f>'FIN-P&amp;L_CWS'!H12</f>
        <v>460088574.77800024</v>
      </c>
      <c r="H22" s="70">
        <f>'FIN-P&amp;L_CWS'!I12</f>
        <v>439318427.22499526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316</v>
      </c>
      <c r="C23" s="46">
        <f>'FIN-P&amp;L_CWS'!D13</f>
        <v>0</v>
      </c>
      <c r="D23" s="46">
        <f>'FIN-P&amp;L_CWS'!E13</f>
        <v>0.37387848057751805</v>
      </c>
      <c r="E23" s="46">
        <f>'FIN-P&amp;L_CWS'!F13</f>
        <v>0.38037164213638452</v>
      </c>
      <c r="F23" s="46">
        <f>'FIN-P&amp;L_CWS'!G13</f>
        <v>0.42021927010706278</v>
      </c>
      <c r="G23" s="46">
        <f>'FIN-P&amp;L_CWS'!H13</f>
        <v>0.40175061056213257</v>
      </c>
      <c r="H23" s="46">
        <f>'FIN-P&amp;L_CWS'!I13</f>
        <v>0.36862921322231285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347</v>
      </c>
      <c r="BC25" s="65"/>
    </row>
    <row r="26" spans="1:55" s="33" customFormat="1" x14ac:dyDescent="0.15">
      <c r="B26" s="47" t="s">
        <v>347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348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351</v>
      </c>
      <c r="C31" s="70">
        <f>'FIN-P&amp;L_CWS'!D21</f>
        <v>0</v>
      </c>
      <c r="D31" s="70">
        <f>'FIN-P&amp;L_CWS'!E21</f>
        <v>2049000</v>
      </c>
      <c r="E31" s="70">
        <f>'FIN-P&amp;L_CWS'!F21</f>
        <v>13950660</v>
      </c>
      <c r="F31" s="70">
        <f>'FIN-P&amp;L_CWS'!G21</f>
        <v>30458919.600000009</v>
      </c>
      <c r="G31" s="70">
        <f>'FIN-P&amp;L_CWS'!H21</f>
        <v>61867121.586000018</v>
      </c>
      <c r="H31" s="70">
        <f>'FIN-P&amp;L_CWS'!I21</f>
        <v>68171878.888080016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353</v>
      </c>
      <c r="C33" s="70">
        <f>'FIN-P&amp;L_CWS'!D23</f>
        <v>0</v>
      </c>
      <c r="D33" s="70">
        <f>'FIN-P&amp;L_CWS'!E23</f>
        <v>2049000</v>
      </c>
      <c r="E33" s="70">
        <f>'FIN-P&amp;L_CWS'!F23</f>
        <v>13950660</v>
      </c>
      <c r="F33" s="70">
        <f>'FIN-P&amp;L_CWS'!G23</f>
        <v>30458919.600000009</v>
      </c>
      <c r="G33" s="70">
        <f>'FIN-P&amp;L_CWS'!H23</f>
        <v>61867121.586000018</v>
      </c>
      <c r="H33" s="70">
        <f>'FIN-P&amp;L_CWS'!I23</f>
        <v>68171878.888080016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354</v>
      </c>
      <c r="C35" s="70">
        <f>'FIN-P&amp;L_CWS'!D25</f>
        <v>0</v>
      </c>
      <c r="D35" s="70">
        <f>'FIN-P&amp;L_CWS'!E25</f>
        <v>19450800</v>
      </c>
      <c r="E35" s="70">
        <f>'FIN-P&amp;L_CWS'!F25</f>
        <v>124259235</v>
      </c>
      <c r="F35" s="70">
        <f>'FIN-P&amp;L_CWS'!G25</f>
        <v>281911522.80000001</v>
      </c>
      <c r="G35" s="70">
        <f>'FIN-P&amp;L_CWS'!H25</f>
        <v>521955696.36400026</v>
      </c>
      <c r="H35" s="70">
        <f>'FIN-P&amp;L_CWS'!I25</f>
        <v>507490306.1130752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474</v>
      </c>
    </row>
    <row r="38" spans="1:55" x14ac:dyDescent="0.15">
      <c r="B38" s="44"/>
    </row>
    <row r="39" spans="1:55" s="50" customFormat="1" x14ac:dyDescent="0.15">
      <c r="A39" s="74"/>
      <c r="B39" s="128" t="s">
        <v>390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391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417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437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438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406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407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408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410</v>
      </c>
      <c r="C50" s="70">
        <f>'FIN-P&amp;L_CWS'!D40</f>
        <v>0</v>
      </c>
      <c r="D50" s="70">
        <f>'FIN-P&amp;L_CWS'!E40</f>
        <v>10800000</v>
      </c>
      <c r="E50" s="70">
        <f>'FIN-P&amp;L_CWS'!F40</f>
        <v>15840000</v>
      </c>
      <c r="F50" s="70">
        <f>'FIN-P&amp;L_CWS'!G40</f>
        <v>16948800</v>
      </c>
      <c r="G50" s="70">
        <f>'FIN-P&amp;L_CWS'!H40</f>
        <v>18135216</v>
      </c>
      <c r="H50" s="70">
        <f>'FIN-P&amp;L_CWS'!I40</f>
        <v>19404681.120000001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411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478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372</v>
      </c>
      <c r="C53" s="70">
        <f>'FIN-P&amp;L_CWS'!D43</f>
        <v>0</v>
      </c>
      <c r="D53" s="70">
        <f>'FIN-P&amp;L_CWS'!E43</f>
        <v>10800000</v>
      </c>
      <c r="E53" s="70">
        <f>'FIN-P&amp;L_CWS'!F43</f>
        <v>15840000</v>
      </c>
      <c r="F53" s="70">
        <f>'FIN-P&amp;L_CWS'!G43</f>
        <v>16948800</v>
      </c>
      <c r="G53" s="70">
        <f>'FIN-P&amp;L_CWS'!H43</f>
        <v>18135216</v>
      </c>
      <c r="H53" s="70">
        <f>'FIN-P&amp;L_CWS'!I43</f>
        <v>19404681.120000001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20320000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378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4930000</v>
      </c>
      <c r="E59" s="70">
        <f>'FIN-P&amp;L_CWS'!F49</f>
        <v>18960000</v>
      </c>
      <c r="F59" s="70">
        <f>'FIN-P&amp;L_CWS'!G49</f>
        <v>37920000</v>
      </c>
      <c r="G59" s="70">
        <f>'FIN-P&amp;L_CWS'!H49</f>
        <v>37920000</v>
      </c>
      <c r="H59" s="70">
        <f>'FIN-P&amp;L_CWS'!I49</f>
        <v>37920000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498</v>
      </c>
      <c r="C60" s="70">
        <f>'FIN-P&amp;L_CWS'!D50</f>
        <v>0</v>
      </c>
      <c r="D60" s="70">
        <f>'FIN-P&amp;L_CWS'!E50</f>
        <v>25250000</v>
      </c>
      <c r="E60" s="70">
        <f>'FIN-P&amp;L_CWS'!F50</f>
        <v>46440000</v>
      </c>
      <c r="F60" s="70">
        <f>'FIN-P&amp;L_CWS'!G50</f>
        <v>68880000</v>
      </c>
      <c r="G60" s="70">
        <f>'FIN-P&amp;L_CWS'!H50</f>
        <v>68880000</v>
      </c>
      <c r="H60" s="70">
        <f>'FIN-P&amp;L_CWS'!I50</f>
        <v>68880000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378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482</v>
      </c>
      <c r="C67" s="70">
        <f>'FIN-P&amp;L_CWS'!D57</f>
        <v>0</v>
      </c>
      <c r="D67" s="70">
        <f>'FIN-P&amp;L_CWS'!E57</f>
        <v>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483</v>
      </c>
      <c r="BC69" s="167"/>
    </row>
    <row r="70" spans="1:55" x14ac:dyDescent="0.15">
      <c r="B70" s="47" t="s">
        <v>379</v>
      </c>
      <c r="C70" s="70">
        <f>'FIN-P&amp;L_CWS'!D60</f>
        <v>0</v>
      </c>
      <c r="D70" s="70">
        <f>'FIN-P&amp;L_CWS'!E60</f>
        <v>2754000</v>
      </c>
      <c r="E70" s="70">
        <f>'FIN-P&amp;L_CWS'!F60</f>
        <v>9288000</v>
      </c>
      <c r="F70" s="70">
        <f>'FIN-P&amp;L_CWS'!G60</f>
        <v>13776000</v>
      </c>
      <c r="G70" s="70">
        <f>'FIN-P&amp;L_CWS'!H60</f>
        <v>13776000</v>
      </c>
      <c r="H70" s="70">
        <f>'FIN-P&amp;L_CWS'!I60</f>
        <v>13776000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479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484</v>
      </c>
      <c r="C73" s="70">
        <f>'FIN-P&amp;L_CWS'!D63</f>
        <v>0</v>
      </c>
      <c r="D73" s="70">
        <f>'FIN-P&amp;L_CWS'!E63</f>
        <v>2754000</v>
      </c>
      <c r="E73" s="70">
        <f>'FIN-P&amp;L_CWS'!F63</f>
        <v>9288000</v>
      </c>
      <c r="F73" s="70">
        <f>'FIN-P&amp;L_CWS'!G63</f>
        <v>13776000</v>
      </c>
      <c r="G73" s="70">
        <f>'FIN-P&amp;L_CWS'!H63</f>
        <v>13776000</v>
      </c>
      <c r="H73" s="70">
        <f>'FIN-P&amp;L_CWS'!I63</f>
        <v>13776000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480</v>
      </c>
      <c r="C75" s="70">
        <f>'FIN-P&amp;L_CWS'!D65</f>
        <v>0</v>
      </c>
      <c r="D75" s="70">
        <f>'FIN-P&amp;L_CWS'!E65</f>
        <v>28004000</v>
      </c>
      <c r="E75" s="70">
        <f>'FIN-P&amp;L_CWS'!F65</f>
        <v>58728000</v>
      </c>
      <c r="F75" s="70">
        <f>'FIN-P&amp;L_CWS'!G65</f>
        <v>82656000</v>
      </c>
      <c r="G75" s="70">
        <f>'FIN-P&amp;L_CWS'!H65</f>
        <v>82656000</v>
      </c>
      <c r="H75" s="70">
        <f>'FIN-P&amp;L_CWS'!I65</f>
        <v>82656000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178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176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288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1400000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177</v>
      </c>
      <c r="C84" s="70">
        <f>'FIN-P&amp;L_CWS'!D74</f>
        <v>0</v>
      </c>
      <c r="D84" s="70">
        <f>'FIN-P&amp;L_CWS'!E74</f>
        <v>1400000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285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181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174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48500000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289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290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294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179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983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175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297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173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1418750</v>
      </c>
      <c r="E109" s="70">
        <f>'FIN-P&amp;L_CWS'!F99</f>
        <v>1931000.0000000007</v>
      </c>
      <c r="F109" s="70">
        <f>'FIN-P&amp;L_CWS'!G99</f>
        <v>1931000.0000000007</v>
      </c>
      <c r="G109" s="70">
        <f>'FIN-P&amp;L_CWS'!H99</f>
        <v>1931000.0000000007</v>
      </c>
      <c r="H109" s="70">
        <f>'FIN-P&amp;L_CWS'!I99</f>
        <v>1931000.0000000007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287</v>
      </c>
      <c r="C111" s="70">
        <f>'FIN-P&amp;L_CWS'!D101</f>
        <v>0</v>
      </c>
      <c r="D111" s="70">
        <f>'FIN-P&amp;L_CWS'!E101</f>
        <v>90122749.99999997</v>
      </c>
      <c r="E111" s="70">
        <f>'FIN-P&amp;L_CWS'!F101</f>
        <v>145259000.00000003</v>
      </c>
      <c r="F111" s="70">
        <f>'FIN-P&amp;L_CWS'!G101</f>
        <v>176895800</v>
      </c>
      <c r="G111" s="70">
        <f>'FIN-P&amp;L_CWS'!H101</f>
        <v>185342216</v>
      </c>
      <c r="H111" s="70">
        <f>'FIN-P&amp;L_CWS'!I101</f>
        <v>194597681.12000009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458</v>
      </c>
      <c r="C113" s="70">
        <f>'FIN-P&amp;L_CWS'!D103</f>
        <v>0</v>
      </c>
      <c r="D113" s="70">
        <f>'FIN-P&amp;L_CWS'!E103</f>
        <v>-70671949.99999997</v>
      </c>
      <c r="E113" s="70">
        <f>'FIN-P&amp;L_CWS'!F103</f>
        <v>-20999765.000000015</v>
      </c>
      <c r="F113" s="70">
        <f>'FIN-P&amp;L_CWS'!G103</f>
        <v>105015722.80000007</v>
      </c>
      <c r="G113" s="70">
        <f>'FIN-P&amp;L_CWS'!H103</f>
        <v>336613480.36400014</v>
      </c>
      <c r="H113" s="70">
        <f>'FIN-P&amp;L_CWS'!I103</f>
        <v>312892624.99307507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981</v>
      </c>
      <c r="C114" s="70">
        <f>'FIN-P&amp;L_CWS'!D104</f>
        <v>0</v>
      </c>
      <c r="D114" s="70">
        <f>'FIN-P&amp;L_CWS'!E104</f>
        <v>-70671949.99999997</v>
      </c>
      <c r="E114" s="70">
        <f>'FIN-P&amp;L_CWS'!F104</f>
        <v>-91671714.999999985</v>
      </c>
      <c r="F114" s="70">
        <f>'FIN-P&amp;L_CWS'!G104</f>
        <v>13344007.800000086</v>
      </c>
      <c r="G114" s="70">
        <f>'FIN-P&amp;L_CWS'!H104</f>
        <v>349957488.16400021</v>
      </c>
      <c r="H114" s="70">
        <f>'FIN-P&amp;L_CWS'!I104</f>
        <v>662850113.15707529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818</v>
      </c>
    </row>
    <row r="118" spans="2:54" x14ac:dyDescent="0.15">
      <c r="B118" s="136" t="s">
        <v>441</v>
      </c>
    </row>
    <row r="119" spans="2:54" x14ac:dyDescent="0.15">
      <c r="B119" s="135" t="s">
        <v>819</v>
      </c>
    </row>
    <row r="120" spans="2:54" x14ac:dyDescent="0.15">
      <c r="B120" s="136" t="s">
        <v>458</v>
      </c>
      <c r="C120" s="121">
        <f>'FIN-CASHFLOW_CWS'!C5</f>
        <v>0</v>
      </c>
      <c r="D120" s="121">
        <f>'FIN-CASHFLOW_CWS'!D5</f>
        <v>-70671949.99999997</v>
      </c>
      <c r="E120" s="121">
        <f>'FIN-CASHFLOW_CWS'!E5</f>
        <v>-20999765.000000015</v>
      </c>
      <c r="F120" s="121">
        <f>'FIN-CASHFLOW_CWS'!F5</f>
        <v>105015722.80000007</v>
      </c>
      <c r="G120" s="121">
        <f>'FIN-CASHFLOW_CWS'!G5</f>
        <v>336613480.36400014</v>
      </c>
      <c r="H120" s="121">
        <f>'FIN-CASHFLOW_CWS'!H5</f>
        <v>312892624.99307507</v>
      </c>
      <c r="I120" s="121"/>
    </row>
    <row r="121" spans="2:54" x14ac:dyDescent="0.15">
      <c r="B121" s="136" t="s">
        <v>441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969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473</v>
      </c>
      <c r="C123" s="121">
        <f>'FIN-CASHFLOW_CWS'!C8</f>
        <v>0</v>
      </c>
      <c r="D123" s="121">
        <f>'FIN-CASHFLOW_CWS'!D8</f>
        <v>1418750</v>
      </c>
      <c r="E123" s="121">
        <f>'FIN-CASHFLOW_CWS'!E8</f>
        <v>1931000.0000000007</v>
      </c>
      <c r="F123" s="121">
        <f>'FIN-CASHFLOW_CWS'!F8</f>
        <v>1931000.0000000007</v>
      </c>
      <c r="G123" s="121">
        <f>'FIN-CASHFLOW_CWS'!G8</f>
        <v>1931000.0000000007</v>
      </c>
      <c r="H123" s="121">
        <f>'FIN-CASHFLOW_CWS'!H8</f>
        <v>1931000.0000000007</v>
      </c>
      <c r="I123" s="121"/>
    </row>
    <row r="124" spans="2:54" x14ac:dyDescent="0.15">
      <c r="B124" s="127" t="s">
        <v>460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461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462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803</v>
      </c>
      <c r="C128" s="121">
        <f>'FIN-CASHFLOW_CWS'!C13</f>
        <v>0</v>
      </c>
      <c r="D128" s="121">
        <f>'FIN-CASHFLOW_CWS'!D13</f>
        <v>1418750</v>
      </c>
      <c r="E128" s="121">
        <f>'FIN-CASHFLOW_CWS'!E13</f>
        <v>1931000.0000000007</v>
      </c>
      <c r="F128" s="121">
        <f>'FIN-CASHFLOW_CWS'!F13</f>
        <v>1931000.0000000007</v>
      </c>
      <c r="G128" s="121">
        <f>'FIN-CASHFLOW_CWS'!G13</f>
        <v>1931000.0000000007</v>
      </c>
      <c r="H128" s="121">
        <f>'FIN-CASHFLOW_CWS'!H13</f>
        <v>1931000.0000000007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821</v>
      </c>
      <c r="C130" s="121">
        <f>'FIN-CASHFLOW_CWS'!C15</f>
        <v>0</v>
      </c>
      <c r="D130" s="121">
        <f>'FIN-CASHFLOW_CWS'!D15</f>
        <v>-69253199.99999997</v>
      </c>
      <c r="E130" s="121">
        <f>'FIN-CASHFLOW_CWS'!E15</f>
        <v>-19068765.000000015</v>
      </c>
      <c r="F130" s="121">
        <f>'FIN-CASHFLOW_CWS'!F15</f>
        <v>106946722.80000007</v>
      </c>
      <c r="G130" s="121">
        <f>'FIN-CASHFLOW_CWS'!G15</f>
        <v>338544480.36400014</v>
      </c>
      <c r="H130" s="121">
        <f>'FIN-CASHFLOW_CWS'!H15</f>
        <v>314823624.99307507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822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463</v>
      </c>
      <c r="C133" s="121">
        <f>'FIN-CASHFLOW_CWS'!C18</f>
        <v>0</v>
      </c>
      <c r="D133" s="121">
        <f>'FIN-CASHFLOW_CWS'!D18</f>
        <v>-9575000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823</v>
      </c>
      <c r="C135" s="121">
        <f>'FIN-CASHFLOW_CWS'!C20</f>
        <v>0</v>
      </c>
      <c r="D135" s="121">
        <f>'FIN-CASHFLOW_CWS'!D20</f>
        <v>-9575000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824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456</v>
      </c>
      <c r="C138" s="121">
        <f ca="1">'FIN-CASHFLOW_CWS'!C23</f>
        <v>45862500</v>
      </c>
      <c r="D138" s="121">
        <f ca="1">'FIN-CASHFLOW_CWS'!D23</f>
        <v>44623083.149999991</v>
      </c>
      <c r="E138" s="121">
        <f ca="1">'FIN-CASHFLOW_CWS'!E23</f>
        <v>0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464</v>
      </c>
      <c r="C140" s="121">
        <f ca="1">'FIN-CASHFLOW_CWS'!C25</f>
        <v>45862500</v>
      </c>
      <c r="D140" s="121">
        <f ca="1">'FIN-CASHFLOW_CWS'!D25</f>
        <v>-34205116.849999979</v>
      </c>
      <c r="E140" s="121">
        <f ca="1">'FIN-CASHFLOW_CWS'!E25</f>
        <v>-19148765.000000015</v>
      </c>
      <c r="F140" s="121">
        <f ca="1">'FIN-CASHFLOW_CWS'!F25</f>
        <v>106946722.80000007</v>
      </c>
      <c r="G140" s="121">
        <f ca="1">'FIN-CASHFLOW_CWS'!G25</f>
        <v>338544480.36400014</v>
      </c>
      <c r="H140" s="121">
        <f ca="1">'FIN-CASHFLOW_CWS'!H25</f>
        <v>314823624.99307507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466</v>
      </c>
      <c r="C142" s="121">
        <f>'FIN-CASHFLOW_CWS'!C27</f>
        <v>0</v>
      </c>
      <c r="D142" s="121">
        <f ca="1">'FIN-CASHFLOW_CWS'!D27</f>
        <v>45862500</v>
      </c>
      <c r="E142" s="121">
        <f ca="1">'FIN-CASHFLOW_CWS'!E27</f>
        <v>11657383.150000021</v>
      </c>
      <c r="F142" s="121">
        <f ca="1">'FIN-CASHFLOW_CWS'!F27</f>
        <v>-7491381.849999994</v>
      </c>
      <c r="G142" s="121">
        <f ca="1">'FIN-CASHFLOW_CWS'!G27</f>
        <v>99455340.950000077</v>
      </c>
      <c r="H142" s="121">
        <f ca="1">'FIN-CASHFLOW_CWS'!H27</f>
        <v>437999821.31400025</v>
      </c>
      <c r="I142" s="121"/>
    </row>
    <row r="143" spans="2:9" x14ac:dyDescent="0.15">
      <c r="B143" s="136" t="s">
        <v>465</v>
      </c>
      <c r="C143" s="121">
        <f ca="1">'FIN-CASHFLOW_CWS'!C28</f>
        <v>45862500</v>
      </c>
      <c r="D143" s="121">
        <f ca="1">'FIN-CASHFLOW_CWS'!D28</f>
        <v>11657383.150000021</v>
      </c>
      <c r="E143" s="121">
        <f ca="1">'FIN-CASHFLOW_CWS'!E28</f>
        <v>-7491381.849999994</v>
      </c>
      <c r="F143" s="121">
        <f ca="1">'FIN-CASHFLOW_CWS'!F28</f>
        <v>99455340.950000077</v>
      </c>
      <c r="G143" s="121">
        <f ca="1">'FIN-CASHFLOW_CWS'!G28</f>
        <v>437999821.31400025</v>
      </c>
      <c r="H143" s="121">
        <f ca="1">'FIN-CASHFLOW_CWS'!H28</f>
        <v>752823446.30707526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442</v>
      </c>
    </row>
    <row r="146" spans="2:9" x14ac:dyDescent="0.15">
      <c r="B146" s="134"/>
    </row>
    <row r="147" spans="2:9" x14ac:dyDescent="0.15">
      <c r="B147" s="135" t="s">
        <v>443</v>
      </c>
    </row>
    <row r="148" spans="2:9" x14ac:dyDescent="0.15">
      <c r="B148" s="135"/>
    </row>
    <row r="149" spans="2:9" x14ac:dyDescent="0.15">
      <c r="B149" s="135" t="s">
        <v>444</v>
      </c>
    </row>
    <row r="150" spans="2:9" x14ac:dyDescent="0.15">
      <c r="B150" s="136" t="s">
        <v>440</v>
      </c>
      <c r="C150" s="121">
        <f ca="1">'FIN-BALANCE_CWS'!D7</f>
        <v>45862500</v>
      </c>
      <c r="D150" s="121">
        <f ca="1">'FIN-BALANCE_CWS'!E7</f>
        <v>11657383.149999991</v>
      </c>
      <c r="E150" s="121">
        <f ca="1">'FIN-BALANCE_CWS'!F7</f>
        <v>-7491381.8500000238</v>
      </c>
      <c r="F150" s="121">
        <f ca="1">'FIN-BALANCE_CWS'!G7</f>
        <v>99455340.950000033</v>
      </c>
      <c r="G150" s="121">
        <f ca="1">'FIN-BALANCE_CWS'!H7</f>
        <v>437999821.31400037</v>
      </c>
      <c r="H150" s="121">
        <f ca="1">'FIN-BALANCE_CWS'!I7</f>
        <v>752823446.30707562</v>
      </c>
      <c r="I150" s="121"/>
    </row>
    <row r="151" spans="2:9" x14ac:dyDescent="0.15">
      <c r="B151" s="136" t="s">
        <v>445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446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447</v>
      </c>
      <c r="C153" s="121">
        <f ca="1">'FIN-BALANCE_CWS'!D10</f>
        <v>45862500</v>
      </c>
      <c r="D153" s="121">
        <f ca="1">'FIN-BALANCE_CWS'!E10</f>
        <v>11657383.149999991</v>
      </c>
      <c r="E153" s="121">
        <f ca="1">'FIN-BALANCE_CWS'!F10</f>
        <v>-7491381.8500000238</v>
      </c>
      <c r="F153" s="121">
        <f ca="1">'FIN-BALANCE_CWS'!G10</f>
        <v>99455340.950000033</v>
      </c>
      <c r="G153" s="121">
        <f ca="1">'FIN-BALANCE_CWS'!H10</f>
        <v>437999821.31400037</v>
      </c>
      <c r="H153" s="121">
        <f ca="1">'FIN-BALANCE_CWS'!I10</f>
        <v>752823446.30707562</v>
      </c>
      <c r="I153" s="121"/>
    </row>
    <row r="154" spans="2:9" x14ac:dyDescent="0.15">
      <c r="B154" s="136" t="s">
        <v>441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448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269</v>
      </c>
      <c r="C156" s="121">
        <f>'FIN-BALANCE_CWS'!D13</f>
        <v>0</v>
      </c>
      <c r="D156" s="121">
        <f>'FIN-BALANCE_CWS'!E13</f>
        <v>9575000</v>
      </c>
      <c r="E156" s="121">
        <f>'FIN-BALANCE_CWS'!F13</f>
        <v>9655000</v>
      </c>
      <c r="F156" s="121">
        <f>'FIN-BALANCE_CWS'!G13</f>
        <v>9655000</v>
      </c>
      <c r="G156" s="121">
        <f>'FIN-BALANCE_CWS'!H13</f>
        <v>9655000</v>
      </c>
      <c r="H156" s="121">
        <f>'FIN-BALANCE_CWS'!I13</f>
        <v>9655000</v>
      </c>
      <c r="I156" s="121"/>
    </row>
    <row r="157" spans="2:9" x14ac:dyDescent="0.15">
      <c r="B157" s="136" t="s">
        <v>273</v>
      </c>
      <c r="C157" s="121">
        <f>'FIN-BALANCE_CWS'!D14</f>
        <v>0</v>
      </c>
      <c r="D157" s="121">
        <f>'FIN-BALANCE_CWS'!E14</f>
        <v>-1418750</v>
      </c>
      <c r="E157" s="121">
        <f>'FIN-BALANCE_CWS'!F14</f>
        <v>-3349749.9999999991</v>
      </c>
      <c r="F157" s="121">
        <f>'FIN-BALANCE_CWS'!G14</f>
        <v>-5280750</v>
      </c>
      <c r="G157" s="121">
        <f>'FIN-BALANCE_CWS'!H14</f>
        <v>-7211750.0000000037</v>
      </c>
      <c r="H157" s="121">
        <f>'FIN-BALANCE_CWS'!I14</f>
        <v>-9142750.0000000037</v>
      </c>
      <c r="I157" s="121"/>
    </row>
    <row r="158" spans="2:9" x14ac:dyDescent="0.15">
      <c r="B158" s="135" t="s">
        <v>449</v>
      </c>
      <c r="C158" s="121">
        <f>'FIN-BALANCE_CWS'!D15</f>
        <v>0</v>
      </c>
      <c r="D158" s="121">
        <f>'FIN-BALANCE_CWS'!E15</f>
        <v>8156250</v>
      </c>
      <c r="E158" s="121">
        <f>'FIN-BALANCE_CWS'!F15</f>
        <v>6305250.0000000009</v>
      </c>
      <c r="F158" s="121">
        <f>'FIN-BALANCE_CWS'!G15</f>
        <v>4374250</v>
      </c>
      <c r="G158" s="121">
        <f>'FIN-BALANCE_CWS'!H15</f>
        <v>2443249.9999999963</v>
      </c>
      <c r="H158" s="121">
        <f>'FIN-BALANCE_CWS'!I15</f>
        <v>512249.99999999627</v>
      </c>
      <c r="I158" s="121"/>
    </row>
    <row r="159" spans="2:9" x14ac:dyDescent="0.15">
      <c r="B159" s="136" t="s">
        <v>441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450</v>
      </c>
      <c r="C160" s="121">
        <f ca="1">'FIN-BALANCE_CWS'!D17</f>
        <v>45862500</v>
      </c>
      <c r="D160" s="121">
        <f ca="1">'FIN-BALANCE_CWS'!E17</f>
        <v>19813633.149999991</v>
      </c>
      <c r="E160" s="121">
        <f ca="1">'FIN-BALANCE_CWS'!F17</f>
        <v>-1186131.8500000229</v>
      </c>
      <c r="F160" s="121">
        <f ca="1">'FIN-BALANCE_CWS'!G17</f>
        <v>103829590.95000003</v>
      </c>
      <c r="G160" s="121">
        <f ca="1">'FIN-BALANCE_CWS'!H17</f>
        <v>440443071.31400037</v>
      </c>
      <c r="H160" s="121">
        <f ca="1">'FIN-BALANCE_CWS'!I17</f>
        <v>753335696.30707562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1026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358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452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455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1027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1028</v>
      </c>
      <c r="C177" s="121">
        <f ca="1">'FIN-BALANCE_CWS'!D34</f>
        <v>45862500</v>
      </c>
      <c r="D177" s="121">
        <f ca="1">'FIN-BALANCE_CWS'!E34</f>
        <v>90485583.149999991</v>
      </c>
      <c r="E177" s="121">
        <f ca="1">'FIN-BALANCE_CWS'!F34</f>
        <v>90485583.149999991</v>
      </c>
      <c r="F177" s="121">
        <f ca="1">'FIN-BALANCE_CWS'!G34</f>
        <v>90485583.149999991</v>
      </c>
      <c r="G177" s="121">
        <f ca="1">'FIN-BALANCE_CWS'!H34</f>
        <v>90485583.149999991</v>
      </c>
      <c r="H177" s="121">
        <f ca="1">'FIN-BALANCE_CWS'!I34</f>
        <v>90485583.149999991</v>
      </c>
      <c r="I177" s="121"/>
    </row>
    <row r="178" spans="2:9" x14ac:dyDescent="0.15">
      <c r="B178" s="136" t="s">
        <v>457</v>
      </c>
      <c r="C178" s="121">
        <f>'FIN-BALANCE_CWS'!D35</f>
        <v>0</v>
      </c>
      <c r="D178" s="121">
        <f>'FIN-BALANCE_CWS'!E35</f>
        <v>-63893466.666666642</v>
      </c>
      <c r="E178" s="121">
        <f>'FIN-BALANCE_CWS'!F35</f>
        <v>-87274663.333333358</v>
      </c>
      <c r="F178" s="121">
        <f>'FIN-BALANCE_CWS'!G35</f>
        <v>11171099.016666722</v>
      </c>
      <c r="G178" s="121">
        <f>'FIN-BALANCE_CWS'!H35</f>
        <v>334086637.60816687</v>
      </c>
      <c r="H178" s="121">
        <f>'FIN-BALANCE_CWS'!I35</f>
        <v>648605747.81851721</v>
      </c>
      <c r="I178" s="121"/>
    </row>
    <row r="179" spans="2:9" x14ac:dyDescent="0.15">
      <c r="B179" s="137" t="s">
        <v>458</v>
      </c>
      <c r="C179" s="121">
        <f>'FIN-BALANCE_CWS'!D36</f>
        <v>0</v>
      </c>
      <c r="D179" s="121">
        <f>'FIN-BALANCE_CWS'!E36</f>
        <v>-6778483.3333333321</v>
      </c>
      <c r="E179" s="121">
        <f>'FIN-BALANCE_CWS'!F36</f>
        <v>-4397051.6666666679</v>
      </c>
      <c r="F179" s="121">
        <f>'FIN-BALANCE_CWS'!G36</f>
        <v>2172908.7833333313</v>
      </c>
      <c r="G179" s="121">
        <f>'FIN-BALANCE_CWS'!H36</f>
        <v>15870850.55583334</v>
      </c>
      <c r="H179" s="121">
        <f>'FIN-BALANCE_CWS'!I36</f>
        <v>14244365.338558339</v>
      </c>
      <c r="I179" s="121"/>
    </row>
    <row r="180" spans="2:9" x14ac:dyDescent="0.15">
      <c r="B180" s="135" t="s">
        <v>1029</v>
      </c>
      <c r="C180" s="121">
        <f ca="1">'FIN-BALANCE_CWS'!D37</f>
        <v>45862500</v>
      </c>
      <c r="D180" s="121">
        <f ca="1">'FIN-BALANCE_CWS'!E37</f>
        <v>19813633.150000017</v>
      </c>
      <c r="E180" s="121">
        <f ca="1">'FIN-BALANCE_CWS'!F37</f>
        <v>-1186131.850000035</v>
      </c>
      <c r="F180" s="121">
        <f ca="1">'FIN-BALANCE_CWS'!G37</f>
        <v>103829590.95000005</v>
      </c>
      <c r="G180" s="121">
        <f ca="1">'FIN-BALANCE_CWS'!H37</f>
        <v>440443071.31400019</v>
      </c>
      <c r="H180" s="121">
        <f ca="1">'FIN-BALANCE_CWS'!I37</f>
        <v>753335696.3070755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1030</v>
      </c>
      <c r="C182" s="121">
        <f ca="1">'FIN-BALANCE_CWS'!D39</f>
        <v>45862500</v>
      </c>
      <c r="D182" s="121">
        <f ca="1">'FIN-BALANCE_CWS'!E39</f>
        <v>19813633.150000017</v>
      </c>
      <c r="E182" s="121">
        <f ca="1">'FIN-BALANCE_CWS'!F39</f>
        <v>-1186131.850000035</v>
      </c>
      <c r="F182" s="121">
        <f ca="1">'FIN-BALANCE_CWS'!G39</f>
        <v>103829590.95000005</v>
      </c>
      <c r="G182" s="121">
        <f ca="1">'FIN-BALANCE_CWS'!H39</f>
        <v>440443071.31400019</v>
      </c>
      <c r="H182" s="121">
        <f ca="1">'FIN-BALANCE_CWS'!I39</f>
        <v>753335696.3070755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406" t="s">
        <v>35</v>
      </c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 t="s">
        <v>36</v>
      </c>
      <c r="Q1" s="406"/>
      <c r="R1" s="406"/>
      <c r="S1" s="406"/>
      <c r="T1" s="406"/>
      <c r="U1" s="406"/>
      <c r="V1" s="406"/>
      <c r="W1" s="406"/>
      <c r="X1" s="406"/>
      <c r="Y1" s="406"/>
      <c r="Z1" s="406"/>
      <c r="AA1" s="406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1037</v>
      </c>
      <c r="C4" s="230" t="s">
        <v>314</v>
      </c>
      <c r="D4" s="27"/>
      <c r="E4" s="27"/>
      <c r="F4" s="27"/>
      <c r="G4" s="10"/>
      <c r="H4" s="230" t="s">
        <v>314</v>
      </c>
      <c r="I4" s="10"/>
      <c r="J4" s="10"/>
      <c r="K4" s="10"/>
      <c r="L4" s="10"/>
      <c r="M4" s="10"/>
      <c r="N4" s="230" t="s">
        <v>314</v>
      </c>
      <c r="O4" s="10"/>
      <c r="P4" s="10"/>
      <c r="Q4" s="10"/>
      <c r="R4" s="10"/>
      <c r="S4" s="230" t="s">
        <v>941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1038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811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1079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1049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520</v>
      </c>
      <c r="C12" s="233"/>
      <c r="H12" s="233"/>
      <c r="N12" s="233"/>
      <c r="S12" s="233"/>
      <c r="V12" s="233"/>
    </row>
    <row r="13" spans="1:37" x14ac:dyDescent="0.15">
      <c r="B13" s="47" t="s">
        <v>567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1039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809</v>
      </c>
      <c r="C17" s="233"/>
      <c r="H17" s="233"/>
      <c r="N17" s="233"/>
      <c r="S17" s="233"/>
      <c r="V17" s="233"/>
    </row>
    <row r="18" spans="2:23" x14ac:dyDescent="0.15">
      <c r="B18" s="16" t="s">
        <v>812</v>
      </c>
      <c r="C18" s="233"/>
      <c r="H18" s="233"/>
      <c r="N18" s="233"/>
      <c r="S18" s="233"/>
      <c r="V18" s="233"/>
    </row>
    <row r="19" spans="2:23" x14ac:dyDescent="0.15">
      <c r="B19" s="16" t="s">
        <v>810</v>
      </c>
      <c r="C19" s="233"/>
      <c r="H19" s="233"/>
      <c r="N19" s="233"/>
      <c r="S19" s="233"/>
      <c r="V19" s="233"/>
    </row>
    <row r="20" spans="2:23" x14ac:dyDescent="0.15">
      <c r="B20" s="47" t="s">
        <v>534</v>
      </c>
      <c r="C20" s="233"/>
      <c r="H20" s="233"/>
      <c r="N20" s="233"/>
      <c r="S20" s="233"/>
      <c r="V20" s="233"/>
    </row>
    <row r="21" spans="2:23" x14ac:dyDescent="0.15">
      <c r="B21" s="47" t="s">
        <v>804</v>
      </c>
      <c r="C21" s="233"/>
      <c r="H21" s="233"/>
      <c r="N21" s="233"/>
      <c r="S21" s="233"/>
      <c r="V21" s="233"/>
    </row>
    <row r="22" spans="2:23" x14ac:dyDescent="0.15">
      <c r="B22" s="47" t="s">
        <v>805</v>
      </c>
      <c r="C22" s="233"/>
      <c r="H22" s="233"/>
      <c r="N22" s="233"/>
      <c r="S22" s="233"/>
      <c r="V22" s="233"/>
    </row>
    <row r="23" spans="2:23" x14ac:dyDescent="0.15">
      <c r="B23" s="47" t="s">
        <v>806</v>
      </c>
      <c r="C23" s="233"/>
      <c r="H23" s="233"/>
      <c r="N23" s="233"/>
      <c r="S23" s="233"/>
      <c r="V23" s="233"/>
    </row>
    <row r="24" spans="2:23" x14ac:dyDescent="0.15">
      <c r="B24" s="47" t="s">
        <v>807</v>
      </c>
      <c r="C24" s="233"/>
      <c r="H24" s="233"/>
      <c r="N24" s="233"/>
      <c r="S24" s="233"/>
      <c r="V24" s="233"/>
    </row>
    <row r="25" spans="2:23" x14ac:dyDescent="0.15">
      <c r="B25" s="47" t="s">
        <v>808</v>
      </c>
      <c r="C25" s="233"/>
      <c r="H25" s="233"/>
      <c r="N25" s="233"/>
      <c r="S25" s="233"/>
      <c r="V25" s="233"/>
    </row>
    <row r="26" spans="2:23" ht="18" x14ac:dyDescent="0.2">
      <c r="B26" s="14" t="s">
        <v>813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558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518</v>
      </c>
      <c r="C29" s="233"/>
      <c r="H29" s="233"/>
      <c r="N29" s="233"/>
      <c r="S29" s="232"/>
      <c r="V29" s="233"/>
    </row>
    <row r="30" spans="2:23" x14ac:dyDescent="0.15">
      <c r="B30" s="47" t="s">
        <v>519</v>
      </c>
      <c r="C30" s="233"/>
      <c r="H30" s="233"/>
      <c r="N30" s="233"/>
      <c r="S30" s="232"/>
      <c r="V30" s="233"/>
    </row>
    <row r="31" spans="2:23" x14ac:dyDescent="0.15">
      <c r="B31" s="14" t="s">
        <v>814</v>
      </c>
      <c r="C31" s="233"/>
      <c r="H31" s="233"/>
      <c r="N31" s="233"/>
      <c r="S31" s="232"/>
      <c r="V31" s="233"/>
    </row>
    <row r="32" spans="2:23" x14ac:dyDescent="0.15">
      <c r="B32" s="47" t="s">
        <v>543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689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690</v>
      </c>
      <c r="C34" s="233"/>
      <c r="H34" s="233"/>
      <c r="N34" s="233"/>
      <c r="S34" s="232"/>
      <c r="V34" s="233"/>
    </row>
    <row r="35" spans="2:22" x14ac:dyDescent="0.15">
      <c r="B35" s="47" t="s">
        <v>691</v>
      </c>
      <c r="C35" s="233"/>
      <c r="H35" s="233"/>
      <c r="N35" s="233"/>
      <c r="S35" s="233"/>
      <c r="V35" s="232"/>
    </row>
    <row r="36" spans="2:22" x14ac:dyDescent="0.15">
      <c r="B36" s="47" t="s">
        <v>692</v>
      </c>
      <c r="C36" s="233"/>
      <c r="H36" s="233"/>
      <c r="N36" s="233"/>
      <c r="S36" s="233"/>
      <c r="V36" s="232"/>
    </row>
    <row r="37" spans="2:22" x14ac:dyDescent="0.15">
      <c r="B37" s="16" t="s">
        <v>815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528</v>
      </c>
      <c r="C39" s="232"/>
      <c r="H39" s="233"/>
      <c r="N39" s="233"/>
      <c r="S39" s="233"/>
      <c r="V39" s="233"/>
    </row>
    <row r="40" spans="2:22" x14ac:dyDescent="0.15">
      <c r="B40" s="106" t="s">
        <v>324</v>
      </c>
      <c r="C40" s="232"/>
      <c r="H40" s="233"/>
      <c r="N40" s="233"/>
      <c r="S40" s="233"/>
      <c r="V40" s="233"/>
    </row>
    <row r="41" spans="2:22" x14ac:dyDescent="0.15">
      <c r="B41" s="106" t="s">
        <v>325</v>
      </c>
      <c r="C41" s="232"/>
      <c r="H41" s="233"/>
      <c r="N41" s="233"/>
      <c r="S41" s="233"/>
      <c r="V41" s="233"/>
    </row>
    <row r="42" spans="2:22" x14ac:dyDescent="0.15">
      <c r="B42" s="106" t="s">
        <v>541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529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726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185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538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555</v>
      </c>
      <c r="C61" s="233"/>
      <c r="H61" s="233"/>
      <c r="N61" s="233"/>
      <c r="S61" s="233"/>
      <c r="V61" s="233"/>
    </row>
    <row r="62" spans="2:22" x14ac:dyDescent="0.15">
      <c r="B62" s="106" t="s">
        <v>535</v>
      </c>
      <c r="C62" s="233"/>
      <c r="H62" s="233"/>
      <c r="N62" s="233"/>
      <c r="S62" s="233"/>
      <c r="V62" s="233"/>
    </row>
    <row r="63" spans="2:22" x14ac:dyDescent="0.15">
      <c r="B63" s="106" t="s">
        <v>521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539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555</v>
      </c>
      <c r="C66" s="233"/>
      <c r="H66" s="233"/>
      <c r="N66" s="233"/>
      <c r="S66" s="233"/>
      <c r="V66" s="233"/>
    </row>
    <row r="67" spans="2:22" x14ac:dyDescent="0.15">
      <c r="B67" s="106" t="s">
        <v>535</v>
      </c>
      <c r="C67" s="233"/>
      <c r="H67" s="233"/>
      <c r="N67" s="233"/>
      <c r="S67" s="233"/>
      <c r="V67" s="233"/>
    </row>
    <row r="68" spans="2:22" x14ac:dyDescent="0.15">
      <c r="B68" s="106" t="s">
        <v>521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509</v>
      </c>
      <c r="C72" s="233"/>
      <c r="H72" s="233"/>
      <c r="N72" s="233"/>
      <c r="S72" s="233"/>
      <c r="V72" s="233"/>
    </row>
    <row r="73" spans="2:22" x14ac:dyDescent="0.15">
      <c r="B73" s="47" t="s">
        <v>537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1084</v>
      </c>
      <c r="C76" s="233"/>
      <c r="H76" s="233"/>
      <c r="N76" s="233"/>
      <c r="S76" s="233"/>
      <c r="V76" s="233"/>
    </row>
    <row r="77" spans="2:22" x14ac:dyDescent="0.15">
      <c r="B77" s="47" t="s">
        <v>1085</v>
      </c>
      <c r="C77" s="233"/>
      <c r="H77" s="233"/>
      <c r="N77" s="233"/>
      <c r="S77" s="233"/>
      <c r="V77" s="233"/>
    </row>
    <row r="78" spans="2:22" x14ac:dyDescent="0.15">
      <c r="B78" s="16" t="s">
        <v>395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528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722</v>
      </c>
      <c r="C82" s="233"/>
      <c r="H82" s="233"/>
      <c r="N82" s="233"/>
      <c r="S82" s="233"/>
      <c r="V82" s="233"/>
    </row>
    <row r="83" spans="2:22" x14ac:dyDescent="0.15">
      <c r="B83" s="106" t="s">
        <v>508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507</v>
      </c>
      <c r="C86" s="233"/>
      <c r="H86" s="233"/>
      <c r="N86" s="233"/>
      <c r="S86" s="233"/>
      <c r="V86" s="233"/>
    </row>
    <row r="87" spans="2:22" x14ac:dyDescent="0.15">
      <c r="B87" s="106" t="s">
        <v>515</v>
      </c>
      <c r="C87" s="233"/>
      <c r="H87" s="233"/>
      <c r="N87" s="233"/>
      <c r="S87" s="233"/>
      <c r="V87" s="233"/>
    </row>
    <row r="88" spans="2:22" x14ac:dyDescent="0.15">
      <c r="B88" s="106" t="s">
        <v>516</v>
      </c>
      <c r="C88" s="233"/>
      <c r="H88" s="233"/>
      <c r="N88" s="233"/>
      <c r="S88" s="233"/>
      <c r="V88" s="233"/>
    </row>
    <row r="89" spans="2:22" x14ac:dyDescent="0.15">
      <c r="B89" s="106" t="s">
        <v>412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723</v>
      </c>
      <c r="C92" s="233"/>
      <c r="H92" s="233"/>
      <c r="N92" s="233"/>
      <c r="S92" s="233"/>
      <c r="V92" s="233"/>
    </row>
    <row r="93" spans="2:22" x14ac:dyDescent="0.15">
      <c r="B93" s="106" t="s">
        <v>508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507</v>
      </c>
      <c r="C96" s="233"/>
      <c r="H96" s="233"/>
      <c r="N96" s="233"/>
      <c r="S96" s="233"/>
      <c r="V96" s="233"/>
    </row>
    <row r="97" spans="2:22" x14ac:dyDescent="0.15">
      <c r="B97" s="106" t="s">
        <v>515</v>
      </c>
      <c r="C97" s="233"/>
      <c r="H97" s="233"/>
      <c r="N97" s="233"/>
      <c r="S97" s="233"/>
      <c r="V97" s="233"/>
    </row>
    <row r="98" spans="2:22" x14ac:dyDescent="0.15">
      <c r="B98" s="106" t="s">
        <v>516</v>
      </c>
      <c r="C98" s="233"/>
      <c r="H98" s="233"/>
      <c r="N98" s="233"/>
      <c r="S98" s="233"/>
      <c r="V98" s="233"/>
    </row>
    <row r="99" spans="2:22" x14ac:dyDescent="0.15">
      <c r="B99" s="106" t="s">
        <v>561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186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187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188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182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418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548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510</v>
      </c>
      <c r="C116" s="233"/>
      <c r="H116" s="233"/>
      <c r="N116" s="233"/>
      <c r="S116" s="233"/>
      <c r="V116" s="233"/>
    </row>
    <row r="117" spans="2:25" x14ac:dyDescent="0.15">
      <c r="B117" s="47" t="s">
        <v>511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183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548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513</v>
      </c>
      <c r="C124" s="233"/>
      <c r="H124" s="233"/>
      <c r="N124" s="233"/>
      <c r="S124" s="233"/>
      <c r="V124" s="233"/>
    </row>
    <row r="125" spans="2:25" x14ac:dyDescent="0.15">
      <c r="B125" s="47" t="s">
        <v>558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518</v>
      </c>
      <c r="C127" s="233"/>
      <c r="H127" s="233"/>
      <c r="N127" s="233"/>
      <c r="S127" s="232"/>
      <c r="V127" s="233"/>
    </row>
    <row r="128" spans="2:25" x14ac:dyDescent="0.15">
      <c r="B128" s="47" t="s">
        <v>519</v>
      </c>
      <c r="C128" s="233"/>
      <c r="H128" s="233"/>
      <c r="N128" s="233"/>
      <c r="S128" s="232"/>
      <c r="V128" s="233"/>
    </row>
    <row r="129" spans="2:22" x14ac:dyDescent="0.15">
      <c r="B129" s="47" t="s">
        <v>543</v>
      </c>
      <c r="C129" s="233"/>
      <c r="H129" s="233"/>
      <c r="N129" s="233"/>
      <c r="S129" s="233"/>
      <c r="V129" s="233"/>
    </row>
    <row r="130" spans="2:22" x14ac:dyDescent="0.15">
      <c r="B130" s="47" t="s">
        <v>689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690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691</v>
      </c>
      <c r="C132" s="233"/>
      <c r="H132" s="233"/>
      <c r="N132" s="233"/>
      <c r="S132" s="232"/>
      <c r="V132" s="233"/>
    </row>
    <row r="133" spans="2:22" x14ac:dyDescent="0.15">
      <c r="B133" s="47" t="s">
        <v>692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546</v>
      </c>
      <c r="C136" s="233"/>
      <c r="H136" s="233"/>
      <c r="N136" s="233"/>
      <c r="S136" s="233"/>
      <c r="V136" s="233"/>
    </row>
    <row r="137" spans="2:22" x14ac:dyDescent="0.15">
      <c r="B137" s="47" t="s">
        <v>545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512</v>
      </c>
      <c r="C138" s="233"/>
      <c r="H138" s="232"/>
      <c r="N138" s="233"/>
      <c r="S138" s="233"/>
      <c r="V138" s="233"/>
    </row>
    <row r="139" spans="2:22" x14ac:dyDescent="0.15">
      <c r="B139" s="47" t="s">
        <v>514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549</v>
      </c>
      <c r="C143" s="233"/>
      <c r="H143" s="233"/>
      <c r="N143" s="233"/>
      <c r="S143" s="233"/>
      <c r="V143" s="233"/>
    </row>
    <row r="144" spans="2:22" x14ac:dyDescent="0.15">
      <c r="B144" s="106" t="s">
        <v>551</v>
      </c>
      <c r="C144" s="232"/>
      <c r="H144" s="233"/>
      <c r="N144" s="233"/>
      <c r="S144" s="233"/>
      <c r="V144" s="233"/>
    </row>
    <row r="145" spans="2:22" x14ac:dyDescent="0.15">
      <c r="B145" s="106" t="s">
        <v>552</v>
      </c>
      <c r="C145" s="232"/>
      <c r="H145" s="233"/>
      <c r="N145" s="233"/>
      <c r="S145" s="233"/>
      <c r="V145" s="233"/>
    </row>
    <row r="146" spans="2:22" x14ac:dyDescent="0.15">
      <c r="B146" s="106" t="s">
        <v>553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550</v>
      </c>
      <c r="C148" s="233"/>
      <c r="H148" s="233"/>
      <c r="N148" s="233"/>
      <c r="S148" s="233"/>
      <c r="V148" s="233"/>
    </row>
    <row r="149" spans="2:22" x14ac:dyDescent="0.15">
      <c r="B149" s="106" t="s">
        <v>190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559</v>
      </c>
      <c r="C151" s="233"/>
      <c r="H151" s="233"/>
      <c r="N151" s="233"/>
      <c r="S151" s="233"/>
      <c r="V151" s="233"/>
    </row>
    <row r="152" spans="2:22" x14ac:dyDescent="0.15">
      <c r="B152" s="106" t="s">
        <v>190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06" workbookViewId="0">
      <pane xSplit="3" ySplit="3" topLeftCell="F173" activePane="bottomRight" state="frozen"/>
      <selection activeCell="B106" sqref="B106"/>
      <selection pane="topRight" activeCell="E106" sqref="E106"/>
      <selection pane="bottomLeft" activeCell="B109" sqref="B109"/>
      <selection pane="bottomRight" activeCell="J208" sqref="J208"/>
    </sheetView>
    <sheetView topLeftCell="B106" workbookViewId="1">
      <pane xSplit="3" ySplit="3" topLeftCell="E168" activePane="bottomRight" state="frozen"/>
      <selection activeCell="B106" sqref="B106"/>
      <selection pane="topRight" activeCell="E106" sqref="E106"/>
      <selection pane="bottomLeft" activeCell="B109" sqref="B109"/>
      <selection pane="bottomRight" activeCell="H206" sqref="H206"/>
    </sheetView>
    <sheetView topLeftCell="B1" workbookViewId="2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1081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3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575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3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475</v>
      </c>
      <c r="D7" s="50">
        <f>D111</f>
        <v>0</v>
      </c>
      <c r="E7" s="50">
        <f>SUM(E111:P111)</f>
        <v>2864</v>
      </c>
      <c r="F7" s="50">
        <f>SUM(Q111:AB111)</f>
        <v>16445</v>
      </c>
      <c r="G7" s="50">
        <f>SUM(AC111:AN111)</f>
        <v>29034</v>
      </c>
      <c r="H7" s="50">
        <f>SUM(AO111:AZ111)</f>
        <v>37388</v>
      </c>
      <c r="I7" s="50">
        <f>SUM(BA111:BL111)</f>
        <v>38511</v>
      </c>
      <c r="J7" s="35">
        <f>SUM(D7:I7)</f>
        <v>124242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477</v>
      </c>
      <c r="J9" s="37"/>
      <c r="K9" s="37"/>
      <c r="BM9" s="65"/>
    </row>
    <row r="10" spans="1:65" s="33" customFormat="1" outlineLevel="1" x14ac:dyDescent="0.15">
      <c r="B10" s="47" t="s">
        <v>477</v>
      </c>
      <c r="D10" s="70">
        <f>D114</f>
        <v>0</v>
      </c>
      <c r="E10" s="70">
        <f>SUM(E114:P114)</f>
        <v>46544000</v>
      </c>
      <c r="F10" s="70">
        <f>SUM(Q114:AB114)</f>
        <v>290002100</v>
      </c>
      <c r="G10" s="70">
        <f>SUM(AC114:AN114)</f>
        <v>598384274.79999995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3271902149.1515408</v>
      </c>
      <c r="K10" s="144">
        <f>J10-BM114</f>
        <v>0</v>
      </c>
      <c r="L10" s="70" t="s">
        <v>607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302</v>
      </c>
      <c r="D11" s="70">
        <f>D115</f>
        <v>0</v>
      </c>
      <c r="E11" s="70">
        <f>SUM(E115:P115)</f>
        <v>29142200</v>
      </c>
      <c r="F11" s="70">
        <f>SUM(Q115:AB115)</f>
        <v>179693525</v>
      </c>
      <c r="G11" s="70">
        <f>SUM(AC115:AN115)</f>
        <v>346931671.60000008</v>
      </c>
      <c r="H11" s="70">
        <f>SUM(AO115:AZ115)</f>
        <v>685120822.99800003</v>
      </c>
      <c r="I11" s="70">
        <f>SUM(BA115:BL115)</f>
        <v>752443949.35054517</v>
      </c>
      <c r="J11" s="65">
        <f>SUM(D11:I11)</f>
        <v>1993332168.9485452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328</v>
      </c>
      <c r="D12" s="70">
        <f>D116</f>
        <v>0</v>
      </c>
      <c r="E12" s="70">
        <f>SUM(E116:P116)</f>
        <v>17401800</v>
      </c>
      <c r="F12" s="70">
        <f>SUM(Q116:AB116)</f>
        <v>110308575</v>
      </c>
      <c r="G12" s="70">
        <f>SUM(AC116:AN116)</f>
        <v>251452603.20000005</v>
      </c>
      <c r="H12" s="70">
        <f>SUM(AO116:AZ116)</f>
        <v>460088574.77800024</v>
      </c>
      <c r="I12" s="70">
        <f>SUM(BA116:BL116)</f>
        <v>439318427.22499526</v>
      </c>
      <c r="J12" s="65">
        <f>SUM(D12:I12)</f>
        <v>1278569980.2029955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316</v>
      </c>
      <c r="D13" s="46">
        <f>D117</f>
        <v>0</v>
      </c>
      <c r="E13" s="46">
        <f>E12/E10</f>
        <v>0.37387848057751805</v>
      </c>
      <c r="F13" s="46">
        <f>F12/F10</f>
        <v>0.38037164213638452</v>
      </c>
      <c r="G13" s="46">
        <f>G12/G10</f>
        <v>0.42021927010706278</v>
      </c>
      <c r="H13" s="46">
        <f>H12/H10</f>
        <v>0.40175061056213257</v>
      </c>
      <c r="I13" s="46">
        <f>I12/I10</f>
        <v>0.36862921322231285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Ingreso 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348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Ingreso 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351</v>
      </c>
      <c r="D21" s="70">
        <f>D125</f>
        <v>0</v>
      </c>
      <c r="E21" s="70">
        <f>SUM(E125:P125)</f>
        <v>2049000</v>
      </c>
      <c r="F21" s="70">
        <f>SUM(Q125:AB125)</f>
        <v>13950660</v>
      </c>
      <c r="G21" s="70">
        <f>SUM(AC125:AN125)</f>
        <v>30458919.600000009</v>
      </c>
      <c r="H21" s="70">
        <f>SUM(AO125:AZ125)</f>
        <v>61867121.586000018</v>
      </c>
      <c r="I21" s="70">
        <f>SUM(BA125:BL125)</f>
        <v>68171878.888080016</v>
      </c>
      <c r="J21" s="65">
        <f>SUM(D21:I21)</f>
        <v>176497580.07408005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353</v>
      </c>
      <c r="D23" s="70">
        <f>D127</f>
        <v>0</v>
      </c>
      <c r="E23" s="70">
        <f>SUM(E127:P127)</f>
        <v>2049000</v>
      </c>
      <c r="F23" s="70">
        <f>SUM(Q127:AB127)</f>
        <v>13950660</v>
      </c>
      <c r="G23" s="70">
        <f>SUM(AC127:AN127)</f>
        <v>30458919.600000009</v>
      </c>
      <c r="H23" s="70">
        <f>SUM(AO127:AZ127)</f>
        <v>61867121.586000018</v>
      </c>
      <c r="I23" s="70">
        <f>SUM(BA127:BL127)</f>
        <v>68171878.888080016</v>
      </c>
      <c r="J23" s="65">
        <f>SUM(D23:I23)</f>
        <v>176497580.07408005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354</v>
      </c>
      <c r="D25" s="104">
        <f>D129</f>
        <v>0</v>
      </c>
      <c r="E25" s="104">
        <f>SUM(E129:P129)</f>
        <v>19450800</v>
      </c>
      <c r="F25" s="104">
        <f>SUM(Q129:AB129)</f>
        <v>124259235</v>
      </c>
      <c r="G25" s="104">
        <f>SUM(AC129:AN129)</f>
        <v>281911522.80000001</v>
      </c>
      <c r="H25" s="104">
        <f>SUM(AO129:AZ129)</f>
        <v>521955696.36400026</v>
      </c>
      <c r="I25" s="104">
        <f>SUM(BA129:BL129)</f>
        <v>507490306.1130752</v>
      </c>
      <c r="J25" s="38">
        <f>SUM(D25:I25)</f>
        <v>1455067560.2770755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474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390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391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417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437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438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tr">
        <f>$B141</f>
        <v>Total IT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tr">
        <f>$B142</f>
        <v>Total Systems Integration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tr">
        <f>$B143</f>
        <v>Total Software Development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tr">
        <f>$B144</f>
        <v>Total Víveres y Manufactura</v>
      </c>
      <c r="C40" s="14"/>
      <c r="D40" s="121">
        <f t="shared" si="0"/>
        <v>0</v>
      </c>
      <c r="E40" s="121">
        <f t="shared" si="1"/>
        <v>10800000</v>
      </c>
      <c r="F40" s="121">
        <f t="shared" si="2"/>
        <v>15840000</v>
      </c>
      <c r="G40" s="121">
        <f t="shared" si="3"/>
        <v>16948800</v>
      </c>
      <c r="H40" s="121">
        <f t="shared" si="4"/>
        <v>18135216</v>
      </c>
      <c r="I40" s="121">
        <f t="shared" si="5"/>
        <v>19404681.120000001</v>
      </c>
      <c r="J40" s="65">
        <f t="shared" si="6"/>
        <v>81128697.120000005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tr">
        <f>$B145</f>
        <v>Total Test Engineering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tr">
        <f>$B146</f>
        <v>Total Tech Ops Trips/Travel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372</v>
      </c>
      <c r="C43" s="14"/>
      <c r="D43" s="121">
        <f t="shared" si="0"/>
        <v>0</v>
      </c>
      <c r="E43" s="121">
        <f t="shared" si="1"/>
        <v>10800000</v>
      </c>
      <c r="F43" s="121">
        <f t="shared" si="2"/>
        <v>15840000</v>
      </c>
      <c r="G43" s="121">
        <f t="shared" si="3"/>
        <v>16948800</v>
      </c>
      <c r="H43" s="121">
        <f t="shared" si="4"/>
        <v>18135216</v>
      </c>
      <c r="I43" s="121">
        <f t="shared" si="5"/>
        <v>19404681.120000001</v>
      </c>
      <c r="J43" s="65">
        <f t="shared" si="6"/>
        <v>81128697.120000005</v>
      </c>
      <c r="K43" s="144">
        <f t="shared" si="7"/>
        <v>0</v>
      </c>
      <c r="L43" s="121" t="s">
        <v>704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497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20320000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140680000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378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4930000</v>
      </c>
      <c r="F49" s="158">
        <f>SUM(Q153:AB153)</f>
        <v>18960000</v>
      </c>
      <c r="G49" s="158">
        <f>SUM(AC153:AN153)</f>
        <v>37920000</v>
      </c>
      <c r="H49" s="158">
        <f>SUM(AO153:AZ153)</f>
        <v>37920000</v>
      </c>
      <c r="I49" s="158">
        <f>SUM(BA153:BL153)</f>
        <v>37920000</v>
      </c>
      <c r="J49" s="159">
        <f>SUM(D49:I49)</f>
        <v>137650000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1243</v>
      </c>
      <c r="D50" s="160">
        <f>D154</f>
        <v>0</v>
      </c>
      <c r="E50" s="160">
        <f>SUM(E154:P154)</f>
        <v>25250000</v>
      </c>
      <c r="F50" s="160">
        <f>SUM(Q154:AB154)</f>
        <v>46440000</v>
      </c>
      <c r="G50" s="160">
        <f>SUM(AC154:AN154)</f>
        <v>68880000</v>
      </c>
      <c r="H50" s="160">
        <f>SUM(AO154:AZ154)</f>
        <v>68880000</v>
      </c>
      <c r="I50" s="160">
        <f>SUM(BA154:BL154)</f>
        <v>68880000</v>
      </c>
      <c r="J50" s="144">
        <f>SUM(D50:I50)</f>
        <v>278330000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481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3000000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378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482</v>
      </c>
      <c r="D57" s="160">
        <f>D161</f>
        <v>0</v>
      </c>
      <c r="E57" s="160">
        <f>SUM(E161:P161)</f>
        <v>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3000000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483</v>
      </c>
      <c r="J59" s="35"/>
      <c r="K59" s="35"/>
      <c r="BM59" s="167"/>
    </row>
    <row r="60" spans="1:65" x14ac:dyDescent="0.15">
      <c r="B60" s="47" t="s">
        <v>379</v>
      </c>
      <c r="D60" s="161">
        <f>D164</f>
        <v>0</v>
      </c>
      <c r="E60" s="161">
        <f>SUM(E164:P164)</f>
        <v>2754000</v>
      </c>
      <c r="F60" s="161">
        <f>SUM(Q164:AB164)</f>
        <v>9288000</v>
      </c>
      <c r="G60" s="161">
        <f>SUM(AC164:AN164)</f>
        <v>13776000</v>
      </c>
      <c r="H60" s="161">
        <f>SUM(AO164:AZ164)</f>
        <v>13776000</v>
      </c>
      <c r="I60" s="161">
        <f>SUM(BA164:BL164)</f>
        <v>13776000</v>
      </c>
      <c r="J60" s="159">
        <f>SUM(D60:I60)</f>
        <v>53370000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484</v>
      </c>
      <c r="D63" s="161">
        <f>D167</f>
        <v>0</v>
      </c>
      <c r="E63" s="161">
        <f>SUM(E167:P167)</f>
        <v>2754000</v>
      </c>
      <c r="F63" s="161">
        <f>SUM(Q167:AB167)</f>
        <v>9288000</v>
      </c>
      <c r="G63" s="161">
        <f>SUM(AC167:AN167)</f>
        <v>13776000</v>
      </c>
      <c r="H63" s="161">
        <f>SUM(AO167:AZ167)</f>
        <v>13776000</v>
      </c>
      <c r="I63" s="161">
        <f>SUM(BA167:BL167)</f>
        <v>13776000</v>
      </c>
      <c r="J63" s="159">
        <f>SUM(D63:I63)</f>
        <v>53370000</v>
      </c>
      <c r="K63" s="144">
        <f>J63-BM167</f>
        <v>0</v>
      </c>
      <c r="L63" s="161" t="s">
        <v>597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480</v>
      </c>
      <c r="D65" s="130">
        <f>D169</f>
        <v>0</v>
      </c>
      <c r="E65" s="130">
        <f>SUM(E169:P169)</f>
        <v>28004000</v>
      </c>
      <c r="F65" s="130">
        <f>SUM(Q169:AB169)</f>
        <v>58728000</v>
      </c>
      <c r="G65" s="130">
        <f>SUM(AC169:AN169)</f>
        <v>82656000</v>
      </c>
      <c r="H65" s="130">
        <f>SUM(AO169:AZ169)</f>
        <v>82656000</v>
      </c>
      <c r="I65" s="130">
        <f>SUM(BA169:BL169)</f>
        <v>82656000</v>
      </c>
      <c r="J65" s="38">
        <f>SUM(D65:I65)</f>
        <v>334700000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310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178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176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288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1400000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12440000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177</v>
      </c>
      <c r="C74" s="163"/>
      <c r="D74" s="158">
        <f>D178</f>
        <v>0</v>
      </c>
      <c r="E74" s="158">
        <f>SUM(E178:P178)</f>
        <v>1400000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12440000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285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181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174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48500000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354806000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289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290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294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179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983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175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297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589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173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1418750</v>
      </c>
      <c r="F99" s="158">
        <f>SUM(Q204:AB204)</f>
        <v>1931000.0000000007</v>
      </c>
      <c r="G99" s="158">
        <f>SUM(AC204:AN204)</f>
        <v>1931000.0000000007</v>
      </c>
      <c r="H99" s="158">
        <f>SUM(AO204:AZ204)</f>
        <v>1931000.0000000007</v>
      </c>
      <c r="I99" s="158">
        <f>SUM(BA204:BL204)</f>
        <v>1931000.0000000007</v>
      </c>
      <c r="J99" s="159">
        <f>SUM(D99:I99)</f>
        <v>9142750.0000000037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1043</v>
      </c>
      <c r="C101" s="33"/>
      <c r="D101" s="130">
        <f>D206</f>
        <v>0</v>
      </c>
      <c r="E101" s="130">
        <f>SUM(E206:P206)</f>
        <v>90122749.99999997</v>
      </c>
      <c r="F101" s="130">
        <f>SUM(Q206:AB206)</f>
        <v>145259000.00000003</v>
      </c>
      <c r="G101" s="130">
        <f>SUM(AC206:AN206)</f>
        <v>176895800</v>
      </c>
      <c r="H101" s="130">
        <f>SUM(AO206:AZ206)</f>
        <v>185342216</v>
      </c>
      <c r="I101" s="130">
        <f>SUM(BA206:BL206)</f>
        <v>194597681.12000009</v>
      </c>
      <c r="J101" s="38">
        <f>SUM(D101:I101)</f>
        <v>792217447.12000012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458</v>
      </c>
      <c r="D103" s="130">
        <f>D208</f>
        <v>0</v>
      </c>
      <c r="E103" s="130">
        <f>SUM(E208:P208)</f>
        <v>-70671949.99999997</v>
      </c>
      <c r="F103" s="130">
        <f>SUM(Q208:AB208)</f>
        <v>-20999765.000000015</v>
      </c>
      <c r="G103" s="130">
        <f>SUM(AC208:AN208)</f>
        <v>105015722.80000007</v>
      </c>
      <c r="H103" s="130">
        <f>SUM(AO208:AZ208)</f>
        <v>336613480.36400014</v>
      </c>
      <c r="I103" s="130">
        <f>SUM(BA208:BL208)</f>
        <v>312892624.99307507</v>
      </c>
      <c r="J103" s="38">
        <f>SUM(D103:I103)</f>
        <v>662850113.15707529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981</v>
      </c>
      <c r="D104" s="130">
        <f>D103</f>
        <v>0</v>
      </c>
      <c r="E104" s="130">
        <f>E103+D104</f>
        <v>-70671949.99999997</v>
      </c>
      <c r="F104" s="130">
        <f>F103+E104</f>
        <v>-91671714.999999985</v>
      </c>
      <c r="G104" s="130">
        <f>G103+F104</f>
        <v>13344007.800000086</v>
      </c>
      <c r="H104" s="130">
        <f>H103+G104</f>
        <v>349957488.16400021</v>
      </c>
      <c r="I104" s="130">
        <f>I103+H104</f>
        <v>662850113.15707529</v>
      </c>
      <c r="J104" s="38">
        <f>SUM(D104:I104)</f>
        <v>863807944.12107563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406" t="s">
        <v>35</v>
      </c>
      <c r="F107" s="406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 t="s">
        <v>36</v>
      </c>
      <c r="R107" s="406"/>
      <c r="S107" s="406"/>
      <c r="T107" s="406"/>
      <c r="U107" s="406"/>
      <c r="V107" s="406"/>
      <c r="W107" s="406"/>
      <c r="X107" s="406"/>
      <c r="Y107" s="406"/>
      <c r="Z107" s="406"/>
      <c r="AA107" s="406"/>
      <c r="AB107" s="406"/>
      <c r="AC107" s="406" t="s">
        <v>37</v>
      </c>
      <c r="AD107" s="406"/>
      <c r="AE107" s="406"/>
      <c r="AF107" s="406"/>
      <c r="AG107" s="406"/>
      <c r="AH107" s="406"/>
      <c r="AI107" s="406"/>
      <c r="AJ107" s="406"/>
      <c r="AK107" s="406"/>
      <c r="AL107" s="406"/>
      <c r="AM107" s="406"/>
      <c r="AN107" s="406"/>
      <c r="AO107" s="406" t="s">
        <v>38</v>
      </c>
      <c r="AP107" s="406"/>
      <c r="AQ107" s="406"/>
      <c r="AR107" s="406"/>
      <c r="AS107" s="406"/>
      <c r="AT107" s="406"/>
      <c r="AU107" s="406"/>
      <c r="AV107" s="406"/>
      <c r="AW107" s="406"/>
      <c r="AX107" s="406"/>
      <c r="AY107" s="406"/>
      <c r="AZ107" s="406"/>
      <c r="BA107" s="406" t="s">
        <v>39</v>
      </c>
      <c r="BB107" s="406"/>
      <c r="BC107" s="406"/>
      <c r="BD107" s="406"/>
      <c r="BE107" s="406"/>
      <c r="BF107" s="406"/>
      <c r="BG107" s="406"/>
      <c r="BH107" s="406"/>
      <c r="BI107" s="406"/>
      <c r="BJ107" s="406"/>
      <c r="BK107" s="406"/>
      <c r="BL107" s="406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475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78</v>
      </c>
      <c r="I111" s="50">
        <f>'REV-REVCALC_CWS'!G6</f>
        <v>107</v>
      </c>
      <c r="J111" s="50">
        <f>'REV-REVCALC_CWS'!H6</f>
        <v>228</v>
      </c>
      <c r="K111" s="50">
        <f>'REV-REVCALC_CWS'!I6</f>
        <v>285</v>
      </c>
      <c r="L111" s="50">
        <f>'REV-REVCALC_CWS'!J6</f>
        <v>342</v>
      </c>
      <c r="M111" s="50">
        <f>'REV-REVCALC_CWS'!K6</f>
        <v>399</v>
      </c>
      <c r="N111" s="50">
        <f>'REV-REVCALC_CWS'!L6</f>
        <v>456</v>
      </c>
      <c r="O111" s="50">
        <f>'REV-REVCALC_CWS'!M6</f>
        <v>513</v>
      </c>
      <c r="P111" s="50">
        <f>'REV-REVCALC_CWS'!N6</f>
        <v>456</v>
      </c>
      <c r="Q111" s="50">
        <f>'REV-REVCALC_CWS'!O6</f>
        <v>822</v>
      </c>
      <c r="R111" s="50">
        <f>'REV-REVCALC_CWS'!P6</f>
        <v>1316</v>
      </c>
      <c r="S111" s="50">
        <f>'REV-REVCALC_CWS'!Q6</f>
        <v>1480</v>
      </c>
      <c r="T111" s="50">
        <f>'REV-REVCALC_CWS'!R6</f>
        <v>1480</v>
      </c>
      <c r="U111" s="50">
        <f>'REV-REVCALC_CWS'!S6</f>
        <v>1480</v>
      </c>
      <c r="V111" s="50">
        <f>'REV-REVCALC_CWS'!T6</f>
        <v>1480</v>
      </c>
      <c r="W111" s="50">
        <f>'REV-REVCALC_CWS'!U6</f>
        <v>1480</v>
      </c>
      <c r="X111" s="50">
        <f>'REV-REVCALC_CWS'!V6</f>
        <v>1480</v>
      </c>
      <c r="Y111" s="50">
        <f>'REV-REVCALC_CWS'!W6</f>
        <v>1480</v>
      </c>
      <c r="Z111" s="50">
        <f>'REV-REVCALC_CWS'!X6</f>
        <v>1480</v>
      </c>
      <c r="AA111" s="50">
        <f>'REV-REVCALC_CWS'!Y6</f>
        <v>1480</v>
      </c>
      <c r="AB111" s="50">
        <f>'REV-REVCALC_CWS'!Z6</f>
        <v>987</v>
      </c>
      <c r="AC111" s="50">
        <f>'REV-REVCALC_CWS'!AA6</f>
        <v>1452</v>
      </c>
      <c r="AD111" s="50">
        <f>'REV-REVCALC_CWS'!AB6</f>
        <v>2323</v>
      </c>
      <c r="AE111" s="50">
        <f>'REV-REVCALC_CWS'!AC6</f>
        <v>2613</v>
      </c>
      <c r="AF111" s="50">
        <f>'REV-REVCALC_CWS'!AD6</f>
        <v>2613</v>
      </c>
      <c r="AG111" s="50">
        <f>'REV-REVCALC_CWS'!AE6</f>
        <v>2613</v>
      </c>
      <c r="AH111" s="50">
        <f>'REV-REVCALC_CWS'!AF6</f>
        <v>2613</v>
      </c>
      <c r="AI111" s="50">
        <f>'REV-REVCALC_CWS'!AG6</f>
        <v>2613</v>
      </c>
      <c r="AJ111" s="50">
        <f>'REV-REVCALC_CWS'!AH6</f>
        <v>2613</v>
      </c>
      <c r="AK111" s="50">
        <f>'REV-REVCALC_CWS'!AI6</f>
        <v>2613</v>
      </c>
      <c r="AL111" s="50">
        <f>'REV-REVCALC_CWS'!AJ6</f>
        <v>2613</v>
      </c>
      <c r="AM111" s="50">
        <f>'REV-REVCALC_CWS'!AK6</f>
        <v>2613</v>
      </c>
      <c r="AN111" s="50">
        <f>'REV-REVCALC_CWS'!AL6</f>
        <v>1742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124242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477</v>
      </c>
      <c r="BM113" s="65"/>
    </row>
    <row r="114" spans="2:65" s="33" customFormat="1" outlineLevel="1" x14ac:dyDescent="0.15">
      <c r="B114" s="47" t="s">
        <v>477</v>
      </c>
      <c r="D114" s="70">
        <f>'REV-REVCALC_CWS'!B17</f>
        <v>0</v>
      </c>
      <c r="E114" s="70">
        <f>'REV-REVCALC_CWS'!C17 + 'REV-REVCALC_CWS'!C56</f>
        <v>0</v>
      </c>
      <c r="F114" s="70">
        <f>'REV-REVCALC_CWS'!D17 + 'REV-REVCALC_CWS'!D56</f>
        <v>0</v>
      </c>
      <c r="G114" s="70">
        <f>'REV-REVCALC_CWS'!E17 + 'REV-REVCALC_CWS'!E56</f>
        <v>0</v>
      </c>
      <c r="H114" s="70">
        <f>'REV-REVCALC_CWS'!F17 + 'REV-REVCALC_CWS'!F56</f>
        <v>1092000</v>
      </c>
      <c r="I114" s="70">
        <f>'REV-REVCALC_CWS'!G17 + 'REV-REVCALC_CWS'!G56</f>
        <v>1498000</v>
      </c>
      <c r="J114" s="70">
        <f>'REV-REVCALC_CWS'!H17 + 'REV-REVCALC_CWS'!H56</f>
        <v>3744000</v>
      </c>
      <c r="K114" s="70">
        <f>'REV-REVCALC_CWS'!I17 + 'REV-REVCALC_CWS'!I56</f>
        <v>4678000</v>
      </c>
      <c r="L114" s="70">
        <f>'REV-REVCALC_CWS'!J17 + 'REV-REVCALC_CWS'!J56</f>
        <v>5612000</v>
      </c>
      <c r="M114" s="70">
        <f>'REV-REVCALC_CWS'!K17 + 'REV-REVCALC_CWS'!K56</f>
        <v>6546000</v>
      </c>
      <c r="N114" s="70">
        <f>'REV-REVCALC_CWS'!L17 + 'REV-REVCALC_CWS'!L56</f>
        <v>7480000</v>
      </c>
      <c r="O114" s="70">
        <f>'REV-REVCALC_CWS'!M17 + 'REV-REVCALC_CWS'!M56</f>
        <v>8414000</v>
      </c>
      <c r="P114" s="70">
        <f>'REV-REVCALC_CWS'!N17 + 'REV-REVCALC_CWS'!N56</f>
        <v>7480000</v>
      </c>
      <c r="Q114" s="70">
        <f>'REV-REVCALC_CWS'!O17 + 'REV-REVCALC_CWS'!O56</f>
        <v>14496360</v>
      </c>
      <c r="R114" s="70">
        <f>'REV-REVCALC_CWS'!P17 + 'REV-REVCALC_CWS'!P56</f>
        <v>23206160</v>
      </c>
      <c r="S114" s="70">
        <f>'REV-REVCALC_CWS'!Q17 + 'REV-REVCALC_CWS'!Q56</f>
        <v>26099440</v>
      </c>
      <c r="T114" s="70">
        <f>'REV-REVCALC_CWS'!R17 + 'REV-REVCALC_CWS'!R56</f>
        <v>26099440</v>
      </c>
      <c r="U114" s="70">
        <f>'REV-REVCALC_CWS'!S17 + 'REV-REVCALC_CWS'!S56</f>
        <v>26099440</v>
      </c>
      <c r="V114" s="70">
        <f>'REV-REVCALC_CWS'!T17 + 'REV-REVCALC_CWS'!T56</f>
        <v>26099440</v>
      </c>
      <c r="W114" s="70">
        <f>'REV-REVCALC_CWS'!U17 + 'REV-REVCALC_CWS'!U56</f>
        <v>26099440</v>
      </c>
      <c r="X114" s="70">
        <f>'REV-REVCALC_CWS'!V17 + 'REV-REVCALC_CWS'!V56</f>
        <v>26099440</v>
      </c>
      <c r="Y114" s="70">
        <f>'REV-REVCALC_CWS'!W17 + 'REV-REVCALC_CWS'!W56</f>
        <v>26099440</v>
      </c>
      <c r="Z114" s="70">
        <f>'REV-REVCALC_CWS'!X17 + 'REV-REVCALC_CWS'!X56</f>
        <v>26099440</v>
      </c>
      <c r="AA114" s="70">
        <f>'REV-REVCALC_CWS'!Y17 + 'REV-REVCALC_CWS'!Y56</f>
        <v>26099440</v>
      </c>
      <c r="AB114" s="70">
        <f>'REV-REVCALC_CWS'!Z17 + 'REV-REVCALC_CWS'!Z56</f>
        <v>17404620</v>
      </c>
      <c r="AC114" s="70">
        <f>'REV-REVCALC_CWS'!AA17 + 'REV-REVCALC_CWS'!AA56</f>
        <v>29923106.399999999</v>
      </c>
      <c r="AD114" s="70">
        <f>'REV-REVCALC_CWS'!AB17 + 'REV-REVCALC_CWS'!AB56</f>
        <v>47877428.200000003</v>
      </c>
      <c r="AE114" s="70">
        <f>'REV-REVCALC_CWS'!AC17 + 'REV-REVCALC_CWS'!AC56</f>
        <v>53853806.200000003</v>
      </c>
      <c r="AF114" s="70">
        <f>'REV-REVCALC_CWS'!AD17 + 'REV-REVCALC_CWS'!AD56</f>
        <v>53853806.200000003</v>
      </c>
      <c r="AG114" s="70">
        <f>'REV-REVCALC_CWS'!AE17 + 'REV-REVCALC_CWS'!AE56</f>
        <v>53853806.200000003</v>
      </c>
      <c r="AH114" s="70">
        <f>'REV-REVCALC_CWS'!AF17 + 'REV-REVCALC_CWS'!AF56</f>
        <v>53853806.200000003</v>
      </c>
      <c r="AI114" s="70">
        <f>'REV-REVCALC_CWS'!AG17 + 'REV-REVCALC_CWS'!AG56</f>
        <v>53853806.200000003</v>
      </c>
      <c r="AJ114" s="70">
        <f>'REV-REVCALC_CWS'!AH17 + 'REV-REVCALC_CWS'!AH56</f>
        <v>53853806.200000003</v>
      </c>
      <c r="AK114" s="70">
        <f>'REV-REVCALC_CWS'!AI17 + 'REV-REVCALC_CWS'!AI56</f>
        <v>53853806.200000003</v>
      </c>
      <c r="AL114" s="70">
        <f>'REV-REVCALC_CWS'!AJ17 + 'REV-REVCALC_CWS'!AJ56</f>
        <v>53853806.200000003</v>
      </c>
      <c r="AM114" s="70">
        <f>'REV-REVCALC_CWS'!AK17 + 'REV-REVCALC_CWS'!AK56</f>
        <v>53853806.200000003</v>
      </c>
      <c r="AN114" s="70">
        <f>'REV-REVCALC_CWS'!AL17 + 'REV-REVCALC_CWS'!AL56</f>
        <v>35899484.399999999</v>
      </c>
      <c r="AO114" s="70">
        <f>'REV-REVCALC_CWS'!AM17 + 'REV-REVCALC_CWS'!AM56</f>
        <v>57253609.648000002</v>
      </c>
      <c r="AP114" s="70">
        <f>'REV-REVCALC_CWS'!AN17 + 'REV-REVCALC_CWS'!AN56</f>
        <v>91616065.798000008</v>
      </c>
      <c r="AQ114" s="70">
        <f>'REV-REVCALC_CWS'!AO17 + 'REV-REVCALC_CWS'!AO56</f>
        <v>103070217.84800002</v>
      </c>
      <c r="AR114" s="70">
        <f>'REV-REVCALC_CWS'!AP17 + 'REV-REVCALC_CWS'!AP56</f>
        <v>103070217.84800002</v>
      </c>
      <c r="AS114" s="70">
        <f>'REV-REVCALC_CWS'!AQ17 + 'REV-REVCALC_CWS'!AQ56</f>
        <v>103070217.84800002</v>
      </c>
      <c r="AT114" s="70">
        <f>'REV-REVCALC_CWS'!AR17 + 'REV-REVCALC_CWS'!AR56</f>
        <v>103070217.84800002</v>
      </c>
      <c r="AU114" s="70">
        <f>'REV-REVCALC_CWS'!AS17 + 'REV-REVCALC_CWS'!AS56</f>
        <v>103070217.84800002</v>
      </c>
      <c r="AV114" s="70">
        <f>'REV-REVCALC_CWS'!AT17 + 'REV-REVCALC_CWS'!AT56</f>
        <v>103070217.84800002</v>
      </c>
      <c r="AW114" s="70">
        <f>'REV-REVCALC_CWS'!AU17 + 'REV-REVCALC_CWS'!AU56</f>
        <v>103070217.84800002</v>
      </c>
      <c r="AX114" s="70">
        <f>'REV-REVCALC_CWS'!AV17 + 'REV-REVCALC_CWS'!AV56</f>
        <v>103070217.84800002</v>
      </c>
      <c r="AY114" s="70">
        <f>'REV-REVCALC_CWS'!AW17 + 'REV-REVCALC_CWS'!AW56</f>
        <v>103070217.84800002</v>
      </c>
      <c r="AZ114" s="70">
        <f>'REV-REVCALC_CWS'!AX17 + 'REV-REVCALC_CWS'!AX56</f>
        <v>68707761.698000014</v>
      </c>
      <c r="BA114" s="70">
        <f>'REV-REVCALC_CWS'!AY17 + 'REV-REVCALC_CWS'!AY56</f>
        <v>59581803.869500011</v>
      </c>
      <c r="BB114" s="70">
        <f>'REV-REVCALC_CWS'!AZ17 + 'REV-REVCALC_CWS'!AZ56</f>
        <v>95354274.895340025</v>
      </c>
      <c r="BC114" s="70">
        <f>'REV-REVCALC_CWS'!BA17 + 'REV-REVCALC_CWS'!BA56</f>
        <v>107255522.98924002</v>
      </c>
      <c r="BD114" s="70">
        <f>'REV-REVCALC_CWS'!BB17 + 'REV-REVCALC_CWS'!BB56</f>
        <v>107255522.98924002</v>
      </c>
      <c r="BE114" s="70">
        <f>'REV-REVCALC_CWS'!BC17 + 'REV-REVCALC_CWS'!BC56</f>
        <v>107255522.98924002</v>
      </c>
      <c r="BF114" s="70">
        <f>'REV-REVCALC_CWS'!BD17 + 'REV-REVCALC_CWS'!BD56</f>
        <v>107255522.98924002</v>
      </c>
      <c r="BG114" s="70">
        <f>'REV-REVCALC_CWS'!BE17 + 'REV-REVCALC_CWS'!BE56</f>
        <v>107255522.98924002</v>
      </c>
      <c r="BH114" s="70">
        <f>'REV-REVCALC_CWS'!BF17 + 'REV-REVCALC_CWS'!BF56</f>
        <v>107255522.98924002</v>
      </c>
      <c r="BI114" s="70">
        <f>'REV-REVCALC_CWS'!BG17 + 'REV-REVCALC_CWS'!BG56</f>
        <v>107255522.98924002</v>
      </c>
      <c r="BJ114" s="70">
        <f>'REV-REVCALC_CWS'!BH17 + 'REV-REVCALC_CWS'!BH56</f>
        <v>107255522.98924002</v>
      </c>
      <c r="BK114" s="70">
        <f>'REV-REVCALC_CWS'!BI17 + 'REV-REVCALC_CWS'!BI56</f>
        <v>107255522.98924002</v>
      </c>
      <c r="BL114" s="70">
        <f>'REV-REVCALC_CWS'!BJ17 + 'REV-REVCALC_CWS'!BJ56</f>
        <v>71526590.907540023</v>
      </c>
      <c r="BM114" s="167">
        <f>SUM(D114:BL114)</f>
        <v>3271902149.1515422</v>
      </c>
    </row>
    <row r="115" spans="2:65" s="33" customFormat="1" outlineLevel="1" x14ac:dyDescent="0.15">
      <c r="B115" s="47" t="s">
        <v>302</v>
      </c>
      <c r="D115" s="70">
        <f>'REV-REVCALC_CWS'!B28</f>
        <v>0</v>
      </c>
      <c r="E115" s="70">
        <f>'REV-REVCALC_CWS'!C28 + 'REV-REVCALC_CWS'!C67</f>
        <v>0</v>
      </c>
      <c r="F115" s="70">
        <f>'REV-REVCALC_CWS'!D28 + 'REV-REVCALC_CWS'!D67</f>
        <v>0</v>
      </c>
      <c r="G115" s="70">
        <f>'REV-REVCALC_CWS'!E28 + 'REV-REVCALC_CWS'!E67</f>
        <v>0</v>
      </c>
      <c r="H115" s="70">
        <f>'REV-REVCALC_CWS'!F28 + 'REV-REVCALC_CWS'!F67</f>
        <v>741000</v>
      </c>
      <c r="I115" s="70">
        <f>'REV-REVCALC_CWS'!G28 + 'REV-REVCALC_CWS'!G67</f>
        <v>1016500</v>
      </c>
      <c r="J115" s="70">
        <f>'REV-REVCALC_CWS'!H28 + 'REV-REVCALC_CWS'!H67</f>
        <v>2331300</v>
      </c>
      <c r="K115" s="70">
        <f>'REV-REVCALC_CWS'!I28 + 'REV-REVCALC_CWS'!I67</f>
        <v>2913700</v>
      </c>
      <c r="L115" s="70">
        <f>'REV-REVCALC_CWS'!J28 + 'REV-REVCALC_CWS'!J67</f>
        <v>3496100</v>
      </c>
      <c r="M115" s="70">
        <f>'REV-REVCALC_CWS'!K28 + 'REV-REVCALC_CWS'!K67</f>
        <v>4078500</v>
      </c>
      <c r="N115" s="70">
        <f>'REV-REVCALC_CWS'!L28 + 'REV-REVCALC_CWS'!L67</f>
        <v>4660900</v>
      </c>
      <c r="O115" s="70">
        <f>'REV-REVCALC_CWS'!M28 + 'REV-REVCALC_CWS'!M67</f>
        <v>5243300</v>
      </c>
      <c r="P115" s="70">
        <f>'REV-REVCALC_CWS'!N28 + 'REV-REVCALC_CWS'!N67</f>
        <v>4660900</v>
      </c>
      <c r="Q115" s="70">
        <f>'REV-REVCALC_CWS'!O28 + 'REV-REVCALC_CWS'!O67</f>
        <v>8982855</v>
      </c>
      <c r="R115" s="70">
        <f>'REV-REVCALC_CWS'!P28 + 'REV-REVCALC_CWS'!P67</f>
        <v>14380220</v>
      </c>
      <c r="S115" s="70">
        <f>'REV-REVCALC_CWS'!Q28 + 'REV-REVCALC_CWS'!Q67</f>
        <v>16171765</v>
      </c>
      <c r="T115" s="70">
        <f>'REV-REVCALC_CWS'!R28 + 'REV-REVCALC_CWS'!R67</f>
        <v>16171765</v>
      </c>
      <c r="U115" s="70">
        <f>'REV-REVCALC_CWS'!S28 + 'REV-REVCALC_CWS'!S67</f>
        <v>16171765</v>
      </c>
      <c r="V115" s="70">
        <f>'REV-REVCALC_CWS'!T28 + 'REV-REVCALC_CWS'!T67</f>
        <v>16171765</v>
      </c>
      <c r="W115" s="70">
        <f>'REV-REVCALC_CWS'!U28 + 'REV-REVCALC_CWS'!U67</f>
        <v>16171765</v>
      </c>
      <c r="X115" s="70">
        <f>'REV-REVCALC_CWS'!V28 + 'REV-REVCALC_CWS'!V67</f>
        <v>16171765</v>
      </c>
      <c r="Y115" s="70">
        <f>'REV-REVCALC_CWS'!W28 + 'REV-REVCALC_CWS'!W67</f>
        <v>16171765</v>
      </c>
      <c r="Z115" s="70">
        <f>'REV-REVCALC_CWS'!X28 + 'REV-REVCALC_CWS'!X67</f>
        <v>16171765</v>
      </c>
      <c r="AA115" s="70">
        <f>'REV-REVCALC_CWS'!Y28 + 'REV-REVCALC_CWS'!Y67</f>
        <v>16171765</v>
      </c>
      <c r="AB115" s="70">
        <f>'REV-REVCALC_CWS'!Z28 + 'REV-REVCALC_CWS'!Z67</f>
        <v>10784565</v>
      </c>
      <c r="AC115" s="70">
        <f>'REV-REVCALC_CWS'!AA28 + 'REV-REVCALC_CWS'!AA67</f>
        <v>17350749.300000001</v>
      </c>
      <c r="AD115" s="70">
        <f>'REV-REVCALC_CWS'!AB28 + 'REV-REVCALC_CWS'!AB67</f>
        <v>27757812.550000001</v>
      </c>
      <c r="AE115" s="70">
        <f>'REV-REVCALC_CWS'!AC28 + 'REV-REVCALC_CWS'!AC67</f>
        <v>31223017.300000001</v>
      </c>
      <c r="AF115" s="70">
        <f>'REV-REVCALC_CWS'!AD28 + 'REV-REVCALC_CWS'!AD67</f>
        <v>31223017.300000001</v>
      </c>
      <c r="AG115" s="70">
        <f>'REV-REVCALC_CWS'!AE28 + 'REV-REVCALC_CWS'!AE67</f>
        <v>31223017.300000001</v>
      </c>
      <c r="AH115" s="70">
        <f>'REV-REVCALC_CWS'!AF28 + 'REV-REVCALC_CWS'!AF67</f>
        <v>31223017.300000001</v>
      </c>
      <c r="AI115" s="70">
        <f>'REV-REVCALC_CWS'!AG28 + 'REV-REVCALC_CWS'!AG67</f>
        <v>31223017.300000001</v>
      </c>
      <c r="AJ115" s="70">
        <f>'REV-REVCALC_CWS'!AH28 + 'REV-REVCALC_CWS'!AH67</f>
        <v>31223017.300000001</v>
      </c>
      <c r="AK115" s="70">
        <f>'REV-REVCALC_CWS'!AI28 + 'REV-REVCALC_CWS'!AI67</f>
        <v>31223017.300000001</v>
      </c>
      <c r="AL115" s="70">
        <f>'REV-REVCALC_CWS'!AJ28 + 'REV-REVCALC_CWS'!AJ67</f>
        <v>31223017.300000001</v>
      </c>
      <c r="AM115" s="70">
        <f>'REV-REVCALC_CWS'!AK28 + 'REV-REVCALC_CWS'!AK67</f>
        <v>31223017.300000001</v>
      </c>
      <c r="AN115" s="70">
        <f>'REV-REVCALC_CWS'!AL28 + 'REV-REVCALC_CWS'!AL67</f>
        <v>20815954.050000001</v>
      </c>
      <c r="AO115" s="70">
        <f>'REV-REVCALC_CWS'!AM28 + 'REV-REVCALC_CWS'!AM67</f>
        <v>34251265.986500002</v>
      </c>
      <c r="AP115" s="70">
        <f>'REV-REVCALC_CWS'!AN28 + 'REV-REVCALC_CWS'!AN67</f>
        <v>54809488.323500007</v>
      </c>
      <c r="AQ115" s="70">
        <f>'REV-REVCALC_CWS'!AO28 + 'REV-REVCALC_CWS'!AO67</f>
        <v>61661829.102500007</v>
      </c>
      <c r="AR115" s="70">
        <f>'REV-REVCALC_CWS'!AP28 + 'REV-REVCALC_CWS'!AP67</f>
        <v>61661829.102500007</v>
      </c>
      <c r="AS115" s="70">
        <f>'REV-REVCALC_CWS'!AQ28 + 'REV-REVCALC_CWS'!AQ67</f>
        <v>61661829.102500007</v>
      </c>
      <c r="AT115" s="70">
        <f>'REV-REVCALC_CWS'!AR28 + 'REV-REVCALC_CWS'!AR67</f>
        <v>61661829.102500007</v>
      </c>
      <c r="AU115" s="70">
        <f>'REV-REVCALC_CWS'!AS28 + 'REV-REVCALC_CWS'!AS67</f>
        <v>61661829.102500007</v>
      </c>
      <c r="AV115" s="70">
        <f>'REV-REVCALC_CWS'!AT28 + 'REV-REVCALC_CWS'!AT67</f>
        <v>61661829.102500007</v>
      </c>
      <c r="AW115" s="70">
        <f>'REV-REVCALC_CWS'!AU28 + 'REV-REVCALC_CWS'!AU67</f>
        <v>61661829.102500007</v>
      </c>
      <c r="AX115" s="70">
        <f>'REV-REVCALC_CWS'!AV28 + 'REV-REVCALC_CWS'!AV67</f>
        <v>61661829.102500007</v>
      </c>
      <c r="AY115" s="70">
        <f>'REV-REVCALC_CWS'!AW28 + 'REV-REVCALC_CWS'!AW67</f>
        <v>61661829.102500007</v>
      </c>
      <c r="AZ115" s="70">
        <f>'REV-REVCALC_CWS'!AX28 + 'REV-REVCALC_CWS'!AX67</f>
        <v>41103606.765500002</v>
      </c>
      <c r="BA115" s="70">
        <f>'REV-REVCALC_CWS'!AY28 + 'REV-REVCALC_CWS'!AY67</f>
        <v>37617546.122875005</v>
      </c>
      <c r="BB115" s="70">
        <f>'REV-REVCALC_CWS'!AZ28 + 'REV-REVCALC_CWS'!AZ67</f>
        <v>60203456.444695011</v>
      </c>
      <c r="BC115" s="70">
        <f>'REV-REVCALC_CWS'!BA28 + 'REV-REVCALC_CWS'!BA67</f>
        <v>67718175.411270007</v>
      </c>
      <c r="BD115" s="70">
        <f>'REV-REVCALC_CWS'!BB28 + 'REV-REVCALC_CWS'!BB67</f>
        <v>67718175.411270007</v>
      </c>
      <c r="BE115" s="70">
        <f>'REV-REVCALC_CWS'!BC28 + 'REV-REVCALC_CWS'!BC67</f>
        <v>67718175.411270007</v>
      </c>
      <c r="BF115" s="70">
        <f>'REV-REVCALC_CWS'!BD28 + 'REV-REVCALC_CWS'!BD67</f>
        <v>67718175.411270007</v>
      </c>
      <c r="BG115" s="70">
        <f>'REV-REVCALC_CWS'!BE28 + 'REV-REVCALC_CWS'!BE67</f>
        <v>67718175.411270007</v>
      </c>
      <c r="BH115" s="70">
        <f>'REV-REVCALC_CWS'!BF28 + 'REV-REVCALC_CWS'!BF67</f>
        <v>67718175.411270007</v>
      </c>
      <c r="BI115" s="70">
        <f>'REV-REVCALC_CWS'!BG28 + 'REV-REVCALC_CWS'!BG67</f>
        <v>67718175.411270007</v>
      </c>
      <c r="BJ115" s="70">
        <f>'REV-REVCALC_CWS'!BH28 + 'REV-REVCALC_CWS'!BH67</f>
        <v>67718175.411270007</v>
      </c>
      <c r="BK115" s="70">
        <f>'REV-REVCALC_CWS'!BI28 + 'REV-REVCALC_CWS'!BI67</f>
        <v>67718175.411270007</v>
      </c>
      <c r="BL115" s="70">
        <f>'REV-REVCALC_CWS'!BJ28 + 'REV-REVCALC_CWS'!BJ67</f>
        <v>45159368.08154501</v>
      </c>
      <c r="BM115" s="167">
        <f>SUM(D115:BL115)</f>
        <v>1993332168.9485443</v>
      </c>
    </row>
    <row r="116" spans="2:65" s="33" customFormat="1" outlineLevel="1" x14ac:dyDescent="0.15">
      <c r="B116" s="47" t="s">
        <v>328</v>
      </c>
      <c r="D116" s="70">
        <f>'REV-REVCALC_CWS'!B30</f>
        <v>0</v>
      </c>
      <c r="E116" s="70">
        <f>'REV-REVCALC_CWS'!C30 + 'REV-REVCALC_CWS'!C69</f>
        <v>0</v>
      </c>
      <c r="F116" s="70">
        <f>'REV-REVCALC_CWS'!D30 + 'REV-REVCALC_CWS'!D69</f>
        <v>0</v>
      </c>
      <c r="G116" s="70">
        <f>'REV-REVCALC_CWS'!E30 + 'REV-REVCALC_CWS'!E69</f>
        <v>0</v>
      </c>
      <c r="H116" s="70">
        <f>'REV-REVCALC_CWS'!F30 + 'REV-REVCALC_CWS'!F69</f>
        <v>351000</v>
      </c>
      <c r="I116" s="70">
        <f>'REV-REVCALC_CWS'!G30 + 'REV-REVCALC_CWS'!G69</f>
        <v>481500</v>
      </c>
      <c r="J116" s="70">
        <f>'REV-REVCALC_CWS'!H30 + 'REV-REVCALC_CWS'!H69</f>
        <v>1412700</v>
      </c>
      <c r="K116" s="70">
        <f>'REV-REVCALC_CWS'!I30 + 'REV-REVCALC_CWS'!I69</f>
        <v>1764300</v>
      </c>
      <c r="L116" s="70">
        <f>'REV-REVCALC_CWS'!J30 + 'REV-REVCALC_CWS'!J69</f>
        <v>2115900</v>
      </c>
      <c r="M116" s="70">
        <f>'REV-REVCALC_CWS'!K30 + 'REV-REVCALC_CWS'!K69</f>
        <v>2467500</v>
      </c>
      <c r="N116" s="70">
        <f>'REV-REVCALC_CWS'!L30 + 'REV-REVCALC_CWS'!L69</f>
        <v>2819100</v>
      </c>
      <c r="O116" s="70">
        <f>'REV-REVCALC_CWS'!M30 + 'REV-REVCALC_CWS'!M69</f>
        <v>3170700</v>
      </c>
      <c r="P116" s="70">
        <f>'REV-REVCALC_CWS'!N30 + 'REV-REVCALC_CWS'!N69</f>
        <v>2819100</v>
      </c>
      <c r="Q116" s="70">
        <f>'REV-REVCALC_CWS'!O30 + 'REV-REVCALC_CWS'!O69</f>
        <v>5513505</v>
      </c>
      <c r="R116" s="70">
        <f>'REV-REVCALC_CWS'!P30 + 'REV-REVCALC_CWS'!P69</f>
        <v>8825940</v>
      </c>
      <c r="S116" s="70">
        <f>'REV-REVCALC_CWS'!Q30 + 'REV-REVCALC_CWS'!Q69</f>
        <v>9927675</v>
      </c>
      <c r="T116" s="70">
        <f>'REV-REVCALC_CWS'!R30 + 'REV-REVCALC_CWS'!R69</f>
        <v>9927675</v>
      </c>
      <c r="U116" s="70">
        <f>'REV-REVCALC_CWS'!S30 + 'REV-REVCALC_CWS'!S69</f>
        <v>9927675</v>
      </c>
      <c r="V116" s="70">
        <f>'REV-REVCALC_CWS'!T30 + 'REV-REVCALC_CWS'!T69</f>
        <v>9927675</v>
      </c>
      <c r="W116" s="70">
        <f>'REV-REVCALC_CWS'!U30 + 'REV-REVCALC_CWS'!U69</f>
        <v>9927675</v>
      </c>
      <c r="X116" s="70">
        <f>'REV-REVCALC_CWS'!V30 + 'REV-REVCALC_CWS'!V69</f>
        <v>9927675</v>
      </c>
      <c r="Y116" s="70">
        <f>'REV-REVCALC_CWS'!W30 + 'REV-REVCALC_CWS'!W69</f>
        <v>9927675</v>
      </c>
      <c r="Z116" s="70">
        <f>'REV-REVCALC_CWS'!X30 + 'REV-REVCALC_CWS'!X69</f>
        <v>9927675</v>
      </c>
      <c r="AA116" s="70">
        <f>'REV-REVCALC_CWS'!Y30 + 'REV-REVCALC_CWS'!Y69</f>
        <v>9927675</v>
      </c>
      <c r="AB116" s="70">
        <f>'REV-REVCALC_CWS'!Z30 + 'REV-REVCALC_CWS'!Z69</f>
        <v>6620055</v>
      </c>
      <c r="AC116" s="70">
        <f>'REV-REVCALC_CWS'!AA30 + 'REV-REVCALC_CWS'!AA69</f>
        <v>12572357.1</v>
      </c>
      <c r="AD116" s="70">
        <f>'REV-REVCALC_CWS'!AB30 + 'REV-REVCALC_CWS'!AB69</f>
        <v>20119615.650000006</v>
      </c>
      <c r="AE116" s="70">
        <f>'REV-REVCALC_CWS'!AC30 + 'REV-REVCALC_CWS'!AC69</f>
        <v>22630788.900000006</v>
      </c>
      <c r="AF116" s="70">
        <f>'REV-REVCALC_CWS'!AD30 + 'REV-REVCALC_CWS'!AD69</f>
        <v>22630788.900000006</v>
      </c>
      <c r="AG116" s="70">
        <f>'REV-REVCALC_CWS'!AE30 + 'REV-REVCALC_CWS'!AE69</f>
        <v>22630788.900000006</v>
      </c>
      <c r="AH116" s="70">
        <f>'REV-REVCALC_CWS'!AF30 + 'REV-REVCALC_CWS'!AF69</f>
        <v>22630788.900000006</v>
      </c>
      <c r="AI116" s="70">
        <f>'REV-REVCALC_CWS'!AG30 + 'REV-REVCALC_CWS'!AG69</f>
        <v>22630788.900000006</v>
      </c>
      <c r="AJ116" s="70">
        <f>'REV-REVCALC_CWS'!AH30 + 'REV-REVCALC_CWS'!AH69</f>
        <v>22630788.900000006</v>
      </c>
      <c r="AK116" s="70">
        <f>'REV-REVCALC_CWS'!AI30 + 'REV-REVCALC_CWS'!AI69</f>
        <v>22630788.900000006</v>
      </c>
      <c r="AL116" s="70">
        <f>'REV-REVCALC_CWS'!AJ30 + 'REV-REVCALC_CWS'!AJ69</f>
        <v>22630788.900000006</v>
      </c>
      <c r="AM116" s="70">
        <f>'REV-REVCALC_CWS'!AK30 + 'REV-REVCALC_CWS'!AK69</f>
        <v>22630788.900000006</v>
      </c>
      <c r="AN116" s="70">
        <f>'REV-REVCALC_CWS'!AL30 + 'REV-REVCALC_CWS'!AL69</f>
        <v>15083530.35</v>
      </c>
      <c r="AO116" s="70">
        <f>'REV-REVCALC_CWS'!AM30 + 'REV-REVCALC_CWS'!AM69</f>
        <v>23002343.661500003</v>
      </c>
      <c r="AP116" s="70">
        <f>'REV-REVCALC_CWS'!AN30 + 'REV-REVCALC_CWS'!AN69</f>
        <v>36806577.474500008</v>
      </c>
      <c r="AQ116" s="70">
        <f>'REV-REVCALC_CWS'!AO30 + 'REV-REVCALC_CWS'!AO69</f>
        <v>41408388.745500013</v>
      </c>
      <c r="AR116" s="70">
        <f>'REV-REVCALC_CWS'!AP30 + 'REV-REVCALC_CWS'!AP69</f>
        <v>41408388.745500013</v>
      </c>
      <c r="AS116" s="70">
        <f>'REV-REVCALC_CWS'!AQ30 + 'REV-REVCALC_CWS'!AQ69</f>
        <v>41408388.745500013</v>
      </c>
      <c r="AT116" s="70">
        <f>'REV-REVCALC_CWS'!AR30 + 'REV-REVCALC_CWS'!AR69</f>
        <v>41408388.745500013</v>
      </c>
      <c r="AU116" s="70">
        <f>'REV-REVCALC_CWS'!AS30 + 'REV-REVCALC_CWS'!AS69</f>
        <v>41408388.745500013</v>
      </c>
      <c r="AV116" s="70">
        <f>'REV-REVCALC_CWS'!AT30 + 'REV-REVCALC_CWS'!AT69</f>
        <v>41408388.745500013</v>
      </c>
      <c r="AW116" s="70">
        <f>'REV-REVCALC_CWS'!AU30 + 'REV-REVCALC_CWS'!AU69</f>
        <v>41408388.745500013</v>
      </c>
      <c r="AX116" s="70">
        <f>'REV-REVCALC_CWS'!AV30 + 'REV-REVCALC_CWS'!AV69</f>
        <v>41408388.745500013</v>
      </c>
      <c r="AY116" s="70">
        <f>'REV-REVCALC_CWS'!AW30 + 'REV-REVCALC_CWS'!AW69</f>
        <v>41408388.745500013</v>
      </c>
      <c r="AZ116" s="70">
        <f>'REV-REVCALC_CWS'!AX30 + 'REV-REVCALC_CWS'!AX69</f>
        <v>27604154.932500008</v>
      </c>
      <c r="BA116" s="70">
        <f>'REV-REVCALC_CWS'!AY30 + 'REV-REVCALC_CWS'!AY69</f>
        <v>21964257.746625002</v>
      </c>
      <c r="BB116" s="70">
        <f>'REV-REVCALC_CWS'!AZ30 + 'REV-REVCALC_CWS'!AZ69</f>
        <v>35150818.450645015</v>
      </c>
      <c r="BC116" s="70">
        <f>'REV-REVCALC_CWS'!BA30 + 'REV-REVCALC_CWS'!BA69</f>
        <v>39537347.577970013</v>
      </c>
      <c r="BD116" s="70">
        <f>'REV-REVCALC_CWS'!BB30 + 'REV-REVCALC_CWS'!BB69</f>
        <v>39537347.577970013</v>
      </c>
      <c r="BE116" s="70">
        <f>'REV-REVCALC_CWS'!BC30 + 'REV-REVCALC_CWS'!BC69</f>
        <v>39537347.577970013</v>
      </c>
      <c r="BF116" s="70">
        <f>'REV-REVCALC_CWS'!BD30 + 'REV-REVCALC_CWS'!BD69</f>
        <v>39537347.577970013</v>
      </c>
      <c r="BG116" s="70">
        <f>'REV-REVCALC_CWS'!BE30 + 'REV-REVCALC_CWS'!BE69</f>
        <v>39537347.577970013</v>
      </c>
      <c r="BH116" s="70">
        <f>'REV-REVCALC_CWS'!BF30 + 'REV-REVCALC_CWS'!BF69</f>
        <v>39537347.577970013</v>
      </c>
      <c r="BI116" s="70">
        <f>'REV-REVCALC_CWS'!BG30 + 'REV-REVCALC_CWS'!BG69</f>
        <v>39537347.577970013</v>
      </c>
      <c r="BJ116" s="70">
        <f>'REV-REVCALC_CWS'!BH30 + 'REV-REVCALC_CWS'!BH69</f>
        <v>39537347.577970013</v>
      </c>
      <c r="BK116" s="70">
        <f>'REV-REVCALC_CWS'!BI30 + 'REV-REVCALC_CWS'!BI69</f>
        <v>39537347.577970013</v>
      </c>
      <c r="BL116" s="70">
        <f>'REV-REVCALC_CWS'!BJ30 + 'REV-REVCALC_CWS'!BJ69</f>
        <v>26367222.825995006</v>
      </c>
      <c r="BM116" s="167">
        <f>SUM(D116:BL116)</f>
        <v>1278569980.2029948</v>
      </c>
    </row>
    <row r="117" spans="2:65" s="33" customFormat="1" outlineLevel="1" x14ac:dyDescent="0.15">
      <c r="B117" s="47" t="s">
        <v>316</v>
      </c>
      <c r="D117" s="46">
        <f>'REV-REVCALC_CWS'!B31</f>
        <v>0</v>
      </c>
      <c r="E117" s="46">
        <f>MEDIAN( 'REV-REVCALC_CWS'!C31, 'REV-REVCALC_CWS'!C70 )</f>
        <v>0</v>
      </c>
      <c r="F117" s="46">
        <f>MEDIAN( 'REV-REVCALC_CWS'!D31, 'REV-REVCALC_CWS'!D70 )</f>
        <v>0</v>
      </c>
      <c r="G117" s="46">
        <f>MEDIAN( 'REV-REVCALC_CWS'!E31, 'REV-REVCALC_CWS'!E70 )</f>
        <v>0</v>
      </c>
      <c r="H117" s="46">
        <f>MEDIAN( 'REV-REVCALC_CWS'!F31, 'REV-REVCALC_CWS'!F70 )</f>
        <v>0.16071428571428573</v>
      </c>
      <c r="I117" s="46">
        <f>MEDIAN( 'REV-REVCALC_CWS'!G31, 'REV-REVCALC_CWS'!G70 )</f>
        <v>0.16071428571428573</v>
      </c>
      <c r="J117" s="46">
        <f>MEDIAN( 'REV-REVCALC_CWS'!H31, 'REV-REVCALC_CWS'!H70 )</f>
        <v>0.39538716000980151</v>
      </c>
      <c r="K117" s="46">
        <f>MEDIAN( 'REV-REVCALC_CWS'!I31, 'REV-REVCALC_CWS'!I70 )</f>
        <v>0.39540070482281536</v>
      </c>
      <c r="L117" s="46">
        <f>MEDIAN( 'REV-REVCALC_CWS'!J31, 'REV-REVCALC_CWS'!J70 )</f>
        <v>0.39540971580720535</v>
      </c>
      <c r="M117" s="46">
        <f>MEDIAN( 'REV-REVCALC_CWS'!K31, 'REV-REVCALC_CWS'!K70 )</f>
        <v>0.39541614299678818</v>
      </c>
      <c r="N117" s="46">
        <f>MEDIAN( 'REV-REVCALC_CWS'!L31, 'REV-REVCALC_CWS'!L70 )</f>
        <v>0.39542095835199287</v>
      </c>
      <c r="O117" s="46">
        <f>MEDIAN( 'REV-REVCALC_CWS'!M31, 'REV-REVCALC_CWS'!M70 )</f>
        <v>0.39542470064754187</v>
      </c>
      <c r="P117" s="46">
        <f>MEDIAN( 'REV-REVCALC_CWS'!N31, 'REV-REVCALC_CWS'!N70 )</f>
        <v>0.39542095835199287</v>
      </c>
      <c r="Q117" s="46">
        <f>MEDIAN( 'REV-REVCALC_CWS'!O31, 'REV-REVCALC_CWS'!O70 )</f>
        <v>0.39707432581264357</v>
      </c>
      <c r="R117" s="46">
        <f>MEDIAN( 'REV-REVCALC_CWS'!P31, 'REV-REVCALC_CWS'!P70 )</f>
        <v>0.39710155524413004</v>
      </c>
      <c r="S117" s="46">
        <f>MEDIAN( 'REV-REVCALC_CWS'!Q31, 'REV-REVCALC_CWS'!Q70 )</f>
        <v>0.39712566329201116</v>
      </c>
      <c r="T117" s="46">
        <f>MEDIAN( 'REV-REVCALC_CWS'!R31, 'REV-REVCALC_CWS'!R70 )</f>
        <v>0.39712566329201116</v>
      </c>
      <c r="U117" s="46">
        <f>MEDIAN( 'REV-REVCALC_CWS'!S31, 'REV-REVCALC_CWS'!S70 )</f>
        <v>0.39712566329201116</v>
      </c>
      <c r="V117" s="46">
        <f>MEDIAN( 'REV-REVCALC_CWS'!T31, 'REV-REVCALC_CWS'!T70 )</f>
        <v>0.39712566329201116</v>
      </c>
      <c r="W117" s="46">
        <f>MEDIAN( 'REV-REVCALC_CWS'!U31, 'REV-REVCALC_CWS'!U70 )</f>
        <v>0.39712566329201116</v>
      </c>
      <c r="X117" s="46">
        <f>MEDIAN( 'REV-REVCALC_CWS'!V31, 'REV-REVCALC_CWS'!V70 )</f>
        <v>0.39712566329201116</v>
      </c>
      <c r="Y117" s="46">
        <f>MEDIAN( 'REV-REVCALC_CWS'!W31, 'REV-REVCALC_CWS'!W70 )</f>
        <v>0.39712566329201116</v>
      </c>
      <c r="Z117" s="46">
        <f>MEDIAN( 'REV-REVCALC_CWS'!X31, 'REV-REVCALC_CWS'!X70 )</f>
        <v>0.39712566329201116</v>
      </c>
      <c r="AA117" s="46">
        <f>MEDIAN( 'REV-REVCALC_CWS'!Y31, 'REV-REVCALC_CWS'!Y70 )</f>
        <v>0.39712566329201116</v>
      </c>
      <c r="AB117" s="46">
        <f>MEDIAN( 'REV-REVCALC_CWS'!Z31, 'REV-REVCALC_CWS'!Z70 )</f>
        <v>0.39713096303013551</v>
      </c>
      <c r="AC117" s="46">
        <f>MEDIAN( 'REV-REVCALC_CWS'!AA31, 'REV-REVCALC_CWS'!AA70 )</f>
        <v>0.39796777774191439</v>
      </c>
      <c r="AD117" s="46">
        <f>MEDIAN( 'REV-REVCALC_CWS'!AB31, 'REV-REVCALC_CWS'!AB70 )</f>
        <v>0.39801334303621499</v>
      </c>
      <c r="AE117" s="46">
        <f>MEDIAN( 'REV-REVCALC_CWS'!AC31, 'REV-REVCALC_CWS'!AC70 )</f>
        <v>0.39801223209065795</v>
      </c>
      <c r="AF117" s="46">
        <f>MEDIAN( 'REV-REVCALC_CWS'!AD31, 'REV-REVCALC_CWS'!AD70 )</f>
        <v>0.39801223209065795</v>
      </c>
      <c r="AG117" s="46">
        <f>MEDIAN( 'REV-REVCALC_CWS'!AE31, 'REV-REVCALC_CWS'!AE70 )</f>
        <v>0.39801223209065795</v>
      </c>
      <c r="AH117" s="46">
        <f>MEDIAN( 'REV-REVCALC_CWS'!AF31, 'REV-REVCALC_CWS'!AF70 )</f>
        <v>0.39801223209065795</v>
      </c>
      <c r="AI117" s="46">
        <f>MEDIAN( 'REV-REVCALC_CWS'!AG31, 'REV-REVCALC_CWS'!AG70 )</f>
        <v>0.39801223209065795</v>
      </c>
      <c r="AJ117" s="46">
        <f>MEDIAN( 'REV-REVCALC_CWS'!AH31, 'REV-REVCALC_CWS'!AH70 )</f>
        <v>0.39801223209065795</v>
      </c>
      <c r="AK117" s="46">
        <f>MEDIAN( 'REV-REVCALC_CWS'!AI31, 'REV-REVCALC_CWS'!AI70 )</f>
        <v>0.39801223209065795</v>
      </c>
      <c r="AL117" s="46">
        <f>MEDIAN( 'REV-REVCALC_CWS'!AJ31, 'REV-REVCALC_CWS'!AJ70 )</f>
        <v>0.39801223209065795</v>
      </c>
      <c r="AM117" s="46">
        <f>MEDIAN( 'REV-REVCALC_CWS'!AK31, 'REV-REVCALC_CWS'!AK70 )</f>
        <v>0.39801223209065795</v>
      </c>
      <c r="AN117" s="46">
        <f>MEDIAN( 'REV-REVCALC_CWS'!AL31, 'REV-REVCALC_CWS'!AL70 )</f>
        <v>0.39797369745807526</v>
      </c>
      <c r="AO117" s="46">
        <f>MEDIAN( 'REV-REVCALC_CWS'!AM31, 'REV-REVCALC_CWS'!AM70 )</f>
        <v>0.4155463244749068</v>
      </c>
      <c r="AP117" s="46">
        <f>MEDIAN( 'REV-REVCALC_CWS'!AN31, 'REV-REVCALC_CWS'!AN70 )</f>
        <v>0.41554375237407942</v>
      </c>
      <c r="AQ117" s="46">
        <f>MEDIAN( 'REV-REVCALC_CWS'!AO31, 'REV-REVCALC_CWS'!AO70 )</f>
        <v>0.41554674166959971</v>
      </c>
      <c r="AR117" s="46">
        <f>MEDIAN( 'REV-REVCALC_CWS'!AP31, 'REV-REVCALC_CWS'!AP70 )</f>
        <v>0.41554674166959971</v>
      </c>
      <c r="AS117" s="46">
        <f>MEDIAN( 'REV-REVCALC_CWS'!AQ31, 'REV-REVCALC_CWS'!AQ70 )</f>
        <v>0.41554674166959971</v>
      </c>
      <c r="AT117" s="46">
        <f>MEDIAN( 'REV-REVCALC_CWS'!AR31, 'REV-REVCALC_CWS'!AR70 )</f>
        <v>0.41554674166959971</v>
      </c>
      <c r="AU117" s="46">
        <f>MEDIAN( 'REV-REVCALC_CWS'!AS31, 'REV-REVCALC_CWS'!AS70 )</f>
        <v>0.41554674166959971</v>
      </c>
      <c r="AV117" s="46">
        <f>MEDIAN( 'REV-REVCALC_CWS'!AT31, 'REV-REVCALC_CWS'!AT70 )</f>
        <v>0.41554674166959971</v>
      </c>
      <c r="AW117" s="46">
        <f>MEDIAN( 'REV-REVCALC_CWS'!AU31, 'REV-REVCALC_CWS'!AU70 )</f>
        <v>0.41554674166959971</v>
      </c>
      <c r="AX117" s="46">
        <f>MEDIAN( 'REV-REVCALC_CWS'!AV31, 'REV-REVCALC_CWS'!AV70 )</f>
        <v>0.41554674166959971</v>
      </c>
      <c r="AY117" s="46">
        <f>MEDIAN( 'REV-REVCALC_CWS'!AW31, 'REV-REVCALC_CWS'!AW70 )</f>
        <v>0.41554674166959971</v>
      </c>
      <c r="AZ117" s="46">
        <f>MEDIAN( 'REV-REVCALC_CWS'!AX31, 'REV-REVCALC_CWS'!AX70 )</f>
        <v>0.41555038020995655</v>
      </c>
      <c r="BA117" s="46">
        <f>MEDIAN( 'REV-REVCALC_CWS'!AY31, 'REV-REVCALC_CWS'!AY70 )</f>
        <v>0.38389426624048639</v>
      </c>
      <c r="BB117" s="46">
        <f>MEDIAN( 'REV-REVCALC_CWS'!AZ31, 'REV-REVCALC_CWS'!AZ70 )</f>
        <v>0.38389533019480282</v>
      </c>
      <c r="BC117" s="46">
        <f>MEDIAN( 'REV-REVCALC_CWS'!BA31, 'REV-REVCALC_CWS'!BA70 )</f>
        <v>0.3839008719383229</v>
      </c>
      <c r="BD117" s="46">
        <f>MEDIAN( 'REV-REVCALC_CWS'!BB31, 'REV-REVCALC_CWS'!BB70 )</f>
        <v>0.3839008719383229</v>
      </c>
      <c r="BE117" s="46">
        <f>MEDIAN( 'REV-REVCALC_CWS'!BC31, 'REV-REVCALC_CWS'!BC70 )</f>
        <v>0.3839008719383229</v>
      </c>
      <c r="BF117" s="46">
        <f>MEDIAN( 'REV-REVCALC_CWS'!BD31, 'REV-REVCALC_CWS'!BD70 )</f>
        <v>0.3839008719383229</v>
      </c>
      <c r="BG117" s="46">
        <f>MEDIAN( 'REV-REVCALC_CWS'!BE31, 'REV-REVCALC_CWS'!BE70 )</f>
        <v>0.3839008719383229</v>
      </c>
      <c r="BH117" s="46">
        <f>MEDIAN( 'REV-REVCALC_CWS'!BF31, 'REV-REVCALC_CWS'!BF70 )</f>
        <v>0.3839008719383229</v>
      </c>
      <c r="BI117" s="46">
        <f>MEDIAN( 'REV-REVCALC_CWS'!BG31, 'REV-REVCALC_CWS'!BG70 )</f>
        <v>0.3839008719383229</v>
      </c>
      <c r="BJ117" s="46">
        <f>MEDIAN( 'REV-REVCALC_CWS'!BH31, 'REV-REVCALC_CWS'!BH70 )</f>
        <v>0.3839008719383229</v>
      </c>
      <c r="BK117" s="46">
        <f>MEDIAN( 'REV-REVCALC_CWS'!BI31, 'REV-REVCALC_CWS'!BI70 )</f>
        <v>0.3839008719383229</v>
      </c>
      <c r="BL117" s="46">
        <f>MEDIAN( 'REV-REVCALC_CWS'!BJ31, 'REV-REVCALC_CWS'!BJ70 )</f>
        <v>0.38389285513768728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'REV-REVCALC_CWS'!A39 &amp; " Ingreso"</f>
        <v>Ingreso Local Services Units Ingreso</v>
      </c>
      <c r="BM119" s="65"/>
    </row>
    <row r="120" spans="2:65" s="33" customFormat="1" outlineLevel="1" x14ac:dyDescent="0.15">
      <c r="B120" s="47" t="str">
        <f>'REV-REVCALC_CWS'!A42</f>
        <v>Servicio Ingreso</v>
      </c>
      <c r="D120" s="70">
        <f>'REV-REVCALC_CWS'!B42</f>
        <v>0</v>
      </c>
      <c r="E120" s="70">
        <f>'REV-REVCALC_CWS'!C42 + 'REV-REVCALC_CWS'!C81</f>
        <v>0</v>
      </c>
      <c r="F120" s="70">
        <f>'REV-REVCALC_CWS'!D42 + 'REV-REVCALC_CWS'!D81</f>
        <v>0</v>
      </c>
      <c r="G120" s="70">
        <f>'REV-REVCALC_CWS'!E42 + 'REV-REVCALC_CWS'!E81</f>
        <v>0</v>
      </c>
      <c r="H120" s="70">
        <f>'REV-REVCALC_CWS'!F42 + 'REV-REVCALC_CWS'!F81</f>
        <v>0</v>
      </c>
      <c r="I120" s="70">
        <f>'REV-REVCALC_CWS'!G42 + 'REV-REVCALC_CWS'!G81</f>
        <v>0</v>
      </c>
      <c r="J120" s="70">
        <f>'REV-REVCALC_CWS'!H42 + 'REV-REVCALC_CWS'!H81</f>
        <v>0</v>
      </c>
      <c r="K120" s="70">
        <f>'REV-REVCALC_CWS'!I42 + 'REV-REVCALC_CWS'!I81</f>
        <v>0</v>
      </c>
      <c r="L120" s="70">
        <f>'REV-REVCALC_CWS'!J42 + 'REV-REVCALC_CWS'!J81</f>
        <v>0</v>
      </c>
      <c r="M120" s="70">
        <f>'REV-REVCALC_CWS'!K42 + 'REV-REVCALC_CWS'!K81</f>
        <v>0</v>
      </c>
      <c r="N120" s="70">
        <f>'REV-REVCALC_CWS'!L42 + 'REV-REVCALC_CWS'!L81</f>
        <v>0</v>
      </c>
      <c r="O120" s="70">
        <f>'REV-REVCALC_CWS'!M42 + 'REV-REVCALC_CWS'!M81</f>
        <v>0</v>
      </c>
      <c r="P120" s="70">
        <f>'REV-REVCALC_CWS'!N42 + 'REV-REVCALC_CWS'!N81</f>
        <v>0</v>
      </c>
      <c r="Q120" s="70">
        <f>'REV-REVCALC_CWS'!O42 + 'REV-REVCALC_CWS'!O81</f>
        <v>0</v>
      </c>
      <c r="R120" s="70">
        <f>'REV-REVCALC_CWS'!P42 + 'REV-REVCALC_CWS'!P81</f>
        <v>0</v>
      </c>
      <c r="S120" s="70">
        <f>'REV-REVCALC_CWS'!Q42 + 'REV-REVCALC_CWS'!Q81</f>
        <v>0</v>
      </c>
      <c r="T120" s="70">
        <f>'REV-REVCALC_CWS'!R42 + 'REV-REVCALC_CWS'!R81</f>
        <v>0</v>
      </c>
      <c r="U120" s="70">
        <f>'REV-REVCALC_CWS'!S42 + 'REV-REVCALC_CWS'!S81</f>
        <v>0</v>
      </c>
      <c r="V120" s="70">
        <f>'REV-REVCALC_CWS'!T42 + 'REV-REVCALC_CWS'!T81</f>
        <v>0</v>
      </c>
      <c r="W120" s="70">
        <f>'REV-REVCALC_CWS'!U42 + 'REV-REVCALC_CWS'!U81</f>
        <v>0</v>
      </c>
      <c r="X120" s="70">
        <f>'REV-REVCALC_CWS'!V42 + 'REV-REVCALC_CWS'!V81</f>
        <v>0</v>
      </c>
      <c r="Y120" s="70">
        <f>'REV-REVCALC_CWS'!W42 + 'REV-REVCALC_CWS'!W81</f>
        <v>0</v>
      </c>
      <c r="Z120" s="70">
        <f>'REV-REVCALC_CWS'!X42 + 'REV-REVCALC_CWS'!X81</f>
        <v>0</v>
      </c>
      <c r="AA120" s="70">
        <f>'REV-REVCALC_CWS'!Y42 + 'REV-REVCALC_CWS'!Y81</f>
        <v>0</v>
      </c>
      <c r="AB120" s="70">
        <f>'REV-REVCALC_CWS'!Z42 + 'REV-REVCALC_CWS'!Z81</f>
        <v>0</v>
      </c>
      <c r="AC120" s="70">
        <f>'REV-REVCALC_CWS'!AA42 + 'REV-REVCALC_CWS'!AA81</f>
        <v>0</v>
      </c>
      <c r="AD120" s="70">
        <f>'REV-REVCALC_CWS'!AB42 + 'REV-REVCALC_CWS'!AB81</f>
        <v>0</v>
      </c>
      <c r="AE120" s="70">
        <f>'REV-REVCALC_CWS'!AC42 + 'REV-REVCALC_CWS'!AC81</f>
        <v>0</v>
      </c>
      <c r="AF120" s="70">
        <f>'REV-REVCALC_CWS'!AD42 + 'REV-REVCALC_CWS'!AD81</f>
        <v>0</v>
      </c>
      <c r="AG120" s="70">
        <f>'REV-REVCALC_CWS'!AE42 + 'REV-REVCALC_CWS'!AE81</f>
        <v>0</v>
      </c>
      <c r="AH120" s="70">
        <f>'REV-REVCALC_CWS'!AF42 + 'REV-REVCALC_CWS'!AF81</f>
        <v>0</v>
      </c>
      <c r="AI120" s="70">
        <f>'REV-REVCALC_CWS'!AG42 + 'REV-REVCALC_CWS'!AG81</f>
        <v>0</v>
      </c>
      <c r="AJ120" s="70">
        <f>'REV-REVCALC_CWS'!AH42 + 'REV-REVCALC_CWS'!AH81</f>
        <v>0</v>
      </c>
      <c r="AK120" s="70">
        <f>'REV-REVCALC_CWS'!AI42 + 'REV-REVCALC_CWS'!AI81</f>
        <v>0</v>
      </c>
      <c r="AL120" s="70">
        <f>'REV-REVCALC_CWS'!AJ42 + 'REV-REVCALC_CWS'!AJ81</f>
        <v>0</v>
      </c>
      <c r="AM120" s="70">
        <f>'REV-REVCALC_CWS'!AK42 + 'REV-REVCALC_CWS'!AK81</f>
        <v>0</v>
      </c>
      <c r="AN120" s="70">
        <f>'REV-REVCALC_CWS'!AL42 + 'REV-REVCALC_CWS'!AL81</f>
        <v>0</v>
      </c>
      <c r="AO120" s="70">
        <f>'REV-REVCALC_CWS'!AM42 + 'REV-REVCALC_CWS'!AM81</f>
        <v>0</v>
      </c>
      <c r="AP120" s="70">
        <f>'REV-REVCALC_CWS'!AN42 + 'REV-REVCALC_CWS'!AN81</f>
        <v>0</v>
      </c>
      <c r="AQ120" s="70">
        <f>'REV-REVCALC_CWS'!AO42 + 'REV-REVCALC_CWS'!AO81</f>
        <v>0</v>
      </c>
      <c r="AR120" s="70">
        <f>'REV-REVCALC_CWS'!AP42 + 'REV-REVCALC_CWS'!AP81</f>
        <v>0</v>
      </c>
      <c r="AS120" s="70">
        <f>'REV-REVCALC_CWS'!AQ42 + 'REV-REVCALC_CWS'!AQ81</f>
        <v>0</v>
      </c>
      <c r="AT120" s="70">
        <f>'REV-REVCALC_CWS'!AR42 + 'REV-REVCALC_CWS'!AR81</f>
        <v>0</v>
      </c>
      <c r="AU120" s="70">
        <f>'REV-REVCALC_CWS'!AS42 + 'REV-REVCALC_CWS'!AS81</f>
        <v>0</v>
      </c>
      <c r="AV120" s="70">
        <f>'REV-REVCALC_CWS'!AT42 + 'REV-REVCALC_CWS'!AT81</f>
        <v>0</v>
      </c>
      <c r="AW120" s="70">
        <f>'REV-REVCALC_CWS'!AU42 + 'REV-REVCALC_CWS'!AU81</f>
        <v>0</v>
      </c>
      <c r="AX120" s="70">
        <f>'REV-REVCALC_CWS'!AV42 + 'REV-REVCALC_CWS'!AV81</f>
        <v>0</v>
      </c>
      <c r="AY120" s="70">
        <f>'REV-REVCALC_CWS'!AW42 + 'REV-REVCALC_CWS'!AW81</f>
        <v>0</v>
      </c>
      <c r="AZ120" s="70">
        <f>'REV-REVCALC_CWS'!AX42 + 'REV-REVCALC_CWS'!AX81</f>
        <v>0</v>
      </c>
      <c r="BA120" s="70">
        <f>'REV-REVCALC_CWS'!AY42 + 'REV-REVCALC_CWS'!AY81</f>
        <v>0</v>
      </c>
      <c r="BB120" s="70">
        <f>'REV-REVCALC_CWS'!AZ42 + 'REV-REVCALC_CWS'!AZ81</f>
        <v>0</v>
      </c>
      <c r="BC120" s="70">
        <f>'REV-REVCALC_CWS'!BA42 + 'REV-REVCALC_CWS'!BA81</f>
        <v>0</v>
      </c>
      <c r="BD120" s="70">
        <f>'REV-REVCALC_CWS'!BB42 + 'REV-REVCALC_CWS'!BB81</f>
        <v>0</v>
      </c>
      <c r="BE120" s="70">
        <f>'REV-REVCALC_CWS'!BC42 + 'REV-REVCALC_CWS'!BC81</f>
        <v>0</v>
      </c>
      <c r="BF120" s="70">
        <f>'REV-REVCALC_CWS'!BD42 + 'REV-REVCALC_CWS'!BD81</f>
        <v>0</v>
      </c>
      <c r="BG120" s="70">
        <f>'REV-REVCALC_CWS'!BE42 + 'REV-REVCALC_CWS'!BE81</f>
        <v>0</v>
      </c>
      <c r="BH120" s="70">
        <f>'REV-REVCALC_CWS'!BF42 + 'REV-REVCALC_CWS'!BF81</f>
        <v>0</v>
      </c>
      <c r="BI120" s="70">
        <f>'REV-REVCALC_CWS'!BG42 + 'REV-REVCALC_CWS'!BG81</f>
        <v>0</v>
      </c>
      <c r="BJ120" s="70">
        <f>'REV-REVCALC_CWS'!BH42 + 'REV-REVCALC_CWS'!BH81</f>
        <v>0</v>
      </c>
      <c r="BK120" s="70">
        <f>'REV-REVCALC_CWS'!BI42 + 'REV-REVCALC_CWS'!BI81</f>
        <v>0</v>
      </c>
      <c r="BL120" s="70">
        <f>'REV-REVCALC_CWS'!BJ42 + 'REV-REVCALC_CWS'!BJ81</f>
        <v>0</v>
      </c>
      <c r="BM120" s="167">
        <f>SUM(D120:BL120)</f>
        <v>0</v>
      </c>
    </row>
    <row r="121" spans="2:65" s="33" customFormat="1" outlineLevel="1" x14ac:dyDescent="0.15">
      <c r="B121" s="47" t="s">
        <v>348</v>
      </c>
      <c r="D121" s="70">
        <f>'REV-REVCALC_CWS'!B43</f>
        <v>0</v>
      </c>
      <c r="E121" s="70">
        <f>'REV-REVCALC_CWS'!C43 + 'REV-REVCALC_CWS'!C82</f>
        <v>0</v>
      </c>
      <c r="F121" s="70">
        <f>'REV-REVCALC_CWS'!D43 + 'REV-REVCALC_CWS'!D82</f>
        <v>0</v>
      </c>
      <c r="G121" s="70">
        <f>'REV-REVCALC_CWS'!E43 + 'REV-REVCALC_CWS'!E82</f>
        <v>0</v>
      </c>
      <c r="H121" s="70">
        <f>'REV-REVCALC_CWS'!F43 + 'REV-REVCALC_CWS'!F82</f>
        <v>0</v>
      </c>
      <c r="I121" s="70">
        <f>'REV-REVCALC_CWS'!G43 + 'REV-REVCALC_CWS'!G82</f>
        <v>0</v>
      </c>
      <c r="J121" s="70">
        <f>'REV-REVCALC_CWS'!H43 + 'REV-REVCALC_CWS'!H82</f>
        <v>0</v>
      </c>
      <c r="K121" s="70">
        <f>'REV-REVCALC_CWS'!I43 + 'REV-REVCALC_CWS'!I82</f>
        <v>0</v>
      </c>
      <c r="L121" s="70">
        <f>'REV-REVCALC_CWS'!J43 + 'REV-REVCALC_CWS'!J82</f>
        <v>0</v>
      </c>
      <c r="M121" s="70">
        <f>'REV-REVCALC_CWS'!K43 + 'REV-REVCALC_CWS'!K82</f>
        <v>0</v>
      </c>
      <c r="N121" s="70">
        <f>'REV-REVCALC_CWS'!L43 + 'REV-REVCALC_CWS'!L82</f>
        <v>0</v>
      </c>
      <c r="O121" s="70">
        <f>'REV-REVCALC_CWS'!M43 + 'REV-REVCALC_CWS'!M82</f>
        <v>0</v>
      </c>
      <c r="P121" s="70">
        <f>'REV-REVCALC_CWS'!N43 + 'REV-REVCALC_CWS'!N82</f>
        <v>0</v>
      </c>
      <c r="Q121" s="70">
        <f>'REV-REVCALC_CWS'!O43 + 'REV-REVCALC_CWS'!O82</f>
        <v>0</v>
      </c>
      <c r="R121" s="70">
        <f>'REV-REVCALC_CWS'!P43 + 'REV-REVCALC_CWS'!P82</f>
        <v>0</v>
      </c>
      <c r="S121" s="70">
        <f>'REV-REVCALC_CWS'!Q43 + 'REV-REVCALC_CWS'!Q82</f>
        <v>0</v>
      </c>
      <c r="T121" s="70">
        <f>'REV-REVCALC_CWS'!R43 + 'REV-REVCALC_CWS'!R82</f>
        <v>0</v>
      </c>
      <c r="U121" s="70">
        <f>'REV-REVCALC_CWS'!S43 + 'REV-REVCALC_CWS'!S82</f>
        <v>0</v>
      </c>
      <c r="V121" s="70">
        <f>'REV-REVCALC_CWS'!T43 + 'REV-REVCALC_CWS'!T82</f>
        <v>0</v>
      </c>
      <c r="W121" s="70">
        <f>'REV-REVCALC_CWS'!U43 + 'REV-REVCALC_CWS'!U82</f>
        <v>0</v>
      </c>
      <c r="X121" s="70">
        <f>'REV-REVCALC_CWS'!V43 + 'REV-REVCALC_CWS'!V82</f>
        <v>0</v>
      </c>
      <c r="Y121" s="70">
        <f>'REV-REVCALC_CWS'!W43 + 'REV-REVCALC_CWS'!W82</f>
        <v>0</v>
      </c>
      <c r="Z121" s="70">
        <f>'REV-REVCALC_CWS'!X43 + 'REV-REVCALC_CWS'!X82</f>
        <v>0</v>
      </c>
      <c r="AA121" s="70">
        <f>'REV-REVCALC_CWS'!Y43 + 'REV-REVCALC_CWS'!Y82</f>
        <v>0</v>
      </c>
      <c r="AB121" s="70">
        <f>'REV-REVCALC_CWS'!Z43 + 'REV-REVCALC_CWS'!Z82</f>
        <v>0</v>
      </c>
      <c r="AC121" s="70">
        <f>'REV-REVCALC_CWS'!AA43 + 'REV-REVCALC_CWS'!AA82</f>
        <v>0</v>
      </c>
      <c r="AD121" s="70">
        <f>'REV-REVCALC_CWS'!AB43 + 'REV-REVCALC_CWS'!AB82</f>
        <v>0</v>
      </c>
      <c r="AE121" s="70">
        <f>'REV-REVCALC_CWS'!AC43 + 'REV-REVCALC_CWS'!AC82</f>
        <v>0</v>
      </c>
      <c r="AF121" s="70">
        <f>'REV-REVCALC_CWS'!AD43 + 'REV-REVCALC_CWS'!AD82</f>
        <v>0</v>
      </c>
      <c r="AG121" s="70">
        <f>'REV-REVCALC_CWS'!AE43 + 'REV-REVCALC_CWS'!AE82</f>
        <v>0</v>
      </c>
      <c r="AH121" s="70">
        <f>'REV-REVCALC_CWS'!AF43 + 'REV-REVCALC_CWS'!AF82</f>
        <v>0</v>
      </c>
      <c r="AI121" s="70">
        <f>'REV-REVCALC_CWS'!AG43 + 'REV-REVCALC_CWS'!AG82</f>
        <v>0</v>
      </c>
      <c r="AJ121" s="70">
        <f>'REV-REVCALC_CWS'!AH43 + 'REV-REVCALC_CWS'!AH82</f>
        <v>0</v>
      </c>
      <c r="AK121" s="70">
        <f>'REV-REVCALC_CWS'!AI43 + 'REV-REVCALC_CWS'!AI82</f>
        <v>0</v>
      </c>
      <c r="AL121" s="70">
        <f>'REV-REVCALC_CWS'!AJ43 + 'REV-REVCALC_CWS'!AJ82</f>
        <v>0</v>
      </c>
      <c r="AM121" s="70">
        <f>'REV-REVCALC_CWS'!AK43 + 'REV-REVCALC_CWS'!AK82</f>
        <v>0</v>
      </c>
      <c r="AN121" s="70">
        <f>'REV-REVCALC_CWS'!AL43 + 'REV-REVCALC_CWS'!AL82</f>
        <v>0</v>
      </c>
      <c r="AO121" s="70">
        <f>'REV-REVCALC_CWS'!AM43 + 'REV-REVCALC_CWS'!AM82</f>
        <v>0</v>
      </c>
      <c r="AP121" s="70">
        <f>'REV-REVCALC_CWS'!AN43 + 'REV-REVCALC_CWS'!AN82</f>
        <v>0</v>
      </c>
      <c r="AQ121" s="70">
        <f>'REV-REVCALC_CWS'!AO43 + 'REV-REVCALC_CWS'!AO82</f>
        <v>0</v>
      </c>
      <c r="AR121" s="70">
        <f>'REV-REVCALC_CWS'!AP43 + 'REV-REVCALC_CWS'!AP82</f>
        <v>0</v>
      </c>
      <c r="AS121" s="70">
        <f>'REV-REVCALC_CWS'!AQ43 + 'REV-REVCALC_CWS'!AQ82</f>
        <v>0</v>
      </c>
      <c r="AT121" s="70">
        <f>'REV-REVCALC_CWS'!AR43 + 'REV-REVCALC_CWS'!AR82</f>
        <v>0</v>
      </c>
      <c r="AU121" s="70">
        <f>'REV-REVCALC_CWS'!AS43 + 'REV-REVCALC_CWS'!AS82</f>
        <v>0</v>
      </c>
      <c r="AV121" s="70">
        <f>'REV-REVCALC_CWS'!AT43 + 'REV-REVCALC_CWS'!AT82</f>
        <v>0</v>
      </c>
      <c r="AW121" s="70">
        <f>'REV-REVCALC_CWS'!AU43 + 'REV-REVCALC_CWS'!AU82</f>
        <v>0</v>
      </c>
      <c r="AX121" s="70">
        <f>'REV-REVCALC_CWS'!AV43 + 'REV-REVCALC_CWS'!AV82</f>
        <v>0</v>
      </c>
      <c r="AY121" s="70">
        <f>'REV-REVCALC_CWS'!AW43 + 'REV-REVCALC_CWS'!AW82</f>
        <v>0</v>
      </c>
      <c r="AZ121" s="70">
        <f>'REV-REVCALC_CWS'!AX43 + 'REV-REVCALC_CWS'!AX82</f>
        <v>0</v>
      </c>
      <c r="BA121" s="70">
        <f>'REV-REVCALC_CWS'!AY43 + 'REV-REVCALC_CWS'!AY82</f>
        <v>0</v>
      </c>
      <c r="BB121" s="70">
        <f>'REV-REVCALC_CWS'!AZ43 + 'REV-REVCALC_CWS'!AZ82</f>
        <v>0</v>
      </c>
      <c r="BC121" s="70">
        <f>'REV-REVCALC_CWS'!BA43 + 'REV-REVCALC_CWS'!BA82</f>
        <v>0</v>
      </c>
      <c r="BD121" s="70">
        <f>'REV-REVCALC_CWS'!BB43 + 'REV-REVCALC_CWS'!BB82</f>
        <v>0</v>
      </c>
      <c r="BE121" s="70">
        <f>'REV-REVCALC_CWS'!BC43 + 'REV-REVCALC_CWS'!BC82</f>
        <v>0</v>
      </c>
      <c r="BF121" s="70">
        <f>'REV-REVCALC_CWS'!BD43 + 'REV-REVCALC_CWS'!BD82</f>
        <v>0</v>
      </c>
      <c r="BG121" s="70">
        <f>'REV-REVCALC_CWS'!BE43 + 'REV-REVCALC_CWS'!BE82</f>
        <v>0</v>
      </c>
      <c r="BH121" s="70">
        <f>'REV-REVCALC_CWS'!BF43 + 'REV-REVCALC_CWS'!BF82</f>
        <v>0</v>
      </c>
      <c r="BI121" s="70">
        <f>'REV-REVCALC_CWS'!BG43 + 'REV-REVCALC_CWS'!BG82</f>
        <v>0</v>
      </c>
      <c r="BJ121" s="70">
        <f>'REV-REVCALC_CWS'!BH43 + 'REV-REVCALC_CWS'!BH82</f>
        <v>0</v>
      </c>
      <c r="BK121" s="70">
        <f>'REV-REVCALC_CWS'!BI43 + 'REV-REVCALC_CWS'!BI82</f>
        <v>0</v>
      </c>
      <c r="BL121" s="70">
        <f>'REV-REVCALC_CWS'!BJ43 + 'REV-REVCALC_CWS'!BJ82</f>
        <v>0</v>
      </c>
      <c r="BM121" s="167">
        <f>SUM(D121:BL121)</f>
        <v>0</v>
      </c>
    </row>
    <row r="122" spans="2:65" s="33" customFormat="1" outlineLevel="1" x14ac:dyDescent="0.15">
      <c r="B122" s="14" t="s">
        <v>352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'REV-REVCALC_CWS'!A45 &amp; " Ingreso"</f>
        <v>Ingreso 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'REV-REVCALC_CWS'!A46</f>
        <v>Envío</v>
      </c>
      <c r="D125" s="70">
        <f>'REV-REVCALC_CWS'!B46</f>
        <v>0</v>
      </c>
      <c r="E125" s="70">
        <f>'REV-REVCALC_CWS'!C46 + 'REV-REVCALC_CWS'!C85</f>
        <v>0</v>
      </c>
      <c r="F125" s="70">
        <f>'REV-REVCALC_CWS'!D46 + 'REV-REVCALC_CWS'!D85</f>
        <v>0</v>
      </c>
      <c r="G125" s="70">
        <f>'REV-REVCALC_CWS'!E46 + 'REV-REVCALC_CWS'!E85</f>
        <v>0</v>
      </c>
      <c r="H125" s="70">
        <f>'REV-REVCALC_CWS'!F46 + 'REV-REVCALC_CWS'!F85</f>
        <v>0</v>
      </c>
      <c r="I125" s="70">
        <f>'REV-REVCALC_CWS'!G46 + 'REV-REVCALC_CWS'!G85</f>
        <v>0</v>
      </c>
      <c r="J125" s="70">
        <f>'REV-REVCALC_CWS'!H46 + 'REV-REVCALC_CWS'!H85</f>
        <v>174000</v>
      </c>
      <c r="K125" s="70">
        <f>'REV-REVCALC_CWS'!I46 + 'REV-REVCALC_CWS'!I85</f>
        <v>219000</v>
      </c>
      <c r="L125" s="70">
        <f>'REV-REVCALC_CWS'!J46 + 'REV-REVCALC_CWS'!J85</f>
        <v>261000</v>
      </c>
      <c r="M125" s="70">
        <f>'REV-REVCALC_CWS'!K46 + 'REV-REVCALC_CWS'!K85</f>
        <v>306000</v>
      </c>
      <c r="N125" s="70">
        <f>'REV-REVCALC_CWS'!L46 + 'REV-REVCALC_CWS'!L85</f>
        <v>348000</v>
      </c>
      <c r="O125" s="70">
        <f>'REV-REVCALC_CWS'!M46 + 'REV-REVCALC_CWS'!M85</f>
        <v>393000</v>
      </c>
      <c r="P125" s="70">
        <f>'REV-REVCALC_CWS'!N46 + 'REV-REVCALC_CWS'!N85</f>
        <v>348000</v>
      </c>
      <c r="Q125" s="70">
        <f>'REV-REVCALC_CWS'!O46 + 'REV-REVCALC_CWS'!O85</f>
        <v>699780</v>
      </c>
      <c r="R125" s="70">
        <f>'REV-REVCALC_CWS'!P46 + 'REV-REVCALC_CWS'!P85</f>
        <v>1117080</v>
      </c>
      <c r="S125" s="70">
        <f>'REV-REVCALC_CWS'!Q46 + 'REV-REVCALC_CWS'!Q85</f>
        <v>1255110</v>
      </c>
      <c r="T125" s="70">
        <f>'REV-REVCALC_CWS'!R46 + 'REV-REVCALC_CWS'!R85</f>
        <v>1255110</v>
      </c>
      <c r="U125" s="70">
        <f>'REV-REVCALC_CWS'!S46 + 'REV-REVCALC_CWS'!S85</f>
        <v>1255110</v>
      </c>
      <c r="V125" s="70">
        <f>'REV-REVCALC_CWS'!T46 + 'REV-REVCALC_CWS'!T85</f>
        <v>1255110</v>
      </c>
      <c r="W125" s="70">
        <f>'REV-REVCALC_CWS'!U46 + 'REV-REVCALC_CWS'!U85</f>
        <v>1255110</v>
      </c>
      <c r="X125" s="70">
        <f>'REV-REVCALC_CWS'!V46 + 'REV-REVCALC_CWS'!V85</f>
        <v>1255110</v>
      </c>
      <c r="Y125" s="70">
        <f>'REV-REVCALC_CWS'!W46 + 'REV-REVCALC_CWS'!W85</f>
        <v>1255110</v>
      </c>
      <c r="Z125" s="70">
        <f>'REV-REVCALC_CWS'!X46 + 'REV-REVCALC_CWS'!X85</f>
        <v>1255110</v>
      </c>
      <c r="AA125" s="70">
        <f>'REV-REVCALC_CWS'!Y46 + 'REV-REVCALC_CWS'!Y85</f>
        <v>1255110</v>
      </c>
      <c r="AB125" s="70">
        <f>'REV-REVCALC_CWS'!Z46 + 'REV-REVCALC_CWS'!Z85</f>
        <v>837810</v>
      </c>
      <c r="AC125" s="70">
        <f>'REV-REVCALC_CWS'!AA46 + 'REV-REVCALC_CWS'!AA85</f>
        <v>1525006.8000000003</v>
      </c>
      <c r="AD125" s="70">
        <f>'REV-REVCALC_CWS'!AB46 + 'REV-REVCALC_CWS'!AB85</f>
        <v>2435202.2999999998</v>
      </c>
      <c r="AE125" s="70">
        <f>'REV-REVCALC_CWS'!AC46 + 'REV-REVCALC_CWS'!AC85</f>
        <v>2740890.6</v>
      </c>
      <c r="AF125" s="70">
        <f>'REV-REVCALC_CWS'!AD46 + 'REV-REVCALC_CWS'!AD85</f>
        <v>2740890.6</v>
      </c>
      <c r="AG125" s="70">
        <f>'REV-REVCALC_CWS'!AE46 + 'REV-REVCALC_CWS'!AE85</f>
        <v>2740890.6</v>
      </c>
      <c r="AH125" s="70">
        <f>'REV-REVCALC_CWS'!AF46 + 'REV-REVCALC_CWS'!AF85</f>
        <v>2740890.6</v>
      </c>
      <c r="AI125" s="70">
        <f>'REV-REVCALC_CWS'!AG46 + 'REV-REVCALC_CWS'!AG85</f>
        <v>2740890.6</v>
      </c>
      <c r="AJ125" s="70">
        <f>'REV-REVCALC_CWS'!AH46 + 'REV-REVCALC_CWS'!AH85</f>
        <v>2740890.6</v>
      </c>
      <c r="AK125" s="70">
        <f>'REV-REVCALC_CWS'!AI46 + 'REV-REVCALC_CWS'!AI85</f>
        <v>2740890.6</v>
      </c>
      <c r="AL125" s="70">
        <f>'REV-REVCALC_CWS'!AJ46 + 'REV-REVCALC_CWS'!AJ85</f>
        <v>2740890.6</v>
      </c>
      <c r="AM125" s="70">
        <f>'REV-REVCALC_CWS'!AK46 + 'REV-REVCALC_CWS'!AK85</f>
        <v>2740890.6</v>
      </c>
      <c r="AN125" s="70">
        <f>'REV-REVCALC_CWS'!AL46 + 'REV-REVCALC_CWS'!AL85</f>
        <v>1830695.1</v>
      </c>
      <c r="AO125" s="70">
        <f>'REV-REVCALC_CWS'!AM46 + 'REV-REVCALC_CWS'!AM85</f>
        <v>3094458.6180000002</v>
      </c>
      <c r="AP125" s="70">
        <f>'REV-REVCALC_CWS'!AN46 + 'REV-REVCALC_CWS'!AN85</f>
        <v>4950398.7630000003</v>
      </c>
      <c r="AQ125" s="70">
        <f>'REV-REVCALC_CWS'!AO46 + 'REV-REVCALC_CWS'!AO85</f>
        <v>5567820.4350000005</v>
      </c>
      <c r="AR125" s="70">
        <f>'REV-REVCALC_CWS'!AP46 + 'REV-REVCALC_CWS'!AP85</f>
        <v>5567820.4350000005</v>
      </c>
      <c r="AS125" s="70">
        <f>'REV-REVCALC_CWS'!AQ46 + 'REV-REVCALC_CWS'!AQ85</f>
        <v>5567820.4350000005</v>
      </c>
      <c r="AT125" s="70">
        <f>'REV-REVCALC_CWS'!AR46 + 'REV-REVCALC_CWS'!AR85</f>
        <v>5567820.4350000005</v>
      </c>
      <c r="AU125" s="70">
        <f>'REV-REVCALC_CWS'!AS46 + 'REV-REVCALC_CWS'!AS85</f>
        <v>5567820.4350000005</v>
      </c>
      <c r="AV125" s="70">
        <f>'REV-REVCALC_CWS'!AT46 + 'REV-REVCALC_CWS'!AT85</f>
        <v>5567820.4350000005</v>
      </c>
      <c r="AW125" s="70">
        <f>'REV-REVCALC_CWS'!AU46 + 'REV-REVCALC_CWS'!AU85</f>
        <v>5567820.4350000005</v>
      </c>
      <c r="AX125" s="70">
        <f>'REV-REVCALC_CWS'!AV46 + 'REV-REVCALC_CWS'!AV85</f>
        <v>5567820.4350000005</v>
      </c>
      <c r="AY125" s="70">
        <f>'REV-REVCALC_CWS'!AW46 + 'REV-REVCALC_CWS'!AW85</f>
        <v>5567820.4350000005</v>
      </c>
      <c r="AZ125" s="70">
        <f>'REV-REVCALC_CWS'!AX46 + 'REV-REVCALC_CWS'!AX85</f>
        <v>3711880.2900000005</v>
      </c>
      <c r="BA125" s="70">
        <f>'REV-REVCALC_CWS'!AY46 + 'REV-REVCALC_CWS'!AY85</f>
        <v>3409380.4220100003</v>
      </c>
      <c r="BB125" s="70">
        <f>'REV-REVCALC_CWS'!AZ46 + 'REV-REVCALC_CWS'!AZ85</f>
        <v>5458154.5856400002</v>
      </c>
      <c r="BC125" s="70">
        <f>'REV-REVCALC_CWS'!BA46 + 'REV-REVCALC_CWS'!BA85</f>
        <v>6134525.3268000009</v>
      </c>
      <c r="BD125" s="70">
        <f>'REV-REVCALC_CWS'!BB46 + 'REV-REVCALC_CWS'!BB85</f>
        <v>6134525.3268000009</v>
      </c>
      <c r="BE125" s="70">
        <f>'REV-REVCALC_CWS'!BC46 + 'REV-REVCALC_CWS'!BC85</f>
        <v>6134525.3268000009</v>
      </c>
      <c r="BF125" s="70">
        <f>'REV-REVCALC_CWS'!BD46 + 'REV-REVCALC_CWS'!BD85</f>
        <v>6134525.3268000009</v>
      </c>
      <c r="BG125" s="70">
        <f>'REV-REVCALC_CWS'!BE46 + 'REV-REVCALC_CWS'!BE85</f>
        <v>6134525.3268000009</v>
      </c>
      <c r="BH125" s="70">
        <f>'REV-REVCALC_CWS'!BF46 + 'REV-REVCALC_CWS'!BF85</f>
        <v>6134525.3268000009</v>
      </c>
      <c r="BI125" s="70">
        <f>'REV-REVCALC_CWS'!BG46 + 'REV-REVCALC_CWS'!BG85</f>
        <v>6134525.3268000009</v>
      </c>
      <c r="BJ125" s="70">
        <f>'REV-REVCALC_CWS'!BH46 + 'REV-REVCALC_CWS'!BH85</f>
        <v>6134525.3268000009</v>
      </c>
      <c r="BK125" s="70">
        <f>'REV-REVCALC_CWS'!BI46 + 'REV-REVCALC_CWS'!BI85</f>
        <v>6134525.3268000009</v>
      </c>
      <c r="BL125" s="70">
        <f>'REV-REVCALC_CWS'!BJ46 + 'REV-REVCALC_CWS'!BJ85</f>
        <v>4093615.9392300006</v>
      </c>
      <c r="BM125" s="167">
        <f>SUM(D125:BL125)</f>
        <v>176497580.07407999</v>
      </c>
    </row>
    <row r="126" spans="2:65" s="33" customFormat="1" outlineLevel="1" x14ac:dyDescent="0.15">
      <c r="B126" s="47" t="s">
        <v>350</v>
      </c>
      <c r="D126" s="70">
        <f>'REV-REVCALC_CWS'!B47</f>
        <v>0</v>
      </c>
      <c r="E126" s="70">
        <f>'REV-REVCALC_CWS'!C47 + 'REV-REVCALC_CWS'!C86</f>
        <v>0</v>
      </c>
      <c r="F126" s="70">
        <f>'REV-REVCALC_CWS'!D47 + 'REV-REVCALC_CWS'!D86</f>
        <v>0</v>
      </c>
      <c r="G126" s="70">
        <f>'REV-REVCALC_CWS'!E47 + 'REV-REVCALC_CWS'!E86</f>
        <v>0</v>
      </c>
      <c r="H126" s="70">
        <f>'REV-REVCALC_CWS'!F47 + 'REV-REVCALC_CWS'!F86</f>
        <v>0</v>
      </c>
      <c r="I126" s="70">
        <f>'REV-REVCALC_CWS'!G47 + 'REV-REVCALC_CWS'!G86</f>
        <v>0</v>
      </c>
      <c r="J126" s="70">
        <f>'REV-REVCALC_CWS'!H47 + 'REV-REVCALC_CWS'!H86</f>
        <v>0</v>
      </c>
      <c r="K126" s="70">
        <f>'REV-REVCALC_CWS'!I47 + 'REV-REVCALC_CWS'!I86</f>
        <v>0</v>
      </c>
      <c r="L126" s="70">
        <f>'REV-REVCALC_CWS'!J47 + 'REV-REVCALC_CWS'!J86</f>
        <v>0</v>
      </c>
      <c r="M126" s="70">
        <f>'REV-REVCALC_CWS'!K47 + 'REV-REVCALC_CWS'!K86</f>
        <v>0</v>
      </c>
      <c r="N126" s="70">
        <f>'REV-REVCALC_CWS'!L47 + 'REV-REVCALC_CWS'!L86</f>
        <v>0</v>
      </c>
      <c r="O126" s="70">
        <f>'REV-REVCALC_CWS'!M47 + 'REV-REVCALC_CWS'!M86</f>
        <v>0</v>
      </c>
      <c r="P126" s="70">
        <f>'REV-REVCALC_CWS'!N47 + 'REV-REVCALC_CWS'!N86</f>
        <v>0</v>
      </c>
      <c r="Q126" s="70">
        <f>'REV-REVCALC_CWS'!O47 + 'REV-REVCALC_CWS'!O86</f>
        <v>0</v>
      </c>
      <c r="R126" s="70">
        <f>'REV-REVCALC_CWS'!P47 + 'REV-REVCALC_CWS'!P86</f>
        <v>0</v>
      </c>
      <c r="S126" s="70">
        <f>'REV-REVCALC_CWS'!Q47 + 'REV-REVCALC_CWS'!Q86</f>
        <v>0</v>
      </c>
      <c r="T126" s="70">
        <f>'REV-REVCALC_CWS'!R47 + 'REV-REVCALC_CWS'!R86</f>
        <v>0</v>
      </c>
      <c r="U126" s="70">
        <f>'REV-REVCALC_CWS'!S47 + 'REV-REVCALC_CWS'!S86</f>
        <v>0</v>
      </c>
      <c r="V126" s="70">
        <f>'REV-REVCALC_CWS'!T47 + 'REV-REVCALC_CWS'!T86</f>
        <v>0</v>
      </c>
      <c r="W126" s="70">
        <f>'REV-REVCALC_CWS'!U47 + 'REV-REVCALC_CWS'!U86</f>
        <v>0</v>
      </c>
      <c r="X126" s="70">
        <f>'REV-REVCALC_CWS'!V47 + 'REV-REVCALC_CWS'!V86</f>
        <v>0</v>
      </c>
      <c r="Y126" s="70">
        <f>'REV-REVCALC_CWS'!W47 + 'REV-REVCALC_CWS'!W86</f>
        <v>0</v>
      </c>
      <c r="Z126" s="70">
        <f>'REV-REVCALC_CWS'!X47 + 'REV-REVCALC_CWS'!X86</f>
        <v>0</v>
      </c>
      <c r="AA126" s="70">
        <f>'REV-REVCALC_CWS'!Y47 + 'REV-REVCALC_CWS'!Y86</f>
        <v>0</v>
      </c>
      <c r="AB126" s="70">
        <f>'REV-REVCALC_CWS'!Z47 + 'REV-REVCALC_CWS'!Z86</f>
        <v>0</v>
      </c>
      <c r="AC126" s="70">
        <f>'REV-REVCALC_CWS'!AA47 + 'REV-REVCALC_CWS'!AA86</f>
        <v>0</v>
      </c>
      <c r="AD126" s="70">
        <f>'REV-REVCALC_CWS'!AB47 + 'REV-REVCALC_CWS'!AB86</f>
        <v>0</v>
      </c>
      <c r="AE126" s="70">
        <f>'REV-REVCALC_CWS'!AC47 + 'REV-REVCALC_CWS'!AC86</f>
        <v>0</v>
      </c>
      <c r="AF126" s="70">
        <f>'REV-REVCALC_CWS'!AD47 + 'REV-REVCALC_CWS'!AD86</f>
        <v>0</v>
      </c>
      <c r="AG126" s="70">
        <f>'REV-REVCALC_CWS'!AE47 + 'REV-REVCALC_CWS'!AE86</f>
        <v>0</v>
      </c>
      <c r="AH126" s="70">
        <f>'REV-REVCALC_CWS'!AF47 + 'REV-REVCALC_CWS'!AF86</f>
        <v>0</v>
      </c>
      <c r="AI126" s="70">
        <f>'REV-REVCALC_CWS'!AG47 + 'REV-REVCALC_CWS'!AG86</f>
        <v>0</v>
      </c>
      <c r="AJ126" s="70">
        <f>'REV-REVCALC_CWS'!AH47 + 'REV-REVCALC_CWS'!AH86</f>
        <v>0</v>
      </c>
      <c r="AK126" s="70">
        <f>'REV-REVCALC_CWS'!AI47 + 'REV-REVCALC_CWS'!AI86</f>
        <v>0</v>
      </c>
      <c r="AL126" s="70">
        <f>'REV-REVCALC_CWS'!AJ47 + 'REV-REVCALC_CWS'!AJ86</f>
        <v>0</v>
      </c>
      <c r="AM126" s="70">
        <f>'REV-REVCALC_CWS'!AK47 + 'REV-REVCALC_CWS'!AK86</f>
        <v>0</v>
      </c>
      <c r="AN126" s="70">
        <f>'REV-REVCALC_CWS'!AL47 + 'REV-REVCALC_CWS'!AL86</f>
        <v>0</v>
      </c>
      <c r="AO126" s="70">
        <f>'REV-REVCALC_CWS'!AM47 + 'REV-REVCALC_CWS'!AM86</f>
        <v>0</v>
      </c>
      <c r="AP126" s="70">
        <f>'REV-REVCALC_CWS'!AN47 + 'REV-REVCALC_CWS'!AN86</f>
        <v>0</v>
      </c>
      <c r="AQ126" s="70">
        <f>'REV-REVCALC_CWS'!AO47 + 'REV-REVCALC_CWS'!AO86</f>
        <v>0</v>
      </c>
      <c r="AR126" s="70">
        <f>'REV-REVCALC_CWS'!AP47 + 'REV-REVCALC_CWS'!AP86</f>
        <v>0</v>
      </c>
      <c r="AS126" s="70">
        <f>'REV-REVCALC_CWS'!AQ47 + 'REV-REVCALC_CWS'!AQ86</f>
        <v>0</v>
      </c>
      <c r="AT126" s="70">
        <f>'REV-REVCALC_CWS'!AR47 + 'REV-REVCALC_CWS'!AR86</f>
        <v>0</v>
      </c>
      <c r="AU126" s="70">
        <f>'REV-REVCALC_CWS'!AS47 + 'REV-REVCALC_CWS'!AS86</f>
        <v>0</v>
      </c>
      <c r="AV126" s="70">
        <f>'REV-REVCALC_CWS'!AT47 + 'REV-REVCALC_CWS'!AT86</f>
        <v>0</v>
      </c>
      <c r="AW126" s="70">
        <f>'REV-REVCALC_CWS'!AU47 + 'REV-REVCALC_CWS'!AU86</f>
        <v>0</v>
      </c>
      <c r="AX126" s="70">
        <f>'REV-REVCALC_CWS'!AV47 + 'REV-REVCALC_CWS'!AV86</f>
        <v>0</v>
      </c>
      <c r="AY126" s="70">
        <f>'REV-REVCALC_CWS'!AW47 + 'REV-REVCALC_CWS'!AW86</f>
        <v>0</v>
      </c>
      <c r="AZ126" s="70">
        <f>'REV-REVCALC_CWS'!AX47 + 'REV-REVCALC_CWS'!AX86</f>
        <v>0</v>
      </c>
      <c r="BA126" s="70">
        <f>'REV-REVCALC_CWS'!AY47 + 'REV-REVCALC_CWS'!AY86</f>
        <v>0</v>
      </c>
      <c r="BB126" s="70">
        <f>'REV-REVCALC_CWS'!AZ47 + 'REV-REVCALC_CWS'!AZ86</f>
        <v>0</v>
      </c>
      <c r="BC126" s="70">
        <f>'REV-REVCALC_CWS'!BA47 + 'REV-REVCALC_CWS'!BA86</f>
        <v>0</v>
      </c>
      <c r="BD126" s="70">
        <f>'REV-REVCALC_CWS'!BB47 + 'REV-REVCALC_CWS'!BB86</f>
        <v>0</v>
      </c>
      <c r="BE126" s="70">
        <f>'REV-REVCALC_CWS'!BC47 + 'REV-REVCALC_CWS'!BC86</f>
        <v>0</v>
      </c>
      <c r="BF126" s="70">
        <f>'REV-REVCALC_CWS'!BD47 + 'REV-REVCALC_CWS'!BD86</f>
        <v>0</v>
      </c>
      <c r="BG126" s="70">
        <f>'REV-REVCALC_CWS'!BE47 + 'REV-REVCALC_CWS'!BE86</f>
        <v>0</v>
      </c>
      <c r="BH126" s="70">
        <f>'REV-REVCALC_CWS'!BF47 + 'REV-REVCALC_CWS'!BF86</f>
        <v>0</v>
      </c>
      <c r="BI126" s="70">
        <f>'REV-REVCALC_CWS'!BG47 + 'REV-REVCALC_CWS'!BG86</f>
        <v>0</v>
      </c>
      <c r="BJ126" s="70">
        <f>'REV-REVCALC_CWS'!BH47 + 'REV-REVCALC_CWS'!BH86</f>
        <v>0</v>
      </c>
      <c r="BK126" s="70">
        <f>'REV-REVCALC_CWS'!BI47 + 'REV-REVCALC_CWS'!BI86</f>
        <v>0</v>
      </c>
      <c r="BL126" s="70">
        <f>'REV-REVCALC_CWS'!BJ47 + 'REV-REVCALC_CWS'!BJ86</f>
        <v>0</v>
      </c>
      <c r="BM126" s="167">
        <f>SUM(D126:BL126)</f>
        <v>0</v>
      </c>
    </row>
    <row r="127" spans="2:65" s="33" customFormat="1" outlineLevel="1" x14ac:dyDescent="0.15">
      <c r="B127" s="14" t="s">
        <v>353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0</v>
      </c>
      <c r="I127" s="70">
        <f t="shared" si="9"/>
        <v>0</v>
      </c>
      <c r="J127" s="70">
        <f t="shared" si="9"/>
        <v>174000</v>
      </c>
      <c r="K127" s="70">
        <f t="shared" si="9"/>
        <v>219000</v>
      </c>
      <c r="L127" s="70">
        <f t="shared" si="9"/>
        <v>261000</v>
      </c>
      <c r="M127" s="70">
        <f t="shared" si="9"/>
        <v>306000</v>
      </c>
      <c r="N127" s="70">
        <f t="shared" si="9"/>
        <v>348000</v>
      </c>
      <c r="O127" s="70">
        <f t="shared" si="9"/>
        <v>393000</v>
      </c>
      <c r="P127" s="70">
        <f t="shared" si="9"/>
        <v>348000</v>
      </c>
      <c r="Q127" s="70">
        <f t="shared" si="9"/>
        <v>699780</v>
      </c>
      <c r="R127" s="70">
        <f t="shared" si="9"/>
        <v>1117080</v>
      </c>
      <c r="S127" s="70">
        <f t="shared" si="9"/>
        <v>1255110</v>
      </c>
      <c r="T127" s="70">
        <f t="shared" si="9"/>
        <v>1255110</v>
      </c>
      <c r="U127" s="70">
        <f t="shared" si="9"/>
        <v>1255110</v>
      </c>
      <c r="V127" s="70">
        <f t="shared" si="9"/>
        <v>1255110</v>
      </c>
      <c r="W127" s="70">
        <f t="shared" si="9"/>
        <v>1255110</v>
      </c>
      <c r="X127" s="70">
        <f t="shared" si="9"/>
        <v>1255110</v>
      </c>
      <c r="Y127" s="70">
        <f t="shared" si="9"/>
        <v>1255110</v>
      </c>
      <c r="Z127" s="70">
        <f t="shared" si="9"/>
        <v>1255110</v>
      </c>
      <c r="AA127" s="70">
        <f t="shared" si="9"/>
        <v>1255110</v>
      </c>
      <c r="AB127" s="70">
        <f t="shared" si="9"/>
        <v>837810</v>
      </c>
      <c r="AC127" s="70">
        <f t="shared" si="9"/>
        <v>1525006.8000000003</v>
      </c>
      <c r="AD127" s="70">
        <f t="shared" si="9"/>
        <v>2435202.2999999998</v>
      </c>
      <c r="AE127" s="70">
        <f t="shared" si="9"/>
        <v>2740890.6</v>
      </c>
      <c r="AF127" s="70">
        <f t="shared" si="9"/>
        <v>2740890.6</v>
      </c>
      <c r="AG127" s="70">
        <f t="shared" si="9"/>
        <v>2740890.6</v>
      </c>
      <c r="AH127" s="70">
        <f t="shared" si="9"/>
        <v>2740890.6</v>
      </c>
      <c r="AI127" s="70">
        <f t="shared" si="9"/>
        <v>2740890.6</v>
      </c>
      <c r="AJ127" s="70">
        <f t="shared" si="9"/>
        <v>2740890.6</v>
      </c>
      <c r="AK127" s="70">
        <f t="shared" si="9"/>
        <v>2740890.6</v>
      </c>
      <c r="AL127" s="70">
        <f t="shared" si="9"/>
        <v>2740890.6</v>
      </c>
      <c r="AM127" s="70">
        <f t="shared" si="9"/>
        <v>2740890.6</v>
      </c>
      <c r="AN127" s="70">
        <f t="shared" si="9"/>
        <v>1830695.1</v>
      </c>
      <c r="AO127" s="70">
        <f t="shared" si="9"/>
        <v>3094458.6180000002</v>
      </c>
      <c r="AP127" s="70">
        <f t="shared" si="9"/>
        <v>4950398.7630000003</v>
      </c>
      <c r="AQ127" s="70">
        <f t="shared" si="9"/>
        <v>5567820.4350000005</v>
      </c>
      <c r="AR127" s="70">
        <f t="shared" si="9"/>
        <v>5567820.4350000005</v>
      </c>
      <c r="AS127" s="70">
        <f t="shared" si="9"/>
        <v>5567820.4350000005</v>
      </c>
      <c r="AT127" s="70">
        <f t="shared" si="9"/>
        <v>5567820.4350000005</v>
      </c>
      <c r="AU127" s="70">
        <f t="shared" si="9"/>
        <v>5567820.4350000005</v>
      </c>
      <c r="AV127" s="70">
        <f t="shared" si="9"/>
        <v>5567820.4350000005</v>
      </c>
      <c r="AW127" s="70">
        <f t="shared" si="9"/>
        <v>5567820.4350000005</v>
      </c>
      <c r="AX127" s="70">
        <f t="shared" si="9"/>
        <v>5567820.4350000005</v>
      </c>
      <c r="AY127" s="70">
        <f t="shared" si="9"/>
        <v>5567820.4350000005</v>
      </c>
      <c r="AZ127" s="70">
        <f t="shared" si="9"/>
        <v>3711880.2900000005</v>
      </c>
      <c r="BA127" s="70">
        <f t="shared" si="9"/>
        <v>3409380.4220100003</v>
      </c>
      <c r="BB127" s="70">
        <f t="shared" si="9"/>
        <v>5458154.5856400002</v>
      </c>
      <c r="BC127" s="70">
        <f t="shared" si="9"/>
        <v>6134525.3268000009</v>
      </c>
      <c r="BD127" s="70">
        <f t="shared" si="9"/>
        <v>6134525.3268000009</v>
      </c>
      <c r="BE127" s="70">
        <f t="shared" si="9"/>
        <v>6134525.3268000009</v>
      </c>
      <c r="BF127" s="70">
        <f t="shared" si="9"/>
        <v>6134525.3268000009</v>
      </c>
      <c r="BG127" s="70">
        <f t="shared" si="9"/>
        <v>6134525.3268000009</v>
      </c>
      <c r="BH127" s="70">
        <f t="shared" si="9"/>
        <v>6134525.3268000009</v>
      </c>
      <c r="BI127" s="70">
        <f t="shared" si="9"/>
        <v>6134525.3268000009</v>
      </c>
      <c r="BJ127" s="70">
        <f t="shared" si="9"/>
        <v>6134525.3268000009</v>
      </c>
      <c r="BK127" s="70">
        <f t="shared" si="9"/>
        <v>6134525.3268000009</v>
      </c>
      <c r="BL127" s="70">
        <f t="shared" si="9"/>
        <v>4093615.9392300006</v>
      </c>
      <c r="BM127" s="167">
        <f>SUM(D127:BL127)</f>
        <v>176497580.07407999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354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351000</v>
      </c>
      <c r="I129" s="104">
        <f t="shared" si="10"/>
        <v>481500</v>
      </c>
      <c r="J129" s="104">
        <f t="shared" si="10"/>
        <v>1586700</v>
      </c>
      <c r="K129" s="104">
        <f t="shared" si="10"/>
        <v>1983300</v>
      </c>
      <c r="L129" s="104">
        <f t="shared" si="10"/>
        <v>2376900</v>
      </c>
      <c r="M129" s="104">
        <f t="shared" si="10"/>
        <v>2773500</v>
      </c>
      <c r="N129" s="104">
        <f t="shared" si="10"/>
        <v>3167100</v>
      </c>
      <c r="O129" s="104">
        <f t="shared" si="10"/>
        <v>3563700</v>
      </c>
      <c r="P129" s="104">
        <f t="shared" si="10"/>
        <v>3167100</v>
      </c>
      <c r="Q129" s="104">
        <f t="shared" si="10"/>
        <v>6213285</v>
      </c>
      <c r="R129" s="104">
        <f t="shared" si="10"/>
        <v>9943020</v>
      </c>
      <c r="S129" s="104">
        <f t="shared" si="10"/>
        <v>11182785</v>
      </c>
      <c r="T129" s="104">
        <f t="shared" si="10"/>
        <v>11182785</v>
      </c>
      <c r="U129" s="104">
        <f t="shared" si="10"/>
        <v>11182785</v>
      </c>
      <c r="V129" s="104">
        <f t="shared" si="10"/>
        <v>11182785</v>
      </c>
      <c r="W129" s="104">
        <f t="shared" si="10"/>
        <v>11182785</v>
      </c>
      <c r="X129" s="104">
        <f t="shared" si="10"/>
        <v>11182785</v>
      </c>
      <c r="Y129" s="104">
        <f t="shared" si="10"/>
        <v>11182785</v>
      </c>
      <c r="Z129" s="104">
        <f t="shared" si="10"/>
        <v>11182785</v>
      </c>
      <c r="AA129" s="104">
        <f t="shared" si="10"/>
        <v>11182785</v>
      </c>
      <c r="AB129" s="104">
        <f t="shared" si="10"/>
        <v>7457865</v>
      </c>
      <c r="AC129" s="104">
        <f t="shared" si="10"/>
        <v>14097363.9</v>
      </c>
      <c r="AD129" s="104">
        <f t="shared" si="10"/>
        <v>22554817.950000007</v>
      </c>
      <c r="AE129" s="104">
        <f t="shared" si="10"/>
        <v>25371679.500000007</v>
      </c>
      <c r="AF129" s="104">
        <f t="shared" si="10"/>
        <v>25371679.500000007</v>
      </c>
      <c r="AG129" s="104">
        <f t="shared" si="10"/>
        <v>25371679.500000007</v>
      </c>
      <c r="AH129" s="104">
        <f t="shared" si="10"/>
        <v>25371679.500000007</v>
      </c>
      <c r="AI129" s="104">
        <f t="shared" si="10"/>
        <v>25371679.500000007</v>
      </c>
      <c r="AJ129" s="104">
        <f t="shared" ref="AJ129:BL129" si="11">AJ127+AJ122+AJ116</f>
        <v>25371679.500000007</v>
      </c>
      <c r="AK129" s="104">
        <f t="shared" si="11"/>
        <v>25371679.500000007</v>
      </c>
      <c r="AL129" s="104">
        <f t="shared" si="11"/>
        <v>25371679.500000007</v>
      </c>
      <c r="AM129" s="104">
        <f t="shared" si="11"/>
        <v>25371679.500000007</v>
      </c>
      <c r="AN129" s="104">
        <f t="shared" si="11"/>
        <v>16914225.449999999</v>
      </c>
      <c r="AO129" s="104">
        <f t="shared" si="11"/>
        <v>26096802.279500004</v>
      </c>
      <c r="AP129" s="104">
        <f t="shared" si="11"/>
        <v>41756976.237500012</v>
      </c>
      <c r="AQ129" s="104">
        <f t="shared" si="11"/>
        <v>46976209.180500016</v>
      </c>
      <c r="AR129" s="104">
        <f t="shared" si="11"/>
        <v>46976209.180500016</v>
      </c>
      <c r="AS129" s="104">
        <f t="shared" si="11"/>
        <v>46976209.180500016</v>
      </c>
      <c r="AT129" s="104">
        <f t="shared" si="11"/>
        <v>46976209.180500016</v>
      </c>
      <c r="AU129" s="104">
        <f t="shared" si="11"/>
        <v>46976209.180500016</v>
      </c>
      <c r="AV129" s="104">
        <f t="shared" si="11"/>
        <v>46976209.180500016</v>
      </c>
      <c r="AW129" s="104">
        <f t="shared" si="11"/>
        <v>46976209.180500016</v>
      </c>
      <c r="AX129" s="104">
        <f t="shared" si="11"/>
        <v>46976209.180500016</v>
      </c>
      <c r="AY129" s="104">
        <f t="shared" si="11"/>
        <v>46976209.180500016</v>
      </c>
      <c r="AZ129" s="104">
        <f t="shared" si="11"/>
        <v>31316035.222500008</v>
      </c>
      <c r="BA129" s="104">
        <f t="shared" si="11"/>
        <v>25373638.168635003</v>
      </c>
      <c r="BB129" s="104">
        <f t="shared" si="11"/>
        <v>40608973.036285013</v>
      </c>
      <c r="BC129" s="104">
        <f t="shared" si="11"/>
        <v>45671872.904770017</v>
      </c>
      <c r="BD129" s="104">
        <f t="shared" si="11"/>
        <v>45671872.904770017</v>
      </c>
      <c r="BE129" s="104">
        <f t="shared" si="11"/>
        <v>45671872.904770017</v>
      </c>
      <c r="BF129" s="104">
        <f t="shared" si="11"/>
        <v>45671872.904770017</v>
      </c>
      <c r="BG129" s="104">
        <f t="shared" si="11"/>
        <v>45671872.904770017</v>
      </c>
      <c r="BH129" s="104">
        <f t="shared" si="11"/>
        <v>45671872.904770017</v>
      </c>
      <c r="BI129" s="104">
        <f t="shared" si="11"/>
        <v>45671872.904770017</v>
      </c>
      <c r="BJ129" s="104">
        <f t="shared" si="11"/>
        <v>45671872.904770017</v>
      </c>
      <c r="BK129" s="104">
        <f t="shared" si="11"/>
        <v>45671872.904770017</v>
      </c>
      <c r="BL129" s="104">
        <f t="shared" si="11"/>
        <v>30460838.765225008</v>
      </c>
      <c r="BM129" s="167">
        <f>SUM(D129:BL129)</f>
        <v>1455067560.2770748</v>
      </c>
    </row>
    <row r="130" spans="1:65" s="33" customFormat="1" x14ac:dyDescent="0.15">
      <c r="BM130" s="65"/>
    </row>
    <row r="131" spans="1:65" x14ac:dyDescent="0.15">
      <c r="B131" s="16" t="s">
        <v>474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390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391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438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406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407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408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tr">
        <f>DEV_CWS!B57</f>
        <v>Total Víveres y Manufactura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1200000</v>
      </c>
      <c r="I144" s="121">
        <f>DEV_CWS!I57</f>
        <v>1200000</v>
      </c>
      <c r="J144" s="70">
        <f>DEV_CWS!J57</f>
        <v>1200000</v>
      </c>
      <c r="K144" s="121">
        <f>DEV_CWS!K57</f>
        <v>1200000</v>
      </c>
      <c r="L144" s="121">
        <f>DEV_CWS!L57</f>
        <v>1200000</v>
      </c>
      <c r="M144" s="121">
        <f>DEV_CWS!M57</f>
        <v>1200000</v>
      </c>
      <c r="N144" s="121">
        <f>DEV_CWS!N57</f>
        <v>1200000</v>
      </c>
      <c r="O144" s="121">
        <f>DEV_CWS!O57</f>
        <v>1200000</v>
      </c>
      <c r="P144" s="121">
        <f>DEV_CWS!P57</f>
        <v>1200000</v>
      </c>
      <c r="Q144" s="121">
        <f>DEV_CWS!Q57</f>
        <v>1320000</v>
      </c>
      <c r="R144" s="121">
        <f>DEV_CWS!R57</f>
        <v>1320000</v>
      </c>
      <c r="S144" s="121">
        <f>DEV_CWS!S57</f>
        <v>1320000</v>
      </c>
      <c r="T144" s="121">
        <f>DEV_CWS!T57</f>
        <v>1320000</v>
      </c>
      <c r="U144" s="121">
        <f>DEV_CWS!U57</f>
        <v>1320000</v>
      </c>
      <c r="V144" s="121">
        <f>DEV_CWS!V57</f>
        <v>1320000</v>
      </c>
      <c r="W144" s="121">
        <f>DEV_CWS!W57</f>
        <v>1320000</v>
      </c>
      <c r="X144" s="121">
        <f>DEV_CWS!X57</f>
        <v>1320000</v>
      </c>
      <c r="Y144" s="121">
        <f>DEV_CWS!Y57</f>
        <v>1320000</v>
      </c>
      <c r="Z144" s="121">
        <f>DEV_CWS!Z57</f>
        <v>1320000</v>
      </c>
      <c r="AA144" s="121">
        <f>DEV_CWS!AA57</f>
        <v>1320000</v>
      </c>
      <c r="AB144" s="121">
        <f>DEV_CWS!AB57</f>
        <v>1320000</v>
      </c>
      <c r="AC144" s="121">
        <f>DEV_CWS!AC57</f>
        <v>1412400</v>
      </c>
      <c r="AD144" s="121">
        <f>DEV_CWS!AD57</f>
        <v>1412400</v>
      </c>
      <c r="AE144" s="121">
        <f>DEV_CWS!AE57</f>
        <v>1412400</v>
      </c>
      <c r="AF144" s="121">
        <f>DEV_CWS!AF57</f>
        <v>1412400</v>
      </c>
      <c r="AG144" s="121">
        <f>DEV_CWS!AG57</f>
        <v>1412400</v>
      </c>
      <c r="AH144" s="121">
        <f>DEV_CWS!AH57</f>
        <v>1412400</v>
      </c>
      <c r="AI144" s="121">
        <f>DEV_CWS!AI57</f>
        <v>1412400</v>
      </c>
      <c r="AJ144" s="121">
        <f>DEV_CWS!AJ57</f>
        <v>1412400</v>
      </c>
      <c r="AK144" s="121">
        <f>DEV_CWS!AK57</f>
        <v>1412400</v>
      </c>
      <c r="AL144" s="121">
        <f>DEV_CWS!AL57</f>
        <v>1412400</v>
      </c>
      <c r="AM144" s="121">
        <f>DEV_CWS!AM57</f>
        <v>1412400</v>
      </c>
      <c r="AN144" s="121">
        <f>DEV_CWS!AN57</f>
        <v>1412400</v>
      </c>
      <c r="AO144" s="121">
        <f>DEV_CWS!AO57</f>
        <v>1511268</v>
      </c>
      <c r="AP144" s="121">
        <f>DEV_CWS!AP57</f>
        <v>1511268</v>
      </c>
      <c r="AQ144" s="121">
        <f>DEV_CWS!AQ57</f>
        <v>1511268</v>
      </c>
      <c r="AR144" s="121">
        <f>DEV_CWS!AR57</f>
        <v>1511268</v>
      </c>
      <c r="AS144" s="121">
        <f>DEV_CWS!AS57</f>
        <v>1511268</v>
      </c>
      <c r="AT144" s="121">
        <f>DEV_CWS!AT57</f>
        <v>1511268</v>
      </c>
      <c r="AU144" s="121">
        <f>DEV_CWS!AU57</f>
        <v>1511268</v>
      </c>
      <c r="AV144" s="121">
        <f>DEV_CWS!AV57</f>
        <v>1511268</v>
      </c>
      <c r="AW144" s="121">
        <f>DEV_CWS!AW57</f>
        <v>1511268</v>
      </c>
      <c r="AX144" s="121">
        <f>DEV_CWS!AX57</f>
        <v>1511268</v>
      </c>
      <c r="AY144" s="121">
        <f>DEV_CWS!AY57</f>
        <v>1511268</v>
      </c>
      <c r="AZ144" s="121">
        <f>DEV_CWS!AZ57</f>
        <v>1511268</v>
      </c>
      <c r="BA144" s="121">
        <f>DEV_CWS!BA57</f>
        <v>1617056.76</v>
      </c>
      <c r="BB144" s="121">
        <f>DEV_CWS!BB57</f>
        <v>1617056.76</v>
      </c>
      <c r="BC144" s="121">
        <f>DEV_CWS!BC57</f>
        <v>1617056.76</v>
      </c>
      <c r="BD144" s="121">
        <f>DEV_CWS!BD57</f>
        <v>1617056.76</v>
      </c>
      <c r="BE144" s="121">
        <f>DEV_CWS!BE57</f>
        <v>1617056.76</v>
      </c>
      <c r="BF144" s="121">
        <f>DEV_CWS!BF57</f>
        <v>1617056.76</v>
      </c>
      <c r="BG144" s="121">
        <f>DEV_CWS!BG57</f>
        <v>1617056.76</v>
      </c>
      <c r="BH144" s="121">
        <f>DEV_CWS!BH57</f>
        <v>1617056.76</v>
      </c>
      <c r="BI144" s="121">
        <f>DEV_CWS!BI57</f>
        <v>1617056.76</v>
      </c>
      <c r="BJ144" s="121">
        <f>DEV_CWS!BJ57</f>
        <v>1617056.76</v>
      </c>
      <c r="BK144" s="121">
        <f>DEV_CWS!BK57</f>
        <v>1617056.76</v>
      </c>
      <c r="BL144" s="121">
        <f>DEV_CWS!BL57</f>
        <v>1617056.76</v>
      </c>
      <c r="BM144" s="167">
        <f t="shared" si="13"/>
        <v>81128697.120000035</v>
      </c>
    </row>
    <row r="145" spans="1:65" s="50" customFormat="1" outlineLevel="1" x14ac:dyDescent="0.15">
      <c r="A145" s="74"/>
      <c r="B145" s="47" t="s">
        <v>411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478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372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1200000</v>
      </c>
      <c r="I147" s="121">
        <f t="shared" si="14"/>
        <v>1200000</v>
      </c>
      <c r="J147" s="70">
        <f t="shared" si="14"/>
        <v>1200000</v>
      </c>
      <c r="K147" s="121">
        <f t="shared" si="14"/>
        <v>1200000</v>
      </c>
      <c r="L147" s="121">
        <f t="shared" si="14"/>
        <v>1200000</v>
      </c>
      <c r="M147" s="121">
        <f t="shared" si="14"/>
        <v>1200000</v>
      </c>
      <c r="N147" s="121">
        <f t="shared" si="14"/>
        <v>1200000</v>
      </c>
      <c r="O147" s="121">
        <f t="shared" si="14"/>
        <v>1200000</v>
      </c>
      <c r="P147" s="121">
        <f t="shared" si="14"/>
        <v>1200000</v>
      </c>
      <c r="Q147" s="121">
        <f t="shared" si="14"/>
        <v>1320000</v>
      </c>
      <c r="R147" s="121">
        <f t="shared" si="14"/>
        <v>1320000</v>
      </c>
      <c r="S147" s="121">
        <f t="shared" si="14"/>
        <v>1320000</v>
      </c>
      <c r="T147" s="121">
        <f t="shared" si="14"/>
        <v>1320000</v>
      </c>
      <c r="U147" s="121">
        <f t="shared" si="14"/>
        <v>1320000</v>
      </c>
      <c r="V147" s="121">
        <f t="shared" si="14"/>
        <v>1320000</v>
      </c>
      <c r="W147" s="121">
        <f t="shared" si="14"/>
        <v>1320000</v>
      </c>
      <c r="X147" s="121">
        <f t="shared" si="14"/>
        <v>1320000</v>
      </c>
      <c r="Y147" s="121">
        <f t="shared" si="14"/>
        <v>1320000</v>
      </c>
      <c r="Z147" s="121">
        <f t="shared" si="14"/>
        <v>1320000</v>
      </c>
      <c r="AA147" s="121">
        <f t="shared" si="14"/>
        <v>1320000</v>
      </c>
      <c r="AB147" s="121">
        <f t="shared" si="14"/>
        <v>1320000</v>
      </c>
      <c r="AC147" s="121">
        <f t="shared" si="14"/>
        <v>1412400</v>
      </c>
      <c r="AD147" s="121">
        <f t="shared" si="14"/>
        <v>1412400</v>
      </c>
      <c r="AE147" s="121">
        <f t="shared" si="14"/>
        <v>1412400</v>
      </c>
      <c r="AF147" s="121">
        <f t="shared" si="14"/>
        <v>1412400</v>
      </c>
      <c r="AG147" s="121">
        <f t="shared" si="14"/>
        <v>1412400</v>
      </c>
      <c r="AH147" s="121">
        <f t="shared" si="14"/>
        <v>1412400</v>
      </c>
      <c r="AI147" s="121">
        <f t="shared" si="14"/>
        <v>1412400</v>
      </c>
      <c r="AJ147" s="121">
        <f t="shared" si="14"/>
        <v>1412400</v>
      </c>
      <c r="AK147" s="121">
        <f t="shared" si="14"/>
        <v>1412400</v>
      </c>
      <c r="AL147" s="121">
        <f t="shared" si="14"/>
        <v>1412400</v>
      </c>
      <c r="AM147" s="121">
        <f t="shared" si="14"/>
        <v>1412400</v>
      </c>
      <c r="AN147" s="121">
        <f t="shared" si="14"/>
        <v>1412400</v>
      </c>
      <c r="AO147" s="121">
        <f t="shared" si="14"/>
        <v>1511268</v>
      </c>
      <c r="AP147" s="121">
        <f t="shared" si="14"/>
        <v>1511268</v>
      </c>
      <c r="AQ147" s="121">
        <f t="shared" si="14"/>
        <v>1511268</v>
      </c>
      <c r="AR147" s="121">
        <f t="shared" si="14"/>
        <v>1511268</v>
      </c>
      <c r="AS147" s="121">
        <f t="shared" si="14"/>
        <v>1511268</v>
      </c>
      <c r="AT147" s="121">
        <f t="shared" si="14"/>
        <v>1511268</v>
      </c>
      <c r="AU147" s="121">
        <f t="shared" si="14"/>
        <v>1511268</v>
      </c>
      <c r="AV147" s="121">
        <f t="shared" si="14"/>
        <v>1511268</v>
      </c>
      <c r="AW147" s="121">
        <f t="shared" si="14"/>
        <v>1511268</v>
      </c>
      <c r="AX147" s="121">
        <f t="shared" si="14"/>
        <v>1511268</v>
      </c>
      <c r="AY147" s="121">
        <f t="shared" si="14"/>
        <v>1511268</v>
      </c>
      <c r="AZ147" s="121">
        <f t="shared" si="14"/>
        <v>1511268</v>
      </c>
      <c r="BA147" s="121">
        <f t="shared" si="14"/>
        <v>1617056.76</v>
      </c>
      <c r="BB147" s="121">
        <f t="shared" si="14"/>
        <v>1617056.76</v>
      </c>
      <c r="BC147" s="121">
        <f t="shared" si="14"/>
        <v>1617056.76</v>
      </c>
      <c r="BD147" s="121">
        <f t="shared" si="14"/>
        <v>1617056.76</v>
      </c>
      <c r="BE147" s="121">
        <f t="shared" si="14"/>
        <v>1617056.76</v>
      </c>
      <c r="BF147" s="121">
        <f t="shared" si="14"/>
        <v>1617056.76</v>
      </c>
      <c r="BG147" s="121">
        <f t="shared" si="14"/>
        <v>1617056.76</v>
      </c>
      <c r="BH147" s="121">
        <f t="shared" si="14"/>
        <v>1617056.76</v>
      </c>
      <c r="BI147" s="121">
        <f t="shared" si="14"/>
        <v>1617056.76</v>
      </c>
      <c r="BJ147" s="121">
        <f t="shared" si="14"/>
        <v>1617056.76</v>
      </c>
      <c r="BK147" s="121">
        <f t="shared" si="14"/>
        <v>1617056.76</v>
      </c>
      <c r="BL147" s="121">
        <f t="shared" si="14"/>
        <v>1617056.76</v>
      </c>
      <c r="BM147" s="167">
        <f t="shared" si="13"/>
        <v>81128697.120000035</v>
      </c>
    </row>
    <row r="148" spans="1:65" x14ac:dyDescent="0.15">
      <c r="J148" s="33"/>
    </row>
    <row r="149" spans="1:65" x14ac:dyDescent="0.15">
      <c r="B149" s="14" t="s">
        <v>497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2145000</v>
      </c>
      <c r="I150" s="158">
        <f>STAFF_CWS!L210</f>
        <v>2145000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140680000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580000</v>
      </c>
      <c r="I153" s="158">
        <f>STAFF_CWS!L531</f>
        <v>290000</v>
      </c>
      <c r="J153" s="158">
        <f>STAFF_CWS!M531</f>
        <v>580000</v>
      </c>
      <c r="K153" s="158">
        <f>STAFF_CWS!N531</f>
        <v>580000</v>
      </c>
      <c r="L153" s="158">
        <f>STAFF_CWS!O531</f>
        <v>580000</v>
      </c>
      <c r="M153" s="158">
        <f>STAFF_CWS!P531</f>
        <v>580000</v>
      </c>
      <c r="N153" s="158">
        <f>STAFF_CWS!Q531</f>
        <v>580000</v>
      </c>
      <c r="O153" s="158">
        <f>STAFF_CWS!R531</f>
        <v>580000</v>
      </c>
      <c r="P153" s="158">
        <f>STAFF_CWS!S531</f>
        <v>580000</v>
      </c>
      <c r="Q153" s="158">
        <f>STAFF_CWS!T531</f>
        <v>1580000</v>
      </c>
      <c r="R153" s="158">
        <f>STAFF_CWS!U531</f>
        <v>1580000</v>
      </c>
      <c r="S153" s="158">
        <f>STAFF_CWS!V531</f>
        <v>1580000</v>
      </c>
      <c r="T153" s="158">
        <f>STAFF_CWS!W531</f>
        <v>1580000</v>
      </c>
      <c r="U153" s="158">
        <f>STAFF_CWS!X531</f>
        <v>1580000</v>
      </c>
      <c r="V153" s="158">
        <f>STAFF_CWS!Y531</f>
        <v>1580000</v>
      </c>
      <c r="W153" s="158">
        <f>STAFF_CWS!Z531</f>
        <v>1580000</v>
      </c>
      <c r="X153" s="158">
        <f>STAFF_CWS!AA531</f>
        <v>1580000</v>
      </c>
      <c r="Y153" s="158">
        <f>STAFF_CWS!AB531</f>
        <v>1580000</v>
      </c>
      <c r="Z153" s="158">
        <f>STAFF_CWS!AC531</f>
        <v>1580000</v>
      </c>
      <c r="AA153" s="158">
        <f>STAFF_CWS!AD531</f>
        <v>1580000</v>
      </c>
      <c r="AB153" s="158">
        <f>STAFF_CWS!AE531</f>
        <v>1580000</v>
      </c>
      <c r="AC153" s="158">
        <f>STAFF_CWS!AF531</f>
        <v>3160000</v>
      </c>
      <c r="AD153" s="158">
        <f>STAFF_CWS!AG531</f>
        <v>3160000</v>
      </c>
      <c r="AE153" s="158">
        <f>STAFF_CWS!AH531</f>
        <v>3160000</v>
      </c>
      <c r="AF153" s="158">
        <f>STAFF_CWS!AI531</f>
        <v>3160000</v>
      </c>
      <c r="AG153" s="158">
        <f>STAFF_CWS!AJ531</f>
        <v>3160000</v>
      </c>
      <c r="AH153" s="158">
        <f>STAFF_CWS!AK531</f>
        <v>3160000</v>
      </c>
      <c r="AI153" s="158">
        <f>STAFF_CWS!AL531</f>
        <v>3160000</v>
      </c>
      <c r="AJ153" s="158">
        <f>STAFF_CWS!AM531</f>
        <v>3160000</v>
      </c>
      <c r="AK153" s="158">
        <f>STAFF_CWS!AN531</f>
        <v>3160000</v>
      </c>
      <c r="AL153" s="158">
        <f>STAFF_CWS!AO531</f>
        <v>3160000</v>
      </c>
      <c r="AM153" s="158">
        <f>STAFF_CWS!AP531</f>
        <v>3160000</v>
      </c>
      <c r="AN153" s="158">
        <f>STAFF_CWS!AQ531</f>
        <v>3160000</v>
      </c>
      <c r="AO153" s="158">
        <f>STAFF_CWS!AR531</f>
        <v>3160000</v>
      </c>
      <c r="AP153" s="158">
        <f>STAFF_CWS!AS531</f>
        <v>3160000</v>
      </c>
      <c r="AQ153" s="158">
        <f>STAFF_CWS!AT531</f>
        <v>3160000</v>
      </c>
      <c r="AR153" s="158">
        <f>STAFF_CWS!AU531</f>
        <v>3160000</v>
      </c>
      <c r="AS153" s="158">
        <f>STAFF_CWS!AV531</f>
        <v>3160000</v>
      </c>
      <c r="AT153" s="158">
        <f>STAFF_CWS!AW531</f>
        <v>3160000</v>
      </c>
      <c r="AU153" s="158">
        <f>STAFF_CWS!AX531</f>
        <v>3160000</v>
      </c>
      <c r="AV153" s="158">
        <f>STAFF_CWS!AY531</f>
        <v>3160000</v>
      </c>
      <c r="AW153" s="158">
        <f>STAFF_CWS!AZ531</f>
        <v>3160000</v>
      </c>
      <c r="AX153" s="158">
        <f>STAFF_CWS!BA531</f>
        <v>3160000</v>
      </c>
      <c r="AY153" s="158">
        <f>STAFF_CWS!BB531</f>
        <v>3160000</v>
      </c>
      <c r="AZ153" s="158">
        <f>STAFF_CWS!BC531</f>
        <v>3160000</v>
      </c>
      <c r="BA153" s="158">
        <f>STAFF_CWS!BD531</f>
        <v>3160000</v>
      </c>
      <c r="BB153" s="158">
        <f>STAFF_CWS!BE531</f>
        <v>3160000</v>
      </c>
      <c r="BC153" s="158">
        <f>STAFF_CWS!BF531</f>
        <v>3160000</v>
      </c>
      <c r="BD153" s="158">
        <f>STAFF_CWS!BG531</f>
        <v>3160000</v>
      </c>
      <c r="BE153" s="158">
        <f>STAFF_CWS!BH531</f>
        <v>3160000</v>
      </c>
      <c r="BF153" s="158">
        <f>STAFF_CWS!BI531</f>
        <v>3160000</v>
      </c>
      <c r="BG153" s="158">
        <f>STAFF_CWS!BJ531</f>
        <v>3160000</v>
      </c>
      <c r="BH153" s="158">
        <f>STAFF_CWS!BK531</f>
        <v>3160000</v>
      </c>
      <c r="BI153" s="158">
        <f>STAFF_CWS!BL531</f>
        <v>3160000</v>
      </c>
      <c r="BJ153" s="158">
        <f>STAFF_CWS!BM531</f>
        <v>3160000</v>
      </c>
      <c r="BK153" s="158">
        <f>STAFF_CWS!BN531</f>
        <v>3160000</v>
      </c>
      <c r="BL153" s="158">
        <f>STAFF_CWS!BO531</f>
        <v>3160000</v>
      </c>
      <c r="BM153" s="167">
        <f>SUM(D153:BL153)</f>
        <v>137650000</v>
      </c>
    </row>
    <row r="154" spans="1:65" s="50" customFormat="1" outlineLevel="1" x14ac:dyDescent="0.15">
      <c r="A154" s="74"/>
      <c r="B154" s="14" t="s">
        <v>498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2725000</v>
      </c>
      <c r="I154" s="160">
        <f t="shared" si="15"/>
        <v>2435000</v>
      </c>
      <c r="J154" s="168">
        <f t="shared" si="15"/>
        <v>2870000</v>
      </c>
      <c r="K154" s="160">
        <f t="shared" si="15"/>
        <v>2870000</v>
      </c>
      <c r="L154" s="160">
        <f t="shared" si="15"/>
        <v>2870000</v>
      </c>
      <c r="M154" s="160">
        <f t="shared" si="15"/>
        <v>2870000</v>
      </c>
      <c r="N154" s="160">
        <f t="shared" si="15"/>
        <v>2870000</v>
      </c>
      <c r="O154" s="160">
        <f t="shared" si="15"/>
        <v>2870000</v>
      </c>
      <c r="P154" s="160">
        <f t="shared" si="15"/>
        <v>2870000</v>
      </c>
      <c r="Q154" s="160">
        <f t="shared" si="15"/>
        <v>3870000</v>
      </c>
      <c r="R154" s="160">
        <f t="shared" si="15"/>
        <v>3870000</v>
      </c>
      <c r="S154" s="160">
        <f t="shared" si="15"/>
        <v>3870000</v>
      </c>
      <c r="T154" s="160">
        <f t="shared" si="15"/>
        <v>3870000</v>
      </c>
      <c r="U154" s="160">
        <f t="shared" si="15"/>
        <v>3870000</v>
      </c>
      <c r="V154" s="160">
        <f t="shared" si="15"/>
        <v>3870000</v>
      </c>
      <c r="W154" s="160">
        <f t="shared" si="15"/>
        <v>3870000</v>
      </c>
      <c r="X154" s="160">
        <f t="shared" si="15"/>
        <v>3870000</v>
      </c>
      <c r="Y154" s="160">
        <f t="shared" si="15"/>
        <v>3870000</v>
      </c>
      <c r="Z154" s="160">
        <f t="shared" si="15"/>
        <v>3870000</v>
      </c>
      <c r="AA154" s="160">
        <f t="shared" si="15"/>
        <v>3870000</v>
      </c>
      <c r="AB154" s="160">
        <f t="shared" si="15"/>
        <v>3870000</v>
      </c>
      <c r="AC154" s="160">
        <f t="shared" si="15"/>
        <v>5740000</v>
      </c>
      <c r="AD154" s="160">
        <f t="shared" si="15"/>
        <v>5740000</v>
      </c>
      <c r="AE154" s="160">
        <f t="shared" si="15"/>
        <v>5740000</v>
      </c>
      <c r="AF154" s="160">
        <f t="shared" si="15"/>
        <v>5740000</v>
      </c>
      <c r="AG154" s="160">
        <f t="shared" si="15"/>
        <v>5740000</v>
      </c>
      <c r="AH154" s="160">
        <f t="shared" si="15"/>
        <v>5740000</v>
      </c>
      <c r="AI154" s="160">
        <f t="shared" si="15"/>
        <v>5740000</v>
      </c>
      <c r="AJ154" s="160">
        <f t="shared" si="15"/>
        <v>5740000</v>
      </c>
      <c r="AK154" s="160">
        <f t="shared" si="15"/>
        <v>5740000</v>
      </c>
      <c r="AL154" s="160">
        <f t="shared" si="15"/>
        <v>5740000</v>
      </c>
      <c r="AM154" s="160">
        <f t="shared" si="15"/>
        <v>5740000</v>
      </c>
      <c r="AN154" s="160">
        <f t="shared" si="15"/>
        <v>5740000</v>
      </c>
      <c r="AO154" s="160">
        <f t="shared" si="15"/>
        <v>5740000</v>
      </c>
      <c r="AP154" s="160">
        <f t="shared" si="15"/>
        <v>5740000</v>
      </c>
      <c r="AQ154" s="160">
        <f t="shared" si="15"/>
        <v>5740000</v>
      </c>
      <c r="AR154" s="160">
        <f t="shared" si="15"/>
        <v>5740000</v>
      </c>
      <c r="AS154" s="160">
        <f t="shared" si="15"/>
        <v>5740000</v>
      </c>
      <c r="AT154" s="160">
        <f t="shared" si="15"/>
        <v>5740000</v>
      </c>
      <c r="AU154" s="160">
        <f t="shared" si="15"/>
        <v>5740000</v>
      </c>
      <c r="AV154" s="160">
        <f t="shared" si="15"/>
        <v>5740000</v>
      </c>
      <c r="AW154" s="160">
        <f t="shared" si="15"/>
        <v>5740000</v>
      </c>
      <c r="AX154" s="160">
        <f t="shared" si="15"/>
        <v>5740000</v>
      </c>
      <c r="AY154" s="160">
        <f t="shared" si="15"/>
        <v>5740000</v>
      </c>
      <c r="AZ154" s="160">
        <f t="shared" si="15"/>
        <v>5740000</v>
      </c>
      <c r="BA154" s="160">
        <f t="shared" si="15"/>
        <v>5740000</v>
      </c>
      <c r="BB154" s="160">
        <f t="shared" si="15"/>
        <v>5740000</v>
      </c>
      <c r="BC154" s="160">
        <f t="shared" si="15"/>
        <v>5740000</v>
      </c>
      <c r="BD154" s="160">
        <f t="shared" si="15"/>
        <v>5740000</v>
      </c>
      <c r="BE154" s="160">
        <f t="shared" si="15"/>
        <v>5740000</v>
      </c>
      <c r="BF154" s="160">
        <f t="shared" si="15"/>
        <v>5740000</v>
      </c>
      <c r="BG154" s="160">
        <f t="shared" si="15"/>
        <v>5740000</v>
      </c>
      <c r="BH154" s="160">
        <f t="shared" si="15"/>
        <v>5740000</v>
      </c>
      <c r="BI154" s="160">
        <f t="shared" si="15"/>
        <v>5740000</v>
      </c>
      <c r="BJ154" s="160">
        <f t="shared" si="15"/>
        <v>5740000</v>
      </c>
      <c r="BK154" s="160">
        <f t="shared" si="15"/>
        <v>5740000</v>
      </c>
      <c r="BL154" s="160">
        <f t="shared" si="15"/>
        <v>5740000</v>
      </c>
      <c r="BM154" s="167">
        <f>SUM(D154:BL154)</f>
        <v>278330000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481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3000000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482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3000000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483</v>
      </c>
      <c r="J163" s="14"/>
      <c r="BM163" s="167"/>
    </row>
    <row r="164" spans="1:65" outlineLevel="1" x14ac:dyDescent="0.15">
      <c r="B164" s="47" t="s">
        <v>379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272500</v>
      </c>
      <c r="I164" s="161">
        <f>STAFF_CWS!L224+STAFF_CWS!L289+STAFF_CWS!L372+STAFF_CWS!L545</f>
        <v>243500</v>
      </c>
      <c r="J164" s="158">
        <f>STAFF_CWS!M224+STAFF_CWS!M289+STAFF_CWS!M372+STAFF_CWS!M545</f>
        <v>287000</v>
      </c>
      <c r="K164" s="161">
        <f>STAFF_CWS!N224+STAFF_CWS!N289+STAFF_CWS!N372+STAFF_CWS!N545</f>
        <v>287000</v>
      </c>
      <c r="L164" s="161">
        <f>STAFF_CWS!O224+STAFF_CWS!O289+STAFF_CWS!O372+STAFF_CWS!O545</f>
        <v>287000</v>
      </c>
      <c r="M164" s="161">
        <f>STAFF_CWS!P224+STAFF_CWS!P289+STAFF_CWS!P372+STAFF_CWS!P545</f>
        <v>287000</v>
      </c>
      <c r="N164" s="161">
        <f>STAFF_CWS!Q224+STAFF_CWS!Q289+STAFF_CWS!Q372+STAFF_CWS!Q545</f>
        <v>287000</v>
      </c>
      <c r="O164" s="161">
        <f>STAFF_CWS!R224+STAFF_CWS!R289+STAFF_CWS!R372+STAFF_CWS!R545</f>
        <v>287000</v>
      </c>
      <c r="P164" s="161">
        <f>STAFF_CWS!S224+STAFF_CWS!S289+STAFF_CWS!S372+STAFF_CWS!S545</f>
        <v>516000</v>
      </c>
      <c r="Q164" s="161">
        <f>STAFF_CWS!T224+STAFF_CWS!T289+STAFF_CWS!T372+STAFF_CWS!T545</f>
        <v>774000</v>
      </c>
      <c r="R164" s="161">
        <f>STAFF_CWS!U224+STAFF_CWS!U289+STAFF_CWS!U372+STAFF_CWS!U545</f>
        <v>774000</v>
      </c>
      <c r="S164" s="161">
        <f>STAFF_CWS!V224+STAFF_CWS!V289+STAFF_CWS!V372+STAFF_CWS!V545</f>
        <v>774000</v>
      </c>
      <c r="T164" s="161">
        <f>STAFF_CWS!W224+STAFF_CWS!W289+STAFF_CWS!W372+STAFF_CWS!W545</f>
        <v>774000</v>
      </c>
      <c r="U164" s="161">
        <f>STAFF_CWS!X224+STAFF_CWS!X289+STAFF_CWS!X372+STAFF_CWS!X545</f>
        <v>774000</v>
      </c>
      <c r="V164" s="161">
        <f>STAFF_CWS!Y224+STAFF_CWS!Y289+STAFF_CWS!Y372+STAFF_CWS!Y545</f>
        <v>774000</v>
      </c>
      <c r="W164" s="161">
        <f>STAFF_CWS!Z224+STAFF_CWS!Z289+STAFF_CWS!Z372+STAFF_CWS!Z545</f>
        <v>774000</v>
      </c>
      <c r="X164" s="161">
        <f>STAFF_CWS!AA224+STAFF_CWS!AA289+STAFF_CWS!AA372+STAFF_CWS!AA545</f>
        <v>774000</v>
      </c>
      <c r="Y164" s="161">
        <f>STAFF_CWS!AB224+STAFF_CWS!AB289+STAFF_CWS!AB372+STAFF_CWS!AB545</f>
        <v>774000</v>
      </c>
      <c r="Z164" s="161">
        <f>STAFF_CWS!AC224+STAFF_CWS!AC289+STAFF_CWS!AC372+STAFF_CWS!AC545</f>
        <v>774000</v>
      </c>
      <c r="AA164" s="161">
        <f>STAFF_CWS!AD224+STAFF_CWS!AD289+STAFF_CWS!AD372+STAFF_CWS!AD545</f>
        <v>774000</v>
      </c>
      <c r="AB164" s="161">
        <f>STAFF_CWS!AE224+STAFF_CWS!AE289+STAFF_CWS!AE372+STAFF_CWS!AE545</f>
        <v>774000</v>
      </c>
      <c r="AC164" s="161">
        <f>STAFF_CWS!AF224+STAFF_CWS!AF289+STAFF_CWS!AF372+STAFF_CWS!AF545</f>
        <v>1148000</v>
      </c>
      <c r="AD164" s="161">
        <f>STAFF_CWS!AG224+STAFF_CWS!AG289+STAFF_CWS!AG372+STAFF_CWS!AG545</f>
        <v>1148000</v>
      </c>
      <c r="AE164" s="161">
        <f>STAFF_CWS!AH224+STAFF_CWS!AH289+STAFF_CWS!AH372+STAFF_CWS!AH545</f>
        <v>1148000</v>
      </c>
      <c r="AF164" s="161">
        <f>STAFF_CWS!AI224+STAFF_CWS!AI289+STAFF_CWS!AI372+STAFF_CWS!AI545</f>
        <v>1148000</v>
      </c>
      <c r="AG164" s="161">
        <f>STAFF_CWS!AJ224+STAFF_CWS!AJ289+STAFF_CWS!AJ372+STAFF_CWS!AJ545</f>
        <v>1148000</v>
      </c>
      <c r="AH164" s="161">
        <f>STAFF_CWS!AK224+STAFF_CWS!AK289+STAFF_CWS!AK372+STAFF_CWS!AK545</f>
        <v>1148000</v>
      </c>
      <c r="AI164" s="161">
        <f>STAFF_CWS!AL224+STAFF_CWS!AL289+STAFF_CWS!AL372+STAFF_CWS!AL545</f>
        <v>1148000</v>
      </c>
      <c r="AJ164" s="161">
        <f>STAFF_CWS!AM224+STAFF_CWS!AM289+STAFF_CWS!AM372+STAFF_CWS!AM545</f>
        <v>1148000</v>
      </c>
      <c r="AK164" s="161">
        <f>STAFF_CWS!AN224+STAFF_CWS!AN289+STAFF_CWS!AN372+STAFF_CWS!AN545</f>
        <v>1148000</v>
      </c>
      <c r="AL164" s="161">
        <f>STAFF_CWS!AO224+STAFF_CWS!AO289+STAFF_CWS!AO372+STAFF_CWS!AO545</f>
        <v>1148000</v>
      </c>
      <c r="AM164" s="161">
        <f>STAFF_CWS!AP224+STAFF_CWS!AP289+STAFF_CWS!AP372+STAFF_CWS!AP545</f>
        <v>1148000</v>
      </c>
      <c r="AN164" s="161">
        <f>STAFF_CWS!AQ224+STAFF_CWS!AQ289+STAFF_CWS!AQ372+STAFF_CWS!AQ545</f>
        <v>1148000</v>
      </c>
      <c r="AO164" s="161">
        <f>STAFF_CWS!AR224+STAFF_CWS!AR289+STAFF_CWS!AR372+STAFF_CWS!AR545</f>
        <v>1148000</v>
      </c>
      <c r="AP164" s="161">
        <f>STAFF_CWS!AS224+STAFF_CWS!AS289+STAFF_CWS!AS372+STAFF_CWS!AS545</f>
        <v>1148000</v>
      </c>
      <c r="AQ164" s="161">
        <f>STAFF_CWS!AT224+STAFF_CWS!AT289+STAFF_CWS!AT372+STAFF_CWS!AT545</f>
        <v>1148000</v>
      </c>
      <c r="AR164" s="161">
        <f>STAFF_CWS!AU224+STAFF_CWS!AU289+STAFF_CWS!AU372+STAFF_CWS!AU545</f>
        <v>1148000</v>
      </c>
      <c r="AS164" s="161">
        <f>STAFF_CWS!AV224+STAFF_CWS!AV289+STAFF_CWS!AV372+STAFF_CWS!AV545</f>
        <v>1148000</v>
      </c>
      <c r="AT164" s="161">
        <f>STAFF_CWS!AW224+STAFF_CWS!AW289+STAFF_CWS!AW372+STAFF_CWS!AW545</f>
        <v>1148000</v>
      </c>
      <c r="AU164" s="161">
        <f>STAFF_CWS!AX224+STAFF_CWS!AX289+STAFF_CWS!AX372+STAFF_CWS!AX545</f>
        <v>1148000</v>
      </c>
      <c r="AV164" s="161">
        <f>STAFF_CWS!AY224+STAFF_CWS!AY289+STAFF_CWS!AY372+STAFF_CWS!AY545</f>
        <v>1148000</v>
      </c>
      <c r="AW164" s="161">
        <f>STAFF_CWS!AZ224+STAFF_CWS!AZ289+STAFF_CWS!AZ372+STAFF_CWS!AZ545</f>
        <v>1148000</v>
      </c>
      <c r="AX164" s="161">
        <f>STAFF_CWS!BA224+STAFF_CWS!BA289+STAFF_CWS!BA372+STAFF_CWS!BA545</f>
        <v>1148000</v>
      </c>
      <c r="AY164" s="161">
        <f>STAFF_CWS!BB224+STAFF_CWS!BB289+STAFF_CWS!BB372+STAFF_CWS!BB545</f>
        <v>1148000</v>
      </c>
      <c r="AZ164" s="161">
        <f>STAFF_CWS!BC224+STAFF_CWS!BC289+STAFF_CWS!BC372+STAFF_CWS!BC545</f>
        <v>1148000</v>
      </c>
      <c r="BA164" s="161">
        <f>STAFF_CWS!BD224+STAFF_CWS!BD289+STAFF_CWS!BD372+STAFF_CWS!BD545</f>
        <v>1148000</v>
      </c>
      <c r="BB164" s="161">
        <f>STAFF_CWS!BE224+STAFF_CWS!BE289+STAFF_CWS!BE372+STAFF_CWS!BE545</f>
        <v>1148000</v>
      </c>
      <c r="BC164" s="161">
        <f>STAFF_CWS!BF224+STAFF_CWS!BF289+STAFF_CWS!BF372+STAFF_CWS!BF545</f>
        <v>1148000</v>
      </c>
      <c r="BD164" s="161">
        <f>STAFF_CWS!BG224+STAFF_CWS!BG289+STAFF_CWS!BG372+STAFF_CWS!BG545</f>
        <v>1148000</v>
      </c>
      <c r="BE164" s="161">
        <f>STAFF_CWS!BH224+STAFF_CWS!BH289+STAFF_CWS!BH372+STAFF_CWS!BH545</f>
        <v>1148000</v>
      </c>
      <c r="BF164" s="161">
        <f>STAFF_CWS!BI224+STAFF_CWS!BI289+STAFF_CWS!BI372+STAFF_CWS!BI545</f>
        <v>1148000</v>
      </c>
      <c r="BG164" s="161">
        <f>STAFF_CWS!BJ224+STAFF_CWS!BJ289+STAFF_CWS!BJ372+STAFF_CWS!BJ545</f>
        <v>1148000</v>
      </c>
      <c r="BH164" s="161">
        <f>STAFF_CWS!BK224+STAFF_CWS!BK289+STAFF_CWS!BK372+STAFF_CWS!BK545</f>
        <v>1148000</v>
      </c>
      <c r="BI164" s="161">
        <f>STAFF_CWS!BL224+STAFF_CWS!BL289+STAFF_CWS!BL372+STAFF_CWS!BL545</f>
        <v>1148000</v>
      </c>
      <c r="BJ164" s="161">
        <f>STAFF_CWS!BM224+STAFF_CWS!BM289+STAFF_CWS!BM372+STAFF_CWS!BM545</f>
        <v>1148000</v>
      </c>
      <c r="BK164" s="161">
        <f>STAFF_CWS!BN224+STAFF_CWS!BN289+STAFF_CWS!BN372+STAFF_CWS!BN545</f>
        <v>1148000</v>
      </c>
      <c r="BL164" s="161">
        <f>STAFF_CWS!BO224+STAFF_CWS!BO289+STAFF_CWS!BO372+STAFF_CWS!BO545</f>
        <v>1148000</v>
      </c>
      <c r="BM164" s="167">
        <f>SUM(D164:BL164)</f>
        <v>53370000</v>
      </c>
    </row>
    <row r="165" spans="1:65" s="157" customFormat="1" outlineLevel="1" x14ac:dyDescent="0.15">
      <c r="A165" s="156"/>
      <c r="B165" s="47" t="s">
        <v>1182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484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272500</v>
      </c>
      <c r="I167" s="161">
        <f t="shared" si="17"/>
        <v>243500</v>
      </c>
      <c r="J167" s="158">
        <f t="shared" si="17"/>
        <v>287000</v>
      </c>
      <c r="K167" s="161">
        <f t="shared" si="17"/>
        <v>287000</v>
      </c>
      <c r="L167" s="161">
        <f t="shared" si="17"/>
        <v>287000</v>
      </c>
      <c r="M167" s="161">
        <f t="shared" si="17"/>
        <v>287000</v>
      </c>
      <c r="N167" s="161">
        <f t="shared" si="17"/>
        <v>287000</v>
      </c>
      <c r="O167" s="161">
        <f t="shared" si="17"/>
        <v>287000</v>
      </c>
      <c r="P167" s="161">
        <f t="shared" si="17"/>
        <v>516000</v>
      </c>
      <c r="Q167" s="161">
        <f t="shared" si="17"/>
        <v>774000</v>
      </c>
      <c r="R167" s="161">
        <f t="shared" si="17"/>
        <v>774000</v>
      </c>
      <c r="S167" s="161">
        <f t="shared" si="17"/>
        <v>774000</v>
      </c>
      <c r="T167" s="161">
        <f t="shared" si="17"/>
        <v>774000</v>
      </c>
      <c r="U167" s="161">
        <f t="shared" si="17"/>
        <v>774000</v>
      </c>
      <c r="V167" s="161">
        <f t="shared" si="17"/>
        <v>774000</v>
      </c>
      <c r="W167" s="161">
        <f t="shared" si="17"/>
        <v>774000</v>
      </c>
      <c r="X167" s="161">
        <f t="shared" si="17"/>
        <v>774000</v>
      </c>
      <c r="Y167" s="161">
        <f t="shared" si="17"/>
        <v>774000</v>
      </c>
      <c r="Z167" s="161">
        <f t="shared" si="17"/>
        <v>774000</v>
      </c>
      <c r="AA167" s="161">
        <f t="shared" si="17"/>
        <v>774000</v>
      </c>
      <c r="AB167" s="161">
        <f t="shared" si="17"/>
        <v>774000</v>
      </c>
      <c r="AC167" s="161">
        <f t="shared" si="17"/>
        <v>1148000</v>
      </c>
      <c r="AD167" s="161">
        <f t="shared" si="17"/>
        <v>1148000</v>
      </c>
      <c r="AE167" s="161">
        <f t="shared" si="17"/>
        <v>1148000</v>
      </c>
      <c r="AF167" s="161">
        <f t="shared" si="17"/>
        <v>1148000</v>
      </c>
      <c r="AG167" s="161">
        <f t="shared" si="17"/>
        <v>1148000</v>
      </c>
      <c r="AH167" s="161">
        <f t="shared" si="17"/>
        <v>1148000</v>
      </c>
      <c r="AI167" s="161">
        <f t="shared" si="17"/>
        <v>1148000</v>
      </c>
      <c r="AJ167" s="161">
        <f t="shared" si="17"/>
        <v>1148000</v>
      </c>
      <c r="AK167" s="161">
        <f t="shared" si="17"/>
        <v>1148000</v>
      </c>
      <c r="AL167" s="161">
        <f t="shared" si="17"/>
        <v>1148000</v>
      </c>
      <c r="AM167" s="161">
        <f t="shared" si="17"/>
        <v>1148000</v>
      </c>
      <c r="AN167" s="161">
        <f t="shared" si="17"/>
        <v>1148000</v>
      </c>
      <c r="AO167" s="161">
        <f t="shared" si="17"/>
        <v>1148000</v>
      </c>
      <c r="AP167" s="161">
        <f t="shared" si="17"/>
        <v>1148000</v>
      </c>
      <c r="AQ167" s="161">
        <f t="shared" si="17"/>
        <v>1148000</v>
      </c>
      <c r="AR167" s="161">
        <f t="shared" si="17"/>
        <v>1148000</v>
      </c>
      <c r="AS167" s="161">
        <f t="shared" si="17"/>
        <v>1148000</v>
      </c>
      <c r="AT167" s="161">
        <f t="shared" si="17"/>
        <v>1148000</v>
      </c>
      <c r="AU167" s="161">
        <f t="shared" si="17"/>
        <v>1148000</v>
      </c>
      <c r="AV167" s="161">
        <f t="shared" si="17"/>
        <v>1148000</v>
      </c>
      <c r="AW167" s="161">
        <f t="shared" si="17"/>
        <v>1148000</v>
      </c>
      <c r="AX167" s="161">
        <f t="shared" si="17"/>
        <v>1148000</v>
      </c>
      <c r="AY167" s="161">
        <f t="shared" si="17"/>
        <v>1148000</v>
      </c>
      <c r="AZ167" s="161">
        <f t="shared" si="17"/>
        <v>1148000</v>
      </c>
      <c r="BA167" s="161">
        <f t="shared" si="17"/>
        <v>1148000</v>
      </c>
      <c r="BB167" s="161">
        <f t="shared" si="17"/>
        <v>1148000</v>
      </c>
      <c r="BC167" s="161">
        <f t="shared" si="17"/>
        <v>1148000</v>
      </c>
      <c r="BD167" s="161">
        <f t="shared" si="17"/>
        <v>1148000</v>
      </c>
      <c r="BE167" s="161">
        <f t="shared" si="17"/>
        <v>1148000</v>
      </c>
      <c r="BF167" s="161">
        <f t="shared" si="17"/>
        <v>1148000</v>
      </c>
      <c r="BG167" s="161">
        <f t="shared" si="17"/>
        <v>1148000</v>
      </c>
      <c r="BH167" s="161">
        <f t="shared" si="17"/>
        <v>1148000</v>
      </c>
      <c r="BI167" s="161">
        <f t="shared" si="17"/>
        <v>1148000</v>
      </c>
      <c r="BJ167" s="161">
        <f t="shared" si="17"/>
        <v>1148000</v>
      </c>
      <c r="BK167" s="161">
        <f t="shared" si="17"/>
        <v>1148000</v>
      </c>
      <c r="BL167" s="161">
        <f t="shared" si="17"/>
        <v>1148000</v>
      </c>
      <c r="BM167" s="167">
        <f>SUM(D167:BL167)</f>
        <v>53370000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480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2997500</v>
      </c>
      <c r="I169" s="130">
        <f t="shared" si="18"/>
        <v>2678500</v>
      </c>
      <c r="J169" s="104">
        <f t="shared" si="18"/>
        <v>3157000</v>
      </c>
      <c r="K169" s="130">
        <f t="shared" si="18"/>
        <v>3157000</v>
      </c>
      <c r="L169" s="130">
        <f t="shared" si="18"/>
        <v>3157000</v>
      </c>
      <c r="M169" s="130">
        <f t="shared" si="18"/>
        <v>3157000</v>
      </c>
      <c r="N169" s="130">
        <f t="shared" si="18"/>
        <v>3157000</v>
      </c>
      <c r="O169" s="130">
        <f t="shared" si="18"/>
        <v>3157000</v>
      </c>
      <c r="P169" s="130">
        <f t="shared" si="18"/>
        <v>3386000</v>
      </c>
      <c r="Q169" s="130">
        <f t="shared" si="18"/>
        <v>5644000</v>
      </c>
      <c r="R169" s="130">
        <f t="shared" si="18"/>
        <v>5644000</v>
      </c>
      <c r="S169" s="130">
        <f t="shared" si="18"/>
        <v>5644000</v>
      </c>
      <c r="T169" s="130">
        <f t="shared" si="18"/>
        <v>4644000</v>
      </c>
      <c r="U169" s="130">
        <f t="shared" si="18"/>
        <v>4644000</v>
      </c>
      <c r="V169" s="130">
        <f t="shared" si="18"/>
        <v>4644000</v>
      </c>
      <c r="W169" s="130">
        <f t="shared" si="18"/>
        <v>4644000</v>
      </c>
      <c r="X169" s="130">
        <f t="shared" si="18"/>
        <v>4644000</v>
      </c>
      <c r="Y169" s="130">
        <f t="shared" si="18"/>
        <v>4644000</v>
      </c>
      <c r="Z169" s="130">
        <f t="shared" si="18"/>
        <v>4644000</v>
      </c>
      <c r="AA169" s="130">
        <f t="shared" si="18"/>
        <v>4644000</v>
      </c>
      <c r="AB169" s="130">
        <f t="shared" si="18"/>
        <v>4644000</v>
      </c>
      <c r="AC169" s="130">
        <f t="shared" si="18"/>
        <v>6888000</v>
      </c>
      <c r="AD169" s="130">
        <f t="shared" si="18"/>
        <v>6888000</v>
      </c>
      <c r="AE169" s="130">
        <f t="shared" si="18"/>
        <v>6888000</v>
      </c>
      <c r="AF169" s="130">
        <f t="shared" si="18"/>
        <v>6888000</v>
      </c>
      <c r="AG169" s="130">
        <f t="shared" si="18"/>
        <v>6888000</v>
      </c>
      <c r="AH169" s="130">
        <f t="shared" si="18"/>
        <v>6888000</v>
      </c>
      <c r="AI169" s="130">
        <f t="shared" si="18"/>
        <v>6888000</v>
      </c>
      <c r="AJ169" s="130">
        <f t="shared" ref="AJ169:BL169" si="19">AJ167+AJ161+AJ154</f>
        <v>6888000</v>
      </c>
      <c r="AK169" s="130">
        <f t="shared" si="19"/>
        <v>6888000</v>
      </c>
      <c r="AL169" s="130">
        <f t="shared" si="19"/>
        <v>6888000</v>
      </c>
      <c r="AM169" s="130">
        <f t="shared" si="19"/>
        <v>6888000</v>
      </c>
      <c r="AN169" s="130">
        <f t="shared" si="19"/>
        <v>6888000</v>
      </c>
      <c r="AO169" s="130">
        <f t="shared" si="19"/>
        <v>6888000</v>
      </c>
      <c r="AP169" s="130">
        <f t="shared" si="19"/>
        <v>6888000</v>
      </c>
      <c r="AQ169" s="130">
        <f t="shared" si="19"/>
        <v>6888000</v>
      </c>
      <c r="AR169" s="130">
        <f t="shared" si="19"/>
        <v>6888000</v>
      </c>
      <c r="AS169" s="130">
        <f t="shared" si="19"/>
        <v>6888000</v>
      </c>
      <c r="AT169" s="130">
        <f t="shared" si="19"/>
        <v>6888000</v>
      </c>
      <c r="AU169" s="130">
        <f t="shared" si="19"/>
        <v>6888000</v>
      </c>
      <c r="AV169" s="130">
        <f t="shared" si="19"/>
        <v>6888000</v>
      </c>
      <c r="AW169" s="130">
        <f t="shared" si="19"/>
        <v>6888000</v>
      </c>
      <c r="AX169" s="130">
        <f t="shared" si="19"/>
        <v>6888000</v>
      </c>
      <c r="AY169" s="130">
        <f t="shared" si="19"/>
        <v>6888000</v>
      </c>
      <c r="AZ169" s="130">
        <f t="shared" si="19"/>
        <v>6888000</v>
      </c>
      <c r="BA169" s="130">
        <f t="shared" si="19"/>
        <v>6888000</v>
      </c>
      <c r="BB169" s="130">
        <f t="shared" si="19"/>
        <v>6888000</v>
      </c>
      <c r="BC169" s="130">
        <f t="shared" si="19"/>
        <v>6888000</v>
      </c>
      <c r="BD169" s="130">
        <f t="shared" si="19"/>
        <v>6888000</v>
      </c>
      <c r="BE169" s="130">
        <f t="shared" si="19"/>
        <v>6888000</v>
      </c>
      <c r="BF169" s="130">
        <f t="shared" si="19"/>
        <v>6888000</v>
      </c>
      <c r="BG169" s="130">
        <f t="shared" si="19"/>
        <v>6888000</v>
      </c>
      <c r="BH169" s="130">
        <f t="shared" si="19"/>
        <v>6888000</v>
      </c>
      <c r="BI169" s="130">
        <f t="shared" si="19"/>
        <v>6888000</v>
      </c>
      <c r="BJ169" s="130">
        <f t="shared" si="19"/>
        <v>6888000</v>
      </c>
      <c r="BK169" s="130">
        <f t="shared" si="19"/>
        <v>6888000</v>
      </c>
      <c r="BL169" s="130">
        <f t="shared" si="19"/>
        <v>6888000</v>
      </c>
      <c r="BM169" s="167">
        <f>SUM(D169:BL169)</f>
        <v>334700000</v>
      </c>
    </row>
    <row r="170" spans="1:65" x14ac:dyDescent="0.15">
      <c r="J170" s="33"/>
    </row>
    <row r="171" spans="1:65" x14ac:dyDescent="0.15">
      <c r="B171" s="14" t="s">
        <v>310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178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176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288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0</v>
      </c>
      <c r="I177" s="158">
        <f>'OPEX-M_CWS'!J12</f>
        <v>0</v>
      </c>
      <c r="J177" s="158">
        <f>'OPEX-M_CWS'!K12</f>
        <v>200000</v>
      </c>
      <c r="K177" s="158">
        <f>'OPEX-M_CWS'!L12</f>
        <v>200000</v>
      </c>
      <c r="L177" s="158">
        <f>'OPEX-M_CWS'!M12</f>
        <v>200000</v>
      </c>
      <c r="M177" s="158">
        <f>'OPEX-M_CWS'!N12</f>
        <v>200000</v>
      </c>
      <c r="N177" s="158">
        <f>'OPEX-M_CWS'!O12</f>
        <v>200000</v>
      </c>
      <c r="O177" s="158">
        <f>'OPEX-M_CWS'!P12</f>
        <v>200000</v>
      </c>
      <c r="P177" s="158">
        <f>'OPEX-M_CWS'!Q12</f>
        <v>200000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12440000</v>
      </c>
    </row>
    <row r="178" spans="1:65" s="157" customFormat="1" outlineLevel="1" x14ac:dyDescent="0.15">
      <c r="A178" s="156"/>
      <c r="B178" s="16" t="s">
        <v>177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0</v>
      </c>
      <c r="I178" s="158">
        <f>'OPEX-M_CWS'!J13</f>
        <v>0</v>
      </c>
      <c r="J178" s="158">
        <f>'OPEX-M_CWS'!K13</f>
        <v>200000</v>
      </c>
      <c r="K178" s="158">
        <f>'OPEX-M_CWS'!L13</f>
        <v>200000</v>
      </c>
      <c r="L178" s="158">
        <f>'OPEX-M_CWS'!M13</f>
        <v>200000</v>
      </c>
      <c r="M178" s="158">
        <f>'OPEX-M_CWS'!N13</f>
        <v>200000</v>
      </c>
      <c r="N178" s="158">
        <f>'OPEX-M_CWS'!O13</f>
        <v>200000</v>
      </c>
      <c r="O178" s="158">
        <f>'OPEX-M_CWS'!P13</f>
        <v>200000</v>
      </c>
      <c r="P178" s="158">
        <f>'OPEX-M_CWS'!Q13</f>
        <v>200000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12440000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9500000</v>
      </c>
      <c r="I184" s="158">
        <f>'OPEX-M_CWS'!J19</f>
        <v>4500000</v>
      </c>
      <c r="J184" s="158">
        <f>'OPEX-M_CWS'!K19</f>
        <v>4500000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354806000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9500000</v>
      </c>
      <c r="I186" s="158">
        <f>'OPEX-M_CWS'!J21</f>
        <v>4500000</v>
      </c>
      <c r="J186" s="158">
        <f>'OPEX-M_CWS'!K21</f>
        <v>4500000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354806000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295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289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290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294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296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179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983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175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297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173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143416.66666666666</v>
      </c>
      <c r="I204" s="158">
        <f>'OPEX-M_CWS'!J39</f>
        <v>158250</v>
      </c>
      <c r="J204" s="158">
        <f>'OPEX-M_CWS'!K39</f>
        <v>159583.33333333334</v>
      </c>
      <c r="K204" s="158">
        <f>'OPEX-M_CWS'!L39</f>
        <v>159583.33333333334</v>
      </c>
      <c r="L204" s="158">
        <f>'OPEX-M_CWS'!M39</f>
        <v>159583.33333333334</v>
      </c>
      <c r="M204" s="158">
        <f>'OPEX-M_CWS'!N39</f>
        <v>159583.33333333334</v>
      </c>
      <c r="N204" s="158">
        <f>'OPEX-M_CWS'!O39</f>
        <v>159583.33333333334</v>
      </c>
      <c r="O204" s="158">
        <f>'OPEX-M_CWS'!P39</f>
        <v>159583.33333333334</v>
      </c>
      <c r="P204" s="158">
        <f>'OPEX-M_CWS'!Q39</f>
        <v>159583.33333333334</v>
      </c>
      <c r="Q204" s="158">
        <f>'OPEX-M_CWS'!R39</f>
        <v>160916.66666666669</v>
      </c>
      <c r="R204" s="158">
        <f>'OPEX-M_CWS'!S39</f>
        <v>160916.66666666669</v>
      </c>
      <c r="S204" s="158">
        <f>'OPEX-M_CWS'!T39</f>
        <v>160916.66666666669</v>
      </c>
      <c r="T204" s="158">
        <f>'OPEX-M_CWS'!U39</f>
        <v>160916.66666666669</v>
      </c>
      <c r="U204" s="158">
        <f>'OPEX-M_CWS'!V39</f>
        <v>160916.66666666669</v>
      </c>
      <c r="V204" s="158">
        <f>'OPEX-M_CWS'!W39</f>
        <v>160916.66666666669</v>
      </c>
      <c r="W204" s="158">
        <f>'OPEX-M_CWS'!X39</f>
        <v>160916.66666666669</v>
      </c>
      <c r="X204" s="158">
        <f>'OPEX-M_CWS'!Y39</f>
        <v>160916.66666666669</v>
      </c>
      <c r="Y204" s="158">
        <f>'OPEX-M_CWS'!Z39</f>
        <v>160916.66666666669</v>
      </c>
      <c r="Z204" s="158">
        <f>'OPEX-M_CWS'!AA39</f>
        <v>160916.66666666669</v>
      </c>
      <c r="AA204" s="158">
        <f>'OPEX-M_CWS'!AB39</f>
        <v>160916.66666666669</v>
      </c>
      <c r="AB204" s="158">
        <f>'OPEX-M_CWS'!AC39</f>
        <v>160916.66666666669</v>
      </c>
      <c r="AC204" s="158">
        <f>'OPEX-M_CWS'!AD39</f>
        <v>160916.66666666669</v>
      </c>
      <c r="AD204" s="158">
        <f>'OPEX-M_CWS'!AE39</f>
        <v>160916.66666666669</v>
      </c>
      <c r="AE204" s="158">
        <f>'OPEX-M_CWS'!AF39</f>
        <v>160916.66666666669</v>
      </c>
      <c r="AF204" s="158">
        <f>'OPEX-M_CWS'!AG39</f>
        <v>160916.66666666669</v>
      </c>
      <c r="AG204" s="158">
        <f>'OPEX-M_CWS'!AH39</f>
        <v>160916.66666666669</v>
      </c>
      <c r="AH204" s="158">
        <f>'OPEX-M_CWS'!AI39</f>
        <v>160916.66666666669</v>
      </c>
      <c r="AI204" s="158">
        <f>'OPEX-M_CWS'!AJ39</f>
        <v>160916.66666666669</v>
      </c>
      <c r="AJ204" s="158">
        <f>'OPEX-M_CWS'!AK39</f>
        <v>160916.66666666669</v>
      </c>
      <c r="AK204" s="158">
        <f>'OPEX-M_CWS'!AL39</f>
        <v>160916.66666666669</v>
      </c>
      <c r="AL204" s="158">
        <f>'OPEX-M_CWS'!AM39</f>
        <v>160916.66666666669</v>
      </c>
      <c r="AM204" s="158">
        <f>'OPEX-M_CWS'!AN39</f>
        <v>160916.66666666669</v>
      </c>
      <c r="AN204" s="158">
        <f>'OPEX-M_CWS'!AO39</f>
        <v>160916.66666666669</v>
      </c>
      <c r="AO204" s="158">
        <f>'OPEX-M_CWS'!AP39</f>
        <v>160916.66666666669</v>
      </c>
      <c r="AP204" s="158">
        <f>'OPEX-M_CWS'!AQ39</f>
        <v>160916.66666666669</v>
      </c>
      <c r="AQ204" s="158">
        <f>'OPEX-M_CWS'!AR39</f>
        <v>160916.66666666669</v>
      </c>
      <c r="AR204" s="158">
        <f>'OPEX-M_CWS'!AS39</f>
        <v>160916.66666666669</v>
      </c>
      <c r="AS204" s="158">
        <f>'OPEX-M_CWS'!AT39</f>
        <v>160916.66666666669</v>
      </c>
      <c r="AT204" s="158">
        <f>'OPEX-M_CWS'!AU39</f>
        <v>160916.66666666669</v>
      </c>
      <c r="AU204" s="158">
        <f>'OPEX-M_CWS'!AV39</f>
        <v>160916.66666666669</v>
      </c>
      <c r="AV204" s="158">
        <f>'OPEX-M_CWS'!AW39</f>
        <v>160916.66666666669</v>
      </c>
      <c r="AW204" s="158">
        <f>'OPEX-M_CWS'!AX39</f>
        <v>160916.66666666669</v>
      </c>
      <c r="AX204" s="158">
        <f>'OPEX-M_CWS'!AY39</f>
        <v>160916.66666666669</v>
      </c>
      <c r="AY204" s="158">
        <f>'OPEX-M_CWS'!AZ39</f>
        <v>160916.66666666669</v>
      </c>
      <c r="AZ204" s="158">
        <f>'OPEX-M_CWS'!BA39</f>
        <v>160916.66666666669</v>
      </c>
      <c r="BA204" s="158">
        <f>'OPEX-M_CWS'!BB39</f>
        <v>160916.66666666669</v>
      </c>
      <c r="BB204" s="158">
        <f>'OPEX-M_CWS'!BC39</f>
        <v>160916.66666666669</v>
      </c>
      <c r="BC204" s="158">
        <f>'OPEX-M_CWS'!BD39</f>
        <v>160916.66666666669</v>
      </c>
      <c r="BD204" s="158">
        <f>'OPEX-M_CWS'!BE39</f>
        <v>160916.66666666669</v>
      </c>
      <c r="BE204" s="158">
        <f>'OPEX-M_CWS'!BF39</f>
        <v>160916.66666666669</v>
      </c>
      <c r="BF204" s="158">
        <f>'OPEX-M_CWS'!BG39</f>
        <v>160916.66666666669</v>
      </c>
      <c r="BG204" s="158">
        <f>'OPEX-M_CWS'!BH39</f>
        <v>160916.66666666669</v>
      </c>
      <c r="BH204" s="158">
        <f>'OPEX-M_CWS'!BI39</f>
        <v>160916.66666666669</v>
      </c>
      <c r="BI204" s="158">
        <f>'OPEX-M_CWS'!BJ39</f>
        <v>160916.66666666669</v>
      </c>
      <c r="BJ204" s="158">
        <f>'OPEX-M_CWS'!BK39</f>
        <v>160916.66666666669</v>
      </c>
      <c r="BK204" s="158">
        <f>'OPEX-M_CWS'!BL39</f>
        <v>160916.66666666669</v>
      </c>
      <c r="BL204" s="158">
        <f>'OPEX-M_CWS'!BM39</f>
        <v>160916.66666666669</v>
      </c>
      <c r="BM204" s="167">
        <f>SUM(D204:BL204)</f>
        <v>9142750.0000000037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287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13840916.666666666</v>
      </c>
      <c r="I206" s="130">
        <f t="shared" si="21"/>
        <v>8536750</v>
      </c>
      <c r="J206" s="104">
        <f t="shared" si="21"/>
        <v>9216583.3333333321</v>
      </c>
      <c r="K206" s="130">
        <f t="shared" si="21"/>
        <v>9716583.3333333321</v>
      </c>
      <c r="L206" s="130">
        <f t="shared" si="21"/>
        <v>9716583.3333333321</v>
      </c>
      <c r="M206" s="130">
        <f t="shared" si="21"/>
        <v>9716583.3333333321</v>
      </c>
      <c r="N206" s="130">
        <f t="shared" si="21"/>
        <v>9716583.3333333321</v>
      </c>
      <c r="O206" s="130">
        <f t="shared" si="21"/>
        <v>9716583.3333333321</v>
      </c>
      <c r="P206" s="130">
        <f t="shared" si="21"/>
        <v>9945583.3333333321</v>
      </c>
      <c r="Q206" s="130">
        <f t="shared" si="21"/>
        <v>12854916.666666668</v>
      </c>
      <c r="R206" s="130">
        <f t="shared" si="21"/>
        <v>12854916.666666668</v>
      </c>
      <c r="S206" s="130">
        <f t="shared" si="21"/>
        <v>12854916.666666668</v>
      </c>
      <c r="T206" s="130">
        <f t="shared" si="21"/>
        <v>11854916.666666668</v>
      </c>
      <c r="U206" s="130">
        <f t="shared" si="21"/>
        <v>11854916.666666668</v>
      </c>
      <c r="V206" s="130">
        <f t="shared" si="21"/>
        <v>11854916.666666668</v>
      </c>
      <c r="W206" s="130">
        <f t="shared" si="21"/>
        <v>11854916.666666668</v>
      </c>
      <c r="X206" s="130">
        <f t="shared" si="21"/>
        <v>11854916.666666668</v>
      </c>
      <c r="Y206" s="130">
        <f t="shared" si="21"/>
        <v>11854916.666666668</v>
      </c>
      <c r="Z206" s="130">
        <f t="shared" si="21"/>
        <v>11854916.666666668</v>
      </c>
      <c r="AA206" s="130">
        <f t="shared" si="21"/>
        <v>11854916.666666668</v>
      </c>
      <c r="AB206" s="130">
        <f t="shared" si="21"/>
        <v>11854916.666666668</v>
      </c>
      <c r="AC206" s="130">
        <f t="shared" si="21"/>
        <v>14741316.666666668</v>
      </c>
      <c r="AD206" s="130">
        <f t="shared" si="21"/>
        <v>14741316.666666668</v>
      </c>
      <c r="AE206" s="130">
        <f t="shared" si="21"/>
        <v>14741316.666666668</v>
      </c>
      <c r="AF206" s="130">
        <f t="shared" si="21"/>
        <v>14741316.666666668</v>
      </c>
      <c r="AG206" s="130">
        <f t="shared" si="21"/>
        <v>14741316.666666668</v>
      </c>
      <c r="AH206" s="130">
        <f t="shared" si="21"/>
        <v>14741316.666666668</v>
      </c>
      <c r="AI206" s="130">
        <f t="shared" si="21"/>
        <v>14741316.666666668</v>
      </c>
      <c r="AJ206" s="130">
        <f t="shared" ref="AJ206:BL206" si="22">AJ204+AJ202+AJ200+AJ198+AJ192+AJ186+AJ178+AJ172+AJ169+AJ147+AJ138</f>
        <v>14741316.666666668</v>
      </c>
      <c r="AK206" s="130">
        <f t="shared" si="22"/>
        <v>14741316.666666668</v>
      </c>
      <c r="AL206" s="130">
        <f t="shared" si="22"/>
        <v>14741316.666666668</v>
      </c>
      <c r="AM206" s="130">
        <f t="shared" si="22"/>
        <v>14741316.666666668</v>
      </c>
      <c r="AN206" s="130">
        <f t="shared" si="22"/>
        <v>14741316.666666668</v>
      </c>
      <c r="AO206" s="130">
        <f t="shared" si="22"/>
        <v>15445184.666666668</v>
      </c>
      <c r="AP206" s="130">
        <f t="shared" si="22"/>
        <v>15445184.666666668</v>
      </c>
      <c r="AQ206" s="130">
        <f t="shared" si="22"/>
        <v>15445184.666666668</v>
      </c>
      <c r="AR206" s="130">
        <f t="shared" si="22"/>
        <v>15445184.666666668</v>
      </c>
      <c r="AS206" s="130">
        <f t="shared" si="22"/>
        <v>15445184.666666668</v>
      </c>
      <c r="AT206" s="130">
        <f t="shared" si="22"/>
        <v>15445184.666666668</v>
      </c>
      <c r="AU206" s="130">
        <f t="shared" si="22"/>
        <v>15445184.666666668</v>
      </c>
      <c r="AV206" s="130">
        <f t="shared" si="22"/>
        <v>15445184.666666668</v>
      </c>
      <c r="AW206" s="130">
        <f t="shared" si="22"/>
        <v>15445184.666666668</v>
      </c>
      <c r="AX206" s="130">
        <f t="shared" si="22"/>
        <v>15445184.666666668</v>
      </c>
      <c r="AY206" s="130">
        <f t="shared" si="22"/>
        <v>15445184.666666668</v>
      </c>
      <c r="AZ206" s="130">
        <f t="shared" si="22"/>
        <v>15445184.666666668</v>
      </c>
      <c r="BA206" s="130">
        <f t="shared" si="22"/>
        <v>16216473.42666667</v>
      </c>
      <c r="BB206" s="130">
        <f t="shared" si="22"/>
        <v>16216473.42666667</v>
      </c>
      <c r="BC206" s="130">
        <f t="shared" si="22"/>
        <v>16216473.42666667</v>
      </c>
      <c r="BD206" s="130">
        <f t="shared" si="22"/>
        <v>16216473.42666667</v>
      </c>
      <c r="BE206" s="130">
        <f t="shared" si="22"/>
        <v>16216473.42666667</v>
      </c>
      <c r="BF206" s="130">
        <f t="shared" si="22"/>
        <v>16216473.42666667</v>
      </c>
      <c r="BG206" s="130">
        <f t="shared" si="22"/>
        <v>16216473.42666667</v>
      </c>
      <c r="BH206" s="130">
        <f t="shared" si="22"/>
        <v>16216473.42666667</v>
      </c>
      <c r="BI206" s="130">
        <f t="shared" si="22"/>
        <v>16216473.42666667</v>
      </c>
      <c r="BJ206" s="130">
        <f t="shared" si="22"/>
        <v>16216473.42666667</v>
      </c>
      <c r="BK206" s="130">
        <f t="shared" si="22"/>
        <v>16216473.42666667</v>
      </c>
      <c r="BL206" s="130">
        <f t="shared" si="22"/>
        <v>16216473.42666667</v>
      </c>
      <c r="BM206" s="167">
        <f>SUM(D206:BL206)</f>
        <v>792217447.11999953</v>
      </c>
    </row>
    <row r="207" spans="1:65" x14ac:dyDescent="0.15">
      <c r="J207" s="33"/>
    </row>
    <row r="208" spans="1:65" x14ac:dyDescent="0.15">
      <c r="B208" s="14" t="s">
        <v>458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>PyGIngresoNetoAbrilAN1-PyGGastosAbrilAN1</f>
        <v>-13489916.666666666</v>
      </c>
      <c r="I208" s="130">
        <f t="shared" si="23"/>
        <v>-8055250</v>
      </c>
      <c r="J208" s="104">
        <f t="shared" si="23"/>
        <v>-7629883.3333333321</v>
      </c>
      <c r="K208" s="130">
        <f t="shared" si="23"/>
        <v>-7733283.3333333321</v>
      </c>
      <c r="L208" s="130">
        <f t="shared" si="23"/>
        <v>-7339683.3333333321</v>
      </c>
      <c r="M208" s="130">
        <f t="shared" si="23"/>
        <v>-6943083.3333333321</v>
      </c>
      <c r="N208" s="130">
        <f t="shared" si="23"/>
        <v>-6549483.3333333321</v>
      </c>
      <c r="O208" s="130">
        <f t="shared" si="23"/>
        <v>-6152883.3333333321</v>
      </c>
      <c r="P208" s="130">
        <f t="shared" si="23"/>
        <v>-6778483.3333333321</v>
      </c>
      <c r="Q208" s="130">
        <f t="shared" si="23"/>
        <v>-6641631.6666666679</v>
      </c>
      <c r="R208" s="130">
        <f t="shared" si="23"/>
        <v>-2911896.6666666679</v>
      </c>
      <c r="S208" s="130">
        <f t="shared" si="23"/>
        <v>-1672131.6666666679</v>
      </c>
      <c r="T208" s="130">
        <f t="shared" si="23"/>
        <v>-672131.66666666791</v>
      </c>
      <c r="U208" s="130">
        <f t="shared" si="23"/>
        <v>-672131.66666666791</v>
      </c>
      <c r="V208" s="130">
        <f t="shared" si="23"/>
        <v>-672131.66666666791</v>
      </c>
      <c r="W208" s="130">
        <f t="shared" si="23"/>
        <v>-672131.66666666791</v>
      </c>
      <c r="X208" s="130">
        <f t="shared" si="23"/>
        <v>-672131.66666666791</v>
      </c>
      <c r="Y208" s="130">
        <f t="shared" si="23"/>
        <v>-672131.66666666791</v>
      </c>
      <c r="Z208" s="130">
        <f t="shared" si="23"/>
        <v>-672131.66666666791</v>
      </c>
      <c r="AA208" s="130">
        <f t="shared" si="23"/>
        <v>-672131.66666666791</v>
      </c>
      <c r="AB208" s="130">
        <f t="shared" si="23"/>
        <v>-4397051.6666666679</v>
      </c>
      <c r="AC208" s="130">
        <f t="shared" si="23"/>
        <v>-643952.76666666754</v>
      </c>
      <c r="AD208" s="130">
        <f t="shared" si="23"/>
        <v>7813501.2833333388</v>
      </c>
      <c r="AE208" s="130">
        <f t="shared" si="23"/>
        <v>10630362.83333334</v>
      </c>
      <c r="AF208" s="130">
        <f t="shared" si="23"/>
        <v>10630362.83333334</v>
      </c>
      <c r="AG208" s="130">
        <f t="shared" si="23"/>
        <v>10630362.83333334</v>
      </c>
      <c r="AH208" s="130">
        <f t="shared" si="23"/>
        <v>10630362.83333334</v>
      </c>
      <c r="AI208" s="130">
        <f t="shared" si="23"/>
        <v>10630362.83333334</v>
      </c>
      <c r="AJ208" s="130">
        <f t="shared" ref="AJ208:BL208" si="24">AJ129-AJ206</f>
        <v>10630362.83333334</v>
      </c>
      <c r="AK208" s="130">
        <f t="shared" si="24"/>
        <v>10630362.83333334</v>
      </c>
      <c r="AL208" s="130">
        <f t="shared" si="24"/>
        <v>10630362.83333334</v>
      </c>
      <c r="AM208" s="130">
        <f t="shared" si="24"/>
        <v>10630362.83333334</v>
      </c>
      <c r="AN208" s="130">
        <f t="shared" si="24"/>
        <v>2172908.7833333313</v>
      </c>
      <c r="AO208" s="130">
        <f t="shared" si="24"/>
        <v>10651617.612833336</v>
      </c>
      <c r="AP208" s="130">
        <f t="shared" si="24"/>
        <v>26311791.570833344</v>
      </c>
      <c r="AQ208" s="130">
        <f t="shared" si="24"/>
        <v>31531024.513833348</v>
      </c>
      <c r="AR208" s="130">
        <f t="shared" si="24"/>
        <v>31531024.513833348</v>
      </c>
      <c r="AS208" s="130">
        <f t="shared" si="24"/>
        <v>31531024.513833348</v>
      </c>
      <c r="AT208" s="130">
        <f t="shared" si="24"/>
        <v>31531024.513833348</v>
      </c>
      <c r="AU208" s="130">
        <f t="shared" si="24"/>
        <v>31531024.513833348</v>
      </c>
      <c r="AV208" s="130">
        <f t="shared" si="24"/>
        <v>31531024.513833348</v>
      </c>
      <c r="AW208" s="130">
        <f t="shared" si="24"/>
        <v>31531024.513833348</v>
      </c>
      <c r="AX208" s="130">
        <f t="shared" si="24"/>
        <v>31531024.513833348</v>
      </c>
      <c r="AY208" s="130">
        <f t="shared" si="24"/>
        <v>31531024.513833348</v>
      </c>
      <c r="AZ208" s="130">
        <f t="shared" si="24"/>
        <v>15870850.55583334</v>
      </c>
      <c r="BA208" s="130">
        <f t="shared" si="24"/>
        <v>9157164.7419683337</v>
      </c>
      <c r="BB208" s="130">
        <f t="shared" si="24"/>
        <v>24392499.609618343</v>
      </c>
      <c r="BC208" s="130">
        <f t="shared" si="24"/>
        <v>29455399.478103347</v>
      </c>
      <c r="BD208" s="130">
        <f t="shared" si="24"/>
        <v>29455399.478103347</v>
      </c>
      <c r="BE208" s="130">
        <f t="shared" si="24"/>
        <v>29455399.478103347</v>
      </c>
      <c r="BF208" s="130">
        <f t="shared" si="24"/>
        <v>29455399.478103347</v>
      </c>
      <c r="BG208" s="130">
        <f t="shared" si="24"/>
        <v>29455399.478103347</v>
      </c>
      <c r="BH208" s="130">
        <f t="shared" si="24"/>
        <v>29455399.478103347</v>
      </c>
      <c r="BI208" s="130">
        <f t="shared" si="24"/>
        <v>29455399.478103347</v>
      </c>
      <c r="BJ208" s="130">
        <f t="shared" si="24"/>
        <v>29455399.478103347</v>
      </c>
      <c r="BK208" s="130">
        <f t="shared" si="24"/>
        <v>29455399.478103347</v>
      </c>
      <c r="BL208" s="130">
        <f t="shared" si="24"/>
        <v>14244365.338558339</v>
      </c>
      <c r="BM208" s="167">
        <f>SUM(D208:BL208)</f>
        <v>662850113.15707552</v>
      </c>
    </row>
    <row r="209" spans="2:65" x14ac:dyDescent="0.15">
      <c r="B209" s="14" t="s">
        <v>981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-13489916.666666666</v>
      </c>
      <c r="I209" s="130">
        <f t="shared" si="25"/>
        <v>-21545166.666666664</v>
      </c>
      <c r="J209" s="104">
        <f t="shared" si="25"/>
        <v>-29175049.999999996</v>
      </c>
      <c r="K209" s="130">
        <f t="shared" si="25"/>
        <v>-36908333.333333328</v>
      </c>
      <c r="L209" s="130">
        <f t="shared" si="25"/>
        <v>-44248016.666666657</v>
      </c>
      <c r="M209" s="130">
        <f t="shared" si="25"/>
        <v>-51191099.999999985</v>
      </c>
      <c r="N209" s="130">
        <f t="shared" si="25"/>
        <v>-57740583.333333313</v>
      </c>
      <c r="O209" s="130">
        <f t="shared" si="25"/>
        <v>-63893466.666666642</v>
      </c>
      <c r="P209" s="130">
        <f t="shared" si="25"/>
        <v>-70671949.99999997</v>
      </c>
      <c r="Q209" s="130">
        <f t="shared" si="25"/>
        <v>-77313581.666666642</v>
      </c>
      <c r="R209" s="130">
        <f t="shared" si="25"/>
        <v>-80225478.333333313</v>
      </c>
      <c r="S209" s="130">
        <f t="shared" si="25"/>
        <v>-81897609.999999985</v>
      </c>
      <c r="T209" s="130">
        <f t="shared" si="25"/>
        <v>-82569741.666666657</v>
      </c>
      <c r="U209" s="130">
        <f t="shared" si="25"/>
        <v>-83241873.333333328</v>
      </c>
      <c r="V209" s="130">
        <f t="shared" si="25"/>
        <v>-83914005</v>
      </c>
      <c r="W209" s="130">
        <f t="shared" si="25"/>
        <v>-84586136.666666672</v>
      </c>
      <c r="X209" s="130">
        <f t="shared" si="25"/>
        <v>-85258268.333333343</v>
      </c>
      <c r="Y209" s="130">
        <f t="shared" si="25"/>
        <v>-85930400.000000015</v>
      </c>
      <c r="Z209" s="130">
        <f t="shared" si="25"/>
        <v>-86602531.666666687</v>
      </c>
      <c r="AA209" s="130">
        <f t="shared" si="25"/>
        <v>-87274663.333333358</v>
      </c>
      <c r="AB209" s="130">
        <f t="shared" si="25"/>
        <v>-91671715.00000003</v>
      </c>
      <c r="AC209" s="130">
        <f t="shared" si="25"/>
        <v>-92315667.766666695</v>
      </c>
      <c r="AD209" s="130">
        <f t="shared" si="25"/>
        <v>-84502166.483333349</v>
      </c>
      <c r="AE209" s="130">
        <f t="shared" si="25"/>
        <v>-73871803.650000006</v>
      </c>
      <c r="AF209" s="130">
        <f t="shared" si="25"/>
        <v>-63241440.816666663</v>
      </c>
      <c r="AG209" s="130">
        <f t="shared" si="25"/>
        <v>-52611077.983333319</v>
      </c>
      <c r="AH209" s="130">
        <f t="shared" si="25"/>
        <v>-41980715.149999976</v>
      </c>
      <c r="AI209" s="130">
        <f t="shared" si="25"/>
        <v>-31350352.316666637</v>
      </c>
      <c r="AJ209" s="130">
        <f t="shared" si="25"/>
        <v>-20719989.483333297</v>
      </c>
      <c r="AK209" s="130">
        <f t="shared" ref="AK209:BL209" si="26">AK208+AJ209</f>
        <v>-10089626.649999958</v>
      </c>
      <c r="AL209" s="130">
        <f t="shared" si="26"/>
        <v>540736.18333338201</v>
      </c>
      <c r="AM209" s="130">
        <f t="shared" si="26"/>
        <v>11171099.016666722</v>
      </c>
      <c r="AN209" s="130">
        <f t="shared" si="26"/>
        <v>13344007.800000053</v>
      </c>
      <c r="AO209" s="130">
        <f t="shared" si="26"/>
        <v>23995625.412833389</v>
      </c>
      <c r="AP209" s="130">
        <f t="shared" si="26"/>
        <v>50307416.983666733</v>
      </c>
      <c r="AQ209" s="130">
        <f t="shared" si="26"/>
        <v>81838441.497500077</v>
      </c>
      <c r="AR209" s="130">
        <f t="shared" si="26"/>
        <v>113369466.01133342</v>
      </c>
      <c r="AS209" s="130">
        <f t="shared" si="26"/>
        <v>144900490.52516678</v>
      </c>
      <c r="AT209" s="130">
        <f t="shared" si="26"/>
        <v>176431515.03900012</v>
      </c>
      <c r="AU209" s="130">
        <f t="shared" si="26"/>
        <v>207962539.55283347</v>
      </c>
      <c r="AV209" s="130">
        <f t="shared" si="26"/>
        <v>239493564.06666681</v>
      </c>
      <c r="AW209" s="130">
        <f t="shared" si="26"/>
        <v>271024588.58050019</v>
      </c>
      <c r="AX209" s="130">
        <f t="shared" si="26"/>
        <v>302555613.09433353</v>
      </c>
      <c r="AY209" s="130">
        <f t="shared" si="26"/>
        <v>334086637.60816687</v>
      </c>
      <c r="AZ209" s="130">
        <f t="shared" si="26"/>
        <v>349957488.16400021</v>
      </c>
      <c r="BA209" s="130">
        <f t="shared" si="26"/>
        <v>359114652.90596855</v>
      </c>
      <c r="BB209" s="130">
        <f t="shared" si="26"/>
        <v>383507152.51558691</v>
      </c>
      <c r="BC209" s="130">
        <f t="shared" si="26"/>
        <v>412962551.99369025</v>
      </c>
      <c r="BD209" s="130">
        <f t="shared" si="26"/>
        <v>442417951.47179359</v>
      </c>
      <c r="BE209" s="130">
        <f t="shared" si="26"/>
        <v>471873350.94989693</v>
      </c>
      <c r="BF209" s="130">
        <f t="shared" si="26"/>
        <v>501328750.42800027</v>
      </c>
      <c r="BG209" s="130">
        <f t="shared" si="26"/>
        <v>530784149.90610361</v>
      </c>
      <c r="BH209" s="130">
        <f t="shared" si="26"/>
        <v>560239549.38420701</v>
      </c>
      <c r="BI209" s="130">
        <f t="shared" si="26"/>
        <v>589694948.86231041</v>
      </c>
      <c r="BJ209" s="130">
        <f t="shared" si="26"/>
        <v>619150348.34041381</v>
      </c>
      <c r="BK209" s="130">
        <f t="shared" si="26"/>
        <v>648605747.81851721</v>
      </c>
      <c r="BL209" s="130">
        <f t="shared" si="26"/>
        <v>662850113.15707552</v>
      </c>
      <c r="BM209" s="167">
        <f>SUM(D209:BL209)</f>
        <v>6633476068.6362324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  <ignoredErrors>
    <ignoredError sqref="H20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>
      <pane xSplit="1" ySplit="1" topLeftCell="M31" activePane="bottomRight" state="frozen"/>
      <selection activeCell="B1" sqref="B1"/>
      <selection pane="topRight" activeCell="C1" sqref="C1"/>
      <selection pane="bottomLeft" activeCell="B2" sqref="B2"/>
      <selection pane="bottomRight" activeCell="R67" sqref="R67"/>
    </sheetView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818</v>
      </c>
    </row>
    <row r="3" spans="2:63" x14ac:dyDescent="0.15">
      <c r="B3" s="136" t="s">
        <v>441</v>
      </c>
    </row>
    <row r="4" spans="2:63" x14ac:dyDescent="0.15">
      <c r="B4" s="135" t="s">
        <v>819</v>
      </c>
    </row>
    <row r="5" spans="2:63" x14ac:dyDescent="0.15">
      <c r="B5" s="136" t="s">
        <v>458</v>
      </c>
      <c r="C5" s="121">
        <f>C35</f>
        <v>0</v>
      </c>
      <c r="D5" s="121">
        <f>SUM(D35:O35)</f>
        <v>-70671949.99999997</v>
      </c>
      <c r="E5" s="121">
        <f>SUM(P35:AA35)</f>
        <v>-20999765.000000015</v>
      </c>
      <c r="F5" s="121">
        <f>SUM(AB35:AM35)</f>
        <v>105015722.80000007</v>
      </c>
      <c r="G5" s="121">
        <f>SUM(AN35:AY35)</f>
        <v>336613480.36400014</v>
      </c>
      <c r="H5" s="121">
        <f>SUM(AZ35:BK35)</f>
        <v>312892624.99307507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820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473</v>
      </c>
      <c r="C8" s="121">
        <f>C38</f>
        <v>0</v>
      </c>
      <c r="D8" s="121">
        <f>SUM(D38:O38)</f>
        <v>1418750</v>
      </c>
      <c r="E8" s="121">
        <f>SUM(P38:AA38)</f>
        <v>1931000.0000000007</v>
      </c>
      <c r="F8" s="121">
        <f>SUM(AB38:AM38)</f>
        <v>1931000.0000000007</v>
      </c>
      <c r="G8" s="121">
        <f>SUM(AN38:AY38)</f>
        <v>1931000.0000000007</v>
      </c>
      <c r="H8" s="121">
        <f>SUM(AZ38:BK38)</f>
        <v>1931000.0000000007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460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461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462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803</v>
      </c>
      <c r="C13" s="121">
        <f t="shared" ref="C13:H13" si="0">SUM(C8:C12)</f>
        <v>0</v>
      </c>
      <c r="D13" s="121">
        <f t="shared" si="0"/>
        <v>1418750</v>
      </c>
      <c r="E13" s="121">
        <f t="shared" si="0"/>
        <v>1931000.0000000007</v>
      </c>
      <c r="F13" s="121">
        <f t="shared" si="0"/>
        <v>1931000.0000000007</v>
      </c>
      <c r="G13" s="121">
        <f t="shared" si="0"/>
        <v>1931000.0000000007</v>
      </c>
      <c r="H13" s="121">
        <f t="shared" si="0"/>
        <v>1931000.0000000007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1015</v>
      </c>
      <c r="C15" s="121">
        <f t="shared" ref="C15:H15" si="1">C5+C13</f>
        <v>0</v>
      </c>
      <c r="D15" s="121">
        <f t="shared" si="1"/>
        <v>-69253199.99999997</v>
      </c>
      <c r="E15" s="121">
        <f t="shared" si="1"/>
        <v>-19068765.000000015</v>
      </c>
      <c r="F15" s="121">
        <f t="shared" si="1"/>
        <v>106946722.80000007</v>
      </c>
      <c r="G15" s="121">
        <f t="shared" si="1"/>
        <v>338544480.36400014</v>
      </c>
      <c r="H15" s="121">
        <f t="shared" si="1"/>
        <v>314823624.99307507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822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463</v>
      </c>
      <c r="C18" s="121">
        <f>C48</f>
        <v>0</v>
      </c>
      <c r="D18" s="121">
        <f>SUM(D48:O48)</f>
        <v>-9575000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1017</v>
      </c>
      <c r="C20" s="121">
        <f t="shared" ref="C20:H20" si="2">C18</f>
        <v>0</v>
      </c>
      <c r="D20" s="121">
        <f t="shared" si="2"/>
        <v>-9575000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824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1028</v>
      </c>
      <c r="C23" s="121">
        <f ca="1">C53</f>
        <v>45862500</v>
      </c>
      <c r="D23" s="121">
        <f ca="1">SUM(D53:O53)</f>
        <v>44623083.149999991</v>
      </c>
      <c r="E23" s="121">
        <f ca="1">SUM(P53:AA53)</f>
        <v>0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464</v>
      </c>
      <c r="C25" s="121">
        <f ca="1">+C23+C20+C15</f>
        <v>45862500</v>
      </c>
      <c r="D25" s="121">
        <f ca="1">+D23+D20+D15</f>
        <v>-34205116.849999979</v>
      </c>
      <c r="E25" s="121">
        <f ca="1">+E23+E20+E15</f>
        <v>-19148765.000000015</v>
      </c>
      <c r="F25" s="121">
        <f t="shared" ref="F25:H25" ca="1" si="3">+F23+F20+F15</f>
        <v>106946722.80000007</v>
      </c>
      <c r="G25" s="121">
        <f t="shared" ca="1" si="3"/>
        <v>338544480.36400014</v>
      </c>
      <c r="H25" s="121">
        <f t="shared" ca="1" si="3"/>
        <v>314823624.99307507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466</v>
      </c>
      <c r="C27" s="121">
        <v>0</v>
      </c>
      <c r="D27" s="121">
        <f ca="1">+C28</f>
        <v>45862500</v>
      </c>
      <c r="E27" s="121">
        <f t="shared" ref="E27:H27" ca="1" si="4">+D28</f>
        <v>11657383.150000021</v>
      </c>
      <c r="F27" s="121">
        <f t="shared" ca="1" si="4"/>
        <v>-7491381.849999994</v>
      </c>
      <c r="G27" s="121">
        <f t="shared" ca="1" si="4"/>
        <v>99455340.950000077</v>
      </c>
      <c r="H27" s="121">
        <f t="shared" ca="1" si="4"/>
        <v>437999821.31400025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465</v>
      </c>
      <c r="C28" s="121">
        <f ca="1">C25</f>
        <v>45862500</v>
      </c>
      <c r="D28" s="121">
        <f ca="1">+D27+D25</f>
        <v>11657383.150000021</v>
      </c>
      <c r="E28" s="121">
        <f t="shared" ref="E28:H28" ca="1" si="5">+E27+E25</f>
        <v>-7491381.849999994</v>
      </c>
      <c r="F28" s="121">
        <f t="shared" ca="1" si="5"/>
        <v>99455340.950000077</v>
      </c>
      <c r="G28" s="121">
        <f t="shared" ca="1" si="5"/>
        <v>437999821.31400025</v>
      </c>
      <c r="H28" s="121">
        <f t="shared" ca="1" si="5"/>
        <v>752823446.30707526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406" t="s">
        <v>35</v>
      </c>
      <c r="E30" s="406"/>
      <c r="F30" s="406"/>
      <c r="G30" s="406"/>
      <c r="H30" s="406"/>
      <c r="I30" s="406"/>
      <c r="J30" s="406"/>
      <c r="K30" s="406"/>
      <c r="L30" s="406"/>
      <c r="M30" s="406"/>
      <c r="N30" s="406"/>
      <c r="O30" s="406"/>
      <c r="P30" s="406" t="s">
        <v>36</v>
      </c>
      <c r="Q30" s="406"/>
      <c r="R30" s="406"/>
      <c r="S30" s="406"/>
      <c r="T30" s="406"/>
      <c r="U30" s="406"/>
      <c r="V30" s="406"/>
      <c r="W30" s="406"/>
      <c r="X30" s="406"/>
      <c r="Y30" s="406"/>
      <c r="Z30" s="406"/>
      <c r="AA30" s="406"/>
      <c r="AB30" s="406" t="s">
        <v>37</v>
      </c>
      <c r="AC30" s="406"/>
      <c r="AD30" s="406"/>
      <c r="AE30" s="406"/>
      <c r="AF30" s="406"/>
      <c r="AG30" s="406"/>
      <c r="AH30" s="406"/>
      <c r="AI30" s="406"/>
      <c r="AJ30" s="406"/>
      <c r="AK30" s="406"/>
      <c r="AL30" s="406"/>
      <c r="AM30" s="406"/>
      <c r="AN30" s="406" t="s">
        <v>38</v>
      </c>
      <c r="AO30" s="406"/>
      <c r="AP30" s="406"/>
      <c r="AQ30" s="406"/>
      <c r="AR30" s="406"/>
      <c r="AS30" s="406"/>
      <c r="AT30" s="406"/>
      <c r="AU30" s="406"/>
      <c r="AV30" s="406"/>
      <c r="AW30" s="406"/>
      <c r="AX30" s="406"/>
      <c r="AY30" s="406"/>
      <c r="AZ30" s="406" t="s">
        <v>39</v>
      </c>
      <c r="BA30" s="406"/>
      <c r="BB30" s="406"/>
      <c r="BC30" s="406"/>
      <c r="BD30" s="406"/>
      <c r="BE30" s="406"/>
      <c r="BF30" s="406"/>
      <c r="BG30" s="406"/>
      <c r="BH30" s="406"/>
      <c r="BI30" s="406"/>
      <c r="BJ30" s="406"/>
      <c r="BK30" s="406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818</v>
      </c>
      <c r="C32" s="75"/>
      <c r="D32" s="406" t="s">
        <v>35</v>
      </c>
      <c r="E32" s="406"/>
      <c r="F32" s="406"/>
      <c r="G32" s="406"/>
      <c r="H32" s="406"/>
      <c r="I32" s="406"/>
      <c r="J32" s="406"/>
      <c r="K32" s="406"/>
      <c r="L32" s="406"/>
      <c r="M32" s="406"/>
      <c r="N32" s="406"/>
      <c r="O32" s="406"/>
      <c r="P32" s="406" t="s">
        <v>36</v>
      </c>
      <c r="Q32" s="406"/>
      <c r="R32" s="406"/>
      <c r="S32" s="406"/>
      <c r="T32" s="406"/>
      <c r="U32" s="406"/>
      <c r="V32" s="406"/>
      <c r="W32" s="406"/>
      <c r="X32" s="406"/>
      <c r="Y32" s="406"/>
      <c r="Z32" s="406"/>
      <c r="AA32" s="406"/>
      <c r="AB32" s="406" t="s">
        <v>37</v>
      </c>
      <c r="AC32" s="406"/>
      <c r="AD32" s="406"/>
      <c r="AE32" s="406"/>
      <c r="AF32" s="406"/>
      <c r="AG32" s="406"/>
      <c r="AH32" s="406"/>
      <c r="AI32" s="406"/>
      <c r="AJ32" s="406"/>
      <c r="AK32" s="406"/>
      <c r="AL32" s="406"/>
      <c r="AM32" s="406"/>
      <c r="AN32" s="406" t="s">
        <v>38</v>
      </c>
      <c r="AO32" s="406"/>
      <c r="AP32" s="406"/>
      <c r="AQ32" s="406"/>
      <c r="AR32" s="406"/>
      <c r="AS32" s="406"/>
      <c r="AT32" s="406"/>
      <c r="AU32" s="406"/>
      <c r="AV32" s="406"/>
      <c r="AW32" s="406"/>
      <c r="AX32" s="406"/>
      <c r="AY32" s="406"/>
      <c r="AZ32" s="406" t="s">
        <v>39</v>
      </c>
      <c r="BA32" s="406"/>
      <c r="BB32" s="406"/>
      <c r="BC32" s="406"/>
      <c r="BD32" s="406"/>
      <c r="BE32" s="406"/>
      <c r="BF32" s="406"/>
      <c r="BG32" s="406"/>
      <c r="BH32" s="406"/>
      <c r="BI32" s="406"/>
      <c r="BJ32" s="406"/>
      <c r="BK32" s="406"/>
    </row>
    <row r="33" spans="2:63" x14ac:dyDescent="0.15">
      <c r="B33" s="136" t="s">
        <v>441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819</v>
      </c>
    </row>
    <row r="35" spans="2:63" x14ac:dyDescent="0.15">
      <c r="B35" s="136" t="s">
        <v>458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-13489916.666666666</v>
      </c>
      <c r="H35" s="121">
        <f>'FIN-P&amp;L_CWS'!I208</f>
        <v>-8055250</v>
      </c>
      <c r="I35" s="121">
        <f>'FIN-P&amp;L_CWS'!J208</f>
        <v>-7629883.3333333321</v>
      </c>
      <c r="J35" s="121">
        <f>'FIN-P&amp;L_CWS'!K208</f>
        <v>-7733283.3333333321</v>
      </c>
      <c r="K35" s="121">
        <f>'FIN-P&amp;L_CWS'!L208</f>
        <v>-7339683.3333333321</v>
      </c>
      <c r="L35" s="121">
        <f>'FIN-P&amp;L_CWS'!M208</f>
        <v>-6943083.3333333321</v>
      </c>
      <c r="M35" s="121">
        <f>'FIN-P&amp;L_CWS'!N208</f>
        <v>-6549483.3333333321</v>
      </c>
      <c r="N35" s="121">
        <f>'FIN-P&amp;L_CWS'!O208</f>
        <v>-6152883.3333333321</v>
      </c>
      <c r="O35" s="121">
        <f>'FIN-P&amp;L_CWS'!P208</f>
        <v>-6778483.3333333321</v>
      </c>
      <c r="P35" s="121">
        <f>'FIN-P&amp;L_CWS'!Q208</f>
        <v>-6641631.6666666679</v>
      </c>
      <c r="Q35" s="121">
        <f>'FIN-P&amp;L_CWS'!R208</f>
        <v>-2911896.6666666679</v>
      </c>
      <c r="R35" s="121">
        <f>'FIN-P&amp;L_CWS'!S208</f>
        <v>-1672131.6666666679</v>
      </c>
      <c r="S35" s="121">
        <f>'FIN-P&amp;L_CWS'!T208</f>
        <v>-672131.66666666791</v>
      </c>
      <c r="T35" s="121">
        <f>'FIN-P&amp;L_CWS'!U208</f>
        <v>-672131.66666666791</v>
      </c>
      <c r="U35" s="121">
        <f>'FIN-P&amp;L_CWS'!V208</f>
        <v>-672131.66666666791</v>
      </c>
      <c r="V35" s="121">
        <f>'FIN-P&amp;L_CWS'!W208</f>
        <v>-672131.66666666791</v>
      </c>
      <c r="W35" s="121">
        <f>'FIN-P&amp;L_CWS'!X208</f>
        <v>-672131.66666666791</v>
      </c>
      <c r="X35" s="121">
        <f>'FIN-P&amp;L_CWS'!Y208</f>
        <v>-672131.66666666791</v>
      </c>
      <c r="Y35" s="121">
        <f>'FIN-P&amp;L_CWS'!Z208</f>
        <v>-672131.66666666791</v>
      </c>
      <c r="Z35" s="121">
        <f>'FIN-P&amp;L_CWS'!AA208</f>
        <v>-672131.66666666791</v>
      </c>
      <c r="AA35" s="121">
        <f>'FIN-P&amp;L_CWS'!AB208</f>
        <v>-4397051.6666666679</v>
      </c>
      <c r="AB35" s="121">
        <f>'FIN-P&amp;L_CWS'!AC208</f>
        <v>-643952.76666666754</v>
      </c>
      <c r="AC35" s="121">
        <f>'FIN-P&amp;L_CWS'!AD208</f>
        <v>7813501.2833333388</v>
      </c>
      <c r="AD35" s="121">
        <f>'FIN-P&amp;L_CWS'!AE208</f>
        <v>10630362.83333334</v>
      </c>
      <c r="AE35" s="121">
        <f>'FIN-P&amp;L_CWS'!AF208</f>
        <v>10630362.83333334</v>
      </c>
      <c r="AF35" s="121">
        <f>'FIN-P&amp;L_CWS'!AG208</f>
        <v>10630362.83333334</v>
      </c>
      <c r="AG35" s="121">
        <f>'FIN-P&amp;L_CWS'!AH208</f>
        <v>10630362.83333334</v>
      </c>
      <c r="AH35" s="121">
        <f>'FIN-P&amp;L_CWS'!AI208</f>
        <v>10630362.83333334</v>
      </c>
      <c r="AI35" s="121">
        <f>'FIN-P&amp;L_CWS'!AJ208</f>
        <v>10630362.83333334</v>
      </c>
      <c r="AJ35" s="121">
        <f>'FIN-P&amp;L_CWS'!AK208</f>
        <v>10630362.83333334</v>
      </c>
      <c r="AK35" s="121">
        <f>'FIN-P&amp;L_CWS'!AL208</f>
        <v>10630362.83333334</v>
      </c>
      <c r="AL35" s="121">
        <f>'FIN-P&amp;L_CWS'!AM208</f>
        <v>10630362.83333334</v>
      </c>
      <c r="AM35" s="121">
        <f>'FIN-P&amp;L_CWS'!AN208</f>
        <v>2172908.7833333313</v>
      </c>
      <c r="AN35" s="121">
        <f>'FIN-P&amp;L_CWS'!AO208</f>
        <v>10651617.612833336</v>
      </c>
      <c r="AO35" s="121">
        <f>'FIN-P&amp;L_CWS'!AP208</f>
        <v>26311791.570833344</v>
      </c>
      <c r="AP35" s="121">
        <f>'FIN-P&amp;L_CWS'!AQ208</f>
        <v>31531024.513833348</v>
      </c>
      <c r="AQ35" s="121">
        <f>'FIN-P&amp;L_CWS'!AR208</f>
        <v>31531024.513833348</v>
      </c>
      <c r="AR35" s="121">
        <f>'FIN-P&amp;L_CWS'!AS208</f>
        <v>31531024.513833348</v>
      </c>
      <c r="AS35" s="121">
        <f>'FIN-P&amp;L_CWS'!AT208</f>
        <v>31531024.513833348</v>
      </c>
      <c r="AT35" s="121">
        <f>'FIN-P&amp;L_CWS'!AU208</f>
        <v>31531024.513833348</v>
      </c>
      <c r="AU35" s="121">
        <f>'FIN-P&amp;L_CWS'!AV208</f>
        <v>31531024.513833348</v>
      </c>
      <c r="AV35" s="121">
        <f>'FIN-P&amp;L_CWS'!AW208</f>
        <v>31531024.513833348</v>
      </c>
      <c r="AW35" s="121">
        <f>'FIN-P&amp;L_CWS'!AX208</f>
        <v>31531024.513833348</v>
      </c>
      <c r="AX35" s="121">
        <f>'FIN-P&amp;L_CWS'!AY208</f>
        <v>31531024.513833348</v>
      </c>
      <c r="AY35" s="121">
        <f>'FIN-P&amp;L_CWS'!AZ208</f>
        <v>15870850.55583334</v>
      </c>
      <c r="AZ35" s="121">
        <f>'FIN-P&amp;L_CWS'!BA208</f>
        <v>9157164.7419683337</v>
      </c>
      <c r="BA35" s="121">
        <f>'FIN-P&amp;L_CWS'!BB208</f>
        <v>24392499.609618343</v>
      </c>
      <c r="BB35" s="121">
        <f>'FIN-P&amp;L_CWS'!BC208</f>
        <v>29455399.478103347</v>
      </c>
      <c r="BC35" s="121">
        <f>'FIN-P&amp;L_CWS'!BD208</f>
        <v>29455399.478103347</v>
      </c>
      <c r="BD35" s="121">
        <f>'FIN-P&amp;L_CWS'!BE208</f>
        <v>29455399.478103347</v>
      </c>
      <c r="BE35" s="121">
        <f>'FIN-P&amp;L_CWS'!BF208</f>
        <v>29455399.478103347</v>
      </c>
      <c r="BF35" s="121">
        <f>'FIN-P&amp;L_CWS'!BG208</f>
        <v>29455399.478103347</v>
      </c>
      <c r="BG35" s="121">
        <f>'FIN-P&amp;L_CWS'!BH208</f>
        <v>29455399.478103347</v>
      </c>
      <c r="BH35" s="121">
        <f>'FIN-P&amp;L_CWS'!BI208</f>
        <v>29455399.478103347</v>
      </c>
      <c r="BI35" s="121">
        <f>'FIN-P&amp;L_CWS'!BJ208</f>
        <v>29455399.478103347</v>
      </c>
      <c r="BJ35" s="121">
        <f>'FIN-P&amp;L_CWS'!BK208</f>
        <v>29455399.478103347</v>
      </c>
      <c r="BK35" s="121">
        <f>'FIN-P&amp;L_CWS'!BL208</f>
        <v>14244365.338558339</v>
      </c>
    </row>
    <row r="36" spans="2:63" x14ac:dyDescent="0.15">
      <c r="B36" s="136" t="s">
        <v>441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820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473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143416.66666666666</v>
      </c>
      <c r="H38" s="121">
        <f>'FIN-P&amp;L_CWS'!I204</f>
        <v>158250</v>
      </c>
      <c r="I38" s="121">
        <f>'FIN-P&amp;L_CWS'!J204</f>
        <v>159583.33333333334</v>
      </c>
      <c r="J38" s="121">
        <f>'FIN-P&amp;L_CWS'!K204</f>
        <v>159583.33333333334</v>
      </c>
      <c r="K38" s="121">
        <f>'FIN-P&amp;L_CWS'!L204</f>
        <v>159583.33333333334</v>
      </c>
      <c r="L38" s="121">
        <f>'FIN-P&amp;L_CWS'!M204</f>
        <v>159583.33333333334</v>
      </c>
      <c r="M38" s="121">
        <f>'FIN-P&amp;L_CWS'!N204</f>
        <v>159583.33333333334</v>
      </c>
      <c r="N38" s="121">
        <f>'FIN-P&amp;L_CWS'!O204</f>
        <v>159583.33333333334</v>
      </c>
      <c r="O38" s="121">
        <f>'FIN-P&amp;L_CWS'!P204</f>
        <v>159583.33333333334</v>
      </c>
      <c r="P38" s="121">
        <f>'FIN-P&amp;L_CWS'!Q204</f>
        <v>160916.66666666669</v>
      </c>
      <c r="Q38" s="121">
        <f>'FIN-P&amp;L_CWS'!R204</f>
        <v>160916.66666666669</v>
      </c>
      <c r="R38" s="121">
        <f>'FIN-P&amp;L_CWS'!S204</f>
        <v>160916.66666666669</v>
      </c>
      <c r="S38" s="121">
        <f>'FIN-P&amp;L_CWS'!T204</f>
        <v>160916.66666666669</v>
      </c>
      <c r="T38" s="121">
        <f>'FIN-P&amp;L_CWS'!U204</f>
        <v>160916.66666666669</v>
      </c>
      <c r="U38" s="121">
        <f>'FIN-P&amp;L_CWS'!V204</f>
        <v>160916.66666666669</v>
      </c>
      <c r="V38" s="121">
        <f>'FIN-P&amp;L_CWS'!W204</f>
        <v>160916.66666666669</v>
      </c>
      <c r="W38" s="121">
        <f>'FIN-P&amp;L_CWS'!X204</f>
        <v>160916.66666666669</v>
      </c>
      <c r="X38" s="121">
        <f>'FIN-P&amp;L_CWS'!Y204</f>
        <v>160916.66666666669</v>
      </c>
      <c r="Y38" s="121">
        <f>'FIN-P&amp;L_CWS'!Z204</f>
        <v>160916.66666666669</v>
      </c>
      <c r="Z38" s="121">
        <f>'FIN-P&amp;L_CWS'!AA204</f>
        <v>160916.66666666669</v>
      </c>
      <c r="AA38" s="121">
        <f>'FIN-P&amp;L_CWS'!AB204</f>
        <v>160916.66666666669</v>
      </c>
      <c r="AB38" s="121">
        <f>'FIN-P&amp;L_CWS'!AC204</f>
        <v>160916.66666666669</v>
      </c>
      <c r="AC38" s="121">
        <f>'FIN-P&amp;L_CWS'!AD204</f>
        <v>160916.66666666669</v>
      </c>
      <c r="AD38" s="121">
        <f>'FIN-P&amp;L_CWS'!AE204</f>
        <v>160916.66666666669</v>
      </c>
      <c r="AE38" s="121">
        <f>'FIN-P&amp;L_CWS'!AF204</f>
        <v>160916.66666666669</v>
      </c>
      <c r="AF38" s="121">
        <f>'FIN-P&amp;L_CWS'!AG204</f>
        <v>160916.66666666669</v>
      </c>
      <c r="AG38" s="121">
        <f>'FIN-P&amp;L_CWS'!AH204</f>
        <v>160916.66666666669</v>
      </c>
      <c r="AH38" s="121">
        <f>'FIN-P&amp;L_CWS'!AI204</f>
        <v>160916.66666666669</v>
      </c>
      <c r="AI38" s="121">
        <f>'FIN-P&amp;L_CWS'!AJ204</f>
        <v>160916.66666666669</v>
      </c>
      <c r="AJ38" s="121">
        <f>'FIN-P&amp;L_CWS'!AK204</f>
        <v>160916.66666666669</v>
      </c>
      <c r="AK38" s="121">
        <f>'FIN-P&amp;L_CWS'!AL204</f>
        <v>160916.66666666669</v>
      </c>
      <c r="AL38" s="121">
        <f>'FIN-P&amp;L_CWS'!AM204</f>
        <v>160916.66666666669</v>
      </c>
      <c r="AM38" s="121">
        <f>'FIN-P&amp;L_CWS'!AN204</f>
        <v>160916.66666666669</v>
      </c>
      <c r="AN38" s="121">
        <f>'FIN-P&amp;L_CWS'!AO204</f>
        <v>160916.66666666669</v>
      </c>
      <c r="AO38" s="121">
        <f>'FIN-P&amp;L_CWS'!AP204</f>
        <v>160916.66666666669</v>
      </c>
      <c r="AP38" s="121">
        <f>'FIN-P&amp;L_CWS'!AQ204</f>
        <v>160916.66666666669</v>
      </c>
      <c r="AQ38" s="121">
        <f>'FIN-P&amp;L_CWS'!AR204</f>
        <v>160916.66666666669</v>
      </c>
      <c r="AR38" s="121">
        <f>'FIN-P&amp;L_CWS'!AS204</f>
        <v>160916.66666666669</v>
      </c>
      <c r="AS38" s="121">
        <f>'FIN-P&amp;L_CWS'!AT204</f>
        <v>160916.66666666669</v>
      </c>
      <c r="AT38" s="121">
        <f>'FIN-P&amp;L_CWS'!AU204</f>
        <v>160916.66666666669</v>
      </c>
      <c r="AU38" s="121">
        <f>'FIN-P&amp;L_CWS'!AV204</f>
        <v>160916.66666666669</v>
      </c>
      <c r="AV38" s="121">
        <f>'FIN-P&amp;L_CWS'!AW204</f>
        <v>160916.66666666669</v>
      </c>
      <c r="AW38" s="121">
        <f>'FIN-P&amp;L_CWS'!AX204</f>
        <v>160916.66666666669</v>
      </c>
      <c r="AX38" s="121">
        <f>'FIN-P&amp;L_CWS'!AY204</f>
        <v>160916.66666666669</v>
      </c>
      <c r="AY38" s="121">
        <f>'FIN-P&amp;L_CWS'!AZ204</f>
        <v>160916.66666666669</v>
      </c>
      <c r="AZ38" s="121">
        <f>'FIN-P&amp;L_CWS'!BA204</f>
        <v>160916.66666666669</v>
      </c>
      <c r="BA38" s="121">
        <f>'FIN-P&amp;L_CWS'!BB204</f>
        <v>160916.66666666669</v>
      </c>
      <c r="BB38" s="121">
        <f>'FIN-P&amp;L_CWS'!BC204</f>
        <v>160916.66666666669</v>
      </c>
      <c r="BC38" s="121">
        <f>'FIN-P&amp;L_CWS'!BD204</f>
        <v>160916.66666666669</v>
      </c>
      <c r="BD38" s="121">
        <f>'FIN-P&amp;L_CWS'!BE204</f>
        <v>160916.66666666669</v>
      </c>
      <c r="BE38" s="121">
        <f>'FIN-P&amp;L_CWS'!BF204</f>
        <v>160916.66666666669</v>
      </c>
      <c r="BF38" s="121">
        <f>'FIN-P&amp;L_CWS'!BG204</f>
        <v>160916.66666666669</v>
      </c>
      <c r="BG38" s="121">
        <f>'FIN-P&amp;L_CWS'!BH204</f>
        <v>160916.66666666669</v>
      </c>
      <c r="BH38" s="121">
        <f>'FIN-P&amp;L_CWS'!BI204</f>
        <v>160916.66666666669</v>
      </c>
      <c r="BI38" s="121">
        <f>'FIN-P&amp;L_CWS'!BJ204</f>
        <v>160916.66666666669</v>
      </c>
      <c r="BJ38" s="121">
        <f>'FIN-P&amp;L_CWS'!BK204</f>
        <v>160916.66666666669</v>
      </c>
      <c r="BK38" s="121">
        <f>'FIN-P&amp;L_CWS'!BL204</f>
        <v>160916.66666666669</v>
      </c>
    </row>
    <row r="39" spans="2:63" x14ac:dyDescent="0.15">
      <c r="B39" s="127" t="s">
        <v>460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461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462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803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143416.66666666666</v>
      </c>
      <c r="H43" s="121">
        <f t="shared" si="6"/>
        <v>158250</v>
      </c>
      <c r="I43" s="121">
        <f t="shared" si="6"/>
        <v>159583.33333333334</v>
      </c>
      <c r="J43" s="121">
        <f t="shared" si="6"/>
        <v>159583.33333333334</v>
      </c>
      <c r="K43" s="121">
        <f t="shared" si="6"/>
        <v>159583.33333333334</v>
      </c>
      <c r="L43" s="121">
        <f t="shared" si="6"/>
        <v>159583.33333333334</v>
      </c>
      <c r="M43" s="121">
        <f t="shared" si="6"/>
        <v>159583.33333333334</v>
      </c>
      <c r="N43" s="121">
        <f t="shared" si="6"/>
        <v>159583.33333333334</v>
      </c>
      <c r="O43" s="121">
        <f t="shared" si="6"/>
        <v>159583.33333333334</v>
      </c>
      <c r="P43" s="121">
        <f t="shared" si="6"/>
        <v>160916.66666666669</v>
      </c>
      <c r="Q43" s="121">
        <f t="shared" si="6"/>
        <v>160916.66666666669</v>
      </c>
      <c r="R43" s="121">
        <f t="shared" si="6"/>
        <v>160916.66666666669</v>
      </c>
      <c r="S43" s="121">
        <f t="shared" si="6"/>
        <v>160916.66666666669</v>
      </c>
      <c r="T43" s="121">
        <f t="shared" si="6"/>
        <v>160916.66666666669</v>
      </c>
      <c r="U43" s="121">
        <f t="shared" si="6"/>
        <v>160916.66666666669</v>
      </c>
      <c r="V43" s="121">
        <f t="shared" si="6"/>
        <v>160916.66666666669</v>
      </c>
      <c r="W43" s="121">
        <f t="shared" si="6"/>
        <v>160916.66666666669</v>
      </c>
      <c r="X43" s="121">
        <f t="shared" si="6"/>
        <v>160916.66666666669</v>
      </c>
      <c r="Y43" s="121">
        <f t="shared" si="6"/>
        <v>160916.66666666669</v>
      </c>
      <c r="Z43" s="121">
        <f t="shared" si="6"/>
        <v>160916.66666666669</v>
      </c>
      <c r="AA43" s="121">
        <f t="shared" si="6"/>
        <v>160916.66666666669</v>
      </c>
      <c r="AB43" s="121">
        <f t="shared" si="6"/>
        <v>160916.66666666669</v>
      </c>
      <c r="AC43" s="121">
        <f t="shared" si="6"/>
        <v>160916.66666666669</v>
      </c>
      <c r="AD43" s="121">
        <f t="shared" si="6"/>
        <v>160916.66666666669</v>
      </c>
      <c r="AE43" s="121">
        <f t="shared" si="6"/>
        <v>160916.66666666669</v>
      </c>
      <c r="AF43" s="121">
        <f t="shared" si="6"/>
        <v>160916.66666666669</v>
      </c>
      <c r="AG43" s="121">
        <f t="shared" si="6"/>
        <v>160916.66666666669</v>
      </c>
      <c r="AH43" s="121">
        <f t="shared" si="6"/>
        <v>160916.66666666669</v>
      </c>
      <c r="AI43" s="121">
        <f t="shared" si="6"/>
        <v>160916.66666666669</v>
      </c>
      <c r="AJ43" s="121">
        <f t="shared" si="6"/>
        <v>160916.66666666669</v>
      </c>
      <c r="AK43" s="121">
        <f t="shared" si="6"/>
        <v>160916.66666666669</v>
      </c>
      <c r="AL43" s="121">
        <f t="shared" si="6"/>
        <v>160916.66666666669</v>
      </c>
      <c r="AM43" s="121">
        <f t="shared" si="6"/>
        <v>160916.66666666669</v>
      </c>
      <c r="AN43" s="121">
        <f t="shared" si="6"/>
        <v>160916.66666666669</v>
      </c>
      <c r="AO43" s="121">
        <f t="shared" si="6"/>
        <v>160916.66666666669</v>
      </c>
      <c r="AP43" s="121">
        <f t="shared" si="6"/>
        <v>160916.66666666669</v>
      </c>
      <c r="AQ43" s="121">
        <f t="shared" si="6"/>
        <v>160916.66666666669</v>
      </c>
      <c r="AR43" s="121">
        <f t="shared" si="6"/>
        <v>160916.66666666669</v>
      </c>
      <c r="AS43" s="121">
        <f t="shared" si="6"/>
        <v>160916.66666666669</v>
      </c>
      <c r="AT43" s="121">
        <f t="shared" si="6"/>
        <v>160916.66666666669</v>
      </c>
      <c r="AU43" s="121">
        <f t="shared" si="6"/>
        <v>160916.66666666669</v>
      </c>
      <c r="AV43" s="121">
        <f t="shared" si="6"/>
        <v>160916.66666666669</v>
      </c>
      <c r="AW43" s="121">
        <f t="shared" si="6"/>
        <v>160916.66666666669</v>
      </c>
      <c r="AX43" s="121">
        <f t="shared" si="6"/>
        <v>160916.66666666669</v>
      </c>
      <c r="AY43" s="121">
        <f t="shared" si="6"/>
        <v>160916.66666666669</v>
      </c>
      <c r="AZ43" s="121">
        <f t="shared" si="6"/>
        <v>160916.66666666669</v>
      </c>
      <c r="BA43" s="121">
        <f t="shared" si="6"/>
        <v>160916.66666666669</v>
      </c>
      <c r="BB43" s="121">
        <f t="shared" si="6"/>
        <v>160916.66666666669</v>
      </c>
      <c r="BC43" s="121">
        <f t="shared" si="6"/>
        <v>160916.66666666669</v>
      </c>
      <c r="BD43" s="121">
        <f t="shared" si="6"/>
        <v>160916.66666666669</v>
      </c>
      <c r="BE43" s="121">
        <f t="shared" si="6"/>
        <v>160916.66666666669</v>
      </c>
      <c r="BF43" s="121">
        <f t="shared" si="6"/>
        <v>160916.66666666669</v>
      </c>
      <c r="BG43" s="121">
        <f t="shared" si="6"/>
        <v>160916.66666666669</v>
      </c>
      <c r="BH43" s="121">
        <f t="shared" si="6"/>
        <v>160916.66666666669</v>
      </c>
      <c r="BI43" s="121">
        <f t="shared" si="6"/>
        <v>160916.66666666669</v>
      </c>
      <c r="BJ43" s="121">
        <f t="shared" si="6"/>
        <v>160916.66666666669</v>
      </c>
      <c r="BK43" s="121">
        <f t="shared" si="6"/>
        <v>160916.66666666669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1015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-13346500</v>
      </c>
      <c r="H45" s="121">
        <f t="shared" si="7"/>
        <v>-7897000</v>
      </c>
      <c r="I45" s="121">
        <f t="shared" si="7"/>
        <v>-7470299.9999999991</v>
      </c>
      <c r="J45" s="121">
        <f t="shared" si="7"/>
        <v>-7573699.9999999991</v>
      </c>
      <c r="K45" s="121">
        <f t="shared" si="7"/>
        <v>-7180099.9999999991</v>
      </c>
      <c r="L45" s="121">
        <f t="shared" si="7"/>
        <v>-6783499.9999999991</v>
      </c>
      <c r="M45" s="121">
        <f t="shared" si="7"/>
        <v>-6389899.9999999991</v>
      </c>
      <c r="N45" s="121">
        <f t="shared" si="7"/>
        <v>-5993299.9999999991</v>
      </c>
      <c r="O45" s="121">
        <f t="shared" si="7"/>
        <v>-6618899.9999999991</v>
      </c>
      <c r="P45" s="121">
        <f t="shared" si="7"/>
        <v>-6480715.0000000009</v>
      </c>
      <c r="Q45" s="121">
        <f t="shared" si="7"/>
        <v>-2750980.0000000014</v>
      </c>
      <c r="R45" s="121">
        <f t="shared" si="7"/>
        <v>-1511215.0000000012</v>
      </c>
      <c r="S45" s="121">
        <f t="shared" si="7"/>
        <v>-511215.00000000122</v>
      </c>
      <c r="T45" s="121">
        <f t="shared" si="7"/>
        <v>-511215.00000000122</v>
      </c>
      <c r="U45" s="121">
        <f t="shared" si="7"/>
        <v>-511215.00000000122</v>
      </c>
      <c r="V45" s="121">
        <f t="shared" si="7"/>
        <v>-511215.00000000122</v>
      </c>
      <c r="W45" s="121">
        <f t="shared" si="7"/>
        <v>-511215.00000000122</v>
      </c>
      <c r="X45" s="121">
        <f t="shared" si="7"/>
        <v>-511215.00000000122</v>
      </c>
      <c r="Y45" s="121">
        <f t="shared" si="7"/>
        <v>-511215.00000000122</v>
      </c>
      <c r="Z45" s="121">
        <f t="shared" si="7"/>
        <v>-511215.00000000122</v>
      </c>
      <c r="AA45" s="121">
        <f t="shared" si="7"/>
        <v>-4236135.0000000009</v>
      </c>
      <c r="AB45" s="121">
        <f t="shared" si="7"/>
        <v>-483036.10000000085</v>
      </c>
      <c r="AC45" s="121">
        <f t="shared" si="7"/>
        <v>7974417.9500000058</v>
      </c>
      <c r="AD45" s="121">
        <f t="shared" si="7"/>
        <v>10791279.500000006</v>
      </c>
      <c r="AE45" s="121">
        <f t="shared" si="7"/>
        <v>10791279.500000006</v>
      </c>
      <c r="AF45" s="121">
        <f t="shared" si="7"/>
        <v>10791279.500000006</v>
      </c>
      <c r="AG45" s="121">
        <f t="shared" si="7"/>
        <v>10791279.500000006</v>
      </c>
      <c r="AH45" s="121">
        <f t="shared" si="7"/>
        <v>10791279.500000006</v>
      </c>
      <c r="AI45" s="121">
        <f t="shared" ref="AI45:BK45" si="8">AI35+AI43</f>
        <v>10791279.500000006</v>
      </c>
      <c r="AJ45" s="121">
        <f t="shared" si="8"/>
        <v>10791279.500000006</v>
      </c>
      <c r="AK45" s="121">
        <f t="shared" si="8"/>
        <v>10791279.500000006</v>
      </c>
      <c r="AL45" s="121">
        <f t="shared" si="8"/>
        <v>10791279.500000006</v>
      </c>
      <c r="AM45" s="121">
        <f t="shared" si="8"/>
        <v>2333825.4499999979</v>
      </c>
      <c r="AN45" s="121">
        <f t="shared" si="8"/>
        <v>10812534.279500002</v>
      </c>
      <c r="AO45" s="121">
        <f t="shared" si="8"/>
        <v>26472708.237500012</v>
      </c>
      <c r="AP45" s="121">
        <f t="shared" si="8"/>
        <v>31691941.180500016</v>
      </c>
      <c r="AQ45" s="121">
        <f t="shared" si="8"/>
        <v>31691941.180500016</v>
      </c>
      <c r="AR45" s="121">
        <f t="shared" si="8"/>
        <v>31691941.180500016</v>
      </c>
      <c r="AS45" s="121">
        <f t="shared" si="8"/>
        <v>31691941.180500016</v>
      </c>
      <c r="AT45" s="121">
        <f t="shared" si="8"/>
        <v>31691941.180500016</v>
      </c>
      <c r="AU45" s="121">
        <f t="shared" si="8"/>
        <v>31691941.180500016</v>
      </c>
      <c r="AV45" s="121">
        <f t="shared" si="8"/>
        <v>31691941.180500016</v>
      </c>
      <c r="AW45" s="121">
        <f t="shared" si="8"/>
        <v>31691941.180500016</v>
      </c>
      <c r="AX45" s="121">
        <f t="shared" si="8"/>
        <v>31691941.180500016</v>
      </c>
      <c r="AY45" s="121">
        <f t="shared" si="8"/>
        <v>16031767.222500006</v>
      </c>
      <c r="AZ45" s="121">
        <f t="shared" si="8"/>
        <v>9318081.4086349998</v>
      </c>
      <c r="BA45" s="121">
        <f t="shared" si="8"/>
        <v>24553416.276285011</v>
      </c>
      <c r="BB45" s="121">
        <f t="shared" si="8"/>
        <v>29616316.144770015</v>
      </c>
      <c r="BC45" s="121">
        <f t="shared" si="8"/>
        <v>29616316.144770015</v>
      </c>
      <c r="BD45" s="121">
        <f t="shared" si="8"/>
        <v>29616316.144770015</v>
      </c>
      <c r="BE45" s="121">
        <f t="shared" si="8"/>
        <v>29616316.144770015</v>
      </c>
      <c r="BF45" s="121">
        <f t="shared" si="8"/>
        <v>29616316.144770015</v>
      </c>
      <c r="BG45" s="121">
        <f t="shared" si="8"/>
        <v>29616316.144770015</v>
      </c>
      <c r="BH45" s="121">
        <f t="shared" si="8"/>
        <v>29616316.144770015</v>
      </c>
      <c r="BI45" s="121">
        <f t="shared" si="8"/>
        <v>29616316.144770015</v>
      </c>
      <c r="BJ45" s="121">
        <f t="shared" si="8"/>
        <v>29616316.144770015</v>
      </c>
      <c r="BK45" s="121">
        <f t="shared" si="8"/>
        <v>14405282.005225005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822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463</v>
      </c>
      <c r="C48" s="121">
        <f>'CAPEX _CWS '!E51*-1</f>
        <v>0</v>
      </c>
      <c r="D48" s="121">
        <f>'CAPEX _CWS '!F51*-1</f>
        <v>0</v>
      </c>
      <c r="E48" s="121">
        <f>'CAPEX _CWS '!G51*-1</f>
        <v>0</v>
      </c>
      <c r="F48" s="121">
        <f>'CAPEX _CWS '!H51*-1</f>
        <v>0</v>
      </c>
      <c r="G48" s="121">
        <f>'CAPEX _CWS '!I51*-1</f>
        <v>-8605000</v>
      </c>
      <c r="H48" s="121">
        <f>'CAPEX _CWS '!J51*-1</f>
        <v>-890000</v>
      </c>
      <c r="I48" s="121">
        <f>'CAPEX _CWS '!K51*-1</f>
        <v>-80000</v>
      </c>
      <c r="J48" s="121">
        <f>'CAPEX _CWS '!L51*-1</f>
        <v>0</v>
      </c>
      <c r="K48" s="121">
        <f>'CAPEX _CWS '!M51*-1</f>
        <v>0</v>
      </c>
      <c r="L48" s="121">
        <f>'CAPEX _CWS '!N51*-1</f>
        <v>0</v>
      </c>
      <c r="M48" s="121">
        <f>'CAPEX _CWS '!O51*-1</f>
        <v>0</v>
      </c>
      <c r="N48" s="121">
        <f>'CAPEX _CWS '!P51*-1</f>
        <v>0</v>
      </c>
      <c r="O48" s="121">
        <f>'CAPEX _CWS '!Q51*-1</f>
        <v>0</v>
      </c>
      <c r="P48" s="121">
        <f>'CAPEX _CWS '!R51*-1</f>
        <v>-80000</v>
      </c>
      <c r="Q48" s="121">
        <f>'CAPEX _CWS '!S51*-1</f>
        <v>0</v>
      </c>
      <c r="R48" s="121">
        <f>'CAPEX _CWS '!T51*-1</f>
        <v>0</v>
      </c>
      <c r="S48" s="121">
        <f>'CAPEX _CWS '!U51*-1</f>
        <v>0</v>
      </c>
      <c r="T48" s="121">
        <f>'CAPEX _CWS '!V51*-1</f>
        <v>0</v>
      </c>
      <c r="U48" s="121">
        <f>'CAPEX _CWS '!W51*-1</f>
        <v>0</v>
      </c>
      <c r="V48" s="121">
        <f>'CAPEX _CWS '!X51*-1</f>
        <v>0</v>
      </c>
      <c r="W48" s="121">
        <f>'CAPEX _CWS '!Y51*-1</f>
        <v>0</v>
      </c>
      <c r="X48" s="121">
        <f>'CAPEX _CWS '!Z51*-1</f>
        <v>0</v>
      </c>
      <c r="Y48" s="121">
        <f>'CAPEX _CWS '!AA51*-1</f>
        <v>0</v>
      </c>
      <c r="Z48" s="121">
        <f>'CAPEX _CWS '!AB51*-1</f>
        <v>0</v>
      </c>
      <c r="AA48" s="121">
        <f>'CAPEX _CWS '!AC51*-1</f>
        <v>0</v>
      </c>
      <c r="AB48" s="121">
        <f>'CAPEX _CWS '!AD51*-1</f>
        <v>0</v>
      </c>
      <c r="AC48" s="121">
        <f>'CAPEX _CWS '!AE51*-1</f>
        <v>0</v>
      </c>
      <c r="AD48" s="121">
        <f>'CAPEX _CWS '!AF51*-1</f>
        <v>0</v>
      </c>
      <c r="AE48" s="121">
        <f>'CAPEX _CWS '!AG51*-1</f>
        <v>0</v>
      </c>
      <c r="AF48" s="121">
        <f>'CAPEX _CWS '!AH51*-1</f>
        <v>0</v>
      </c>
      <c r="AG48" s="121">
        <f>'CAPEX _CWS '!AI51*-1</f>
        <v>0</v>
      </c>
      <c r="AH48" s="121">
        <f>'CAPEX _CWS '!AJ51*-1</f>
        <v>0</v>
      </c>
      <c r="AI48" s="121">
        <f>'CAPEX _CWS '!AK51*-1</f>
        <v>0</v>
      </c>
      <c r="AJ48" s="121">
        <f>'CAPEX _CWS '!AL51*-1</f>
        <v>0</v>
      </c>
      <c r="AK48" s="121">
        <f>'CAPEX _CWS '!AM51*-1</f>
        <v>0</v>
      </c>
      <c r="AL48" s="121">
        <f>'CAPEX _CWS '!AN51*-1</f>
        <v>0</v>
      </c>
      <c r="AM48" s="121">
        <f>'CAPEX _CWS '!AO51*-1</f>
        <v>0</v>
      </c>
      <c r="AN48" s="121">
        <f>'CAPEX _CWS '!AP51*-1</f>
        <v>0</v>
      </c>
      <c r="AO48" s="121">
        <f>'CAPEX _CWS '!AQ51*-1</f>
        <v>0</v>
      </c>
      <c r="AP48" s="121">
        <f>'CAPEX _CWS '!AR51*-1</f>
        <v>0</v>
      </c>
      <c r="AQ48" s="121">
        <f>'CAPEX _CWS '!AS51*-1</f>
        <v>0</v>
      </c>
      <c r="AR48" s="121">
        <f>'CAPEX _CWS '!AT51*-1</f>
        <v>0</v>
      </c>
      <c r="AS48" s="121">
        <f>'CAPEX _CWS '!AU51*-1</f>
        <v>0</v>
      </c>
      <c r="AT48" s="121">
        <f>'CAPEX _CWS '!AV51*-1</f>
        <v>0</v>
      </c>
      <c r="AU48" s="121">
        <f>'CAPEX _CWS '!AW51*-1</f>
        <v>0</v>
      </c>
      <c r="AV48" s="121">
        <f>'CAPEX _CWS '!AX51*-1</f>
        <v>0</v>
      </c>
      <c r="AW48" s="121">
        <f>'CAPEX _CWS '!AY51*-1</f>
        <v>0</v>
      </c>
      <c r="AX48" s="121">
        <f>'CAPEX _CWS '!AZ51*-1</f>
        <v>0</v>
      </c>
      <c r="AY48" s="121">
        <f>'CAPEX _CWS '!BA51*-1</f>
        <v>0</v>
      </c>
      <c r="AZ48" s="121">
        <f>'CAPEX _CWS '!BB51*-1</f>
        <v>0</v>
      </c>
      <c r="BA48" s="121">
        <f>'CAPEX _CWS '!BC51*-1</f>
        <v>0</v>
      </c>
      <c r="BB48" s="121">
        <f>'CAPEX _CWS '!BD51*-1</f>
        <v>0</v>
      </c>
      <c r="BC48" s="121">
        <f>'CAPEX _CWS '!BE51*-1</f>
        <v>0</v>
      </c>
      <c r="BD48" s="121">
        <f>'CAPEX _CWS '!BF51*-1</f>
        <v>0</v>
      </c>
      <c r="BE48" s="121">
        <f>'CAPEX _CWS '!BG51*-1</f>
        <v>0</v>
      </c>
      <c r="BF48" s="121">
        <f>'CAPEX _CWS '!BH51*-1</f>
        <v>0</v>
      </c>
      <c r="BG48" s="121">
        <f>'CAPEX _CWS '!BI51*-1</f>
        <v>0</v>
      </c>
      <c r="BH48" s="121">
        <f>'CAPEX _CWS '!BJ51*-1</f>
        <v>0</v>
      </c>
      <c r="BI48" s="121">
        <f>'CAPEX _CWS '!BK51*-1</f>
        <v>0</v>
      </c>
      <c r="BJ48" s="121">
        <f>'CAPEX _CWS '!BL51*-1</f>
        <v>0</v>
      </c>
      <c r="BK48" s="121">
        <f>'CAPEX _CWS '!BM51*-1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1016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-8605000</v>
      </c>
      <c r="H50" s="121">
        <f t="shared" si="9"/>
        <v>-890000</v>
      </c>
      <c r="I50" s="121">
        <f t="shared" si="9"/>
        <v>-80000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824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1028</v>
      </c>
      <c r="C53" s="121">
        <f ca="1">'FIN-VALUE_CWS'!C15</f>
        <v>45862500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26346800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18276283.149999991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0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464</v>
      </c>
      <c r="C55" s="121">
        <f ca="1">+C45+C50+C53</f>
        <v>45862500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-21951500</v>
      </c>
      <c r="H55" s="121">
        <f t="shared" ca="1" si="10"/>
        <v>-8787000</v>
      </c>
      <c r="I55" s="121">
        <f t="shared" ca="1" si="10"/>
        <v>-7550299.9999999991</v>
      </c>
      <c r="J55" s="121">
        <f t="shared" ca="1" si="10"/>
        <v>-7573699.9999999991</v>
      </c>
      <c r="K55" s="121">
        <f t="shared" ca="1" si="10"/>
        <v>19166700</v>
      </c>
      <c r="L55" s="121">
        <f t="shared" ca="1" si="10"/>
        <v>-6783499.9999999991</v>
      </c>
      <c r="M55" s="121">
        <f t="shared" ca="1" si="10"/>
        <v>-6389899.9999999991</v>
      </c>
      <c r="N55" s="121">
        <f t="shared" ca="1" si="10"/>
        <v>-5993299.9999999991</v>
      </c>
      <c r="O55" s="121">
        <f t="shared" ca="1" si="10"/>
        <v>11657383.149999991</v>
      </c>
      <c r="P55" s="121">
        <f t="shared" ca="1" si="10"/>
        <v>-6560715.0000000009</v>
      </c>
      <c r="Q55" s="121">
        <f t="shared" ca="1" si="10"/>
        <v>-2750980.0000000014</v>
      </c>
      <c r="R55" s="121">
        <f t="shared" ca="1" si="10"/>
        <v>-1511215.0000000012</v>
      </c>
      <c r="S55" s="121">
        <f t="shared" ca="1" si="10"/>
        <v>-511215.00000000122</v>
      </c>
      <c r="T55" s="121">
        <f t="shared" ca="1" si="10"/>
        <v>-511215.00000000122</v>
      </c>
      <c r="U55" s="121">
        <f t="shared" ca="1" si="10"/>
        <v>-511215.00000000122</v>
      </c>
      <c r="V55" s="121">
        <f t="shared" ca="1" si="10"/>
        <v>-511215.00000000122</v>
      </c>
      <c r="W55" s="121">
        <f t="shared" ca="1" si="10"/>
        <v>-511215.00000000122</v>
      </c>
      <c r="X55" s="121">
        <f t="shared" ca="1" si="10"/>
        <v>-511215.00000000122</v>
      </c>
      <c r="Y55" s="121">
        <f t="shared" ca="1" si="10"/>
        <v>-511215.00000000122</v>
      </c>
      <c r="Z55" s="121">
        <f t="shared" ca="1" si="10"/>
        <v>-511215.00000000122</v>
      </c>
      <c r="AA55" s="121">
        <f t="shared" ca="1" si="10"/>
        <v>-4236135.0000000009</v>
      </c>
      <c r="AB55" s="121">
        <f t="shared" ca="1" si="10"/>
        <v>-483036.10000000085</v>
      </c>
      <c r="AC55" s="121">
        <f t="shared" ca="1" si="10"/>
        <v>7974417.9500000058</v>
      </c>
      <c r="AD55" s="121">
        <f t="shared" ca="1" si="10"/>
        <v>10791279.500000006</v>
      </c>
      <c r="AE55" s="121">
        <f t="shared" ca="1" si="10"/>
        <v>10791279.500000006</v>
      </c>
      <c r="AF55" s="121">
        <f t="shared" ca="1" si="10"/>
        <v>10791279.500000006</v>
      </c>
      <c r="AG55" s="121">
        <f t="shared" ca="1" si="10"/>
        <v>10791279.500000006</v>
      </c>
      <c r="AH55" s="121">
        <f t="shared" ca="1" si="10"/>
        <v>10791279.500000006</v>
      </c>
      <c r="AI55" s="121">
        <f t="shared" ca="1" si="10"/>
        <v>10791279.500000006</v>
      </c>
      <c r="AJ55" s="121">
        <f t="shared" ca="1" si="10"/>
        <v>10791279.500000006</v>
      </c>
      <c r="AK55" s="121">
        <f t="shared" ca="1" si="10"/>
        <v>10791279.500000006</v>
      </c>
      <c r="AL55" s="121">
        <f t="shared" ca="1" si="10"/>
        <v>10791279.500000006</v>
      </c>
      <c r="AM55" s="121">
        <f t="shared" ca="1" si="10"/>
        <v>2333825.4499999979</v>
      </c>
      <c r="AN55" s="121">
        <f t="shared" ca="1" si="10"/>
        <v>10812534.279500002</v>
      </c>
      <c r="AO55" s="121">
        <f t="shared" ca="1" si="10"/>
        <v>26472708.237500012</v>
      </c>
      <c r="AP55" s="121">
        <f t="shared" ca="1" si="10"/>
        <v>31691941.180500016</v>
      </c>
      <c r="AQ55" s="121">
        <f t="shared" ca="1" si="10"/>
        <v>31691941.180500016</v>
      </c>
      <c r="AR55" s="121">
        <f t="shared" ca="1" si="10"/>
        <v>31691941.180500016</v>
      </c>
      <c r="AS55" s="121">
        <f t="shared" ca="1" si="10"/>
        <v>31691941.180500016</v>
      </c>
      <c r="AT55" s="121">
        <f t="shared" ca="1" si="10"/>
        <v>31691941.180500016</v>
      </c>
      <c r="AU55" s="121">
        <f t="shared" ca="1" si="10"/>
        <v>31691941.180500016</v>
      </c>
      <c r="AV55" s="121">
        <f t="shared" ca="1" si="10"/>
        <v>31691941.180500016</v>
      </c>
      <c r="AW55" s="121">
        <f t="shared" ca="1" si="10"/>
        <v>31691941.180500016</v>
      </c>
      <c r="AX55" s="121">
        <f t="shared" ca="1" si="10"/>
        <v>31691941.180500016</v>
      </c>
      <c r="AY55" s="121">
        <f t="shared" ca="1" si="10"/>
        <v>16031767.222500006</v>
      </c>
      <c r="AZ55" s="121">
        <f t="shared" ca="1" si="10"/>
        <v>9318081.4086349998</v>
      </c>
      <c r="BA55" s="121">
        <f t="shared" ca="1" si="10"/>
        <v>24553416.276285011</v>
      </c>
      <c r="BB55" s="121">
        <f t="shared" ca="1" si="10"/>
        <v>29616316.144770015</v>
      </c>
      <c r="BC55" s="121">
        <f t="shared" ca="1" si="10"/>
        <v>29616316.144770015</v>
      </c>
      <c r="BD55" s="121">
        <f t="shared" ca="1" si="10"/>
        <v>29616316.144770015</v>
      </c>
      <c r="BE55" s="121">
        <f t="shared" ca="1" si="10"/>
        <v>29616316.144770015</v>
      </c>
      <c r="BF55" s="121">
        <f t="shared" ca="1" si="10"/>
        <v>29616316.144770015</v>
      </c>
      <c r="BG55" s="121">
        <f t="shared" ca="1" si="10"/>
        <v>29616316.144770015</v>
      </c>
      <c r="BH55" s="121">
        <f t="shared" ca="1" si="10"/>
        <v>29616316.144770015</v>
      </c>
      <c r="BI55" s="121">
        <f t="shared" ca="1" si="10"/>
        <v>29616316.144770015</v>
      </c>
      <c r="BJ55" s="121">
        <f t="shared" ca="1" si="10"/>
        <v>29616316.144770015</v>
      </c>
      <c r="BK55" s="121">
        <f t="shared" ca="1" si="10"/>
        <v>14405282.005225005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466</v>
      </c>
      <c r="C57" s="121">
        <v>0</v>
      </c>
      <c r="D57" s="121">
        <f t="shared" ref="D57:AI57" ca="1" si="11">C58</f>
        <v>45862500</v>
      </c>
      <c r="E57" s="121">
        <f t="shared" ca="1" si="11"/>
        <v>45862500</v>
      </c>
      <c r="F57" s="121">
        <f t="shared" ca="1" si="11"/>
        <v>45862500</v>
      </c>
      <c r="G57" s="121">
        <f t="shared" ca="1" si="11"/>
        <v>45862500</v>
      </c>
      <c r="H57" s="121">
        <f t="shared" ca="1" si="11"/>
        <v>23911000</v>
      </c>
      <c r="I57" s="121">
        <f t="shared" ca="1" si="11"/>
        <v>15124000</v>
      </c>
      <c r="J57" s="121">
        <f t="shared" ca="1" si="11"/>
        <v>7573700.0000000009</v>
      </c>
      <c r="K57" s="121">
        <f t="shared" ca="1" si="11"/>
        <v>0</v>
      </c>
      <c r="L57" s="121">
        <f t="shared" ca="1" si="11"/>
        <v>19166700</v>
      </c>
      <c r="M57" s="121">
        <f t="shared" ca="1" si="11"/>
        <v>12383200</v>
      </c>
      <c r="N57" s="121">
        <f t="shared" ca="1" si="11"/>
        <v>5993300.0000000009</v>
      </c>
      <c r="O57" s="121">
        <f t="shared" ca="1" si="11"/>
        <v>0</v>
      </c>
      <c r="P57" s="121">
        <f t="shared" ca="1" si="11"/>
        <v>11657383.149999991</v>
      </c>
      <c r="Q57" s="121">
        <f t="shared" ca="1" si="11"/>
        <v>5096668.1499999901</v>
      </c>
      <c r="R57" s="121">
        <f t="shared" ca="1" si="11"/>
        <v>2345688.1499999887</v>
      </c>
      <c r="S57" s="121">
        <f t="shared" ca="1" si="11"/>
        <v>834473.14999998757</v>
      </c>
      <c r="T57" s="121">
        <f t="shared" ca="1" si="11"/>
        <v>323258.14999998634</v>
      </c>
      <c r="U57" s="121">
        <f t="shared" ca="1" si="11"/>
        <v>-187956.85000001488</v>
      </c>
      <c r="V57" s="121">
        <f t="shared" ca="1" si="11"/>
        <v>-699171.85000001616</v>
      </c>
      <c r="W57" s="121">
        <f t="shared" ca="1" si="11"/>
        <v>-1210386.8500000173</v>
      </c>
      <c r="X57" s="121">
        <f t="shared" ca="1" si="11"/>
        <v>-1721601.8500000185</v>
      </c>
      <c r="Y57" s="121">
        <f t="shared" ca="1" si="11"/>
        <v>-2232816.8500000197</v>
      </c>
      <c r="Z57" s="121">
        <f t="shared" ca="1" si="11"/>
        <v>-2744031.850000021</v>
      </c>
      <c r="AA57" s="121">
        <f t="shared" ca="1" si="11"/>
        <v>-3255246.8500000224</v>
      </c>
      <c r="AB57" s="121">
        <f t="shared" ca="1" si="11"/>
        <v>-7491381.8500000238</v>
      </c>
      <c r="AC57" s="121">
        <f t="shared" ca="1" si="11"/>
        <v>-7974417.9500000244</v>
      </c>
      <c r="AD57" s="121">
        <f t="shared" ca="1" si="11"/>
        <v>-1.862645149230957E-8</v>
      </c>
      <c r="AE57" s="121">
        <f t="shared" ca="1" si="11"/>
        <v>10791279.499999987</v>
      </c>
      <c r="AF57" s="121">
        <f t="shared" ca="1" si="11"/>
        <v>21582558.999999993</v>
      </c>
      <c r="AG57" s="121">
        <f t="shared" ca="1" si="11"/>
        <v>32373838.5</v>
      </c>
      <c r="AH57" s="121">
        <f t="shared" ca="1" si="11"/>
        <v>43165118.000000007</v>
      </c>
      <c r="AI57" s="121">
        <f t="shared" ca="1" si="11"/>
        <v>53956397.500000015</v>
      </c>
      <c r="AJ57" s="121">
        <f t="shared" ref="AJ57:BK57" ca="1" si="12">AI58</f>
        <v>64747677.000000022</v>
      </c>
      <c r="AK57" s="121">
        <f t="shared" ca="1" si="12"/>
        <v>75538956.50000003</v>
      </c>
      <c r="AL57" s="121">
        <f t="shared" ca="1" si="12"/>
        <v>86330236.00000003</v>
      </c>
      <c r="AM57" s="121">
        <f t="shared" ca="1" si="12"/>
        <v>97121515.50000003</v>
      </c>
      <c r="AN57" s="121">
        <f t="shared" ca="1" si="12"/>
        <v>99455340.950000033</v>
      </c>
      <c r="AO57" s="121">
        <f t="shared" ca="1" si="12"/>
        <v>110267875.22950004</v>
      </c>
      <c r="AP57" s="121">
        <f t="shared" ca="1" si="12"/>
        <v>136740583.46700007</v>
      </c>
      <c r="AQ57" s="121">
        <f t="shared" ca="1" si="12"/>
        <v>168432524.6475001</v>
      </c>
      <c r="AR57" s="121">
        <f t="shared" ca="1" si="12"/>
        <v>200124465.82800013</v>
      </c>
      <c r="AS57" s="121">
        <f t="shared" ca="1" si="12"/>
        <v>231816407.00850016</v>
      </c>
      <c r="AT57" s="121">
        <f t="shared" ca="1" si="12"/>
        <v>263508348.18900019</v>
      </c>
      <c r="AU57" s="121">
        <f t="shared" ca="1" si="12"/>
        <v>295200289.36950022</v>
      </c>
      <c r="AV57" s="121">
        <f t="shared" ca="1" si="12"/>
        <v>326892230.55000025</v>
      </c>
      <c r="AW57" s="121">
        <f t="shared" ca="1" si="12"/>
        <v>358584171.73050028</v>
      </c>
      <c r="AX57" s="121">
        <f t="shared" ca="1" si="12"/>
        <v>390276112.91100031</v>
      </c>
      <c r="AY57" s="121">
        <f t="shared" ca="1" si="12"/>
        <v>421968054.09150034</v>
      </c>
      <c r="AZ57" s="121">
        <f t="shared" ca="1" si="12"/>
        <v>437999821.31400037</v>
      </c>
      <c r="BA57" s="121">
        <f t="shared" ca="1" si="12"/>
        <v>447317902.72263539</v>
      </c>
      <c r="BB57" s="121">
        <f t="shared" ca="1" si="12"/>
        <v>471871318.99892038</v>
      </c>
      <c r="BC57" s="121">
        <f t="shared" ca="1" si="12"/>
        <v>501487635.14369041</v>
      </c>
      <c r="BD57" s="121">
        <f t="shared" ca="1" si="12"/>
        <v>531103951.28846043</v>
      </c>
      <c r="BE57" s="121">
        <f t="shared" ca="1" si="12"/>
        <v>560720267.4332304</v>
      </c>
      <c r="BF57" s="121">
        <f t="shared" ca="1" si="12"/>
        <v>590336583.57800043</v>
      </c>
      <c r="BG57" s="121">
        <f t="shared" ca="1" si="12"/>
        <v>619952899.72277045</v>
      </c>
      <c r="BH57" s="121">
        <f t="shared" ca="1" si="12"/>
        <v>649569215.86754048</v>
      </c>
      <c r="BI57" s="121">
        <f t="shared" ca="1" si="12"/>
        <v>679185532.0123105</v>
      </c>
      <c r="BJ57" s="121">
        <f t="shared" ca="1" si="12"/>
        <v>708801848.15708053</v>
      </c>
      <c r="BK57" s="121">
        <f t="shared" ca="1" si="12"/>
        <v>738418164.30185056</v>
      </c>
      <c r="BL57" s="130"/>
    </row>
    <row r="58" spans="2:64" x14ac:dyDescent="0.15">
      <c r="B58" s="136" t="s">
        <v>465</v>
      </c>
      <c r="C58" s="121">
        <f ca="1">C55</f>
        <v>45862500</v>
      </c>
      <c r="D58" s="121">
        <f t="shared" ref="D58:AI58" ca="1" si="13">D57+D55</f>
        <v>45862500</v>
      </c>
      <c r="E58" s="121">
        <f t="shared" ca="1" si="13"/>
        <v>45862500</v>
      </c>
      <c r="F58" s="121">
        <f t="shared" ca="1" si="13"/>
        <v>45862500</v>
      </c>
      <c r="G58" s="121">
        <f t="shared" ca="1" si="13"/>
        <v>23911000</v>
      </c>
      <c r="H58" s="121">
        <f t="shared" ca="1" si="13"/>
        <v>15124000</v>
      </c>
      <c r="I58" s="121">
        <f t="shared" ca="1" si="13"/>
        <v>7573700.0000000009</v>
      </c>
      <c r="J58" s="121">
        <f t="shared" ca="1" si="13"/>
        <v>0</v>
      </c>
      <c r="K58" s="121">
        <f t="shared" ca="1" si="13"/>
        <v>19166700</v>
      </c>
      <c r="L58" s="121">
        <f t="shared" ca="1" si="13"/>
        <v>12383200</v>
      </c>
      <c r="M58" s="121">
        <f t="shared" ca="1" si="13"/>
        <v>5993300.0000000009</v>
      </c>
      <c r="N58" s="121">
        <f t="shared" ca="1" si="13"/>
        <v>0</v>
      </c>
      <c r="O58" s="121">
        <f t="shared" ca="1" si="13"/>
        <v>11657383.149999991</v>
      </c>
      <c r="P58" s="121">
        <f t="shared" ca="1" si="13"/>
        <v>5096668.1499999901</v>
      </c>
      <c r="Q58" s="121">
        <f t="shared" ca="1" si="13"/>
        <v>2345688.1499999887</v>
      </c>
      <c r="R58" s="121">
        <f t="shared" ca="1" si="13"/>
        <v>834473.14999998757</v>
      </c>
      <c r="S58" s="121">
        <f t="shared" ca="1" si="13"/>
        <v>323258.14999998634</v>
      </c>
      <c r="T58" s="121">
        <f t="shared" ca="1" si="13"/>
        <v>-187956.85000001488</v>
      </c>
      <c r="U58" s="121">
        <f t="shared" ca="1" si="13"/>
        <v>-699171.85000001616</v>
      </c>
      <c r="V58" s="121">
        <f t="shared" ca="1" si="13"/>
        <v>-1210386.8500000173</v>
      </c>
      <c r="W58" s="121">
        <f t="shared" ca="1" si="13"/>
        <v>-1721601.8500000185</v>
      </c>
      <c r="X58" s="121">
        <f t="shared" ca="1" si="13"/>
        <v>-2232816.8500000197</v>
      </c>
      <c r="Y58" s="121">
        <f t="shared" ca="1" si="13"/>
        <v>-2744031.850000021</v>
      </c>
      <c r="Z58" s="121">
        <f t="shared" ca="1" si="13"/>
        <v>-3255246.8500000224</v>
      </c>
      <c r="AA58" s="121">
        <f t="shared" ca="1" si="13"/>
        <v>-7491381.8500000238</v>
      </c>
      <c r="AB58" s="121">
        <f t="shared" ca="1" si="13"/>
        <v>-7974417.9500000244</v>
      </c>
      <c r="AC58" s="121">
        <f t="shared" ca="1" si="13"/>
        <v>-1.862645149230957E-8</v>
      </c>
      <c r="AD58" s="121">
        <f t="shared" ca="1" si="13"/>
        <v>10791279.499999987</v>
      </c>
      <c r="AE58" s="121">
        <f t="shared" ca="1" si="13"/>
        <v>21582558.999999993</v>
      </c>
      <c r="AF58" s="121">
        <f t="shared" ca="1" si="13"/>
        <v>32373838.5</v>
      </c>
      <c r="AG58" s="121">
        <f t="shared" ca="1" si="13"/>
        <v>43165118.000000007</v>
      </c>
      <c r="AH58" s="121">
        <f t="shared" ca="1" si="13"/>
        <v>53956397.500000015</v>
      </c>
      <c r="AI58" s="121">
        <f t="shared" ca="1" si="13"/>
        <v>64747677.000000022</v>
      </c>
      <c r="AJ58" s="121">
        <f t="shared" ref="AJ58:BK58" ca="1" si="14">AJ57+AJ55</f>
        <v>75538956.50000003</v>
      </c>
      <c r="AK58" s="121">
        <f t="shared" ca="1" si="14"/>
        <v>86330236.00000003</v>
      </c>
      <c r="AL58" s="121">
        <f t="shared" ca="1" si="14"/>
        <v>97121515.50000003</v>
      </c>
      <c r="AM58" s="121">
        <f t="shared" ca="1" si="14"/>
        <v>99455340.950000033</v>
      </c>
      <c r="AN58" s="121">
        <f t="shared" ca="1" si="14"/>
        <v>110267875.22950004</v>
      </c>
      <c r="AO58" s="121">
        <f t="shared" ca="1" si="14"/>
        <v>136740583.46700007</v>
      </c>
      <c r="AP58" s="121">
        <f t="shared" ca="1" si="14"/>
        <v>168432524.6475001</v>
      </c>
      <c r="AQ58" s="121">
        <f t="shared" ca="1" si="14"/>
        <v>200124465.82800013</v>
      </c>
      <c r="AR58" s="121">
        <f t="shared" ca="1" si="14"/>
        <v>231816407.00850016</v>
      </c>
      <c r="AS58" s="121">
        <f t="shared" ca="1" si="14"/>
        <v>263508348.18900019</v>
      </c>
      <c r="AT58" s="121">
        <f t="shared" ca="1" si="14"/>
        <v>295200289.36950022</v>
      </c>
      <c r="AU58" s="121">
        <f t="shared" ca="1" si="14"/>
        <v>326892230.55000025</v>
      </c>
      <c r="AV58" s="121">
        <f t="shared" ca="1" si="14"/>
        <v>358584171.73050028</v>
      </c>
      <c r="AW58" s="121">
        <f t="shared" ca="1" si="14"/>
        <v>390276112.91100031</v>
      </c>
      <c r="AX58" s="121">
        <f t="shared" ca="1" si="14"/>
        <v>421968054.09150034</v>
      </c>
      <c r="AY58" s="121">
        <f t="shared" ca="1" si="14"/>
        <v>437999821.31400037</v>
      </c>
      <c r="AZ58" s="121">
        <f t="shared" ca="1" si="14"/>
        <v>447317902.72263539</v>
      </c>
      <c r="BA58" s="121">
        <f t="shared" ca="1" si="14"/>
        <v>471871318.99892038</v>
      </c>
      <c r="BB58" s="121">
        <f t="shared" ca="1" si="14"/>
        <v>501487635.14369041</v>
      </c>
      <c r="BC58" s="121">
        <f t="shared" ca="1" si="14"/>
        <v>531103951.28846043</v>
      </c>
      <c r="BD58" s="121">
        <f t="shared" ca="1" si="14"/>
        <v>560720267.4332304</v>
      </c>
      <c r="BE58" s="121">
        <f t="shared" ca="1" si="14"/>
        <v>590336583.57800043</v>
      </c>
      <c r="BF58" s="121">
        <f t="shared" ca="1" si="14"/>
        <v>619952899.72277045</v>
      </c>
      <c r="BG58" s="121">
        <f t="shared" ca="1" si="14"/>
        <v>649569215.86754048</v>
      </c>
      <c r="BH58" s="121">
        <f t="shared" ca="1" si="14"/>
        <v>679185532.0123105</v>
      </c>
      <c r="BI58" s="121">
        <f t="shared" ca="1" si="14"/>
        <v>708801848.15708053</v>
      </c>
      <c r="BJ58" s="121">
        <f t="shared" ca="1" si="14"/>
        <v>738418164.30185056</v>
      </c>
      <c r="BK58" s="121">
        <f t="shared" ca="1" si="14"/>
        <v>752823446.30707562</v>
      </c>
      <c r="BL58" s="130"/>
    </row>
    <row r="60" spans="2:64" x14ac:dyDescent="0.15">
      <c r="B60" s="138" t="s">
        <v>1042</v>
      </c>
      <c r="C60" s="130">
        <f ca="1">C53</f>
        <v>45862500</v>
      </c>
      <c r="D60" s="130">
        <f t="shared" ref="D60:AI60" ca="1" si="15">D53+C60</f>
        <v>45862500</v>
      </c>
      <c r="E60" s="130">
        <f t="shared" ca="1" si="15"/>
        <v>45862500</v>
      </c>
      <c r="F60" s="130">
        <f t="shared" ca="1" si="15"/>
        <v>45862500</v>
      </c>
      <c r="G60" s="130">
        <f t="shared" ca="1" si="15"/>
        <v>45862500</v>
      </c>
      <c r="H60" s="130">
        <f t="shared" ca="1" si="15"/>
        <v>45862500</v>
      </c>
      <c r="I60" s="130">
        <f t="shared" ca="1" si="15"/>
        <v>45862500</v>
      </c>
      <c r="J60" s="130">
        <f t="shared" ca="1" si="15"/>
        <v>45862500</v>
      </c>
      <c r="K60" s="130">
        <f t="shared" ca="1" si="15"/>
        <v>72209300</v>
      </c>
      <c r="L60" s="130">
        <f t="shared" ca="1" si="15"/>
        <v>72209300</v>
      </c>
      <c r="M60" s="130">
        <f t="shared" ca="1" si="15"/>
        <v>72209300</v>
      </c>
      <c r="N60" s="130">
        <f t="shared" ca="1" si="15"/>
        <v>72209300</v>
      </c>
      <c r="O60" s="130">
        <f t="shared" ca="1" si="15"/>
        <v>90485583.149999991</v>
      </c>
      <c r="P60" s="130">
        <f t="shared" ca="1" si="15"/>
        <v>90485583.149999991</v>
      </c>
      <c r="Q60" s="130">
        <f t="shared" ca="1" si="15"/>
        <v>90485583.149999991</v>
      </c>
      <c r="R60" s="130">
        <f t="shared" ca="1" si="15"/>
        <v>90485583.149999991</v>
      </c>
      <c r="S60" s="130">
        <f t="shared" ca="1" si="15"/>
        <v>90485583.149999991</v>
      </c>
      <c r="T60" s="130">
        <f t="shared" ca="1" si="15"/>
        <v>90485583.149999991</v>
      </c>
      <c r="U60" s="130">
        <f t="shared" ca="1" si="15"/>
        <v>90485583.149999991</v>
      </c>
      <c r="V60" s="130">
        <f t="shared" ca="1" si="15"/>
        <v>90485583.149999991</v>
      </c>
      <c r="W60" s="130">
        <f t="shared" ca="1" si="15"/>
        <v>90485583.149999991</v>
      </c>
      <c r="X60" s="130">
        <f t="shared" ca="1" si="15"/>
        <v>90485583.149999991</v>
      </c>
      <c r="Y60" s="130">
        <f t="shared" ca="1" si="15"/>
        <v>90485583.149999991</v>
      </c>
      <c r="Z60" s="130">
        <f t="shared" ca="1" si="15"/>
        <v>90485583.149999991</v>
      </c>
      <c r="AA60" s="130">
        <f t="shared" ca="1" si="15"/>
        <v>90485583.149999991</v>
      </c>
      <c r="AB60" s="130">
        <f t="shared" ca="1" si="15"/>
        <v>90485583.149999991</v>
      </c>
      <c r="AC60" s="130">
        <f t="shared" ca="1" si="15"/>
        <v>90485583.149999991</v>
      </c>
      <c r="AD60" s="130">
        <f t="shared" ca="1" si="15"/>
        <v>90485583.149999991</v>
      </c>
      <c r="AE60" s="130">
        <f t="shared" ca="1" si="15"/>
        <v>90485583.149999991</v>
      </c>
      <c r="AF60" s="130">
        <f t="shared" ca="1" si="15"/>
        <v>90485583.149999991</v>
      </c>
      <c r="AG60" s="130">
        <f t="shared" ca="1" si="15"/>
        <v>90485583.149999991</v>
      </c>
      <c r="AH60" s="130">
        <f t="shared" ca="1" si="15"/>
        <v>90485583.149999991</v>
      </c>
      <c r="AI60" s="130">
        <f t="shared" ca="1" si="15"/>
        <v>90485583.149999991</v>
      </c>
      <c r="AJ60" s="130">
        <f t="shared" ref="AJ60:BK60" ca="1" si="16">AJ53+AI60</f>
        <v>90485583.149999991</v>
      </c>
      <c r="AK60" s="130">
        <f t="shared" ca="1" si="16"/>
        <v>90485583.149999991</v>
      </c>
      <c r="AL60" s="130">
        <f t="shared" ca="1" si="16"/>
        <v>90485583.149999991</v>
      </c>
      <c r="AM60" s="130">
        <f t="shared" ca="1" si="16"/>
        <v>90485583.149999991</v>
      </c>
      <c r="AN60" s="130">
        <f t="shared" ca="1" si="16"/>
        <v>90485583.149999991</v>
      </c>
      <c r="AO60" s="130">
        <f t="shared" ca="1" si="16"/>
        <v>90485583.149999991</v>
      </c>
      <c r="AP60" s="130">
        <f t="shared" ca="1" si="16"/>
        <v>90485583.149999991</v>
      </c>
      <c r="AQ60" s="130">
        <f t="shared" ca="1" si="16"/>
        <v>90485583.149999991</v>
      </c>
      <c r="AR60" s="130">
        <f t="shared" ca="1" si="16"/>
        <v>90485583.149999991</v>
      </c>
      <c r="AS60" s="130">
        <f t="shared" ca="1" si="16"/>
        <v>90485583.149999991</v>
      </c>
      <c r="AT60" s="130">
        <f t="shared" ca="1" si="16"/>
        <v>90485583.149999991</v>
      </c>
      <c r="AU60" s="130">
        <f t="shared" ca="1" si="16"/>
        <v>90485583.149999991</v>
      </c>
      <c r="AV60" s="130">
        <f t="shared" ca="1" si="16"/>
        <v>90485583.149999991</v>
      </c>
      <c r="AW60" s="130">
        <f t="shared" ca="1" si="16"/>
        <v>90485583.149999991</v>
      </c>
      <c r="AX60" s="130">
        <f t="shared" ca="1" si="16"/>
        <v>90485583.149999991</v>
      </c>
      <c r="AY60" s="130">
        <f t="shared" ca="1" si="16"/>
        <v>90485583.149999991</v>
      </c>
      <c r="AZ60" s="130">
        <f t="shared" ca="1" si="16"/>
        <v>90485583.149999991</v>
      </c>
      <c r="BA60" s="130">
        <f t="shared" ca="1" si="16"/>
        <v>90485583.149999991</v>
      </c>
      <c r="BB60" s="130">
        <f t="shared" ca="1" si="16"/>
        <v>90485583.149999991</v>
      </c>
      <c r="BC60" s="130">
        <f t="shared" ca="1" si="16"/>
        <v>90485583.149999991</v>
      </c>
      <c r="BD60" s="130">
        <f t="shared" ca="1" si="16"/>
        <v>90485583.149999991</v>
      </c>
      <c r="BE60" s="130">
        <f t="shared" ca="1" si="16"/>
        <v>90485583.149999991</v>
      </c>
      <c r="BF60" s="130">
        <f t="shared" ca="1" si="16"/>
        <v>90485583.149999991</v>
      </c>
      <c r="BG60" s="130">
        <f t="shared" ca="1" si="16"/>
        <v>90485583.149999991</v>
      </c>
      <c r="BH60" s="130">
        <f t="shared" ca="1" si="16"/>
        <v>90485583.149999991</v>
      </c>
      <c r="BI60" s="130">
        <f t="shared" ca="1" si="16"/>
        <v>90485583.149999991</v>
      </c>
      <c r="BJ60" s="130">
        <f t="shared" ca="1" si="16"/>
        <v>90485583.149999991</v>
      </c>
      <c r="BK60" s="130">
        <f t="shared" ca="1" si="16"/>
        <v>90485583.149999991</v>
      </c>
    </row>
    <row r="62" spans="2:64" x14ac:dyDescent="0.15">
      <c r="B62" s="260" t="s">
        <v>984</v>
      </c>
    </row>
    <row r="63" spans="2:64" outlineLevel="1" x14ac:dyDescent="0.15">
      <c r="B63" s="260"/>
    </row>
    <row r="64" spans="2:64" outlineLevel="1" x14ac:dyDescent="0.15">
      <c r="B64" s="135" t="s">
        <v>824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1028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464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-21951500</v>
      </c>
      <c r="H67" s="121">
        <f t="shared" si="17"/>
        <v>-8787000</v>
      </c>
      <c r="I67" s="121">
        <f t="shared" si="17"/>
        <v>-7550299.9999999991</v>
      </c>
      <c r="J67" s="121">
        <f t="shared" si="17"/>
        <v>-7573699.9999999991</v>
      </c>
      <c r="K67" s="121">
        <f t="shared" si="17"/>
        <v>-7180099.9999999991</v>
      </c>
      <c r="L67" s="121">
        <f t="shared" si="17"/>
        <v>-6783499.9999999991</v>
      </c>
      <c r="M67" s="121">
        <f t="shared" si="17"/>
        <v>-6389899.9999999991</v>
      </c>
      <c r="N67" s="121">
        <f t="shared" si="17"/>
        <v>-5993299.9999999991</v>
      </c>
      <c r="O67" s="121">
        <f t="shared" si="17"/>
        <v>-6618899.9999999991</v>
      </c>
      <c r="P67" s="121">
        <f>P45+P50+P65</f>
        <v>-6560715.0000000009</v>
      </c>
      <c r="Q67" s="121">
        <f t="shared" si="17"/>
        <v>-2750980.0000000014</v>
      </c>
      <c r="R67" s="121">
        <f t="shared" si="17"/>
        <v>-1511215.0000000012</v>
      </c>
      <c r="S67" s="121">
        <f t="shared" si="17"/>
        <v>-511215.00000000122</v>
      </c>
      <c r="T67" s="121">
        <f t="shared" si="17"/>
        <v>-511215.00000000122</v>
      </c>
      <c r="U67" s="121">
        <f t="shared" si="17"/>
        <v>-511215.00000000122</v>
      </c>
      <c r="V67" s="121">
        <f t="shared" si="17"/>
        <v>-511215.00000000122</v>
      </c>
      <c r="W67" s="121">
        <f t="shared" si="17"/>
        <v>-511215.00000000122</v>
      </c>
      <c r="X67" s="121">
        <f t="shared" si="17"/>
        <v>-511215.00000000122</v>
      </c>
      <c r="Y67" s="121">
        <f t="shared" si="17"/>
        <v>-511215.00000000122</v>
      </c>
      <c r="Z67" s="121">
        <f t="shared" si="17"/>
        <v>-511215.00000000122</v>
      </c>
      <c r="AA67" s="121">
        <f t="shared" si="17"/>
        <v>-4236135.0000000009</v>
      </c>
      <c r="AB67" s="121">
        <f t="shared" si="17"/>
        <v>-483036.10000000085</v>
      </c>
      <c r="AC67" s="121">
        <f t="shared" si="17"/>
        <v>7974417.9500000058</v>
      </c>
      <c r="AD67" s="121">
        <f t="shared" si="17"/>
        <v>10791279.500000006</v>
      </c>
      <c r="AE67" s="121">
        <f t="shared" si="17"/>
        <v>10791279.500000006</v>
      </c>
      <c r="AF67" s="121">
        <f t="shared" si="17"/>
        <v>10791279.500000006</v>
      </c>
      <c r="AG67" s="121">
        <f t="shared" si="17"/>
        <v>10791279.500000006</v>
      </c>
      <c r="AH67" s="121">
        <f t="shared" si="17"/>
        <v>10791279.500000006</v>
      </c>
      <c r="AI67" s="121">
        <f t="shared" si="17"/>
        <v>10791279.500000006</v>
      </c>
      <c r="AJ67" s="121">
        <f t="shared" si="17"/>
        <v>10791279.500000006</v>
      </c>
      <c r="AK67" s="121">
        <f t="shared" si="17"/>
        <v>10791279.500000006</v>
      </c>
      <c r="AL67" s="121">
        <f t="shared" si="17"/>
        <v>10791279.500000006</v>
      </c>
      <c r="AM67" s="121">
        <f t="shared" si="17"/>
        <v>2333825.4499999979</v>
      </c>
      <c r="AN67" s="121">
        <f t="shared" si="17"/>
        <v>10812534.279500002</v>
      </c>
      <c r="AO67" s="121">
        <f t="shared" si="17"/>
        <v>26472708.237500012</v>
      </c>
      <c r="AP67" s="121">
        <f t="shared" si="17"/>
        <v>31691941.180500016</v>
      </c>
      <c r="AQ67" s="121">
        <f t="shared" si="17"/>
        <v>31691941.180500016</v>
      </c>
      <c r="AR67" s="121">
        <f t="shared" si="17"/>
        <v>31691941.180500016</v>
      </c>
      <c r="AS67" s="121">
        <f t="shared" si="17"/>
        <v>31691941.180500016</v>
      </c>
      <c r="AT67" s="121">
        <f t="shared" si="17"/>
        <v>31691941.180500016</v>
      </c>
      <c r="AU67" s="121">
        <f t="shared" si="17"/>
        <v>31691941.180500016</v>
      </c>
      <c r="AV67" s="121">
        <f t="shared" si="17"/>
        <v>31691941.180500016</v>
      </c>
      <c r="AW67" s="121">
        <f t="shared" si="17"/>
        <v>31691941.180500016</v>
      </c>
      <c r="AX67" s="121">
        <f t="shared" si="17"/>
        <v>31691941.180500016</v>
      </c>
      <c r="AY67" s="121">
        <f t="shared" si="17"/>
        <v>16031767.222500006</v>
      </c>
      <c r="AZ67" s="121">
        <f t="shared" si="17"/>
        <v>9318081.4086349998</v>
      </c>
      <c r="BA67" s="121">
        <f t="shared" si="17"/>
        <v>24553416.276285011</v>
      </c>
      <c r="BB67" s="121">
        <f t="shared" si="17"/>
        <v>29616316.144770015</v>
      </c>
      <c r="BC67" s="121">
        <f t="shared" si="17"/>
        <v>29616316.144770015</v>
      </c>
      <c r="BD67" s="121">
        <f t="shared" si="17"/>
        <v>29616316.144770015</v>
      </c>
      <c r="BE67" s="121">
        <f t="shared" si="17"/>
        <v>29616316.144770015</v>
      </c>
      <c r="BF67" s="121">
        <f t="shared" si="17"/>
        <v>29616316.144770015</v>
      </c>
      <c r="BG67" s="121">
        <f t="shared" si="17"/>
        <v>29616316.144770015</v>
      </c>
      <c r="BH67" s="121">
        <f t="shared" si="17"/>
        <v>29616316.144770015</v>
      </c>
      <c r="BI67" s="121">
        <f t="shared" si="17"/>
        <v>29616316.144770015</v>
      </c>
      <c r="BJ67" s="121">
        <f t="shared" si="17"/>
        <v>29616316.144770015</v>
      </c>
      <c r="BK67" s="121">
        <f t="shared" si="17"/>
        <v>14405282.005225005</v>
      </c>
      <c r="BL67" s="48">
        <f>SUM(C67:BK67)</f>
        <v>662337863.15707564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466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-21951500</v>
      </c>
      <c r="I69" s="121">
        <f t="shared" si="18"/>
        <v>-30738500</v>
      </c>
      <c r="J69" s="121">
        <f t="shared" si="18"/>
        <v>-38288800</v>
      </c>
      <c r="K69" s="121">
        <f t="shared" si="18"/>
        <v>-45862500</v>
      </c>
      <c r="L69" s="121">
        <f t="shared" si="18"/>
        <v>-53042600</v>
      </c>
      <c r="M69" s="121">
        <f t="shared" si="18"/>
        <v>-59826100</v>
      </c>
      <c r="N69" s="121">
        <f t="shared" si="18"/>
        <v>-66216000</v>
      </c>
      <c r="O69" s="121">
        <f t="shared" si="18"/>
        <v>-72209300</v>
      </c>
      <c r="P69" s="121">
        <f t="shared" si="18"/>
        <v>-78828200</v>
      </c>
      <c r="Q69" s="121">
        <f t="shared" si="18"/>
        <v>-85388915</v>
      </c>
      <c r="R69" s="121">
        <f t="shared" si="18"/>
        <v>-88139895</v>
      </c>
      <c r="S69" s="121">
        <f t="shared" si="18"/>
        <v>-89651110</v>
      </c>
      <c r="T69" s="121">
        <f t="shared" si="18"/>
        <v>-90162325</v>
      </c>
      <c r="U69" s="121">
        <f t="shared" si="18"/>
        <v>-90673540</v>
      </c>
      <c r="V69" s="121">
        <f t="shared" si="18"/>
        <v>-91184755</v>
      </c>
      <c r="W69" s="121">
        <f t="shared" si="18"/>
        <v>-91695970</v>
      </c>
      <c r="X69" s="121">
        <f t="shared" si="18"/>
        <v>-92207185</v>
      </c>
      <c r="Y69" s="121">
        <f t="shared" si="18"/>
        <v>-92718400</v>
      </c>
      <c r="Z69" s="121">
        <f t="shared" si="18"/>
        <v>-93229615</v>
      </c>
      <c r="AA69" s="121">
        <f t="shared" si="18"/>
        <v>-93740830</v>
      </c>
      <c r="AB69" s="121">
        <f t="shared" si="18"/>
        <v>-97976965</v>
      </c>
      <c r="AC69" s="121">
        <f t="shared" si="18"/>
        <v>-98460001.099999994</v>
      </c>
      <c r="AD69" s="121">
        <f t="shared" si="18"/>
        <v>-90485583.149999991</v>
      </c>
      <c r="AE69" s="121">
        <f t="shared" si="18"/>
        <v>-79694303.649999991</v>
      </c>
      <c r="AF69" s="121">
        <f t="shared" si="18"/>
        <v>-68903024.149999991</v>
      </c>
      <c r="AG69" s="121">
        <f t="shared" si="18"/>
        <v>-58111744.649999984</v>
      </c>
      <c r="AH69" s="121">
        <f t="shared" si="18"/>
        <v>-47320465.149999976</v>
      </c>
      <c r="AI69" s="121">
        <f t="shared" si="18"/>
        <v>-36529185.649999969</v>
      </c>
      <c r="AJ69" s="121">
        <f t="shared" ref="AJ69:BK69" si="19">AI70</f>
        <v>-25737906.149999961</v>
      </c>
      <c r="AK69" s="121">
        <f t="shared" si="19"/>
        <v>-14946626.649999956</v>
      </c>
      <c r="AL69" s="121">
        <f t="shared" si="19"/>
        <v>-4155347.1499999501</v>
      </c>
      <c r="AM69" s="121">
        <f t="shared" si="19"/>
        <v>6635932.3500000555</v>
      </c>
      <c r="AN69" s="121">
        <f t="shared" si="19"/>
        <v>8969757.8000000529</v>
      </c>
      <c r="AO69" s="121">
        <f t="shared" si="19"/>
        <v>19782292.079500057</v>
      </c>
      <c r="AP69" s="121">
        <f t="shared" si="19"/>
        <v>46255000.317000069</v>
      </c>
      <c r="AQ69" s="121">
        <f t="shared" si="19"/>
        <v>77946941.497500092</v>
      </c>
      <c r="AR69" s="121">
        <f t="shared" si="19"/>
        <v>109638882.67800011</v>
      </c>
      <c r="AS69" s="121">
        <f t="shared" si="19"/>
        <v>141330823.85850012</v>
      </c>
      <c r="AT69" s="121">
        <f t="shared" si="19"/>
        <v>173022765.03900015</v>
      </c>
      <c r="AU69" s="121">
        <f t="shared" si="19"/>
        <v>204714706.21950018</v>
      </c>
      <c r="AV69" s="121">
        <f t="shared" si="19"/>
        <v>236406647.40000021</v>
      </c>
      <c r="AW69" s="121">
        <f t="shared" si="19"/>
        <v>268098588.58050025</v>
      </c>
      <c r="AX69" s="121">
        <f t="shared" si="19"/>
        <v>299790529.76100028</v>
      </c>
      <c r="AY69" s="121">
        <f t="shared" si="19"/>
        <v>331482470.94150031</v>
      </c>
      <c r="AZ69" s="121">
        <f t="shared" si="19"/>
        <v>347514238.16400033</v>
      </c>
      <c r="BA69" s="121">
        <f t="shared" si="19"/>
        <v>356832319.57263535</v>
      </c>
      <c r="BB69" s="121">
        <f t="shared" si="19"/>
        <v>381385735.84892035</v>
      </c>
      <c r="BC69" s="121">
        <f t="shared" si="19"/>
        <v>411002051.99369037</v>
      </c>
      <c r="BD69" s="121">
        <f t="shared" si="19"/>
        <v>440618368.1384604</v>
      </c>
      <c r="BE69" s="121">
        <f t="shared" si="19"/>
        <v>470234684.28323042</v>
      </c>
      <c r="BF69" s="121">
        <f t="shared" si="19"/>
        <v>499851000.42800045</v>
      </c>
      <c r="BG69" s="121">
        <f t="shared" si="19"/>
        <v>529467316.57277048</v>
      </c>
      <c r="BH69" s="121">
        <f t="shared" si="19"/>
        <v>559083632.7175405</v>
      </c>
      <c r="BI69" s="121">
        <f t="shared" si="19"/>
        <v>588699948.86231053</v>
      </c>
      <c r="BJ69" s="121">
        <f t="shared" si="19"/>
        <v>618316265.00708055</v>
      </c>
      <c r="BK69" s="121">
        <f t="shared" si="19"/>
        <v>647932581.15185058</v>
      </c>
    </row>
    <row r="70" spans="2:64" outlineLevel="1" x14ac:dyDescent="0.15">
      <c r="B70" s="136" t="s">
        <v>465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-21951500</v>
      </c>
      <c r="H70" s="121">
        <f t="shared" si="20"/>
        <v>-30738500</v>
      </c>
      <c r="I70" s="121">
        <f t="shared" si="20"/>
        <v>-38288800</v>
      </c>
      <c r="J70" s="121">
        <f t="shared" si="20"/>
        <v>-45862500</v>
      </c>
      <c r="K70" s="121">
        <f t="shared" si="20"/>
        <v>-53042600</v>
      </c>
      <c r="L70" s="121">
        <f t="shared" si="20"/>
        <v>-59826100</v>
      </c>
      <c r="M70" s="121">
        <f t="shared" si="20"/>
        <v>-66216000</v>
      </c>
      <c r="N70" s="121">
        <f t="shared" si="20"/>
        <v>-72209300</v>
      </c>
      <c r="O70" s="121">
        <f t="shared" si="20"/>
        <v>-78828200</v>
      </c>
      <c r="P70" s="121">
        <f t="shared" si="20"/>
        <v>-85388915</v>
      </c>
      <c r="Q70" s="121">
        <f t="shared" si="20"/>
        <v>-88139895</v>
      </c>
      <c r="R70" s="121">
        <f t="shared" si="20"/>
        <v>-89651110</v>
      </c>
      <c r="S70" s="121">
        <f t="shared" si="20"/>
        <v>-90162325</v>
      </c>
      <c r="T70" s="121">
        <f t="shared" si="20"/>
        <v>-90673540</v>
      </c>
      <c r="U70" s="121">
        <f t="shared" si="20"/>
        <v>-91184755</v>
      </c>
      <c r="V70" s="121">
        <f t="shared" si="20"/>
        <v>-91695970</v>
      </c>
      <c r="W70" s="121">
        <f t="shared" si="20"/>
        <v>-92207185</v>
      </c>
      <c r="X70" s="121">
        <f t="shared" si="20"/>
        <v>-92718400</v>
      </c>
      <c r="Y70" s="121">
        <f t="shared" si="20"/>
        <v>-93229615</v>
      </c>
      <c r="Z70" s="121">
        <f t="shared" si="20"/>
        <v>-93740830</v>
      </c>
      <c r="AA70" s="121">
        <f t="shared" si="20"/>
        <v>-97976965</v>
      </c>
      <c r="AB70" s="121">
        <f t="shared" si="20"/>
        <v>-98460001.099999994</v>
      </c>
      <c r="AC70" s="121">
        <f t="shared" si="20"/>
        <v>-90485583.149999991</v>
      </c>
      <c r="AD70" s="121">
        <f t="shared" si="20"/>
        <v>-79694303.649999991</v>
      </c>
      <c r="AE70" s="121">
        <f t="shared" si="20"/>
        <v>-68903024.149999991</v>
      </c>
      <c r="AF70" s="121">
        <f t="shared" si="20"/>
        <v>-58111744.649999984</v>
      </c>
      <c r="AG70" s="121">
        <f t="shared" si="20"/>
        <v>-47320465.149999976</v>
      </c>
      <c r="AH70" s="121">
        <f t="shared" si="20"/>
        <v>-36529185.649999969</v>
      </c>
      <c r="AI70" s="121">
        <f t="shared" si="20"/>
        <v>-25737906.149999961</v>
      </c>
      <c r="AJ70" s="121">
        <f t="shared" ref="AJ70:BK70" si="21">AJ69+AJ67</f>
        <v>-14946626.649999956</v>
      </c>
      <c r="AK70" s="121">
        <f t="shared" si="21"/>
        <v>-4155347.1499999501</v>
      </c>
      <c r="AL70" s="121">
        <f t="shared" si="21"/>
        <v>6635932.3500000555</v>
      </c>
      <c r="AM70" s="121">
        <f t="shared" si="21"/>
        <v>8969757.8000000529</v>
      </c>
      <c r="AN70" s="121">
        <f t="shared" si="21"/>
        <v>19782292.079500057</v>
      </c>
      <c r="AO70" s="121">
        <f t="shared" si="21"/>
        <v>46255000.317000069</v>
      </c>
      <c r="AP70" s="121">
        <f t="shared" si="21"/>
        <v>77946941.497500092</v>
      </c>
      <c r="AQ70" s="121">
        <f t="shared" si="21"/>
        <v>109638882.67800011</v>
      </c>
      <c r="AR70" s="121">
        <f t="shared" si="21"/>
        <v>141330823.85850012</v>
      </c>
      <c r="AS70" s="121">
        <f t="shared" si="21"/>
        <v>173022765.03900015</v>
      </c>
      <c r="AT70" s="121">
        <f t="shared" si="21"/>
        <v>204714706.21950018</v>
      </c>
      <c r="AU70" s="121">
        <f t="shared" si="21"/>
        <v>236406647.40000021</v>
      </c>
      <c r="AV70" s="121">
        <f t="shared" si="21"/>
        <v>268098588.58050025</v>
      </c>
      <c r="AW70" s="121">
        <f t="shared" si="21"/>
        <v>299790529.76100028</v>
      </c>
      <c r="AX70" s="121">
        <f t="shared" si="21"/>
        <v>331482470.94150031</v>
      </c>
      <c r="AY70" s="121">
        <f t="shared" si="21"/>
        <v>347514238.16400033</v>
      </c>
      <c r="AZ70" s="121">
        <f t="shared" si="21"/>
        <v>356832319.57263535</v>
      </c>
      <c r="BA70" s="121">
        <f t="shared" si="21"/>
        <v>381385735.84892035</v>
      </c>
      <c r="BB70" s="121">
        <f t="shared" si="21"/>
        <v>411002051.99369037</v>
      </c>
      <c r="BC70" s="121">
        <f t="shared" si="21"/>
        <v>440618368.1384604</v>
      </c>
      <c r="BD70" s="121">
        <f t="shared" si="21"/>
        <v>470234684.28323042</v>
      </c>
      <c r="BE70" s="121">
        <f t="shared" si="21"/>
        <v>499851000.42800045</v>
      </c>
      <c r="BF70" s="121">
        <f t="shared" si="21"/>
        <v>529467316.57277048</v>
      </c>
      <c r="BG70" s="121">
        <f t="shared" si="21"/>
        <v>559083632.7175405</v>
      </c>
      <c r="BH70" s="121">
        <f t="shared" si="21"/>
        <v>588699948.86231053</v>
      </c>
      <c r="BI70" s="121">
        <f t="shared" si="21"/>
        <v>618316265.00708055</v>
      </c>
      <c r="BJ70" s="121">
        <f t="shared" si="21"/>
        <v>647932581.15185058</v>
      </c>
      <c r="BK70" s="121">
        <f t="shared" si="21"/>
        <v>662337863.15707564</v>
      </c>
      <c r="BL70" s="130">
        <f ca="1">+BK58-BK70</f>
        <v>90485583.149999976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1082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45862500</v>
      </c>
      <c r="E7" s="121">
        <f ca="1">P50</f>
        <v>11657383.149999991</v>
      </c>
      <c r="F7" s="121">
        <f ca="1">AB50</f>
        <v>-7491381.8500000238</v>
      </c>
      <c r="G7" s="121">
        <f ca="1">AN50</f>
        <v>99455340.950000033</v>
      </c>
      <c r="H7" s="121">
        <f ca="1">AZ50</f>
        <v>437999821.31400037</v>
      </c>
      <c r="I7" s="121">
        <f ca="1">BL50</f>
        <v>752823446.30707562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45862500</v>
      </c>
      <c r="E10" s="121">
        <f ca="1">P53</f>
        <v>11657383.149999991</v>
      </c>
      <c r="F10" s="121">
        <f ca="1">AB53</f>
        <v>-7491381.8500000238</v>
      </c>
      <c r="G10" s="121">
        <f ca="1">SUM(G7:G9)</f>
        <v>99455340.950000033</v>
      </c>
      <c r="H10" s="121">
        <f ca="1">SUM(H7:H9)</f>
        <v>437999821.31400037</v>
      </c>
      <c r="I10" s="121">
        <f ca="1">SUM(I7:I9)</f>
        <v>752823446.30707562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9575000</v>
      </c>
      <c r="F13" s="121">
        <f>AB56</f>
        <v>9655000</v>
      </c>
      <c r="G13" s="121">
        <f>AN56</f>
        <v>9655000</v>
      </c>
      <c r="H13" s="121">
        <f>AZ56</f>
        <v>9655000</v>
      </c>
      <c r="I13" s="121">
        <f>BL56</f>
        <v>9655000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-1418750</v>
      </c>
      <c r="F14" s="121">
        <f>AB57</f>
        <v>-3349749.9999999991</v>
      </c>
      <c r="G14" s="121">
        <f>AN57</f>
        <v>-5280750</v>
      </c>
      <c r="H14" s="121">
        <f>AZ57</f>
        <v>-7211750.0000000037</v>
      </c>
      <c r="I14" s="121">
        <f>BL57</f>
        <v>-9142750.0000000037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8156250</v>
      </c>
      <c r="F15" s="121">
        <f>AB58</f>
        <v>6305250.0000000009</v>
      </c>
      <c r="G15" s="121">
        <f>AN58</f>
        <v>4374250</v>
      </c>
      <c r="H15" s="121">
        <f>AZ58</f>
        <v>2443249.9999999963</v>
      </c>
      <c r="I15" s="121">
        <f>BL58</f>
        <v>512249.99999999627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45862500</v>
      </c>
      <c r="E17" s="121">
        <f ca="1">E15+E10</f>
        <v>19813633.149999991</v>
      </c>
      <c r="F17" s="121">
        <f ca="1">F15+F10</f>
        <v>-1186131.8500000229</v>
      </c>
      <c r="G17" s="121">
        <f ca="1">G15+G10</f>
        <v>103829590.95000003</v>
      </c>
      <c r="H17" s="121">
        <f ca="1">H15+H10</f>
        <v>440443071.31400037</v>
      </c>
      <c r="I17" s="121">
        <f ca="1">I15+I10</f>
        <v>753335696.30707562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45862500</v>
      </c>
      <c r="E34" s="121">
        <f ca="1">P77</f>
        <v>90485583.149999991</v>
      </c>
      <c r="F34" s="121">
        <f ca="1">AB77</f>
        <v>90485583.149999991</v>
      </c>
      <c r="G34" s="121">
        <f ca="1">AN77</f>
        <v>90485583.149999991</v>
      </c>
      <c r="H34" s="121">
        <f ca="1">AZ77</f>
        <v>90485583.149999991</v>
      </c>
      <c r="I34" s="121">
        <f ca="1">BL77</f>
        <v>90485583.149999991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-63893466.666666642</v>
      </c>
      <c r="F35" s="121">
        <f>AB78</f>
        <v>-87274663.333333358</v>
      </c>
      <c r="G35" s="121">
        <f>AN78</f>
        <v>11171099.016666722</v>
      </c>
      <c r="H35" s="121">
        <f>AZ78</f>
        <v>334086637.60816687</v>
      </c>
      <c r="I35" s="121">
        <f>BL78</f>
        <v>648605747.81851721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-6778483.3333333321</v>
      </c>
      <c r="F36" s="121">
        <f>AB79</f>
        <v>-4397051.6666666679</v>
      </c>
      <c r="G36" s="121">
        <f>AN79</f>
        <v>2172908.7833333313</v>
      </c>
      <c r="H36" s="121">
        <f>AZ79</f>
        <v>15870850.55583334</v>
      </c>
      <c r="I36" s="121">
        <f>BL79</f>
        <v>14244365.338558339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45862500</v>
      </c>
      <c r="E37" s="121">
        <f ca="1">P80</f>
        <v>19813633.150000017</v>
      </c>
      <c r="F37" s="121">
        <f ca="1">AB80</f>
        <v>-1186131.850000035</v>
      </c>
      <c r="G37" s="121">
        <f ca="1">AN80</f>
        <v>103829590.95000005</v>
      </c>
      <c r="H37" s="121">
        <f ca="1">AZ80</f>
        <v>440443071.31400019</v>
      </c>
      <c r="I37" s="121">
        <f ca="1">BL80</f>
        <v>753335696.3070755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45862500</v>
      </c>
      <c r="E39" s="121">
        <f ca="1">E37+E31</f>
        <v>19813633.150000017</v>
      </c>
      <c r="F39" s="121">
        <f ca="1">F37+F31</f>
        <v>-1186131.850000035</v>
      </c>
      <c r="G39" s="121">
        <f ca="1">G37+G31</f>
        <v>103829590.95000005</v>
      </c>
      <c r="H39" s="121">
        <f ca="1">H37+H31</f>
        <v>440443071.31400019</v>
      </c>
      <c r="I39" s="121">
        <f ca="1">I37+I31</f>
        <v>753335696.3070755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946</v>
      </c>
      <c r="C42" s="321"/>
      <c r="D42" s="275" t="s">
        <v>64</v>
      </c>
      <c r="E42" s="406" t="s">
        <v>35</v>
      </c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 t="s">
        <v>36</v>
      </c>
      <c r="R42" s="406"/>
      <c r="S42" s="406"/>
      <c r="T42" s="406"/>
      <c r="U42" s="406"/>
      <c r="V42" s="406"/>
      <c r="W42" s="406"/>
      <c r="X42" s="406"/>
      <c r="Y42" s="406"/>
      <c r="Z42" s="406"/>
      <c r="AA42" s="406"/>
      <c r="AB42" s="406"/>
      <c r="AC42" s="406" t="s">
        <v>37</v>
      </c>
      <c r="AD42" s="406"/>
      <c r="AE42" s="406"/>
      <c r="AF42" s="406"/>
      <c r="AG42" s="406"/>
      <c r="AH42" s="406"/>
      <c r="AI42" s="406"/>
      <c r="AJ42" s="406"/>
      <c r="AK42" s="406"/>
      <c r="AL42" s="406"/>
      <c r="AM42" s="406"/>
      <c r="AN42" s="406"/>
      <c r="AO42" s="406" t="s">
        <v>38</v>
      </c>
      <c r="AP42" s="406"/>
      <c r="AQ42" s="406"/>
      <c r="AR42" s="406"/>
      <c r="AS42" s="406"/>
      <c r="AT42" s="406"/>
      <c r="AU42" s="406"/>
      <c r="AV42" s="406"/>
      <c r="AW42" s="406"/>
      <c r="AX42" s="406"/>
      <c r="AY42" s="406"/>
      <c r="AZ42" s="406"/>
      <c r="BA42" s="406" t="s">
        <v>39</v>
      </c>
      <c r="BB42" s="406"/>
      <c r="BC42" s="406"/>
      <c r="BD42" s="406"/>
      <c r="BE42" s="406"/>
      <c r="BF42" s="406"/>
      <c r="BG42" s="406"/>
      <c r="BH42" s="406"/>
      <c r="BI42" s="406"/>
      <c r="BJ42" s="406"/>
      <c r="BK42" s="406"/>
      <c r="BL42" s="406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443</v>
      </c>
      <c r="C47" s="135"/>
    </row>
    <row r="48" spans="2:64" x14ac:dyDescent="0.15">
      <c r="B48" s="305"/>
      <c r="C48" s="135"/>
    </row>
    <row r="49" spans="2:64" x14ac:dyDescent="0.15">
      <c r="B49" s="305" t="s">
        <v>444</v>
      </c>
      <c r="C49" s="135"/>
    </row>
    <row r="50" spans="2:64" x14ac:dyDescent="0.15">
      <c r="B50" s="308" t="s">
        <v>440</v>
      </c>
      <c r="C50" s="136"/>
      <c r="D50" s="121">
        <f ca="1">IF($D42="Y",'FIN-CASHFLOW_CWS'!C58,'FIN-CASHFLOW_CWS'!C70)</f>
        <v>45862500</v>
      </c>
      <c r="E50" s="121">
        <f ca="1">IF($D42="Y",'FIN-CASHFLOW_CWS'!D58,'FIN-CASHFLOW_CWS'!D70)</f>
        <v>45862500</v>
      </c>
      <c r="F50" s="121">
        <f ca="1">IF($D42="Y",'FIN-CASHFLOW_CWS'!E58,'FIN-CASHFLOW_CWS'!E70)</f>
        <v>45862500</v>
      </c>
      <c r="G50" s="121">
        <f ca="1">IF($D42="Y",'FIN-CASHFLOW_CWS'!F58,'FIN-CASHFLOW_CWS'!F70)</f>
        <v>45862500</v>
      </c>
      <c r="H50" s="121">
        <f ca="1">IF($D42="Y",'FIN-CASHFLOW_CWS'!G58,'FIN-CASHFLOW_CWS'!G70)</f>
        <v>23911000</v>
      </c>
      <c r="I50" s="121">
        <f ca="1">IF($D42="Y",'FIN-CASHFLOW_CWS'!H58,'FIN-CASHFLOW_CWS'!H70)</f>
        <v>15124000</v>
      </c>
      <c r="J50" s="121">
        <f ca="1">IF($D42="Y",'FIN-CASHFLOW_CWS'!I58,'FIN-CASHFLOW_CWS'!I70)</f>
        <v>7573700.0000000009</v>
      </c>
      <c r="K50" s="121">
        <f ca="1">IF($D42="Y",'FIN-CASHFLOW_CWS'!J58,'FIN-CASHFLOW_CWS'!J70)</f>
        <v>0</v>
      </c>
      <c r="L50" s="121">
        <f ca="1">IF($D42="Y",'FIN-CASHFLOW_CWS'!K58,'FIN-CASHFLOW_CWS'!K70)</f>
        <v>19166700</v>
      </c>
      <c r="M50" s="121">
        <f ca="1">IF($D42="Y",'FIN-CASHFLOW_CWS'!L58,'FIN-CASHFLOW_CWS'!L70)</f>
        <v>12383200</v>
      </c>
      <c r="N50" s="121">
        <f ca="1">IF($D42="Y",'FIN-CASHFLOW_CWS'!M58,'FIN-CASHFLOW_CWS'!M70)</f>
        <v>5993300.0000000009</v>
      </c>
      <c r="O50" s="121">
        <f ca="1">IF($D42="Y",'FIN-CASHFLOW_CWS'!N58,'FIN-CASHFLOW_CWS'!N70)</f>
        <v>0</v>
      </c>
      <c r="P50" s="121">
        <f ca="1">IF($D42="Y",'FIN-CASHFLOW_CWS'!O58,'FIN-CASHFLOW_CWS'!O70)</f>
        <v>11657383.149999991</v>
      </c>
      <c r="Q50" s="121">
        <f ca="1">IF($D42="Y",'FIN-CASHFLOW_CWS'!P58,'FIN-CASHFLOW_CWS'!P70)</f>
        <v>5096668.1499999901</v>
      </c>
      <c r="R50" s="121">
        <f ca="1">IF($D42="Y",'FIN-CASHFLOW_CWS'!Q58,'FIN-CASHFLOW_CWS'!Q70)</f>
        <v>2345688.1499999887</v>
      </c>
      <c r="S50" s="121">
        <f ca="1">IF($D42="Y",'FIN-CASHFLOW_CWS'!R58,'FIN-CASHFLOW_CWS'!R70)</f>
        <v>834473.14999998757</v>
      </c>
      <c r="T50" s="121">
        <f ca="1">IF($D42="Y",'FIN-CASHFLOW_CWS'!S58,'FIN-CASHFLOW_CWS'!S70)</f>
        <v>323258.14999998634</v>
      </c>
      <c r="U50" s="121">
        <f ca="1">IF($D42="Y",'FIN-CASHFLOW_CWS'!T58,'FIN-CASHFLOW_CWS'!T70)</f>
        <v>-187956.85000001488</v>
      </c>
      <c r="V50" s="121">
        <f ca="1">IF($D42="Y",'FIN-CASHFLOW_CWS'!U58,'FIN-CASHFLOW_CWS'!U70)</f>
        <v>-699171.85000001616</v>
      </c>
      <c r="W50" s="121">
        <f ca="1">IF($D42="Y",'FIN-CASHFLOW_CWS'!V58,'FIN-CASHFLOW_CWS'!V70)</f>
        <v>-1210386.8500000173</v>
      </c>
      <c r="X50" s="121">
        <f ca="1">IF($D42="Y",'FIN-CASHFLOW_CWS'!W58,'FIN-CASHFLOW_CWS'!W70)</f>
        <v>-1721601.8500000185</v>
      </c>
      <c r="Y50" s="121">
        <f ca="1">IF($D42="Y",'FIN-CASHFLOW_CWS'!X58,'FIN-CASHFLOW_CWS'!X70)</f>
        <v>-2232816.8500000197</v>
      </c>
      <c r="Z50" s="121">
        <f ca="1">IF($D42="Y",'FIN-CASHFLOW_CWS'!Y58,'FIN-CASHFLOW_CWS'!Y70)</f>
        <v>-2744031.850000021</v>
      </c>
      <c r="AA50" s="121">
        <f ca="1">IF($D42="Y",'FIN-CASHFLOW_CWS'!Z58,'FIN-CASHFLOW_CWS'!Z70)</f>
        <v>-3255246.8500000224</v>
      </c>
      <c r="AB50" s="121">
        <f ca="1">IF($D42="Y",'FIN-CASHFLOW_CWS'!AA58,'FIN-CASHFLOW_CWS'!AA70)</f>
        <v>-7491381.8500000238</v>
      </c>
      <c r="AC50" s="121">
        <f ca="1">IF($D42="Y",'FIN-CASHFLOW_CWS'!AB58,'FIN-CASHFLOW_CWS'!AB70)</f>
        <v>-7974417.9500000244</v>
      </c>
      <c r="AD50" s="121">
        <f ca="1">IF($D42="Y",'FIN-CASHFLOW_CWS'!AC58,'FIN-CASHFLOW_CWS'!AC70)</f>
        <v>-1.862645149230957E-8</v>
      </c>
      <c r="AE50" s="121">
        <f ca="1">IF($D42="Y",'FIN-CASHFLOW_CWS'!AD58,'FIN-CASHFLOW_CWS'!AD70)</f>
        <v>10791279.499999987</v>
      </c>
      <c r="AF50" s="121">
        <f ca="1">IF($D42="Y",'FIN-CASHFLOW_CWS'!AE58,'FIN-CASHFLOW_CWS'!AE70)</f>
        <v>21582558.999999993</v>
      </c>
      <c r="AG50" s="121">
        <f ca="1">IF($D42="Y",'FIN-CASHFLOW_CWS'!AF58,'FIN-CASHFLOW_CWS'!AF70)</f>
        <v>32373838.5</v>
      </c>
      <c r="AH50" s="121">
        <f ca="1">IF($D42="Y",'FIN-CASHFLOW_CWS'!AG58,'FIN-CASHFLOW_CWS'!AG70)</f>
        <v>43165118.000000007</v>
      </c>
      <c r="AI50" s="121">
        <f ca="1">IF($D42="Y",'FIN-CASHFLOW_CWS'!AH58,'FIN-CASHFLOW_CWS'!AH70)</f>
        <v>53956397.500000015</v>
      </c>
      <c r="AJ50" s="121">
        <f ca="1">IF($D42="Y",'FIN-CASHFLOW_CWS'!AI58,'FIN-CASHFLOW_CWS'!AI70)</f>
        <v>64747677.000000022</v>
      </c>
      <c r="AK50" s="121">
        <f ca="1">IF($D42="Y",'FIN-CASHFLOW_CWS'!AJ58,'FIN-CASHFLOW_CWS'!AJ70)</f>
        <v>75538956.50000003</v>
      </c>
      <c r="AL50" s="121">
        <f ca="1">IF($D42="Y",'FIN-CASHFLOW_CWS'!AK58,'FIN-CASHFLOW_CWS'!AK70)</f>
        <v>86330236.00000003</v>
      </c>
      <c r="AM50" s="121">
        <f ca="1">IF($D42="Y",'FIN-CASHFLOW_CWS'!AL58,'FIN-CASHFLOW_CWS'!AL70)</f>
        <v>97121515.50000003</v>
      </c>
      <c r="AN50" s="121">
        <f ca="1">IF($D42="Y",'FIN-CASHFLOW_CWS'!AM58,'FIN-CASHFLOW_CWS'!AM70)</f>
        <v>99455340.950000033</v>
      </c>
      <c r="AO50" s="121">
        <f ca="1">IF($D42="Y",'FIN-CASHFLOW_CWS'!AN58,'FIN-CASHFLOW_CWS'!AN70)</f>
        <v>110267875.22950004</v>
      </c>
      <c r="AP50" s="121">
        <f ca="1">IF($D42="Y",'FIN-CASHFLOW_CWS'!AO58,'FIN-CASHFLOW_CWS'!AO70)</f>
        <v>136740583.46700007</v>
      </c>
      <c r="AQ50" s="121">
        <f ca="1">IF($D42="Y",'FIN-CASHFLOW_CWS'!AP58,'FIN-CASHFLOW_CWS'!AP70)</f>
        <v>168432524.6475001</v>
      </c>
      <c r="AR50" s="121">
        <f ca="1">IF($D42="Y",'FIN-CASHFLOW_CWS'!AQ58,'FIN-CASHFLOW_CWS'!AQ70)</f>
        <v>200124465.82800013</v>
      </c>
      <c r="AS50" s="121">
        <f ca="1">IF($D42="Y",'FIN-CASHFLOW_CWS'!AR58,'FIN-CASHFLOW_CWS'!AR70)</f>
        <v>231816407.00850016</v>
      </c>
      <c r="AT50" s="121">
        <f ca="1">IF($D42="Y",'FIN-CASHFLOW_CWS'!AS58,'FIN-CASHFLOW_CWS'!AS70)</f>
        <v>263508348.18900019</v>
      </c>
      <c r="AU50" s="121">
        <f ca="1">IF($D42="Y",'FIN-CASHFLOW_CWS'!AT58,'FIN-CASHFLOW_CWS'!AT70)</f>
        <v>295200289.36950022</v>
      </c>
      <c r="AV50" s="121">
        <f ca="1">IF($D42="Y",'FIN-CASHFLOW_CWS'!AU58,'FIN-CASHFLOW_CWS'!AU70)</f>
        <v>326892230.55000025</v>
      </c>
      <c r="AW50" s="121">
        <f ca="1">IF($D42="Y",'FIN-CASHFLOW_CWS'!AV58,'FIN-CASHFLOW_CWS'!AV70)</f>
        <v>358584171.73050028</v>
      </c>
      <c r="AX50" s="121">
        <f ca="1">IF($D42="Y",'FIN-CASHFLOW_CWS'!AW58,'FIN-CASHFLOW_CWS'!AW70)</f>
        <v>390276112.91100031</v>
      </c>
      <c r="AY50" s="121">
        <f ca="1">IF($D42="Y",'FIN-CASHFLOW_CWS'!AX58,'FIN-CASHFLOW_CWS'!AX70)</f>
        <v>421968054.09150034</v>
      </c>
      <c r="AZ50" s="121">
        <f ca="1">IF($D42="Y",'FIN-CASHFLOW_CWS'!AY58,'FIN-CASHFLOW_CWS'!AY70)</f>
        <v>437999821.31400037</v>
      </c>
      <c r="BA50" s="121">
        <f ca="1">IF($D42="Y",'FIN-CASHFLOW_CWS'!AZ58,'FIN-CASHFLOW_CWS'!AZ70)</f>
        <v>447317902.72263539</v>
      </c>
      <c r="BB50" s="121">
        <f ca="1">IF($D42="Y",'FIN-CASHFLOW_CWS'!BA58,'FIN-CASHFLOW_CWS'!BA70)</f>
        <v>471871318.99892038</v>
      </c>
      <c r="BC50" s="121">
        <f ca="1">IF($D42="Y",'FIN-CASHFLOW_CWS'!BB58,'FIN-CASHFLOW_CWS'!BB70)</f>
        <v>501487635.14369041</v>
      </c>
      <c r="BD50" s="121">
        <f ca="1">IF($D42="Y",'FIN-CASHFLOW_CWS'!BC58,'FIN-CASHFLOW_CWS'!BC70)</f>
        <v>531103951.28846043</v>
      </c>
      <c r="BE50" s="121">
        <f ca="1">IF($D42="Y",'FIN-CASHFLOW_CWS'!BD58,'FIN-CASHFLOW_CWS'!BD70)</f>
        <v>560720267.4332304</v>
      </c>
      <c r="BF50" s="121">
        <f ca="1">IF($D42="Y",'FIN-CASHFLOW_CWS'!BE58,'FIN-CASHFLOW_CWS'!BE70)</f>
        <v>590336583.57800043</v>
      </c>
      <c r="BG50" s="121">
        <f ca="1">IF($D42="Y",'FIN-CASHFLOW_CWS'!BF58,'FIN-CASHFLOW_CWS'!BF70)</f>
        <v>619952899.72277045</v>
      </c>
      <c r="BH50" s="121">
        <f ca="1">IF($D42="Y",'FIN-CASHFLOW_CWS'!BG58,'FIN-CASHFLOW_CWS'!BG70)</f>
        <v>649569215.86754048</v>
      </c>
      <c r="BI50" s="121">
        <f ca="1">IF($D42="Y",'FIN-CASHFLOW_CWS'!BH58,'FIN-CASHFLOW_CWS'!BH70)</f>
        <v>679185532.0123105</v>
      </c>
      <c r="BJ50" s="121">
        <f ca="1">IF($D42="Y",'FIN-CASHFLOW_CWS'!BI58,'FIN-CASHFLOW_CWS'!BI70)</f>
        <v>708801848.15708053</v>
      </c>
      <c r="BK50" s="121">
        <f ca="1">IF($D42="Y",'FIN-CASHFLOW_CWS'!BJ58,'FIN-CASHFLOW_CWS'!BJ70)</f>
        <v>738418164.30185056</v>
      </c>
      <c r="BL50" s="121">
        <f ca="1">IF($D42="Y",'FIN-CASHFLOW_CWS'!BK58,'FIN-CASHFLOW_CWS'!BK70)</f>
        <v>752823446.30707562</v>
      </c>
    </row>
    <row r="51" spans="2:64" x14ac:dyDescent="0.15">
      <c r="B51" s="308" t="s">
        <v>445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446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447</v>
      </c>
      <c r="C53" s="135"/>
      <c r="D53" s="121">
        <f ca="1">SUM(D50:D52)</f>
        <v>45862500</v>
      </c>
      <c r="E53" s="121">
        <f ca="1">SUM(E50:E52)</f>
        <v>45862500</v>
      </c>
      <c r="F53" s="121">
        <f t="shared" ref="F53:BL53" ca="1" si="3">SUM(F50:F52)</f>
        <v>45862500</v>
      </c>
      <c r="G53" s="121">
        <f t="shared" ca="1" si="3"/>
        <v>45862500</v>
      </c>
      <c r="H53" s="121">
        <f t="shared" ca="1" si="3"/>
        <v>23911000</v>
      </c>
      <c r="I53" s="121">
        <f t="shared" ca="1" si="3"/>
        <v>15124000</v>
      </c>
      <c r="J53" s="121">
        <f t="shared" ca="1" si="3"/>
        <v>7573700.0000000009</v>
      </c>
      <c r="K53" s="121">
        <f t="shared" ca="1" si="3"/>
        <v>0</v>
      </c>
      <c r="L53" s="121">
        <f t="shared" ca="1" si="3"/>
        <v>19166700</v>
      </c>
      <c r="M53" s="121">
        <f t="shared" ca="1" si="3"/>
        <v>12383200</v>
      </c>
      <c r="N53" s="121">
        <f t="shared" ca="1" si="3"/>
        <v>5993300.0000000009</v>
      </c>
      <c r="O53" s="121">
        <f t="shared" ca="1" si="3"/>
        <v>0</v>
      </c>
      <c r="P53" s="121">
        <f t="shared" ca="1" si="3"/>
        <v>11657383.149999991</v>
      </c>
      <c r="Q53" s="121">
        <f t="shared" ca="1" si="3"/>
        <v>5096668.1499999901</v>
      </c>
      <c r="R53" s="121">
        <f t="shared" ca="1" si="3"/>
        <v>2345688.1499999887</v>
      </c>
      <c r="S53" s="121">
        <f t="shared" ca="1" si="3"/>
        <v>834473.14999998757</v>
      </c>
      <c r="T53" s="121">
        <f t="shared" ca="1" si="3"/>
        <v>323258.14999998634</v>
      </c>
      <c r="U53" s="121">
        <f t="shared" ca="1" si="3"/>
        <v>-187956.85000001488</v>
      </c>
      <c r="V53" s="121">
        <f t="shared" ca="1" si="3"/>
        <v>-699171.85000001616</v>
      </c>
      <c r="W53" s="121">
        <f t="shared" ca="1" si="3"/>
        <v>-1210386.8500000173</v>
      </c>
      <c r="X53" s="121">
        <f t="shared" ca="1" si="3"/>
        <v>-1721601.8500000185</v>
      </c>
      <c r="Y53" s="121">
        <f t="shared" ca="1" si="3"/>
        <v>-2232816.8500000197</v>
      </c>
      <c r="Z53" s="121">
        <f t="shared" ca="1" si="3"/>
        <v>-2744031.850000021</v>
      </c>
      <c r="AA53" s="121">
        <f t="shared" ca="1" si="3"/>
        <v>-3255246.8500000224</v>
      </c>
      <c r="AB53" s="121">
        <f t="shared" ca="1" si="3"/>
        <v>-7491381.8500000238</v>
      </c>
      <c r="AC53" s="121">
        <f t="shared" ca="1" si="3"/>
        <v>-7974417.9500000244</v>
      </c>
      <c r="AD53" s="121">
        <f t="shared" ca="1" si="3"/>
        <v>-1.862645149230957E-8</v>
      </c>
      <c r="AE53" s="121">
        <f t="shared" ca="1" si="3"/>
        <v>10791279.499999987</v>
      </c>
      <c r="AF53" s="121">
        <f t="shared" ca="1" si="3"/>
        <v>21582558.999999993</v>
      </c>
      <c r="AG53" s="121">
        <f t="shared" ca="1" si="3"/>
        <v>32373838.5</v>
      </c>
      <c r="AH53" s="121">
        <f t="shared" ca="1" si="3"/>
        <v>43165118.000000007</v>
      </c>
      <c r="AI53" s="121">
        <f t="shared" ca="1" si="3"/>
        <v>53956397.500000015</v>
      </c>
      <c r="AJ53" s="121">
        <f t="shared" ca="1" si="3"/>
        <v>64747677.000000022</v>
      </c>
      <c r="AK53" s="121">
        <f t="shared" ca="1" si="3"/>
        <v>75538956.50000003</v>
      </c>
      <c r="AL53" s="121">
        <f t="shared" ca="1" si="3"/>
        <v>86330236.00000003</v>
      </c>
      <c r="AM53" s="121">
        <f t="shared" ca="1" si="3"/>
        <v>97121515.50000003</v>
      </c>
      <c r="AN53" s="121">
        <f t="shared" ca="1" si="3"/>
        <v>99455340.950000033</v>
      </c>
      <c r="AO53" s="121">
        <f t="shared" ca="1" si="3"/>
        <v>110267875.22950004</v>
      </c>
      <c r="AP53" s="121">
        <f t="shared" ca="1" si="3"/>
        <v>136740583.46700007</v>
      </c>
      <c r="AQ53" s="121">
        <f t="shared" ca="1" si="3"/>
        <v>168432524.6475001</v>
      </c>
      <c r="AR53" s="121">
        <f t="shared" ca="1" si="3"/>
        <v>200124465.82800013</v>
      </c>
      <c r="AS53" s="121">
        <f t="shared" ca="1" si="3"/>
        <v>231816407.00850016</v>
      </c>
      <c r="AT53" s="121">
        <f t="shared" ca="1" si="3"/>
        <v>263508348.18900019</v>
      </c>
      <c r="AU53" s="121">
        <f t="shared" ca="1" si="3"/>
        <v>295200289.36950022</v>
      </c>
      <c r="AV53" s="121">
        <f t="shared" ca="1" si="3"/>
        <v>326892230.55000025</v>
      </c>
      <c r="AW53" s="121">
        <f t="shared" ca="1" si="3"/>
        <v>358584171.73050028</v>
      </c>
      <c r="AX53" s="121">
        <f t="shared" ca="1" si="3"/>
        <v>390276112.91100031</v>
      </c>
      <c r="AY53" s="121">
        <f t="shared" ca="1" si="3"/>
        <v>421968054.09150034</v>
      </c>
      <c r="AZ53" s="121">
        <f t="shared" ca="1" si="3"/>
        <v>437999821.31400037</v>
      </c>
      <c r="BA53" s="121">
        <f t="shared" ca="1" si="3"/>
        <v>447317902.72263539</v>
      </c>
      <c r="BB53" s="121">
        <f t="shared" ca="1" si="3"/>
        <v>471871318.99892038</v>
      </c>
      <c r="BC53" s="121">
        <f t="shared" ca="1" si="3"/>
        <v>501487635.14369041</v>
      </c>
      <c r="BD53" s="121">
        <f t="shared" ca="1" si="3"/>
        <v>531103951.28846043</v>
      </c>
      <c r="BE53" s="121">
        <f t="shared" ca="1" si="3"/>
        <v>560720267.4332304</v>
      </c>
      <c r="BF53" s="121">
        <f t="shared" ca="1" si="3"/>
        <v>590336583.57800043</v>
      </c>
      <c r="BG53" s="121">
        <f t="shared" ca="1" si="3"/>
        <v>619952899.72277045</v>
      </c>
      <c r="BH53" s="121">
        <f t="shared" ca="1" si="3"/>
        <v>649569215.86754048</v>
      </c>
      <c r="BI53" s="121">
        <f t="shared" ca="1" si="3"/>
        <v>679185532.0123105</v>
      </c>
      <c r="BJ53" s="121">
        <f t="shared" ca="1" si="3"/>
        <v>708801848.15708053</v>
      </c>
      <c r="BK53" s="121">
        <f t="shared" ca="1" si="3"/>
        <v>738418164.30185056</v>
      </c>
      <c r="BL53" s="121">
        <f t="shared" ca="1" si="3"/>
        <v>752823446.30707562</v>
      </c>
    </row>
    <row r="54" spans="2:64" x14ac:dyDescent="0.15">
      <c r="B54" s="308" t="s">
        <v>441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448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269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8605000</v>
      </c>
      <c r="I56" s="121">
        <f>'CAPEX-FA_CWS '!H19</f>
        <v>9495000</v>
      </c>
      <c r="J56" s="121">
        <f>'CAPEX-FA_CWS '!I19</f>
        <v>9575000</v>
      </c>
      <c r="K56" s="121">
        <f>'CAPEX-FA_CWS '!J19</f>
        <v>9575000</v>
      </c>
      <c r="L56" s="121">
        <f>'CAPEX-FA_CWS '!K19</f>
        <v>9575000</v>
      </c>
      <c r="M56" s="121">
        <f>'CAPEX-FA_CWS '!L19</f>
        <v>9575000</v>
      </c>
      <c r="N56" s="121">
        <f>'CAPEX-FA_CWS '!M19</f>
        <v>9575000</v>
      </c>
      <c r="O56" s="121">
        <f>'CAPEX-FA_CWS '!N19</f>
        <v>9575000</v>
      </c>
      <c r="P56" s="121">
        <f>'CAPEX-FA_CWS '!O19</f>
        <v>9575000</v>
      </c>
      <c r="Q56" s="121">
        <f>'CAPEX-FA_CWS '!P19</f>
        <v>9655000</v>
      </c>
      <c r="R56" s="121">
        <f>'CAPEX-FA_CWS '!Q19</f>
        <v>9655000</v>
      </c>
      <c r="S56" s="121">
        <f>'CAPEX-FA_CWS '!R19</f>
        <v>9655000</v>
      </c>
      <c r="T56" s="121">
        <f>'CAPEX-FA_CWS '!S19</f>
        <v>9655000</v>
      </c>
      <c r="U56" s="121">
        <f>'CAPEX-FA_CWS '!T19</f>
        <v>9655000</v>
      </c>
      <c r="V56" s="121">
        <f>'CAPEX-FA_CWS '!U19</f>
        <v>9655000</v>
      </c>
      <c r="W56" s="121">
        <f>'CAPEX-FA_CWS '!V19</f>
        <v>9655000</v>
      </c>
      <c r="X56" s="121">
        <f>'CAPEX-FA_CWS '!W19</f>
        <v>9655000</v>
      </c>
      <c r="Y56" s="121">
        <f>'CAPEX-FA_CWS '!X19</f>
        <v>9655000</v>
      </c>
      <c r="Z56" s="121">
        <f>'CAPEX-FA_CWS '!Y19</f>
        <v>9655000</v>
      </c>
      <c r="AA56" s="121">
        <f>'CAPEX-FA_CWS '!Z19</f>
        <v>9655000</v>
      </c>
      <c r="AB56" s="121">
        <f>'CAPEX-FA_CWS '!AA19</f>
        <v>9655000</v>
      </c>
      <c r="AC56" s="121">
        <f>'CAPEX-FA_CWS '!AB19</f>
        <v>9655000</v>
      </c>
      <c r="AD56" s="121">
        <f>'CAPEX-FA_CWS '!AC19</f>
        <v>9655000</v>
      </c>
      <c r="AE56" s="121">
        <f>'CAPEX-FA_CWS '!AD19</f>
        <v>9655000</v>
      </c>
      <c r="AF56" s="121">
        <f>'CAPEX-FA_CWS '!AE19</f>
        <v>9655000</v>
      </c>
      <c r="AG56" s="121">
        <f>'CAPEX-FA_CWS '!AF19</f>
        <v>9655000</v>
      </c>
      <c r="AH56" s="121">
        <f>'CAPEX-FA_CWS '!AG19</f>
        <v>9655000</v>
      </c>
      <c r="AI56" s="121">
        <f>'CAPEX-FA_CWS '!AH19</f>
        <v>9655000</v>
      </c>
      <c r="AJ56" s="121">
        <f>'CAPEX-FA_CWS '!AI19</f>
        <v>9655000</v>
      </c>
      <c r="AK56" s="121">
        <f>'CAPEX-FA_CWS '!AJ19</f>
        <v>9655000</v>
      </c>
      <c r="AL56" s="121">
        <f>'CAPEX-FA_CWS '!AK19</f>
        <v>9655000</v>
      </c>
      <c r="AM56" s="121">
        <f>'CAPEX-FA_CWS '!AL19</f>
        <v>9655000</v>
      </c>
      <c r="AN56" s="121">
        <f>'CAPEX-FA_CWS '!AM19</f>
        <v>9655000</v>
      </c>
      <c r="AO56" s="121">
        <f>'CAPEX-FA_CWS '!AN19</f>
        <v>9655000</v>
      </c>
      <c r="AP56" s="121">
        <f>'CAPEX-FA_CWS '!AO19</f>
        <v>9655000</v>
      </c>
      <c r="AQ56" s="121">
        <f>'CAPEX-FA_CWS '!AP19</f>
        <v>9655000</v>
      </c>
      <c r="AR56" s="121">
        <f>'CAPEX-FA_CWS '!AQ19</f>
        <v>9655000</v>
      </c>
      <c r="AS56" s="121">
        <f>'CAPEX-FA_CWS '!AR19</f>
        <v>9655000</v>
      </c>
      <c r="AT56" s="121">
        <f>'CAPEX-FA_CWS '!AS19</f>
        <v>9655000</v>
      </c>
      <c r="AU56" s="121">
        <f>'CAPEX-FA_CWS '!AT19</f>
        <v>9655000</v>
      </c>
      <c r="AV56" s="121">
        <f>'CAPEX-FA_CWS '!AU19</f>
        <v>9655000</v>
      </c>
      <c r="AW56" s="121">
        <f>'CAPEX-FA_CWS '!AV19</f>
        <v>9655000</v>
      </c>
      <c r="AX56" s="121">
        <f>'CAPEX-FA_CWS '!AW19</f>
        <v>9655000</v>
      </c>
      <c r="AY56" s="121">
        <f>'CAPEX-FA_CWS '!AX19</f>
        <v>9655000</v>
      </c>
      <c r="AZ56" s="121">
        <f>'CAPEX-FA_CWS '!AY19</f>
        <v>9655000</v>
      </c>
      <c r="BA56" s="121">
        <f>'CAPEX-FA_CWS '!AZ19</f>
        <v>9655000</v>
      </c>
      <c r="BB56" s="121">
        <f>'CAPEX-FA_CWS '!BA19</f>
        <v>9655000</v>
      </c>
      <c r="BC56" s="121">
        <f>'CAPEX-FA_CWS '!BB19</f>
        <v>9655000</v>
      </c>
      <c r="BD56" s="121">
        <f>'CAPEX-FA_CWS '!BC19</f>
        <v>9655000</v>
      </c>
      <c r="BE56" s="121">
        <f>'CAPEX-FA_CWS '!BD19</f>
        <v>9655000</v>
      </c>
      <c r="BF56" s="121">
        <f>'CAPEX-FA_CWS '!BE19</f>
        <v>9655000</v>
      </c>
      <c r="BG56" s="121">
        <f>'CAPEX-FA_CWS '!BF19</f>
        <v>9655000</v>
      </c>
      <c r="BH56" s="121">
        <f>'CAPEX-FA_CWS '!BG19</f>
        <v>9655000</v>
      </c>
      <c r="BI56" s="121">
        <f>'CAPEX-FA_CWS '!BH19</f>
        <v>9655000</v>
      </c>
      <c r="BJ56" s="121">
        <f>'CAPEX-FA_CWS '!BI19</f>
        <v>9655000</v>
      </c>
      <c r="BK56" s="121">
        <f>'CAPEX-FA_CWS '!BJ19</f>
        <v>9655000</v>
      </c>
      <c r="BL56" s="121">
        <f>'CAPEX-FA_CWS '!BK19</f>
        <v>9655000</v>
      </c>
    </row>
    <row r="57" spans="2:64" x14ac:dyDescent="0.15">
      <c r="B57" s="308" t="s">
        <v>273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-143416.66666666666</v>
      </c>
      <c r="I57" s="121">
        <f>'CAPEX-FA_CWS '!H22</f>
        <v>-301666.66666666663</v>
      </c>
      <c r="J57" s="121">
        <f>'CAPEX-FA_CWS '!I22</f>
        <v>-461250</v>
      </c>
      <c r="K57" s="121">
        <f>'CAPEX-FA_CWS '!J22</f>
        <v>-620833.33333333337</v>
      </c>
      <c r="L57" s="121">
        <f>'CAPEX-FA_CWS '!K22</f>
        <v>-780416.66666666674</v>
      </c>
      <c r="M57" s="121">
        <f>'CAPEX-FA_CWS '!L22</f>
        <v>-940000.00000000012</v>
      </c>
      <c r="N57" s="121">
        <f>'CAPEX-FA_CWS '!M22</f>
        <v>-1099583.3333333335</v>
      </c>
      <c r="O57" s="121">
        <f>'CAPEX-FA_CWS '!N22</f>
        <v>-1259166.6666666667</v>
      </c>
      <c r="P57" s="121">
        <f>'CAPEX-FA_CWS '!O22</f>
        <v>-1418750</v>
      </c>
      <c r="Q57" s="121">
        <f>'CAPEX-FA_CWS '!P22</f>
        <v>-1579666.6666666667</v>
      </c>
      <c r="R57" s="121">
        <f>'CAPEX-FA_CWS '!Q22</f>
        <v>-1740583.3333333335</v>
      </c>
      <c r="S57" s="121">
        <f>'CAPEX-FA_CWS '!R22</f>
        <v>-1901500.0000000002</v>
      </c>
      <c r="T57" s="121">
        <f>'CAPEX-FA_CWS '!S22</f>
        <v>-2062416.666666667</v>
      </c>
      <c r="U57" s="121">
        <f>'CAPEX-FA_CWS '!T22</f>
        <v>-2223333.3333333335</v>
      </c>
      <c r="V57" s="121">
        <f>'CAPEX-FA_CWS '!U22</f>
        <v>-2384250</v>
      </c>
      <c r="W57" s="121">
        <f>'CAPEX-FA_CWS '!V22</f>
        <v>-2545166.6666666665</v>
      </c>
      <c r="X57" s="121">
        <f>'CAPEX-FA_CWS '!W22</f>
        <v>-2706083.333333333</v>
      </c>
      <c r="Y57" s="121">
        <f>'CAPEX-FA_CWS '!X22</f>
        <v>-2866999.9999999995</v>
      </c>
      <c r="Z57" s="121">
        <f>'CAPEX-FA_CWS '!Y22</f>
        <v>-3027916.666666666</v>
      </c>
      <c r="AA57" s="121">
        <f>'CAPEX-FA_CWS '!Z22</f>
        <v>-3188833.3333333326</v>
      </c>
      <c r="AB57" s="121">
        <f>'CAPEX-FA_CWS '!AA22</f>
        <v>-3349749.9999999991</v>
      </c>
      <c r="AC57" s="121">
        <f>'CAPEX-FA_CWS '!AB22</f>
        <v>-3510666.6666666656</v>
      </c>
      <c r="AD57" s="121">
        <f>'CAPEX-FA_CWS '!AC22</f>
        <v>-3671583.3333333321</v>
      </c>
      <c r="AE57" s="121">
        <f>'CAPEX-FA_CWS '!AD22</f>
        <v>-3832499.9999999986</v>
      </c>
      <c r="AF57" s="121">
        <f>'CAPEX-FA_CWS '!AE22</f>
        <v>-3993416.6666666651</v>
      </c>
      <c r="AG57" s="121">
        <f>'CAPEX-FA_CWS '!AF22</f>
        <v>-4154333.3333333316</v>
      </c>
      <c r="AH57" s="121">
        <f>'CAPEX-FA_CWS '!AG22</f>
        <v>-4315249.9999999981</v>
      </c>
      <c r="AI57" s="121">
        <f>'CAPEX-FA_CWS '!AH22</f>
        <v>-4476166.6666666651</v>
      </c>
      <c r="AJ57" s="121">
        <f>'CAPEX-FA_CWS '!AI22</f>
        <v>-4637083.3333333321</v>
      </c>
      <c r="AK57" s="121">
        <f>'CAPEX-FA_CWS '!AJ22</f>
        <v>-4797999.9999999991</v>
      </c>
      <c r="AL57" s="121">
        <f>'CAPEX-FA_CWS '!AK22</f>
        <v>-4958916.666666666</v>
      </c>
      <c r="AM57" s="121">
        <f>'CAPEX-FA_CWS '!AL22</f>
        <v>-5119833.333333333</v>
      </c>
      <c r="AN57" s="121">
        <f>'CAPEX-FA_CWS '!AM22</f>
        <v>-5280750</v>
      </c>
      <c r="AO57" s="121">
        <f>'CAPEX-FA_CWS '!AN22</f>
        <v>-5441666.666666667</v>
      </c>
      <c r="AP57" s="121">
        <f>'CAPEX-FA_CWS '!AO22</f>
        <v>-5602583.333333334</v>
      </c>
      <c r="AQ57" s="121">
        <f>'CAPEX-FA_CWS '!AP22</f>
        <v>-5763500.0000000009</v>
      </c>
      <c r="AR57" s="121">
        <f>'CAPEX-FA_CWS '!AQ22</f>
        <v>-5924416.6666666679</v>
      </c>
      <c r="AS57" s="121">
        <f>'CAPEX-FA_CWS '!AR22</f>
        <v>-6085333.3333333349</v>
      </c>
      <c r="AT57" s="121">
        <f>'CAPEX-FA_CWS '!AS22</f>
        <v>-6246250.0000000019</v>
      </c>
      <c r="AU57" s="121">
        <f>'CAPEX-FA_CWS '!AT22</f>
        <v>-6407166.6666666688</v>
      </c>
      <c r="AV57" s="121">
        <f>'CAPEX-FA_CWS '!AU22</f>
        <v>-6568083.3333333358</v>
      </c>
      <c r="AW57" s="121">
        <f>'CAPEX-FA_CWS '!AV22</f>
        <v>-6729000.0000000028</v>
      </c>
      <c r="AX57" s="121">
        <f>'CAPEX-FA_CWS '!AW22</f>
        <v>-6889916.6666666698</v>
      </c>
      <c r="AY57" s="121">
        <f>'CAPEX-FA_CWS '!AX22</f>
        <v>-7050833.3333333367</v>
      </c>
      <c r="AZ57" s="121">
        <f>'CAPEX-FA_CWS '!AY22</f>
        <v>-7211750.0000000037</v>
      </c>
      <c r="BA57" s="121">
        <f>'CAPEX-FA_CWS '!AZ22</f>
        <v>-7372666.6666666707</v>
      </c>
      <c r="BB57" s="121">
        <f>'CAPEX-FA_CWS '!BA22</f>
        <v>-7533583.3333333377</v>
      </c>
      <c r="BC57" s="121">
        <f>'CAPEX-FA_CWS '!BB22</f>
        <v>-7694500.0000000047</v>
      </c>
      <c r="BD57" s="121">
        <f>'CAPEX-FA_CWS '!BC22</f>
        <v>-7855416.6666666716</v>
      </c>
      <c r="BE57" s="121">
        <f>'CAPEX-FA_CWS '!BD22</f>
        <v>-8016333.3333333386</v>
      </c>
      <c r="BF57" s="121">
        <f>'CAPEX-FA_CWS '!BE22</f>
        <v>-8177250.0000000056</v>
      </c>
      <c r="BG57" s="121">
        <f>'CAPEX-FA_CWS '!BF22</f>
        <v>-8338166.6666666726</v>
      </c>
      <c r="BH57" s="121">
        <f>'CAPEX-FA_CWS '!BG22</f>
        <v>-8499083.3333333395</v>
      </c>
      <c r="BI57" s="121">
        <f>'CAPEX-FA_CWS '!BH22</f>
        <v>-8660000.0000000056</v>
      </c>
      <c r="BJ57" s="121">
        <f>'CAPEX-FA_CWS '!BI22</f>
        <v>-8820916.6666666716</v>
      </c>
      <c r="BK57" s="121">
        <f>'CAPEX-FA_CWS '!BJ22</f>
        <v>-8981833.3333333377</v>
      </c>
      <c r="BL57" s="121">
        <f>'CAPEX-FA_CWS '!BK22</f>
        <v>-9142750.0000000037</v>
      </c>
    </row>
    <row r="58" spans="2:64" x14ac:dyDescent="0.15">
      <c r="B58" s="305" t="s">
        <v>449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8461583.333333334</v>
      </c>
      <c r="I58" s="121">
        <f t="shared" si="4"/>
        <v>9193333.333333334</v>
      </c>
      <c r="J58" s="121">
        <f t="shared" si="4"/>
        <v>9113750</v>
      </c>
      <c r="K58" s="121">
        <f t="shared" si="4"/>
        <v>8954166.666666666</v>
      </c>
      <c r="L58" s="121">
        <f t="shared" si="4"/>
        <v>8794583.333333334</v>
      </c>
      <c r="M58" s="121">
        <f t="shared" si="4"/>
        <v>8635000</v>
      </c>
      <c r="N58" s="121">
        <f t="shared" si="4"/>
        <v>8475416.666666666</v>
      </c>
      <c r="O58" s="121">
        <f t="shared" si="4"/>
        <v>8315833.333333333</v>
      </c>
      <c r="P58" s="121">
        <f t="shared" si="4"/>
        <v>8156250</v>
      </c>
      <c r="Q58" s="121">
        <f t="shared" si="4"/>
        <v>8075333.333333333</v>
      </c>
      <c r="R58" s="121">
        <f t="shared" si="4"/>
        <v>7914416.666666666</v>
      </c>
      <c r="S58" s="121">
        <f t="shared" si="4"/>
        <v>7753500</v>
      </c>
      <c r="T58" s="121">
        <f t="shared" si="4"/>
        <v>7592583.333333333</v>
      </c>
      <c r="U58" s="121">
        <f t="shared" si="4"/>
        <v>7431666.666666666</v>
      </c>
      <c r="V58" s="121">
        <f t="shared" si="4"/>
        <v>7270750</v>
      </c>
      <c r="W58" s="121">
        <f t="shared" si="4"/>
        <v>7109833.333333334</v>
      </c>
      <c r="X58" s="121">
        <f t="shared" si="4"/>
        <v>6948916.666666667</v>
      </c>
      <c r="Y58" s="121">
        <f t="shared" si="4"/>
        <v>6788000</v>
      </c>
      <c r="Z58" s="121">
        <f t="shared" si="4"/>
        <v>6627083.333333334</v>
      </c>
      <c r="AA58" s="121">
        <f t="shared" si="4"/>
        <v>6466166.6666666679</v>
      </c>
      <c r="AB58" s="121">
        <f t="shared" si="4"/>
        <v>6305250.0000000009</v>
      </c>
      <c r="AC58" s="121">
        <f t="shared" si="4"/>
        <v>6144333.333333334</v>
      </c>
      <c r="AD58" s="121">
        <f t="shared" si="4"/>
        <v>5983416.6666666679</v>
      </c>
      <c r="AE58" s="121">
        <f t="shared" si="4"/>
        <v>5822500.0000000019</v>
      </c>
      <c r="AF58" s="121">
        <f t="shared" si="4"/>
        <v>5661583.3333333349</v>
      </c>
      <c r="AG58" s="121">
        <f t="shared" si="4"/>
        <v>5500666.6666666679</v>
      </c>
      <c r="AH58" s="121">
        <f t="shared" si="4"/>
        <v>5339750.0000000019</v>
      </c>
      <c r="AI58" s="121">
        <f t="shared" si="4"/>
        <v>5178833.3333333349</v>
      </c>
      <c r="AJ58" s="121">
        <f t="shared" si="4"/>
        <v>5017916.6666666679</v>
      </c>
      <c r="AK58" s="121">
        <f t="shared" si="4"/>
        <v>4857000.0000000009</v>
      </c>
      <c r="AL58" s="121">
        <f t="shared" si="4"/>
        <v>4696083.333333334</v>
      </c>
      <c r="AM58" s="121">
        <f t="shared" si="4"/>
        <v>4535166.666666667</v>
      </c>
      <c r="AN58" s="121">
        <f t="shared" si="4"/>
        <v>4374250</v>
      </c>
      <c r="AO58" s="121">
        <f t="shared" si="4"/>
        <v>4213333.333333333</v>
      </c>
      <c r="AP58" s="121">
        <f t="shared" si="4"/>
        <v>4052416.666666666</v>
      </c>
      <c r="AQ58" s="121">
        <f t="shared" si="4"/>
        <v>3891499.9999999991</v>
      </c>
      <c r="AR58" s="121">
        <f t="shared" si="4"/>
        <v>3730583.3333333321</v>
      </c>
      <c r="AS58" s="121">
        <f t="shared" si="4"/>
        <v>3569666.6666666651</v>
      </c>
      <c r="AT58" s="121">
        <f t="shared" si="4"/>
        <v>3408749.9999999981</v>
      </c>
      <c r="AU58" s="121">
        <f t="shared" si="4"/>
        <v>3247833.3333333312</v>
      </c>
      <c r="AV58" s="121">
        <f t="shared" si="4"/>
        <v>3086916.6666666642</v>
      </c>
      <c r="AW58" s="121">
        <f t="shared" si="4"/>
        <v>2925999.9999999972</v>
      </c>
      <c r="AX58" s="121">
        <f t="shared" si="4"/>
        <v>2765083.3333333302</v>
      </c>
      <c r="AY58" s="121">
        <f t="shared" si="4"/>
        <v>2604166.6666666633</v>
      </c>
      <c r="AZ58" s="121">
        <f t="shared" si="4"/>
        <v>2443249.9999999963</v>
      </c>
      <c r="BA58" s="121">
        <f t="shared" si="4"/>
        <v>2282333.3333333293</v>
      </c>
      <c r="BB58" s="121">
        <f t="shared" si="4"/>
        <v>2121416.6666666623</v>
      </c>
      <c r="BC58" s="121">
        <f t="shared" si="4"/>
        <v>1960499.9999999953</v>
      </c>
      <c r="BD58" s="121">
        <f t="shared" si="4"/>
        <v>1799583.3333333284</v>
      </c>
      <c r="BE58" s="121">
        <f t="shared" si="4"/>
        <v>1638666.6666666614</v>
      </c>
      <c r="BF58" s="121">
        <f t="shared" si="4"/>
        <v>1477749.9999999944</v>
      </c>
      <c r="BG58" s="121">
        <f t="shared" si="4"/>
        <v>1316833.3333333274</v>
      </c>
      <c r="BH58" s="121">
        <f t="shared" si="4"/>
        <v>1155916.6666666605</v>
      </c>
      <c r="BI58" s="121">
        <f t="shared" si="4"/>
        <v>994999.99999999441</v>
      </c>
      <c r="BJ58" s="121">
        <f t="shared" si="4"/>
        <v>834083.33333332837</v>
      </c>
      <c r="BK58" s="121">
        <f t="shared" si="4"/>
        <v>673166.66666666232</v>
      </c>
      <c r="BL58" s="121">
        <f t="shared" si="4"/>
        <v>512249.99999999627</v>
      </c>
    </row>
    <row r="59" spans="2:64" x14ac:dyDescent="0.15">
      <c r="B59" s="308" t="s">
        <v>441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450</v>
      </c>
      <c r="C60" s="135"/>
      <c r="D60" s="121">
        <f t="shared" ref="D60:AI60" ca="1" si="5">D58+D53</f>
        <v>45862500</v>
      </c>
      <c r="E60" s="121">
        <f t="shared" ca="1" si="5"/>
        <v>45862500</v>
      </c>
      <c r="F60" s="121">
        <f t="shared" ca="1" si="5"/>
        <v>45862500</v>
      </c>
      <c r="G60" s="121">
        <f t="shared" ca="1" si="5"/>
        <v>45862500</v>
      </c>
      <c r="H60" s="121">
        <f t="shared" ca="1" si="5"/>
        <v>32372583.333333336</v>
      </c>
      <c r="I60" s="121">
        <f t="shared" ca="1" si="5"/>
        <v>24317333.333333336</v>
      </c>
      <c r="J60" s="121">
        <f t="shared" ca="1" si="5"/>
        <v>16687450</v>
      </c>
      <c r="K60" s="121">
        <f t="shared" ca="1" si="5"/>
        <v>8954166.666666666</v>
      </c>
      <c r="L60" s="121">
        <f t="shared" ca="1" si="5"/>
        <v>27961283.333333336</v>
      </c>
      <c r="M60" s="121">
        <f t="shared" ca="1" si="5"/>
        <v>21018200</v>
      </c>
      <c r="N60" s="121">
        <f t="shared" ca="1" si="5"/>
        <v>14468716.666666668</v>
      </c>
      <c r="O60" s="121">
        <f t="shared" ca="1" si="5"/>
        <v>8315833.333333333</v>
      </c>
      <c r="P60" s="121">
        <f t="shared" ca="1" si="5"/>
        <v>19813633.149999991</v>
      </c>
      <c r="Q60" s="121">
        <f t="shared" ca="1" si="5"/>
        <v>13172001.483333323</v>
      </c>
      <c r="R60" s="121">
        <f t="shared" ca="1" si="5"/>
        <v>10260104.816666655</v>
      </c>
      <c r="S60" s="121">
        <f t="shared" ca="1" si="5"/>
        <v>8587973.1499999873</v>
      </c>
      <c r="T60" s="121">
        <f t="shared" ca="1" si="5"/>
        <v>7915841.4833333194</v>
      </c>
      <c r="U60" s="121">
        <f t="shared" ca="1" si="5"/>
        <v>7243709.8166666515</v>
      </c>
      <c r="V60" s="121">
        <f t="shared" ca="1" si="5"/>
        <v>6571578.1499999836</v>
      </c>
      <c r="W60" s="121">
        <f t="shared" ca="1" si="5"/>
        <v>5899446.4833333166</v>
      </c>
      <c r="X60" s="121">
        <f t="shared" ca="1" si="5"/>
        <v>5227314.8166666487</v>
      </c>
      <c r="Y60" s="121">
        <f t="shared" ca="1" si="5"/>
        <v>4555183.1499999799</v>
      </c>
      <c r="Z60" s="121">
        <f t="shared" ca="1" si="5"/>
        <v>3883051.4833333129</v>
      </c>
      <c r="AA60" s="121">
        <f t="shared" ca="1" si="5"/>
        <v>3210919.8166666455</v>
      </c>
      <c r="AB60" s="121">
        <f t="shared" ca="1" si="5"/>
        <v>-1186131.8500000229</v>
      </c>
      <c r="AC60" s="121">
        <f t="shared" ca="1" si="5"/>
        <v>-1830084.6166666904</v>
      </c>
      <c r="AD60" s="121">
        <f t="shared" ca="1" si="5"/>
        <v>5983416.6666666493</v>
      </c>
      <c r="AE60" s="121">
        <f t="shared" ca="1" si="5"/>
        <v>16613779.499999989</v>
      </c>
      <c r="AF60" s="121">
        <f t="shared" ca="1" si="5"/>
        <v>27244142.333333328</v>
      </c>
      <c r="AG60" s="121">
        <f t="shared" ca="1" si="5"/>
        <v>37874505.166666672</v>
      </c>
      <c r="AH60" s="121">
        <f t="shared" ca="1" si="5"/>
        <v>48504868.000000007</v>
      </c>
      <c r="AI60" s="121">
        <f t="shared" ca="1" si="5"/>
        <v>59135230.833333351</v>
      </c>
      <c r="AJ60" s="121">
        <f t="shared" ref="AJ60:BL60" ca="1" si="6">AJ58+AJ53</f>
        <v>69765593.666666687</v>
      </c>
      <c r="AK60" s="121">
        <f t="shared" ca="1" si="6"/>
        <v>80395956.50000003</v>
      </c>
      <c r="AL60" s="121">
        <f t="shared" ca="1" si="6"/>
        <v>91026319.333333358</v>
      </c>
      <c r="AM60" s="121">
        <f t="shared" ca="1" si="6"/>
        <v>101656682.1666667</v>
      </c>
      <c r="AN60" s="121">
        <f t="shared" ca="1" si="6"/>
        <v>103829590.95000003</v>
      </c>
      <c r="AO60" s="121">
        <f t="shared" ca="1" si="6"/>
        <v>114481208.56283337</v>
      </c>
      <c r="AP60" s="121">
        <f t="shared" ca="1" si="6"/>
        <v>140793000.13366672</v>
      </c>
      <c r="AQ60" s="121">
        <f t="shared" ca="1" si="6"/>
        <v>172324024.6475001</v>
      </c>
      <c r="AR60" s="121">
        <f t="shared" ca="1" si="6"/>
        <v>203855049.16133347</v>
      </c>
      <c r="AS60" s="121">
        <f t="shared" ca="1" si="6"/>
        <v>235386073.67516682</v>
      </c>
      <c r="AT60" s="121">
        <f t="shared" ca="1" si="6"/>
        <v>266917098.18900019</v>
      </c>
      <c r="AU60" s="121">
        <f t="shared" ca="1" si="6"/>
        <v>298448122.70283353</v>
      </c>
      <c r="AV60" s="121">
        <f t="shared" ca="1" si="6"/>
        <v>329979147.21666694</v>
      </c>
      <c r="AW60" s="121">
        <f t="shared" ca="1" si="6"/>
        <v>361510171.73050028</v>
      </c>
      <c r="AX60" s="121">
        <f t="shared" ca="1" si="6"/>
        <v>393041196.24433362</v>
      </c>
      <c r="AY60" s="121">
        <f t="shared" ca="1" si="6"/>
        <v>424572220.75816703</v>
      </c>
      <c r="AZ60" s="121">
        <f t="shared" ca="1" si="6"/>
        <v>440443071.31400037</v>
      </c>
      <c r="BA60" s="121">
        <f t="shared" ca="1" si="6"/>
        <v>449600236.0559687</v>
      </c>
      <c r="BB60" s="121">
        <f t="shared" ca="1" si="6"/>
        <v>473992735.66558707</v>
      </c>
      <c r="BC60" s="121">
        <f t="shared" ca="1" si="6"/>
        <v>503448135.14369041</v>
      </c>
      <c r="BD60" s="121">
        <f t="shared" ca="1" si="6"/>
        <v>532903534.62179375</v>
      </c>
      <c r="BE60" s="121">
        <f t="shared" ca="1" si="6"/>
        <v>562358934.09989703</v>
      </c>
      <c r="BF60" s="121">
        <f t="shared" ca="1" si="6"/>
        <v>591814333.57800043</v>
      </c>
      <c r="BG60" s="121">
        <f t="shared" ca="1" si="6"/>
        <v>621269733.05610383</v>
      </c>
      <c r="BH60" s="121">
        <f t="shared" ca="1" si="6"/>
        <v>650725132.53420711</v>
      </c>
      <c r="BI60" s="121">
        <f t="shared" ca="1" si="6"/>
        <v>680180532.0123105</v>
      </c>
      <c r="BJ60" s="121">
        <f t="shared" ca="1" si="6"/>
        <v>709635931.4904139</v>
      </c>
      <c r="BK60" s="121">
        <f t="shared" ca="1" si="6"/>
        <v>739091330.96851718</v>
      </c>
      <c r="BL60" s="121">
        <f t="shared" ca="1" si="6"/>
        <v>753335696.30707562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1026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358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452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455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1027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1028</v>
      </c>
      <c r="C77" s="136"/>
      <c r="D77" s="121">
        <f ca="1">IF($D42="Y",'FIN-CASHFLOW_CWS'!C60,'FIN-CASHFLOW_CWS'!C65)</f>
        <v>45862500</v>
      </c>
      <c r="E77" s="121">
        <f ca="1">IF($D42="Y",'FIN-CASHFLOW_CWS'!D60,'FIN-CASHFLOW_CWS'!D65)</f>
        <v>45862500</v>
      </c>
      <c r="F77" s="121">
        <f ca="1">IF($D42="Y",'FIN-CASHFLOW_CWS'!E60,'FIN-CASHFLOW_CWS'!E65)</f>
        <v>45862500</v>
      </c>
      <c r="G77" s="121">
        <f ca="1">IF($D42="Y",'FIN-CASHFLOW_CWS'!F60,'FIN-CASHFLOW_CWS'!F65)</f>
        <v>45862500</v>
      </c>
      <c r="H77" s="121">
        <f ca="1">IF($D42="Y",'FIN-CASHFLOW_CWS'!G60,'FIN-CASHFLOW_CWS'!G65)</f>
        <v>45862500</v>
      </c>
      <c r="I77" s="121">
        <f ca="1">IF($D42="Y",'FIN-CASHFLOW_CWS'!H60,'FIN-CASHFLOW_CWS'!H65)</f>
        <v>45862500</v>
      </c>
      <c r="J77" s="121">
        <f ca="1">IF($D42="Y",'FIN-CASHFLOW_CWS'!I60,'FIN-CASHFLOW_CWS'!I65)</f>
        <v>45862500</v>
      </c>
      <c r="K77" s="121">
        <f ca="1">IF($D42="Y",'FIN-CASHFLOW_CWS'!J60,'FIN-CASHFLOW_CWS'!J65)</f>
        <v>45862500</v>
      </c>
      <c r="L77" s="121">
        <f ca="1">IF($D42="Y",'FIN-CASHFLOW_CWS'!K60,'FIN-CASHFLOW_CWS'!K65)</f>
        <v>72209300</v>
      </c>
      <c r="M77" s="121">
        <f ca="1">IF($D42="Y",'FIN-CASHFLOW_CWS'!L60,'FIN-CASHFLOW_CWS'!L65)</f>
        <v>72209300</v>
      </c>
      <c r="N77" s="121">
        <f ca="1">IF($D42="Y",'FIN-CASHFLOW_CWS'!M60,'FIN-CASHFLOW_CWS'!M65)</f>
        <v>72209300</v>
      </c>
      <c r="O77" s="121">
        <f ca="1">IF($D42="Y",'FIN-CASHFLOW_CWS'!N60,'FIN-CASHFLOW_CWS'!N65)</f>
        <v>72209300</v>
      </c>
      <c r="P77" s="121">
        <f ca="1">IF($D42="Y",'FIN-CASHFLOW_CWS'!O60,'FIN-CASHFLOW_CWS'!O65)</f>
        <v>90485583.149999991</v>
      </c>
      <c r="Q77" s="121">
        <f ca="1">IF($D42="Y",'FIN-CASHFLOW_CWS'!P60,'FIN-CASHFLOW_CWS'!P65)</f>
        <v>90485583.149999991</v>
      </c>
      <c r="R77" s="121">
        <f ca="1">IF($D42="Y",'FIN-CASHFLOW_CWS'!Q60,'FIN-CASHFLOW_CWS'!Q65)</f>
        <v>90485583.149999991</v>
      </c>
      <c r="S77" s="121">
        <f ca="1">IF($D42="Y",'FIN-CASHFLOW_CWS'!R60,'FIN-CASHFLOW_CWS'!R65)</f>
        <v>90485583.149999991</v>
      </c>
      <c r="T77" s="121">
        <f ca="1">IF($D42="Y",'FIN-CASHFLOW_CWS'!S60,'FIN-CASHFLOW_CWS'!S65)</f>
        <v>90485583.149999991</v>
      </c>
      <c r="U77" s="121">
        <f ca="1">IF($D42="Y",'FIN-CASHFLOW_CWS'!T60,'FIN-CASHFLOW_CWS'!T65)</f>
        <v>90485583.149999991</v>
      </c>
      <c r="V77" s="121">
        <f ca="1">IF($D42="Y",'FIN-CASHFLOW_CWS'!U60,'FIN-CASHFLOW_CWS'!U65)</f>
        <v>90485583.149999991</v>
      </c>
      <c r="W77" s="121">
        <f ca="1">IF($D42="Y",'FIN-CASHFLOW_CWS'!V60,'FIN-CASHFLOW_CWS'!V65)</f>
        <v>90485583.149999991</v>
      </c>
      <c r="X77" s="121">
        <f ca="1">IF($D42="Y",'FIN-CASHFLOW_CWS'!W60,'FIN-CASHFLOW_CWS'!W65)</f>
        <v>90485583.149999991</v>
      </c>
      <c r="Y77" s="121">
        <f ca="1">IF($D42="Y",'FIN-CASHFLOW_CWS'!X60,'FIN-CASHFLOW_CWS'!X65)</f>
        <v>90485583.149999991</v>
      </c>
      <c r="Z77" s="121">
        <f ca="1">IF($D42="Y",'FIN-CASHFLOW_CWS'!Y60,'FIN-CASHFLOW_CWS'!Y65)</f>
        <v>90485583.149999991</v>
      </c>
      <c r="AA77" s="121">
        <f ca="1">IF($D42="Y",'FIN-CASHFLOW_CWS'!Z60,'FIN-CASHFLOW_CWS'!Z65)</f>
        <v>90485583.149999991</v>
      </c>
      <c r="AB77" s="121">
        <f ca="1">IF($D42="Y",'FIN-CASHFLOW_CWS'!AA60,'FIN-CASHFLOW_CWS'!AA65)</f>
        <v>90485583.149999991</v>
      </c>
      <c r="AC77" s="121">
        <f ca="1">IF($D42="Y",'FIN-CASHFLOW_CWS'!AB60,'FIN-CASHFLOW_CWS'!AB65)</f>
        <v>90485583.149999991</v>
      </c>
      <c r="AD77" s="121">
        <f ca="1">IF($D42="Y",'FIN-CASHFLOW_CWS'!AC60,'FIN-CASHFLOW_CWS'!AC65)</f>
        <v>90485583.149999991</v>
      </c>
      <c r="AE77" s="121">
        <f ca="1">IF($D42="Y",'FIN-CASHFLOW_CWS'!AD60,'FIN-CASHFLOW_CWS'!AD65)</f>
        <v>90485583.149999991</v>
      </c>
      <c r="AF77" s="121">
        <f ca="1">IF($D42="Y",'FIN-CASHFLOW_CWS'!AE60,'FIN-CASHFLOW_CWS'!AE65)</f>
        <v>90485583.149999991</v>
      </c>
      <c r="AG77" s="121">
        <f ca="1">IF($D42="Y",'FIN-CASHFLOW_CWS'!AF60,'FIN-CASHFLOW_CWS'!AF65)</f>
        <v>90485583.149999991</v>
      </c>
      <c r="AH77" s="121">
        <f ca="1">IF($D42="Y",'FIN-CASHFLOW_CWS'!AG60,'FIN-CASHFLOW_CWS'!AG65)</f>
        <v>90485583.149999991</v>
      </c>
      <c r="AI77" s="121">
        <f ca="1">IF($D42="Y",'FIN-CASHFLOW_CWS'!AH60,'FIN-CASHFLOW_CWS'!AH65)</f>
        <v>90485583.149999991</v>
      </c>
      <c r="AJ77" s="121">
        <f ca="1">IF($D42="Y",'FIN-CASHFLOW_CWS'!AI60,'FIN-CASHFLOW_CWS'!AI65)</f>
        <v>90485583.149999991</v>
      </c>
      <c r="AK77" s="121">
        <f ca="1">IF($D42="Y",'FIN-CASHFLOW_CWS'!AJ60,'FIN-CASHFLOW_CWS'!AJ65)</f>
        <v>90485583.149999991</v>
      </c>
      <c r="AL77" s="121">
        <f ca="1">IF($D42="Y",'FIN-CASHFLOW_CWS'!AK60,'FIN-CASHFLOW_CWS'!AK65)</f>
        <v>90485583.149999991</v>
      </c>
      <c r="AM77" s="121">
        <f ca="1">IF($D42="Y",'FIN-CASHFLOW_CWS'!AL60,'FIN-CASHFLOW_CWS'!AL65)</f>
        <v>90485583.149999991</v>
      </c>
      <c r="AN77" s="121">
        <f ca="1">IF($D42="Y",'FIN-CASHFLOW_CWS'!AM60,'FIN-CASHFLOW_CWS'!AM65)</f>
        <v>90485583.149999991</v>
      </c>
      <c r="AO77" s="121">
        <f ca="1">IF($D42="Y",'FIN-CASHFLOW_CWS'!AN60,'FIN-CASHFLOW_CWS'!AN65)</f>
        <v>90485583.149999991</v>
      </c>
      <c r="AP77" s="121">
        <f ca="1">IF($D42="Y",'FIN-CASHFLOW_CWS'!AO60,'FIN-CASHFLOW_CWS'!AO65)</f>
        <v>90485583.149999991</v>
      </c>
      <c r="AQ77" s="121">
        <f ca="1">IF($D42="Y",'FIN-CASHFLOW_CWS'!AP60,'FIN-CASHFLOW_CWS'!AP65)</f>
        <v>90485583.149999991</v>
      </c>
      <c r="AR77" s="121">
        <f ca="1">IF($D42="Y",'FIN-CASHFLOW_CWS'!AQ60,'FIN-CASHFLOW_CWS'!AQ65)</f>
        <v>90485583.149999991</v>
      </c>
      <c r="AS77" s="121">
        <f ca="1">IF($D42="Y",'FIN-CASHFLOW_CWS'!AR60,'FIN-CASHFLOW_CWS'!AR65)</f>
        <v>90485583.149999991</v>
      </c>
      <c r="AT77" s="121">
        <f ca="1">IF($D42="Y",'FIN-CASHFLOW_CWS'!AS60,'FIN-CASHFLOW_CWS'!AS65)</f>
        <v>90485583.149999991</v>
      </c>
      <c r="AU77" s="121">
        <f ca="1">IF($D42="Y",'FIN-CASHFLOW_CWS'!AT60,'FIN-CASHFLOW_CWS'!AT65)</f>
        <v>90485583.149999991</v>
      </c>
      <c r="AV77" s="121">
        <f ca="1">IF($D42="Y",'FIN-CASHFLOW_CWS'!AU60,'FIN-CASHFLOW_CWS'!AU65)</f>
        <v>90485583.149999991</v>
      </c>
      <c r="AW77" s="121">
        <f ca="1">IF($D42="Y",'FIN-CASHFLOW_CWS'!AV60,'FIN-CASHFLOW_CWS'!AV65)</f>
        <v>90485583.149999991</v>
      </c>
      <c r="AX77" s="121">
        <f ca="1">IF($D42="Y",'FIN-CASHFLOW_CWS'!AW60,'FIN-CASHFLOW_CWS'!AW65)</f>
        <v>90485583.149999991</v>
      </c>
      <c r="AY77" s="121">
        <f ca="1">IF($D42="Y",'FIN-CASHFLOW_CWS'!AX60,'FIN-CASHFLOW_CWS'!AX65)</f>
        <v>90485583.149999991</v>
      </c>
      <c r="AZ77" s="121">
        <f ca="1">IF($D42="Y",'FIN-CASHFLOW_CWS'!AY60,'FIN-CASHFLOW_CWS'!AY65)</f>
        <v>90485583.149999991</v>
      </c>
      <c r="BA77" s="121">
        <f ca="1">IF($D42="Y",'FIN-CASHFLOW_CWS'!AZ60,'FIN-CASHFLOW_CWS'!AZ65)</f>
        <v>90485583.149999991</v>
      </c>
      <c r="BB77" s="121">
        <f ca="1">IF($D42="Y",'FIN-CASHFLOW_CWS'!BA60,'FIN-CASHFLOW_CWS'!BA65)</f>
        <v>90485583.149999991</v>
      </c>
      <c r="BC77" s="121">
        <f ca="1">IF($D42="Y",'FIN-CASHFLOW_CWS'!BB60,'FIN-CASHFLOW_CWS'!BB65)</f>
        <v>90485583.149999991</v>
      </c>
      <c r="BD77" s="121">
        <f ca="1">IF($D42="Y",'FIN-CASHFLOW_CWS'!BC60,'FIN-CASHFLOW_CWS'!BC65)</f>
        <v>90485583.149999991</v>
      </c>
      <c r="BE77" s="121">
        <f ca="1">IF($D42="Y",'FIN-CASHFLOW_CWS'!BD60,'FIN-CASHFLOW_CWS'!BD65)</f>
        <v>90485583.149999991</v>
      </c>
      <c r="BF77" s="121">
        <f ca="1">IF($D42="Y",'FIN-CASHFLOW_CWS'!BE60,'FIN-CASHFLOW_CWS'!BE65)</f>
        <v>90485583.149999991</v>
      </c>
      <c r="BG77" s="121">
        <f ca="1">IF($D42="Y",'FIN-CASHFLOW_CWS'!BF60,'FIN-CASHFLOW_CWS'!BF65)</f>
        <v>90485583.149999991</v>
      </c>
      <c r="BH77" s="121">
        <f ca="1">IF($D42="Y",'FIN-CASHFLOW_CWS'!BG60,'FIN-CASHFLOW_CWS'!BG65)</f>
        <v>90485583.149999991</v>
      </c>
      <c r="BI77" s="121">
        <f ca="1">IF($D42="Y",'FIN-CASHFLOW_CWS'!BH60,'FIN-CASHFLOW_CWS'!BH65)</f>
        <v>90485583.149999991</v>
      </c>
      <c r="BJ77" s="121">
        <f ca="1">IF($D42="Y",'FIN-CASHFLOW_CWS'!BI60,'FIN-CASHFLOW_CWS'!BI65)</f>
        <v>90485583.149999991</v>
      </c>
      <c r="BK77" s="121">
        <f ca="1">IF($D42="Y",'FIN-CASHFLOW_CWS'!BJ60,'FIN-CASHFLOW_CWS'!BJ65)</f>
        <v>90485583.149999991</v>
      </c>
      <c r="BL77" s="121">
        <f ca="1">IF($D42="Y",'FIN-CASHFLOW_CWS'!BK60,'FIN-CASHFLOW_CWS'!BK65)</f>
        <v>90485583.149999991</v>
      </c>
    </row>
    <row r="78" spans="2:64" x14ac:dyDescent="0.15">
      <c r="B78" s="308" t="s">
        <v>947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-13489916.666666666</v>
      </c>
      <c r="J78" s="121">
        <f t="shared" si="10"/>
        <v>-21545166.666666664</v>
      </c>
      <c r="K78" s="121">
        <f t="shared" si="10"/>
        <v>-29175049.999999996</v>
      </c>
      <c r="L78" s="121">
        <f t="shared" si="10"/>
        <v>-36908333.333333328</v>
      </c>
      <c r="M78" s="121">
        <f t="shared" si="10"/>
        <v>-44248016.666666657</v>
      </c>
      <c r="N78" s="121">
        <f t="shared" si="10"/>
        <v>-51191099.999999985</v>
      </c>
      <c r="O78" s="121">
        <f t="shared" si="10"/>
        <v>-57740583.333333313</v>
      </c>
      <c r="P78" s="121">
        <f t="shared" si="10"/>
        <v>-63893466.666666642</v>
      </c>
      <c r="Q78" s="121">
        <f t="shared" si="10"/>
        <v>-70671949.99999997</v>
      </c>
      <c r="R78" s="121">
        <f t="shared" si="10"/>
        <v>-77313581.666666642</v>
      </c>
      <c r="S78" s="121">
        <f t="shared" si="10"/>
        <v>-80225478.333333313</v>
      </c>
      <c r="T78" s="121">
        <f t="shared" si="10"/>
        <v>-81897609.999999985</v>
      </c>
      <c r="U78" s="121">
        <f t="shared" si="10"/>
        <v>-82569741.666666657</v>
      </c>
      <c r="V78" s="121">
        <f t="shared" si="10"/>
        <v>-83241873.333333328</v>
      </c>
      <c r="W78" s="121">
        <f t="shared" si="10"/>
        <v>-83914005</v>
      </c>
      <c r="X78" s="121">
        <f t="shared" si="10"/>
        <v>-84586136.666666672</v>
      </c>
      <c r="Y78" s="121">
        <f t="shared" si="10"/>
        <v>-85258268.333333343</v>
      </c>
      <c r="Z78" s="121">
        <f t="shared" si="10"/>
        <v>-85930400.000000015</v>
      </c>
      <c r="AA78" s="121">
        <f t="shared" si="10"/>
        <v>-86602531.666666687</v>
      </c>
      <c r="AB78" s="121">
        <f t="shared" si="10"/>
        <v>-87274663.333333358</v>
      </c>
      <c r="AC78" s="121">
        <f t="shared" si="10"/>
        <v>-91671715.00000003</v>
      </c>
      <c r="AD78" s="121">
        <f t="shared" si="10"/>
        <v>-92315667.766666695</v>
      </c>
      <c r="AE78" s="121">
        <f t="shared" si="10"/>
        <v>-84502166.483333349</v>
      </c>
      <c r="AF78" s="121">
        <f t="shared" si="10"/>
        <v>-73871803.650000006</v>
      </c>
      <c r="AG78" s="121">
        <f t="shared" si="10"/>
        <v>-63241440.816666663</v>
      </c>
      <c r="AH78" s="121">
        <f t="shared" si="10"/>
        <v>-52611077.983333319</v>
      </c>
      <c r="AI78" s="121">
        <f t="shared" si="10"/>
        <v>-41980715.149999976</v>
      </c>
      <c r="AJ78" s="121">
        <f t="shared" si="10"/>
        <v>-31350352.316666637</v>
      </c>
      <c r="AK78" s="121">
        <f t="shared" si="10"/>
        <v>-20719989.483333297</v>
      </c>
      <c r="AL78" s="121">
        <f t="shared" si="10"/>
        <v>-10089626.649999958</v>
      </c>
      <c r="AM78" s="121">
        <f t="shared" si="10"/>
        <v>540736.18333338201</v>
      </c>
      <c r="AN78" s="121">
        <f t="shared" si="10"/>
        <v>11171099.016666722</v>
      </c>
      <c r="AO78" s="121">
        <f t="shared" si="10"/>
        <v>13344007.800000053</v>
      </c>
      <c r="AP78" s="121">
        <f t="shared" si="10"/>
        <v>23995625.412833389</v>
      </c>
      <c r="AQ78" s="121">
        <f t="shared" si="10"/>
        <v>50307416.983666733</v>
      </c>
      <c r="AR78" s="121">
        <f t="shared" si="10"/>
        <v>81838441.497500077</v>
      </c>
      <c r="AS78" s="121">
        <f t="shared" si="10"/>
        <v>113369466.01133342</v>
      </c>
      <c r="AT78" s="121">
        <f t="shared" si="10"/>
        <v>144900490.52516678</v>
      </c>
      <c r="AU78" s="121">
        <f t="shared" si="10"/>
        <v>176431515.03900012</v>
      </c>
      <c r="AV78" s="121">
        <f t="shared" si="10"/>
        <v>207962539.55283347</v>
      </c>
      <c r="AW78" s="121">
        <f t="shared" si="10"/>
        <v>239493564.06666681</v>
      </c>
      <c r="AX78" s="121">
        <f t="shared" si="10"/>
        <v>271024588.58050019</v>
      </c>
      <c r="AY78" s="121">
        <f t="shared" si="10"/>
        <v>302555613.09433353</v>
      </c>
      <c r="AZ78" s="121">
        <f t="shared" si="10"/>
        <v>334086637.60816687</v>
      </c>
      <c r="BA78" s="121">
        <f t="shared" si="10"/>
        <v>349957488.16400021</v>
      </c>
      <c r="BB78" s="121">
        <f t="shared" si="10"/>
        <v>359114652.90596855</v>
      </c>
      <c r="BC78" s="121">
        <f t="shared" si="10"/>
        <v>383507152.51558691</v>
      </c>
      <c r="BD78" s="121">
        <f t="shared" si="10"/>
        <v>412962551.99369025</v>
      </c>
      <c r="BE78" s="121">
        <f t="shared" si="10"/>
        <v>442417951.47179359</v>
      </c>
      <c r="BF78" s="121">
        <f t="shared" si="10"/>
        <v>471873350.94989693</v>
      </c>
      <c r="BG78" s="121">
        <f t="shared" si="10"/>
        <v>501328750.42800027</v>
      </c>
      <c r="BH78" s="121">
        <f t="shared" si="10"/>
        <v>530784149.90610361</v>
      </c>
      <c r="BI78" s="121">
        <f t="shared" si="10"/>
        <v>560239549.38420701</v>
      </c>
      <c r="BJ78" s="121">
        <f t="shared" si="10"/>
        <v>589694948.86231041</v>
      </c>
      <c r="BK78" s="121">
        <f t="shared" si="10"/>
        <v>619150348.34041381</v>
      </c>
      <c r="BL78" s="121">
        <f t="shared" si="10"/>
        <v>648605747.81851721</v>
      </c>
    </row>
    <row r="79" spans="2:64" s="33" customFormat="1" x14ac:dyDescent="0.15">
      <c r="B79" s="309" t="s">
        <v>458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-13489916.666666666</v>
      </c>
      <c r="I79" s="70">
        <f>'FIN-CASHFLOW_CWS'!H35</f>
        <v>-8055250</v>
      </c>
      <c r="J79" s="70">
        <f>'FIN-CASHFLOW_CWS'!I35</f>
        <v>-7629883.3333333321</v>
      </c>
      <c r="K79" s="70">
        <f>'FIN-CASHFLOW_CWS'!J35</f>
        <v>-7733283.3333333321</v>
      </c>
      <c r="L79" s="70">
        <f>'FIN-CASHFLOW_CWS'!K35</f>
        <v>-7339683.3333333321</v>
      </c>
      <c r="M79" s="70">
        <f>'FIN-CASHFLOW_CWS'!L35</f>
        <v>-6943083.3333333321</v>
      </c>
      <c r="N79" s="70">
        <f>'FIN-CASHFLOW_CWS'!M35</f>
        <v>-6549483.3333333321</v>
      </c>
      <c r="O79" s="70">
        <f>'FIN-CASHFLOW_CWS'!N35</f>
        <v>-6152883.3333333321</v>
      </c>
      <c r="P79" s="70">
        <f>'FIN-CASHFLOW_CWS'!O35</f>
        <v>-6778483.3333333321</v>
      </c>
      <c r="Q79" s="70">
        <f>'FIN-CASHFLOW_CWS'!P35</f>
        <v>-6641631.6666666679</v>
      </c>
      <c r="R79" s="70">
        <f>'FIN-CASHFLOW_CWS'!Q35</f>
        <v>-2911896.6666666679</v>
      </c>
      <c r="S79" s="70">
        <f>'FIN-CASHFLOW_CWS'!R35</f>
        <v>-1672131.6666666679</v>
      </c>
      <c r="T79" s="70">
        <f>'FIN-CASHFLOW_CWS'!S35</f>
        <v>-672131.66666666791</v>
      </c>
      <c r="U79" s="70">
        <f>'FIN-CASHFLOW_CWS'!T35</f>
        <v>-672131.66666666791</v>
      </c>
      <c r="V79" s="70">
        <f>'FIN-CASHFLOW_CWS'!U35</f>
        <v>-672131.66666666791</v>
      </c>
      <c r="W79" s="70">
        <f>'FIN-CASHFLOW_CWS'!V35</f>
        <v>-672131.66666666791</v>
      </c>
      <c r="X79" s="70">
        <f>'FIN-CASHFLOW_CWS'!W35</f>
        <v>-672131.66666666791</v>
      </c>
      <c r="Y79" s="70">
        <f>'FIN-CASHFLOW_CWS'!X35</f>
        <v>-672131.66666666791</v>
      </c>
      <c r="Z79" s="70">
        <f>'FIN-CASHFLOW_CWS'!Y35</f>
        <v>-672131.66666666791</v>
      </c>
      <c r="AA79" s="70">
        <f>'FIN-CASHFLOW_CWS'!Z35</f>
        <v>-672131.66666666791</v>
      </c>
      <c r="AB79" s="70">
        <f>'FIN-CASHFLOW_CWS'!AA35</f>
        <v>-4397051.6666666679</v>
      </c>
      <c r="AC79" s="70">
        <f>'FIN-CASHFLOW_CWS'!AB35</f>
        <v>-643952.76666666754</v>
      </c>
      <c r="AD79" s="70">
        <f>'FIN-CASHFLOW_CWS'!AC35</f>
        <v>7813501.2833333388</v>
      </c>
      <c r="AE79" s="70">
        <f>'FIN-CASHFLOW_CWS'!AD35</f>
        <v>10630362.83333334</v>
      </c>
      <c r="AF79" s="70">
        <f>'FIN-CASHFLOW_CWS'!AE35</f>
        <v>10630362.83333334</v>
      </c>
      <c r="AG79" s="70">
        <f>'FIN-CASHFLOW_CWS'!AF35</f>
        <v>10630362.83333334</v>
      </c>
      <c r="AH79" s="70">
        <f>'FIN-CASHFLOW_CWS'!AG35</f>
        <v>10630362.83333334</v>
      </c>
      <c r="AI79" s="70">
        <f>'FIN-CASHFLOW_CWS'!AH35</f>
        <v>10630362.83333334</v>
      </c>
      <c r="AJ79" s="70">
        <f>'FIN-CASHFLOW_CWS'!AI35</f>
        <v>10630362.83333334</v>
      </c>
      <c r="AK79" s="70">
        <f>'FIN-CASHFLOW_CWS'!AJ35</f>
        <v>10630362.83333334</v>
      </c>
      <c r="AL79" s="70">
        <f>'FIN-CASHFLOW_CWS'!AK35</f>
        <v>10630362.83333334</v>
      </c>
      <c r="AM79" s="70">
        <f>'FIN-CASHFLOW_CWS'!AL35</f>
        <v>10630362.83333334</v>
      </c>
      <c r="AN79" s="70">
        <f>'FIN-CASHFLOW_CWS'!AM35</f>
        <v>2172908.7833333313</v>
      </c>
      <c r="AO79" s="70">
        <f>'FIN-CASHFLOW_CWS'!AN35</f>
        <v>10651617.612833336</v>
      </c>
      <c r="AP79" s="70">
        <f>'FIN-CASHFLOW_CWS'!AO35</f>
        <v>26311791.570833344</v>
      </c>
      <c r="AQ79" s="70">
        <f>'FIN-CASHFLOW_CWS'!AP35</f>
        <v>31531024.513833348</v>
      </c>
      <c r="AR79" s="70">
        <f>'FIN-CASHFLOW_CWS'!AQ35</f>
        <v>31531024.513833348</v>
      </c>
      <c r="AS79" s="70">
        <f>'FIN-CASHFLOW_CWS'!AR35</f>
        <v>31531024.513833348</v>
      </c>
      <c r="AT79" s="70">
        <f>'FIN-CASHFLOW_CWS'!AS35</f>
        <v>31531024.513833348</v>
      </c>
      <c r="AU79" s="70">
        <f>'FIN-CASHFLOW_CWS'!AT35</f>
        <v>31531024.513833348</v>
      </c>
      <c r="AV79" s="70">
        <f>'FIN-CASHFLOW_CWS'!AU35</f>
        <v>31531024.513833348</v>
      </c>
      <c r="AW79" s="70">
        <f>'FIN-CASHFLOW_CWS'!AV35</f>
        <v>31531024.513833348</v>
      </c>
      <c r="AX79" s="70">
        <f>'FIN-CASHFLOW_CWS'!AW35</f>
        <v>31531024.513833348</v>
      </c>
      <c r="AY79" s="70">
        <f>'FIN-CASHFLOW_CWS'!AX35</f>
        <v>31531024.513833348</v>
      </c>
      <c r="AZ79" s="70">
        <f>'FIN-CASHFLOW_CWS'!AY35</f>
        <v>15870850.55583334</v>
      </c>
      <c r="BA79" s="70">
        <f>'FIN-CASHFLOW_CWS'!AZ35</f>
        <v>9157164.7419683337</v>
      </c>
      <c r="BB79" s="70">
        <f>'FIN-CASHFLOW_CWS'!BA35</f>
        <v>24392499.609618343</v>
      </c>
      <c r="BC79" s="70">
        <f>'FIN-CASHFLOW_CWS'!BB35</f>
        <v>29455399.478103347</v>
      </c>
      <c r="BD79" s="70">
        <f>'FIN-CASHFLOW_CWS'!BC35</f>
        <v>29455399.478103347</v>
      </c>
      <c r="BE79" s="70">
        <f>'FIN-CASHFLOW_CWS'!BD35</f>
        <v>29455399.478103347</v>
      </c>
      <c r="BF79" s="70">
        <f>'FIN-CASHFLOW_CWS'!BE35</f>
        <v>29455399.478103347</v>
      </c>
      <c r="BG79" s="70">
        <f>'FIN-CASHFLOW_CWS'!BF35</f>
        <v>29455399.478103347</v>
      </c>
      <c r="BH79" s="70">
        <f>'FIN-CASHFLOW_CWS'!BG35</f>
        <v>29455399.478103347</v>
      </c>
      <c r="BI79" s="70">
        <f>'FIN-CASHFLOW_CWS'!BH35</f>
        <v>29455399.478103347</v>
      </c>
      <c r="BJ79" s="70">
        <f>'FIN-CASHFLOW_CWS'!BI35</f>
        <v>29455399.478103347</v>
      </c>
      <c r="BK79" s="70">
        <f>'FIN-CASHFLOW_CWS'!BJ35</f>
        <v>29455399.478103347</v>
      </c>
      <c r="BL79" s="70">
        <f>'FIN-CASHFLOW_CWS'!BK35</f>
        <v>14244365.338558339</v>
      </c>
    </row>
    <row r="80" spans="2:64" x14ac:dyDescent="0.15">
      <c r="B80" s="305" t="s">
        <v>1029</v>
      </c>
      <c r="C80" s="135"/>
      <c r="D80" s="121">
        <f ca="1">SUM(D77:D79)</f>
        <v>45862500</v>
      </c>
      <c r="E80" s="121">
        <f ca="1">SUM(E77:E79)</f>
        <v>45862500</v>
      </c>
      <c r="F80" s="121">
        <f t="shared" ref="F80:BL80" ca="1" si="11">SUM(F77:F79)</f>
        <v>45862500</v>
      </c>
      <c r="G80" s="121">
        <f t="shared" ca="1" si="11"/>
        <v>45862500</v>
      </c>
      <c r="H80" s="121">
        <f t="shared" ca="1" si="11"/>
        <v>32372583.333333336</v>
      </c>
      <c r="I80" s="121">
        <f t="shared" ca="1" si="11"/>
        <v>24317333.333333336</v>
      </c>
      <c r="J80" s="121">
        <f t="shared" ca="1" si="11"/>
        <v>16687450.000000004</v>
      </c>
      <c r="K80" s="121">
        <f t="shared" ca="1" si="11"/>
        <v>8954166.6666666716</v>
      </c>
      <c r="L80" s="121">
        <f t="shared" ca="1" si="11"/>
        <v>27961283.33333334</v>
      </c>
      <c r="M80" s="121">
        <f t="shared" ca="1" si="11"/>
        <v>21018200.000000011</v>
      </c>
      <c r="N80" s="121">
        <f t="shared" ca="1" si="11"/>
        <v>14468716.666666683</v>
      </c>
      <c r="O80" s="121">
        <f t="shared" ca="1" si="11"/>
        <v>8315833.3333333544</v>
      </c>
      <c r="P80" s="121">
        <f t="shared" ca="1" si="11"/>
        <v>19813633.150000017</v>
      </c>
      <c r="Q80" s="121">
        <f t="shared" ca="1" si="11"/>
        <v>13172001.483333353</v>
      </c>
      <c r="R80" s="121">
        <f t="shared" ca="1" si="11"/>
        <v>10260104.816666681</v>
      </c>
      <c r="S80" s="121">
        <f t="shared" ca="1" si="11"/>
        <v>8587973.1500000097</v>
      </c>
      <c r="T80" s="121">
        <f t="shared" ca="1" si="11"/>
        <v>7915841.4833333381</v>
      </c>
      <c r="U80" s="121">
        <f t="shared" ca="1" si="11"/>
        <v>7243709.8166666664</v>
      </c>
      <c r="V80" s="121">
        <f t="shared" ca="1" si="11"/>
        <v>6571578.1499999948</v>
      </c>
      <c r="W80" s="121">
        <f t="shared" ca="1" si="11"/>
        <v>5899446.4833333232</v>
      </c>
      <c r="X80" s="121">
        <f t="shared" ca="1" si="11"/>
        <v>5227314.8166666515</v>
      </c>
      <c r="Y80" s="121">
        <f t="shared" ca="1" si="11"/>
        <v>4555183.1499999799</v>
      </c>
      <c r="Z80" s="121">
        <f t="shared" ca="1" si="11"/>
        <v>3883051.4833333082</v>
      </c>
      <c r="AA80" s="121">
        <f t="shared" ca="1" si="11"/>
        <v>3210919.8166666366</v>
      </c>
      <c r="AB80" s="121">
        <f t="shared" ca="1" si="11"/>
        <v>-1186131.850000035</v>
      </c>
      <c r="AC80" s="121">
        <f t="shared" ca="1" si="11"/>
        <v>-1830084.6166667063</v>
      </c>
      <c r="AD80" s="121">
        <f t="shared" ca="1" si="11"/>
        <v>5983416.6666666344</v>
      </c>
      <c r="AE80" s="121">
        <f t="shared" ca="1" si="11"/>
        <v>16613779.499999981</v>
      </c>
      <c r="AF80" s="121">
        <f t="shared" ca="1" si="11"/>
        <v>27244142.333333325</v>
      </c>
      <c r="AG80" s="121">
        <f t="shared" ca="1" si="11"/>
        <v>37874505.166666672</v>
      </c>
      <c r="AH80" s="121">
        <f t="shared" ca="1" si="11"/>
        <v>48504868.000000015</v>
      </c>
      <c r="AI80" s="121">
        <f t="shared" ca="1" si="11"/>
        <v>59135230.833333358</v>
      </c>
      <c r="AJ80" s="121">
        <f t="shared" ca="1" si="11"/>
        <v>69765593.666666701</v>
      </c>
      <c r="AK80" s="121">
        <f t="shared" ca="1" si="11"/>
        <v>80395956.50000003</v>
      </c>
      <c r="AL80" s="121">
        <f t="shared" ca="1" si="11"/>
        <v>91026319.333333373</v>
      </c>
      <c r="AM80" s="121">
        <f t="shared" ca="1" si="11"/>
        <v>101656682.16666672</v>
      </c>
      <c r="AN80" s="121">
        <f t="shared" ca="1" si="11"/>
        <v>103829590.95000005</v>
      </c>
      <c r="AO80" s="121">
        <f t="shared" ca="1" si="11"/>
        <v>114481208.56283338</v>
      </c>
      <c r="AP80" s="121">
        <f t="shared" ca="1" si="11"/>
        <v>140793000.13366672</v>
      </c>
      <c r="AQ80" s="121">
        <f t="shared" ca="1" si="11"/>
        <v>172324024.64750007</v>
      </c>
      <c r="AR80" s="121">
        <f t="shared" ca="1" si="11"/>
        <v>203855049.16133341</v>
      </c>
      <c r="AS80" s="121">
        <f t="shared" ca="1" si="11"/>
        <v>235386073.67516676</v>
      </c>
      <c r="AT80" s="121">
        <f t="shared" ca="1" si="11"/>
        <v>266917098.18900013</v>
      </c>
      <c r="AU80" s="121">
        <f t="shared" ca="1" si="11"/>
        <v>298448122.70283347</v>
      </c>
      <c r="AV80" s="121">
        <f t="shared" ca="1" si="11"/>
        <v>329979147.21666682</v>
      </c>
      <c r="AW80" s="121">
        <f t="shared" ca="1" si="11"/>
        <v>361510171.73050016</v>
      </c>
      <c r="AX80" s="121">
        <f t="shared" ca="1" si="11"/>
        <v>393041196.24433351</v>
      </c>
      <c r="AY80" s="121">
        <f t="shared" ca="1" si="11"/>
        <v>424572220.75816685</v>
      </c>
      <c r="AZ80" s="121">
        <f t="shared" ca="1" si="11"/>
        <v>440443071.31400019</v>
      </c>
      <c r="BA80" s="121">
        <f t="shared" ca="1" si="11"/>
        <v>449600236.05596852</v>
      </c>
      <c r="BB80" s="121">
        <f t="shared" ca="1" si="11"/>
        <v>473992735.66558689</v>
      </c>
      <c r="BC80" s="121">
        <f t="shared" ca="1" si="11"/>
        <v>503448135.14369023</v>
      </c>
      <c r="BD80" s="121">
        <f t="shared" ca="1" si="11"/>
        <v>532903534.62179357</v>
      </c>
      <c r="BE80" s="121">
        <f t="shared" ca="1" si="11"/>
        <v>562358934.09989691</v>
      </c>
      <c r="BF80" s="121">
        <f t="shared" ca="1" si="11"/>
        <v>591814333.57800031</v>
      </c>
      <c r="BG80" s="121">
        <f t="shared" ca="1" si="11"/>
        <v>621269733.05610371</v>
      </c>
      <c r="BH80" s="121">
        <f t="shared" ca="1" si="11"/>
        <v>650725132.53420699</v>
      </c>
      <c r="BI80" s="121">
        <f t="shared" ca="1" si="11"/>
        <v>680180532.01231039</v>
      </c>
      <c r="BJ80" s="121">
        <f t="shared" ca="1" si="11"/>
        <v>709635931.49041378</v>
      </c>
      <c r="BK80" s="121">
        <f t="shared" ca="1" si="11"/>
        <v>739091330.96851718</v>
      </c>
      <c r="BL80" s="121">
        <f t="shared" ca="1" si="11"/>
        <v>753335696.3070755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1030</v>
      </c>
      <c r="C82" s="135"/>
      <c r="D82" s="121">
        <f t="shared" ref="D82:AI82" ca="1" si="12">D80+D74</f>
        <v>45862500</v>
      </c>
      <c r="E82" s="121">
        <f t="shared" ca="1" si="12"/>
        <v>45862500</v>
      </c>
      <c r="F82" s="121">
        <f t="shared" ca="1" si="12"/>
        <v>45862500</v>
      </c>
      <c r="G82" s="121">
        <f t="shared" ca="1" si="12"/>
        <v>45862500</v>
      </c>
      <c r="H82" s="121">
        <f t="shared" ca="1" si="12"/>
        <v>32372583.333333336</v>
      </c>
      <c r="I82" s="121">
        <f t="shared" ca="1" si="12"/>
        <v>24317333.333333336</v>
      </c>
      <c r="J82" s="121">
        <f t="shared" ca="1" si="12"/>
        <v>16687450.000000004</v>
      </c>
      <c r="K82" s="121">
        <f t="shared" ca="1" si="12"/>
        <v>8954166.6666666716</v>
      </c>
      <c r="L82" s="121">
        <f t="shared" ca="1" si="12"/>
        <v>27961283.33333334</v>
      </c>
      <c r="M82" s="121">
        <f t="shared" ca="1" si="12"/>
        <v>21018200.000000011</v>
      </c>
      <c r="N82" s="121">
        <f t="shared" ca="1" si="12"/>
        <v>14468716.666666683</v>
      </c>
      <c r="O82" s="121">
        <f t="shared" ca="1" si="12"/>
        <v>8315833.3333333544</v>
      </c>
      <c r="P82" s="121">
        <f t="shared" ca="1" si="12"/>
        <v>19813633.150000017</v>
      </c>
      <c r="Q82" s="121">
        <f t="shared" ca="1" si="12"/>
        <v>13172001.483333353</v>
      </c>
      <c r="R82" s="121">
        <f t="shared" ca="1" si="12"/>
        <v>10260104.816666681</v>
      </c>
      <c r="S82" s="121">
        <f t="shared" ca="1" si="12"/>
        <v>8587973.1500000097</v>
      </c>
      <c r="T82" s="121">
        <f t="shared" ca="1" si="12"/>
        <v>7915841.4833333381</v>
      </c>
      <c r="U82" s="121">
        <f t="shared" ca="1" si="12"/>
        <v>7243709.8166666664</v>
      </c>
      <c r="V82" s="121">
        <f t="shared" ca="1" si="12"/>
        <v>6571578.1499999948</v>
      </c>
      <c r="W82" s="121">
        <f t="shared" ca="1" si="12"/>
        <v>5899446.4833333232</v>
      </c>
      <c r="X82" s="121">
        <f t="shared" ca="1" si="12"/>
        <v>5227314.8166666515</v>
      </c>
      <c r="Y82" s="121">
        <f t="shared" ca="1" si="12"/>
        <v>4555183.1499999799</v>
      </c>
      <c r="Z82" s="121">
        <f t="shared" ca="1" si="12"/>
        <v>3883051.4833333082</v>
      </c>
      <c r="AA82" s="121">
        <f t="shared" ca="1" si="12"/>
        <v>3210919.8166666366</v>
      </c>
      <c r="AB82" s="121">
        <f t="shared" ca="1" si="12"/>
        <v>-1186131.850000035</v>
      </c>
      <c r="AC82" s="121">
        <f t="shared" ca="1" si="12"/>
        <v>-1830084.6166667063</v>
      </c>
      <c r="AD82" s="121">
        <f t="shared" ca="1" si="12"/>
        <v>5983416.6666666344</v>
      </c>
      <c r="AE82" s="121">
        <f t="shared" ca="1" si="12"/>
        <v>16613779.499999981</v>
      </c>
      <c r="AF82" s="121">
        <f t="shared" ca="1" si="12"/>
        <v>27244142.333333325</v>
      </c>
      <c r="AG82" s="121">
        <f t="shared" ca="1" si="12"/>
        <v>37874505.166666672</v>
      </c>
      <c r="AH82" s="121">
        <f t="shared" ca="1" si="12"/>
        <v>48504868.000000015</v>
      </c>
      <c r="AI82" s="121">
        <f t="shared" ca="1" si="12"/>
        <v>59135230.833333358</v>
      </c>
      <c r="AJ82" s="121">
        <f t="shared" ref="AJ82:BL82" ca="1" si="13">AJ80+AJ74</f>
        <v>69765593.666666701</v>
      </c>
      <c r="AK82" s="121">
        <f t="shared" ca="1" si="13"/>
        <v>80395956.50000003</v>
      </c>
      <c r="AL82" s="121">
        <f t="shared" ca="1" si="13"/>
        <v>91026319.333333373</v>
      </c>
      <c r="AM82" s="121">
        <f t="shared" ca="1" si="13"/>
        <v>101656682.16666672</v>
      </c>
      <c r="AN82" s="121">
        <f t="shared" ca="1" si="13"/>
        <v>103829590.95000005</v>
      </c>
      <c r="AO82" s="121">
        <f t="shared" ca="1" si="13"/>
        <v>114481208.56283338</v>
      </c>
      <c r="AP82" s="121">
        <f t="shared" ca="1" si="13"/>
        <v>140793000.13366672</v>
      </c>
      <c r="AQ82" s="121">
        <f t="shared" ca="1" si="13"/>
        <v>172324024.64750007</v>
      </c>
      <c r="AR82" s="121">
        <f t="shared" ca="1" si="13"/>
        <v>203855049.16133341</v>
      </c>
      <c r="AS82" s="121">
        <f t="shared" ca="1" si="13"/>
        <v>235386073.67516676</v>
      </c>
      <c r="AT82" s="121">
        <f t="shared" ca="1" si="13"/>
        <v>266917098.18900013</v>
      </c>
      <c r="AU82" s="121">
        <f t="shared" ca="1" si="13"/>
        <v>298448122.70283347</v>
      </c>
      <c r="AV82" s="121">
        <f t="shared" ca="1" si="13"/>
        <v>329979147.21666682</v>
      </c>
      <c r="AW82" s="121">
        <f t="shared" ca="1" si="13"/>
        <v>361510171.73050016</v>
      </c>
      <c r="AX82" s="121">
        <f t="shared" ca="1" si="13"/>
        <v>393041196.24433351</v>
      </c>
      <c r="AY82" s="121">
        <f t="shared" ca="1" si="13"/>
        <v>424572220.75816685</v>
      </c>
      <c r="AZ82" s="121">
        <f t="shared" ca="1" si="13"/>
        <v>440443071.31400019</v>
      </c>
      <c r="BA82" s="121">
        <f t="shared" ca="1" si="13"/>
        <v>449600236.05596852</v>
      </c>
      <c r="BB82" s="121">
        <f t="shared" ca="1" si="13"/>
        <v>473992735.66558689</v>
      </c>
      <c r="BC82" s="121">
        <f t="shared" ca="1" si="13"/>
        <v>503448135.14369023</v>
      </c>
      <c r="BD82" s="121">
        <f t="shared" ca="1" si="13"/>
        <v>532903534.62179357</v>
      </c>
      <c r="BE82" s="121">
        <f t="shared" ca="1" si="13"/>
        <v>562358934.09989691</v>
      </c>
      <c r="BF82" s="121">
        <f t="shared" ca="1" si="13"/>
        <v>591814333.57800031</v>
      </c>
      <c r="BG82" s="121">
        <f t="shared" ca="1" si="13"/>
        <v>621269733.05610371</v>
      </c>
      <c r="BH82" s="121">
        <f t="shared" ca="1" si="13"/>
        <v>650725132.53420699</v>
      </c>
      <c r="BI82" s="121">
        <f t="shared" ca="1" si="13"/>
        <v>680180532.01231039</v>
      </c>
      <c r="BJ82" s="121">
        <f t="shared" ca="1" si="13"/>
        <v>709635931.49041378</v>
      </c>
      <c r="BK82" s="121">
        <f t="shared" ca="1" si="13"/>
        <v>739091330.96851718</v>
      </c>
      <c r="BL82" s="121">
        <f t="shared" ca="1" si="13"/>
        <v>753335696.3070755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915</v>
      </c>
      <c r="D2" s="74" t="s">
        <v>825</v>
      </c>
      <c r="E2" s="74" t="s">
        <v>826</v>
      </c>
      <c r="F2" s="10"/>
      <c r="G2" s="260" t="s">
        <v>890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74977549.307411745</v>
      </c>
      <c r="E4" s="121">
        <f ca="1">'FIN-VALUE_CWS'!E36</f>
        <v>26346800</v>
      </c>
      <c r="G4" s="244">
        <f ca="1">'FIN-VALUE_CWS'!F36</f>
        <v>0.35139585440405352</v>
      </c>
    </row>
    <row r="5" spans="2:15" x14ac:dyDescent="0.15">
      <c r="B5" s="138" t="str">
        <f ca="1">'FIN-VALUE_CWS'!B37</f>
        <v>Second Round - NPV from DecYR1</v>
      </c>
      <c r="C5" s="221">
        <f>'FIN-VALUE_CWS'!C37</f>
        <v>0.45524999999999999</v>
      </c>
      <c r="D5" s="121">
        <f ca="1">'FIN-VALUE_CWS'!D37</f>
        <v>196936487.59316695</v>
      </c>
      <c r="E5" s="121">
        <f ca="1">'FIN-VALUE_CWS'!E37</f>
        <v>18276283.149999991</v>
      </c>
      <c r="G5" s="244">
        <f ca="1">'FIN-VALUE_CWS'!F37</f>
        <v>9.2802930393250896E-2</v>
      </c>
    </row>
    <row r="6" spans="2:15" x14ac:dyDescent="0.15">
      <c r="B6" s="138" t="str">
        <f>'FIN-VALUE_CWS'!B38</f>
        <v>Exit Valuation - NPV from DecYR2</v>
      </c>
      <c r="C6" s="221">
        <f>'FIN-VALUE_CWS'!C38</f>
        <v>0.25525000000000003</v>
      </c>
      <c r="D6" s="121">
        <f ca="1">'FIN-VALUE_CWS'!D38</f>
        <v>473205454.39837199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839</v>
      </c>
      <c r="C10" s="14" t="s">
        <v>836</v>
      </c>
      <c r="D10" s="14" t="s">
        <v>837</v>
      </c>
      <c r="E10" s="14" t="s">
        <v>889</v>
      </c>
      <c r="F10" s="10"/>
      <c r="G10" s="10" t="s">
        <v>872</v>
      </c>
    </row>
    <row r="11" spans="2:15" s="6" customFormat="1" x14ac:dyDescent="0.15">
      <c r="B11" s="138"/>
      <c r="C11" s="174"/>
    </row>
    <row r="12" spans="2:15" x14ac:dyDescent="0.15">
      <c r="B12" s="17" t="s">
        <v>840</v>
      </c>
      <c r="C12" s="380">
        <v>0.06</v>
      </c>
      <c r="D12" s="380">
        <v>0.06</v>
      </c>
      <c r="E12" s="380">
        <v>0.06</v>
      </c>
      <c r="F12" s="228"/>
      <c r="G12" s="33" t="s">
        <v>873</v>
      </c>
    </row>
    <row r="13" spans="2:15" x14ac:dyDescent="0.15">
      <c r="B13" s="124" t="s">
        <v>841</v>
      </c>
      <c r="C13" s="380">
        <v>0.1</v>
      </c>
      <c r="D13" s="380">
        <v>0.08</v>
      </c>
      <c r="E13" s="380">
        <v>0.02</v>
      </c>
      <c r="F13" s="228"/>
      <c r="G13" s="33" t="s">
        <v>888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1080</v>
      </c>
      <c r="C15" s="228"/>
      <c r="D15" s="228"/>
      <c r="E15" s="228"/>
      <c r="F15" s="228"/>
    </row>
    <row r="16" spans="2:15" x14ac:dyDescent="0.15">
      <c r="B16" s="124" t="s">
        <v>860</v>
      </c>
      <c r="C16" s="380">
        <v>0.02</v>
      </c>
      <c r="D16" s="380">
        <v>0.02</v>
      </c>
      <c r="E16" s="380">
        <v>0</v>
      </c>
      <c r="F16" s="228"/>
      <c r="G16" s="33" t="s">
        <v>865</v>
      </c>
    </row>
    <row r="17" spans="2:14" x14ac:dyDescent="0.15">
      <c r="B17" s="124" t="s">
        <v>861</v>
      </c>
      <c r="C17" s="380">
        <v>0.05</v>
      </c>
      <c r="D17" s="380">
        <v>2.5000000000000001E-2</v>
      </c>
      <c r="E17" s="380">
        <v>0</v>
      </c>
      <c r="F17" s="228"/>
      <c r="G17" s="33" t="s">
        <v>866</v>
      </c>
    </row>
    <row r="18" spans="2:14" x14ac:dyDescent="0.15">
      <c r="B18" s="124" t="s">
        <v>842</v>
      </c>
      <c r="C18" s="228"/>
      <c r="D18" s="228"/>
      <c r="E18" s="228"/>
      <c r="F18" s="228"/>
    </row>
    <row r="19" spans="2:14" x14ac:dyDescent="0.15">
      <c r="B19" s="227" t="s">
        <v>843</v>
      </c>
      <c r="C19" s="380">
        <v>0.05</v>
      </c>
      <c r="D19" s="380">
        <v>0.01</v>
      </c>
      <c r="E19" s="380">
        <v>0</v>
      </c>
      <c r="F19" s="228"/>
      <c r="G19" s="33" t="s">
        <v>867</v>
      </c>
    </row>
    <row r="20" spans="2:14" x14ac:dyDescent="0.15">
      <c r="B20" s="227" t="s">
        <v>862</v>
      </c>
      <c r="C20" s="380">
        <v>2.5000000000000001E-2</v>
      </c>
      <c r="D20" s="380">
        <v>0</v>
      </c>
      <c r="E20" s="380">
        <v>0</v>
      </c>
      <c r="F20" s="228"/>
      <c r="G20" s="33" t="s">
        <v>868</v>
      </c>
    </row>
    <row r="21" spans="2:14" x14ac:dyDescent="0.15">
      <c r="B21" s="227" t="s">
        <v>863</v>
      </c>
      <c r="C21" s="380">
        <v>1.4999999999999999E-2</v>
      </c>
      <c r="D21" s="380">
        <v>0</v>
      </c>
      <c r="E21" s="380">
        <v>0</v>
      </c>
      <c r="F21" s="228"/>
      <c r="G21" s="33" t="s">
        <v>869</v>
      </c>
    </row>
    <row r="22" spans="2:14" x14ac:dyDescent="0.15">
      <c r="B22" s="227" t="s">
        <v>844</v>
      </c>
      <c r="C22" s="380">
        <v>2.5000000000000001E-2</v>
      </c>
      <c r="D22" s="380">
        <v>0</v>
      </c>
      <c r="E22" s="380">
        <v>0</v>
      </c>
      <c r="F22" s="228"/>
      <c r="G22" s="33" t="s">
        <v>870</v>
      </c>
      <c r="K22" s="25"/>
      <c r="M22" s="25"/>
      <c r="N22" s="25"/>
    </row>
    <row r="23" spans="2:14" x14ac:dyDescent="0.15">
      <c r="B23" s="227" t="s">
        <v>845</v>
      </c>
      <c r="C23" s="380">
        <v>0.01</v>
      </c>
      <c r="D23" s="380">
        <v>0.01</v>
      </c>
      <c r="E23" s="380">
        <v>0</v>
      </c>
      <c r="F23" s="228"/>
      <c r="G23" s="33" t="s">
        <v>871</v>
      </c>
      <c r="K23" s="33"/>
    </row>
    <row r="24" spans="2:14" x14ac:dyDescent="0.15">
      <c r="B24" s="227" t="s">
        <v>864</v>
      </c>
      <c r="C24" s="380">
        <v>2.5000000000000001E-2</v>
      </c>
      <c r="D24" s="380">
        <v>2.5000000000000001E-2</v>
      </c>
      <c r="E24" s="380">
        <v>0.02</v>
      </c>
      <c r="F24" s="228"/>
      <c r="G24" s="33" t="s">
        <v>891</v>
      </c>
      <c r="K24" s="33"/>
    </row>
    <row r="25" spans="2:14" x14ac:dyDescent="0.15">
      <c r="B25" s="124" t="s">
        <v>846</v>
      </c>
      <c r="C25" s="228"/>
      <c r="D25" s="228"/>
      <c r="E25" s="228"/>
      <c r="F25" s="228"/>
    </row>
    <row r="26" spans="2:14" x14ac:dyDescent="0.15">
      <c r="B26" s="227" t="s">
        <v>847</v>
      </c>
      <c r="C26" s="380">
        <v>2.5000000000000001E-2</v>
      </c>
      <c r="D26" s="380">
        <v>2.5000000000000001E-2</v>
      </c>
      <c r="E26" s="380">
        <v>0</v>
      </c>
      <c r="F26" s="228"/>
      <c r="G26" s="33" t="s">
        <v>874</v>
      </c>
    </row>
    <row r="27" spans="2:14" x14ac:dyDescent="0.15">
      <c r="B27" s="227" t="s">
        <v>509</v>
      </c>
      <c r="C27" s="380">
        <v>1.025E-2</v>
      </c>
      <c r="D27" s="380">
        <f>C27</f>
        <v>1.025E-2</v>
      </c>
      <c r="E27" s="380">
        <f>D27</f>
        <v>1.025E-2</v>
      </c>
      <c r="F27" s="228"/>
      <c r="G27" s="33" t="s">
        <v>875</v>
      </c>
    </row>
    <row r="28" spans="2:14" x14ac:dyDescent="0.15">
      <c r="B28" s="227" t="s">
        <v>848</v>
      </c>
      <c r="C28" s="380">
        <v>1.2500000000000001E-2</v>
      </c>
      <c r="D28" s="380">
        <f>C28</f>
        <v>1.2500000000000001E-2</v>
      </c>
      <c r="E28" s="380">
        <f>D28</f>
        <v>1.2500000000000001E-2</v>
      </c>
      <c r="F28" s="228"/>
      <c r="G28" s="33" t="s">
        <v>876</v>
      </c>
    </row>
    <row r="29" spans="2:14" x14ac:dyDescent="0.15">
      <c r="B29" s="227" t="s">
        <v>849</v>
      </c>
      <c r="C29" s="380">
        <v>5.0000000000000001E-3</v>
      </c>
      <c r="D29" s="380">
        <f>C29</f>
        <v>5.0000000000000001E-3</v>
      </c>
      <c r="E29" s="380">
        <v>0.01</v>
      </c>
      <c r="F29" s="228"/>
      <c r="G29" s="33" t="s">
        <v>877</v>
      </c>
    </row>
    <row r="30" spans="2:14" x14ac:dyDescent="0.15">
      <c r="B30" s="48" t="s">
        <v>850</v>
      </c>
      <c r="C30" s="228"/>
      <c r="D30" s="228"/>
      <c r="E30" s="228"/>
      <c r="F30" s="228"/>
    </row>
    <row r="31" spans="2:14" x14ac:dyDescent="0.15">
      <c r="B31" s="227" t="s">
        <v>851</v>
      </c>
      <c r="C31" s="380">
        <v>0.01</v>
      </c>
      <c r="D31" s="380">
        <v>0.01</v>
      </c>
      <c r="E31" s="380">
        <v>4.4999999999999998E-2</v>
      </c>
      <c r="F31" s="228"/>
      <c r="G31" s="33" t="s">
        <v>878</v>
      </c>
    </row>
    <row r="32" spans="2:14" x14ac:dyDescent="0.15">
      <c r="B32" s="106" t="s">
        <v>857</v>
      </c>
      <c r="C32" s="380">
        <v>0.01</v>
      </c>
      <c r="D32" s="380">
        <v>0.01</v>
      </c>
      <c r="E32" s="380">
        <v>2.5000000000000001E-2</v>
      </c>
      <c r="F32" s="228"/>
      <c r="G32" s="33" t="s">
        <v>879</v>
      </c>
    </row>
    <row r="33" spans="2:15" x14ac:dyDescent="0.15">
      <c r="B33" s="106" t="s">
        <v>858</v>
      </c>
      <c r="C33" s="380">
        <v>0.02</v>
      </c>
      <c r="D33" s="380">
        <v>0.02</v>
      </c>
      <c r="E33" s="380">
        <v>0.01</v>
      </c>
      <c r="F33" s="228"/>
      <c r="G33" s="33" t="s">
        <v>883</v>
      </c>
    </row>
    <row r="34" spans="2:15" x14ac:dyDescent="0.15">
      <c r="B34" s="106" t="s">
        <v>859</v>
      </c>
      <c r="C34" s="380">
        <v>0.05</v>
      </c>
      <c r="D34" s="380">
        <v>0.05</v>
      </c>
      <c r="E34" s="380">
        <v>0.01</v>
      </c>
      <c r="F34" s="228"/>
      <c r="G34" s="33" t="s">
        <v>884</v>
      </c>
    </row>
    <row r="35" spans="2:15" x14ac:dyDescent="0.15">
      <c r="B35" s="106" t="s">
        <v>852</v>
      </c>
      <c r="C35" s="380">
        <v>7.4999999999999997E-2</v>
      </c>
      <c r="D35" s="380">
        <v>0.05</v>
      </c>
      <c r="E35" s="380">
        <v>2.5000000000000001E-2</v>
      </c>
      <c r="F35" s="228"/>
      <c r="G35" s="33" t="s">
        <v>885</v>
      </c>
    </row>
    <row r="36" spans="2:15" x14ac:dyDescent="0.15">
      <c r="B36" s="106" t="s">
        <v>853</v>
      </c>
      <c r="C36" s="380">
        <v>2.5000000000000001E-2</v>
      </c>
      <c r="D36" s="380">
        <v>2.5000000000000001E-2</v>
      </c>
      <c r="E36" s="380">
        <v>2.5000000000000001E-2</v>
      </c>
      <c r="F36" s="228"/>
      <c r="G36" s="33" t="s">
        <v>880</v>
      </c>
    </row>
    <row r="37" spans="2:15" x14ac:dyDescent="0.15">
      <c r="B37" s="106" t="s">
        <v>854</v>
      </c>
      <c r="C37" s="380">
        <v>0.05</v>
      </c>
      <c r="D37" s="380">
        <v>0.05</v>
      </c>
      <c r="E37" s="380">
        <v>2.5000000000000001E-2</v>
      </c>
      <c r="F37" s="228"/>
      <c r="G37" s="33" t="s">
        <v>881</v>
      </c>
    </row>
    <row r="38" spans="2:15" x14ac:dyDescent="0.15">
      <c r="B38" s="106" t="s">
        <v>855</v>
      </c>
      <c r="C38" s="380">
        <v>-2.5000000000000001E-2</v>
      </c>
      <c r="D38" s="380">
        <f>C38</f>
        <v>-2.5000000000000001E-2</v>
      </c>
      <c r="E38" s="380">
        <f>D38</f>
        <v>-2.5000000000000001E-2</v>
      </c>
      <c r="F38" s="229"/>
      <c r="G38" s="33" t="s">
        <v>882</v>
      </c>
    </row>
    <row r="39" spans="2:15" x14ac:dyDescent="0.15">
      <c r="B39" s="106" t="s">
        <v>856</v>
      </c>
      <c r="C39" s="380">
        <v>-1.7500000000000002E-2</v>
      </c>
      <c r="D39" s="380">
        <f>C39</f>
        <v>-1.7500000000000002E-2</v>
      </c>
      <c r="E39" s="380">
        <f>D39</f>
        <v>-1.7500000000000002E-2</v>
      </c>
      <c r="F39" s="228"/>
      <c r="G39" s="33" t="s">
        <v>886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916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/>
    <sheetView tabSelected="1" topLeftCell="B32" workbookViewId="1">
      <selection activeCell="C75" sqref="C75"/>
    </sheetView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768</v>
      </c>
      <c r="D1" s="407" t="s">
        <v>1250</v>
      </c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 t="s">
        <v>1251</v>
      </c>
      <c r="Q1" s="407"/>
      <c r="R1" s="407"/>
      <c r="S1" s="407"/>
      <c r="T1" s="407"/>
      <c r="U1" s="407"/>
      <c r="V1" s="407"/>
      <c r="W1" s="407"/>
      <c r="X1" s="407"/>
      <c r="Y1" s="407"/>
      <c r="Z1" s="407"/>
      <c r="AA1" s="407"/>
      <c r="AB1" s="407" t="s">
        <v>1252</v>
      </c>
      <c r="AC1" s="407"/>
      <c r="AD1" s="407"/>
      <c r="AE1" s="407"/>
      <c r="AF1" s="407"/>
      <c r="AG1" s="407"/>
      <c r="AH1" s="407"/>
      <c r="AI1" s="407"/>
      <c r="AJ1" s="407"/>
      <c r="AK1" s="407"/>
      <c r="AL1" s="407"/>
      <c r="AM1" s="407"/>
      <c r="AN1" s="407" t="s">
        <v>1253</v>
      </c>
      <c r="AO1" s="407"/>
      <c r="AP1" s="407"/>
      <c r="AQ1" s="407"/>
      <c r="AR1" s="407"/>
      <c r="AS1" s="407"/>
      <c r="AT1" s="407"/>
      <c r="AU1" s="407"/>
      <c r="AV1" s="407"/>
      <c r="AW1" s="407"/>
      <c r="AX1" s="407"/>
      <c r="AY1" s="407"/>
      <c r="AZ1" s="407" t="s">
        <v>1254</v>
      </c>
      <c r="BA1" s="407"/>
      <c r="BB1" s="407"/>
      <c r="BC1" s="407"/>
      <c r="BD1" s="407"/>
      <c r="BE1" s="407"/>
      <c r="BF1" s="407"/>
      <c r="BG1" s="407"/>
      <c r="BH1" s="407"/>
      <c r="BI1" s="407"/>
      <c r="BJ1" s="407"/>
      <c r="BK1" s="407"/>
    </row>
    <row r="2" spans="2:63" x14ac:dyDescent="0.15">
      <c r="B2" s="135" t="s">
        <v>910</v>
      </c>
      <c r="C2" s="74" t="s">
        <v>1249</v>
      </c>
      <c r="D2" s="27" t="s">
        <v>1255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1255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1255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1255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1255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1028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224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464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-21951500</v>
      </c>
      <c r="H7" s="121">
        <f>'FIN-CASHFLOW_CWS'!H67</f>
        <v>-8787000</v>
      </c>
      <c r="I7" s="121">
        <f>'FIN-CASHFLOW_CWS'!I67</f>
        <v>-7550299.9999999991</v>
      </c>
      <c r="J7" s="121">
        <f>'FIN-CASHFLOW_CWS'!J67</f>
        <v>-7573699.9999999991</v>
      </c>
      <c r="K7" s="121">
        <f>'FIN-CASHFLOW_CWS'!K67</f>
        <v>-7180099.9999999991</v>
      </c>
      <c r="L7" s="121">
        <f>'FIN-CASHFLOW_CWS'!L67</f>
        <v>-6783499.9999999991</v>
      </c>
      <c r="M7" s="121">
        <f>'FIN-CASHFLOW_CWS'!M67</f>
        <v>-6389899.9999999991</v>
      </c>
      <c r="N7" s="121">
        <f>'FIN-CASHFLOW_CWS'!N67</f>
        <v>-5993299.9999999991</v>
      </c>
      <c r="O7" s="121">
        <f>'FIN-CASHFLOW_CWS'!O67</f>
        <v>-6618899.9999999991</v>
      </c>
      <c r="P7" s="121">
        <f>'FIN-CASHFLOW_CWS'!P67</f>
        <v>-6560715.0000000009</v>
      </c>
      <c r="Q7" s="70">
        <f>'FIN-CASHFLOW_CWS'!Q67</f>
        <v>-2750980.0000000014</v>
      </c>
      <c r="R7" s="121">
        <f>'FIN-CASHFLOW_CWS'!R67</f>
        <v>-1511215.0000000012</v>
      </c>
      <c r="S7" s="121">
        <f>'FIN-CASHFLOW_CWS'!S67</f>
        <v>-511215.00000000122</v>
      </c>
      <c r="T7" s="121">
        <f>'FIN-CASHFLOW_CWS'!T67</f>
        <v>-511215.00000000122</v>
      </c>
      <c r="U7" s="121">
        <f>'FIN-CASHFLOW_CWS'!U67</f>
        <v>-511215.00000000122</v>
      </c>
      <c r="V7" s="70">
        <f>'FIN-CASHFLOW_CWS'!V67</f>
        <v>-511215.00000000122</v>
      </c>
      <c r="W7" s="121">
        <f>'FIN-CASHFLOW_CWS'!W67</f>
        <v>-511215.00000000122</v>
      </c>
      <c r="X7" s="121">
        <f>'FIN-CASHFLOW_CWS'!X67</f>
        <v>-511215.00000000122</v>
      </c>
      <c r="Y7" s="121">
        <f>'FIN-CASHFLOW_CWS'!Y67</f>
        <v>-511215.00000000122</v>
      </c>
      <c r="Z7" s="121">
        <f>'FIN-CASHFLOW_CWS'!Z67</f>
        <v>-511215.00000000122</v>
      </c>
      <c r="AA7" s="121">
        <f>'FIN-CASHFLOW_CWS'!AA67</f>
        <v>-4236135.0000000009</v>
      </c>
      <c r="AB7" s="121">
        <f>'FIN-CASHFLOW_CWS'!AB67</f>
        <v>-483036.10000000085</v>
      </c>
      <c r="AC7" s="121">
        <f>'FIN-CASHFLOW_CWS'!AC67</f>
        <v>7974417.9500000058</v>
      </c>
      <c r="AD7" s="121">
        <f>'FIN-CASHFLOW_CWS'!AD67</f>
        <v>10791279.500000006</v>
      </c>
      <c r="AE7" s="121">
        <f>'FIN-CASHFLOW_CWS'!AE67</f>
        <v>10791279.500000006</v>
      </c>
      <c r="AF7" s="121">
        <f>'FIN-CASHFLOW_CWS'!AF67</f>
        <v>10791279.500000006</v>
      </c>
      <c r="AG7" s="121">
        <f>'FIN-CASHFLOW_CWS'!AG67</f>
        <v>10791279.500000006</v>
      </c>
      <c r="AH7" s="121">
        <f>'FIN-CASHFLOW_CWS'!AH67</f>
        <v>10791279.500000006</v>
      </c>
      <c r="AI7" s="121">
        <f>'FIN-CASHFLOW_CWS'!AI67</f>
        <v>10791279.500000006</v>
      </c>
      <c r="AJ7" s="121">
        <f>'FIN-CASHFLOW_CWS'!AJ67</f>
        <v>10791279.500000006</v>
      </c>
      <c r="AK7" s="121">
        <f>'FIN-CASHFLOW_CWS'!AK67</f>
        <v>10791279.500000006</v>
      </c>
      <c r="AL7" s="121">
        <f>'FIN-CASHFLOW_CWS'!AL67</f>
        <v>10791279.500000006</v>
      </c>
      <c r="AM7" s="121">
        <f>'FIN-CASHFLOW_CWS'!AM67</f>
        <v>2333825.4499999979</v>
      </c>
      <c r="AN7" s="121">
        <f>'FIN-CASHFLOW_CWS'!AN67</f>
        <v>10812534.279500002</v>
      </c>
      <c r="AO7" s="121">
        <f>'FIN-CASHFLOW_CWS'!AO67</f>
        <v>26472708.237500012</v>
      </c>
      <c r="AP7" s="121">
        <f>'FIN-CASHFLOW_CWS'!AP67</f>
        <v>31691941.180500016</v>
      </c>
      <c r="AQ7" s="121">
        <f>'FIN-CASHFLOW_CWS'!AQ67</f>
        <v>31691941.180500016</v>
      </c>
      <c r="AR7" s="121">
        <f>'FIN-CASHFLOW_CWS'!AR67</f>
        <v>31691941.180500016</v>
      </c>
      <c r="AS7" s="121">
        <f>'FIN-CASHFLOW_CWS'!AS67</f>
        <v>31691941.180500016</v>
      </c>
      <c r="AT7" s="121">
        <f>'FIN-CASHFLOW_CWS'!AT67</f>
        <v>31691941.180500016</v>
      </c>
      <c r="AU7" s="121">
        <f>'FIN-CASHFLOW_CWS'!AU67</f>
        <v>31691941.180500016</v>
      </c>
      <c r="AV7" s="121">
        <f>'FIN-CASHFLOW_CWS'!AV67</f>
        <v>31691941.180500016</v>
      </c>
      <c r="AW7" s="121">
        <f>'FIN-CASHFLOW_CWS'!AW67</f>
        <v>31691941.180500016</v>
      </c>
      <c r="AX7" s="121">
        <f>'FIN-CASHFLOW_CWS'!AX67</f>
        <v>31691941.180500016</v>
      </c>
      <c r="AY7" s="121">
        <f>'FIN-CASHFLOW_CWS'!AY67</f>
        <v>16031767.222500006</v>
      </c>
      <c r="AZ7" s="121">
        <f>'FIN-CASHFLOW_CWS'!AZ67</f>
        <v>9318081.4086349998</v>
      </c>
      <c r="BA7" s="121">
        <f>'FIN-CASHFLOW_CWS'!BA67</f>
        <v>24553416.276285011</v>
      </c>
      <c r="BB7" s="121">
        <f>'FIN-CASHFLOW_CWS'!BB67</f>
        <v>29616316.144770015</v>
      </c>
      <c r="BC7" s="121">
        <f>'FIN-CASHFLOW_CWS'!BC67</f>
        <v>29616316.144770015</v>
      </c>
      <c r="BD7" s="121">
        <f>'FIN-CASHFLOW_CWS'!BD67</f>
        <v>29616316.144770015</v>
      </c>
      <c r="BE7" s="121">
        <f>'FIN-CASHFLOW_CWS'!BE67</f>
        <v>29616316.144770015</v>
      </c>
      <c r="BF7" s="121">
        <f>'FIN-CASHFLOW_CWS'!BF67</f>
        <v>29616316.144770015</v>
      </c>
      <c r="BG7" s="121">
        <f>'FIN-CASHFLOW_CWS'!BG67</f>
        <v>29616316.144770015</v>
      </c>
      <c r="BH7" s="121">
        <f>'FIN-CASHFLOW_CWS'!BH67</f>
        <v>29616316.144770015</v>
      </c>
      <c r="BI7" s="121">
        <f>'FIN-CASHFLOW_CWS'!BI67</f>
        <v>29616316.144770015</v>
      </c>
      <c r="BJ7" s="121">
        <f>'FIN-CASHFLOW_CWS'!BJ67</f>
        <v>29616316.144770015</v>
      </c>
      <c r="BK7" s="121">
        <f>'FIN-CASHFLOW_CWS'!BK67</f>
        <v>14405282.005225005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466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-21951500</v>
      </c>
      <c r="I9" s="121">
        <f>'FIN-CASHFLOW_CWS'!I69</f>
        <v>-30738500</v>
      </c>
      <c r="J9" s="121">
        <f>'FIN-CASHFLOW_CWS'!J69</f>
        <v>-38288800</v>
      </c>
      <c r="K9" s="121">
        <f>'FIN-CASHFLOW_CWS'!K69</f>
        <v>-45862500</v>
      </c>
      <c r="L9" s="121">
        <f>'FIN-CASHFLOW_CWS'!L69</f>
        <v>-53042600</v>
      </c>
      <c r="M9" s="121">
        <f>'FIN-CASHFLOW_CWS'!M69</f>
        <v>-59826100</v>
      </c>
      <c r="N9" s="121">
        <f>'FIN-CASHFLOW_CWS'!N69</f>
        <v>-66216000</v>
      </c>
      <c r="O9" s="121">
        <f>'FIN-CASHFLOW_CWS'!O69</f>
        <v>-72209300</v>
      </c>
      <c r="P9" s="121">
        <f>'FIN-CASHFLOW_CWS'!P69</f>
        <v>-78828200</v>
      </c>
      <c r="Q9" s="121">
        <f>'FIN-CASHFLOW_CWS'!Q69</f>
        <v>-85388915</v>
      </c>
      <c r="R9" s="121">
        <f>'FIN-CASHFLOW_CWS'!R69</f>
        <v>-88139895</v>
      </c>
      <c r="S9" s="121">
        <f>'FIN-CASHFLOW_CWS'!S69</f>
        <v>-89651110</v>
      </c>
      <c r="T9" s="121">
        <f>'FIN-CASHFLOW_CWS'!T69</f>
        <v>-90162325</v>
      </c>
      <c r="U9" s="121">
        <f>'FIN-CASHFLOW_CWS'!U69</f>
        <v>-90673540</v>
      </c>
      <c r="V9" s="121">
        <f>'FIN-CASHFLOW_CWS'!V69</f>
        <v>-91184755</v>
      </c>
      <c r="W9" s="121">
        <f>'FIN-CASHFLOW_CWS'!W69</f>
        <v>-91695970</v>
      </c>
      <c r="X9" s="121">
        <f>'FIN-CASHFLOW_CWS'!X69</f>
        <v>-92207185</v>
      </c>
      <c r="Y9" s="121">
        <f>'FIN-CASHFLOW_CWS'!Y69</f>
        <v>-92718400</v>
      </c>
      <c r="Z9" s="121">
        <f>'FIN-CASHFLOW_CWS'!Z69</f>
        <v>-93229615</v>
      </c>
      <c r="AA9" s="121">
        <f>'FIN-CASHFLOW_CWS'!AA69</f>
        <v>-93740830</v>
      </c>
      <c r="AB9" s="121">
        <f>'FIN-CASHFLOW_CWS'!AB69</f>
        <v>-97976965</v>
      </c>
      <c r="AC9" s="121">
        <f>'FIN-CASHFLOW_CWS'!AC69</f>
        <v>-98460001.099999994</v>
      </c>
      <c r="AD9" s="121">
        <f>'FIN-CASHFLOW_CWS'!AD69</f>
        <v>-90485583.149999991</v>
      </c>
      <c r="AE9" s="121">
        <f>'FIN-CASHFLOW_CWS'!AE69</f>
        <v>-79694303.649999991</v>
      </c>
      <c r="AF9" s="121">
        <f>'FIN-CASHFLOW_CWS'!AF69</f>
        <v>-68903024.149999991</v>
      </c>
      <c r="AG9" s="121">
        <f>'FIN-CASHFLOW_CWS'!AG69</f>
        <v>-58111744.649999984</v>
      </c>
      <c r="AH9" s="121">
        <f>'FIN-CASHFLOW_CWS'!AH69</f>
        <v>-47320465.149999976</v>
      </c>
      <c r="AI9" s="121">
        <f>'FIN-CASHFLOW_CWS'!AI69</f>
        <v>-36529185.649999969</v>
      </c>
      <c r="AJ9" s="121">
        <f>'FIN-CASHFLOW_CWS'!AJ69</f>
        <v>-25737906.149999961</v>
      </c>
      <c r="AK9" s="121">
        <f>'FIN-CASHFLOW_CWS'!AK69</f>
        <v>-14946626.649999956</v>
      </c>
      <c r="AL9" s="121">
        <f>'FIN-CASHFLOW_CWS'!AL69</f>
        <v>-4155347.1499999501</v>
      </c>
      <c r="AM9" s="121">
        <f>'FIN-CASHFLOW_CWS'!AM69</f>
        <v>6635932.3500000555</v>
      </c>
      <c r="AN9" s="121">
        <f>'FIN-CASHFLOW_CWS'!AN69</f>
        <v>8969757.8000000529</v>
      </c>
      <c r="AO9" s="121">
        <f>'FIN-CASHFLOW_CWS'!AO69</f>
        <v>19782292.079500057</v>
      </c>
      <c r="AP9" s="121">
        <f>'FIN-CASHFLOW_CWS'!AP69</f>
        <v>46255000.317000069</v>
      </c>
      <c r="AQ9" s="121">
        <f>'FIN-CASHFLOW_CWS'!AQ69</f>
        <v>77946941.497500092</v>
      </c>
      <c r="AR9" s="121">
        <f>'FIN-CASHFLOW_CWS'!AR69</f>
        <v>109638882.67800011</v>
      </c>
      <c r="AS9" s="121">
        <f>'FIN-CASHFLOW_CWS'!AS69</f>
        <v>141330823.85850012</v>
      </c>
      <c r="AT9" s="121">
        <f>'FIN-CASHFLOW_CWS'!AT69</f>
        <v>173022765.03900015</v>
      </c>
      <c r="AU9" s="121">
        <f>'FIN-CASHFLOW_CWS'!AU69</f>
        <v>204714706.21950018</v>
      </c>
      <c r="AV9" s="121">
        <f>'FIN-CASHFLOW_CWS'!AV69</f>
        <v>236406647.40000021</v>
      </c>
      <c r="AW9" s="121">
        <f>'FIN-CASHFLOW_CWS'!AW69</f>
        <v>268098588.58050025</v>
      </c>
      <c r="AX9" s="121">
        <f>'FIN-CASHFLOW_CWS'!AX69</f>
        <v>299790529.76100028</v>
      </c>
      <c r="AY9" s="121">
        <f>'FIN-CASHFLOW_CWS'!AY69</f>
        <v>331482470.94150031</v>
      </c>
      <c r="AZ9" s="121">
        <f>'FIN-CASHFLOW_CWS'!AZ69</f>
        <v>347514238.16400033</v>
      </c>
      <c r="BA9" s="121">
        <f>'FIN-CASHFLOW_CWS'!BA69</f>
        <v>356832319.57263535</v>
      </c>
      <c r="BB9" s="121">
        <f>'FIN-CASHFLOW_CWS'!BB69</f>
        <v>381385735.84892035</v>
      </c>
      <c r="BC9" s="121">
        <f>'FIN-CASHFLOW_CWS'!BC69</f>
        <v>411002051.99369037</v>
      </c>
      <c r="BD9" s="121">
        <f>'FIN-CASHFLOW_CWS'!BD69</f>
        <v>440618368.1384604</v>
      </c>
      <c r="BE9" s="121">
        <f>'FIN-CASHFLOW_CWS'!BE69</f>
        <v>470234684.28323042</v>
      </c>
      <c r="BF9" s="121">
        <f>'FIN-CASHFLOW_CWS'!BF69</f>
        <v>499851000.42800045</v>
      </c>
      <c r="BG9" s="121">
        <f>'FIN-CASHFLOW_CWS'!BG69</f>
        <v>529467316.57277048</v>
      </c>
      <c r="BH9" s="121">
        <f>'FIN-CASHFLOW_CWS'!BH69</f>
        <v>559083632.7175405</v>
      </c>
      <c r="BI9" s="121">
        <f>'FIN-CASHFLOW_CWS'!BI69</f>
        <v>588699948.86231053</v>
      </c>
      <c r="BJ9" s="121">
        <f>'FIN-CASHFLOW_CWS'!BJ69</f>
        <v>618316265.00708055</v>
      </c>
      <c r="BK9" s="121">
        <f>'FIN-CASHFLOW_CWS'!BK69</f>
        <v>647932581.15185058</v>
      </c>
    </row>
    <row r="10" spans="2:63" hidden="1" x14ac:dyDescent="0.15">
      <c r="B10" s="127" t="s">
        <v>224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465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-21951500</v>
      </c>
      <c r="H11" s="70">
        <f>'FIN-CASHFLOW_CWS'!H70</f>
        <v>-30738500</v>
      </c>
      <c r="I11" s="70">
        <f>'FIN-CASHFLOW_CWS'!I70</f>
        <v>-38288800</v>
      </c>
      <c r="J11" s="121">
        <f>'FIN-CASHFLOW_CWS'!J70</f>
        <v>-45862500</v>
      </c>
      <c r="K11" s="121">
        <f>'FIN-CASHFLOW_CWS'!K70</f>
        <v>-53042600</v>
      </c>
      <c r="L11" s="121">
        <f>'FIN-CASHFLOW_CWS'!L70</f>
        <v>-59826100</v>
      </c>
      <c r="M11" s="121">
        <f>'FIN-CASHFLOW_CWS'!M70</f>
        <v>-66216000</v>
      </c>
      <c r="N11" s="70">
        <f>'FIN-CASHFLOW_CWS'!N70</f>
        <v>-72209300</v>
      </c>
      <c r="O11" s="121">
        <f>'FIN-CASHFLOW_CWS'!O70</f>
        <v>-78828200</v>
      </c>
      <c r="P11" s="121">
        <f>'FIN-CASHFLOW_CWS'!P70</f>
        <v>-85388915</v>
      </c>
      <c r="Q11" s="70">
        <f>'FIN-CASHFLOW_CWS'!Q70</f>
        <v>-88139895</v>
      </c>
      <c r="R11" s="121">
        <f>'FIN-CASHFLOW_CWS'!R70</f>
        <v>-89651110</v>
      </c>
      <c r="S11" s="121">
        <f>'FIN-CASHFLOW_CWS'!S70</f>
        <v>-90162325</v>
      </c>
      <c r="T11" s="121">
        <f>'FIN-CASHFLOW_CWS'!T70</f>
        <v>-90673540</v>
      </c>
      <c r="U11" s="121">
        <f>'FIN-CASHFLOW_CWS'!U70</f>
        <v>-91184755</v>
      </c>
      <c r="V11" s="121">
        <f>'FIN-CASHFLOW_CWS'!V70</f>
        <v>-91695970</v>
      </c>
      <c r="W11" s="121">
        <f>'FIN-CASHFLOW_CWS'!W70</f>
        <v>-92207185</v>
      </c>
      <c r="X11" s="121">
        <f>'FIN-CASHFLOW_CWS'!X70</f>
        <v>-92718400</v>
      </c>
      <c r="Y11" s="121">
        <f>'FIN-CASHFLOW_CWS'!Y70</f>
        <v>-93229615</v>
      </c>
      <c r="Z11" s="121">
        <f>'FIN-CASHFLOW_CWS'!Z70</f>
        <v>-93740830</v>
      </c>
      <c r="AA11" s="121">
        <f>'FIN-CASHFLOW_CWS'!AA70</f>
        <v>-97976965</v>
      </c>
      <c r="AB11" s="121">
        <f>'FIN-CASHFLOW_CWS'!AB70</f>
        <v>-98460001.099999994</v>
      </c>
      <c r="AC11" s="121">
        <f>'FIN-CASHFLOW_CWS'!AC70</f>
        <v>-90485583.149999991</v>
      </c>
      <c r="AD11" s="121">
        <f>'FIN-CASHFLOW_CWS'!AD70</f>
        <v>-79694303.649999991</v>
      </c>
      <c r="AE11" s="121">
        <f>'FIN-CASHFLOW_CWS'!AE70</f>
        <v>-68903024.149999991</v>
      </c>
      <c r="AF11" s="70">
        <f>'FIN-CASHFLOW_CWS'!AF70</f>
        <v>-58111744.649999984</v>
      </c>
      <c r="AG11" s="121">
        <f>'FIN-CASHFLOW_CWS'!AG70</f>
        <v>-47320465.149999976</v>
      </c>
      <c r="AH11" s="121">
        <f>'FIN-CASHFLOW_CWS'!AH70</f>
        <v>-36529185.649999969</v>
      </c>
      <c r="AI11" s="121">
        <f>'FIN-CASHFLOW_CWS'!AI70</f>
        <v>-25737906.149999961</v>
      </c>
      <c r="AJ11" s="121">
        <f>'FIN-CASHFLOW_CWS'!AJ70</f>
        <v>-14946626.649999956</v>
      </c>
      <c r="AK11" s="121">
        <f>'FIN-CASHFLOW_CWS'!AK70</f>
        <v>-4155347.1499999501</v>
      </c>
      <c r="AL11" s="121">
        <f>'FIN-CASHFLOW_CWS'!AL70</f>
        <v>6635932.3500000555</v>
      </c>
      <c r="AM11" s="121">
        <f>'FIN-CASHFLOW_CWS'!AM70</f>
        <v>8969757.8000000529</v>
      </c>
      <c r="AN11" s="121">
        <f>'FIN-CASHFLOW_CWS'!AN70</f>
        <v>19782292.079500057</v>
      </c>
      <c r="AO11" s="121">
        <f>'FIN-CASHFLOW_CWS'!AO70</f>
        <v>46255000.317000069</v>
      </c>
      <c r="AP11" s="121">
        <f>'FIN-CASHFLOW_CWS'!AP70</f>
        <v>77946941.497500092</v>
      </c>
      <c r="AQ11" s="121">
        <f>'FIN-CASHFLOW_CWS'!AQ70</f>
        <v>109638882.67800011</v>
      </c>
      <c r="AR11" s="121">
        <f>'FIN-CASHFLOW_CWS'!AR70</f>
        <v>141330823.85850012</v>
      </c>
      <c r="AS11" s="121">
        <f>'FIN-CASHFLOW_CWS'!AS70</f>
        <v>173022765.03900015</v>
      </c>
      <c r="AT11" s="121">
        <f>'FIN-CASHFLOW_CWS'!AT70</f>
        <v>204714706.21950018</v>
      </c>
      <c r="AU11" s="121">
        <f>'FIN-CASHFLOW_CWS'!AU70</f>
        <v>236406647.40000021</v>
      </c>
      <c r="AV11" s="121">
        <f>'FIN-CASHFLOW_CWS'!AV70</f>
        <v>268098588.58050025</v>
      </c>
      <c r="AW11" s="121">
        <f>'FIN-CASHFLOW_CWS'!AW70</f>
        <v>299790529.76100028</v>
      </c>
      <c r="AX11" s="121">
        <f>'FIN-CASHFLOW_CWS'!AX70</f>
        <v>331482470.94150031</v>
      </c>
      <c r="AY11" s="121">
        <f>'FIN-CASHFLOW_CWS'!AY70</f>
        <v>347514238.16400033</v>
      </c>
      <c r="AZ11" s="121">
        <f>'FIN-CASHFLOW_CWS'!AZ70</f>
        <v>356832319.57263535</v>
      </c>
      <c r="BA11" s="121">
        <f>'FIN-CASHFLOW_CWS'!BA70</f>
        <v>381385735.84892035</v>
      </c>
      <c r="BB11" s="121">
        <f>'FIN-CASHFLOW_CWS'!BB70</f>
        <v>411002051.99369037</v>
      </c>
      <c r="BC11" s="121">
        <f>'FIN-CASHFLOW_CWS'!BC70</f>
        <v>440618368.1384604</v>
      </c>
      <c r="BD11" s="121">
        <f>'FIN-CASHFLOW_CWS'!BD70</f>
        <v>470234684.28323042</v>
      </c>
      <c r="BE11" s="121">
        <f>'FIN-CASHFLOW_CWS'!BE70</f>
        <v>499851000.42800045</v>
      </c>
      <c r="BF11" s="121">
        <f>'FIN-CASHFLOW_CWS'!BF70</f>
        <v>529467316.57277048</v>
      </c>
      <c r="BG11" s="121">
        <f>'FIN-CASHFLOW_CWS'!BG70</f>
        <v>559083632.7175405</v>
      </c>
      <c r="BH11" s="121">
        <f>'FIN-CASHFLOW_CWS'!BH70</f>
        <v>588699948.86231053</v>
      </c>
      <c r="BI11" s="121">
        <f>'FIN-CASHFLOW_CWS'!BI70</f>
        <v>618316265.00708055</v>
      </c>
      <c r="BJ11" s="121">
        <f>'FIN-CASHFLOW_CWS'!BJ70</f>
        <v>647932581.15185058</v>
      </c>
      <c r="BK11" s="121">
        <f>'FIN-CASHFLOW_CWS'!BK70</f>
        <v>662337863.15707564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911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1028</v>
      </c>
      <c r="C15" s="121">
        <f ca="1">C30*-1</f>
        <v>45862500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26346800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18276283.149999991</v>
      </c>
      <c r="P15" s="121">
        <f t="shared" ca="1" si="6"/>
        <v>0</v>
      </c>
      <c r="Q15" s="121">
        <f t="shared" ca="1" si="6"/>
        <v>0</v>
      </c>
      <c r="R15" s="121">
        <f t="shared" ca="1" si="6"/>
        <v>0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464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-21951500</v>
      </c>
      <c r="H17" s="121">
        <f t="shared" ca="1" si="7"/>
        <v>-8787000</v>
      </c>
      <c r="I17" s="121">
        <f t="shared" ca="1" si="7"/>
        <v>-7550299.9999999991</v>
      </c>
      <c r="J17" s="121">
        <f t="shared" ca="1" si="7"/>
        <v>-7573699.9999999991</v>
      </c>
      <c r="K17" s="121">
        <f t="shared" ca="1" si="7"/>
        <v>19166700</v>
      </c>
      <c r="L17" s="121">
        <f t="shared" ca="1" si="7"/>
        <v>-6783499.9999999991</v>
      </c>
      <c r="M17" s="121">
        <f t="shared" ca="1" si="7"/>
        <v>-6389899.9999999991</v>
      </c>
      <c r="N17" s="121">
        <f t="shared" ca="1" si="7"/>
        <v>-5993299.9999999991</v>
      </c>
      <c r="O17" s="121">
        <f t="shared" ca="1" si="7"/>
        <v>11657383.149999991</v>
      </c>
      <c r="P17" s="121">
        <f t="shared" ca="1" si="7"/>
        <v>-6560715.0000000009</v>
      </c>
      <c r="Q17" s="121">
        <f t="shared" ca="1" si="7"/>
        <v>-2750980.0000000014</v>
      </c>
      <c r="R17" s="121">
        <f t="shared" ca="1" si="7"/>
        <v>-1511215.0000000012</v>
      </c>
      <c r="S17" s="121">
        <f t="shared" ca="1" si="7"/>
        <v>-511215.00000000122</v>
      </c>
      <c r="T17" s="121">
        <f t="shared" ca="1" si="7"/>
        <v>-511215.00000000122</v>
      </c>
      <c r="U17" s="121">
        <f t="shared" ca="1" si="7"/>
        <v>-511215.00000000122</v>
      </c>
      <c r="V17" s="121">
        <f t="shared" ca="1" si="7"/>
        <v>-511215.00000000122</v>
      </c>
      <c r="W17" s="121">
        <f t="shared" ca="1" si="7"/>
        <v>-511215.00000000122</v>
      </c>
      <c r="X17" s="121">
        <f t="shared" ca="1" si="7"/>
        <v>-511215.00000000122</v>
      </c>
      <c r="Y17" s="121">
        <f t="shared" ca="1" si="7"/>
        <v>-511215.00000000122</v>
      </c>
      <c r="Z17" s="121">
        <f t="shared" ca="1" si="7"/>
        <v>-511215.00000000122</v>
      </c>
      <c r="AA17" s="121">
        <f t="shared" ca="1" si="7"/>
        <v>-4236135.0000000009</v>
      </c>
      <c r="AB17" s="121">
        <f t="shared" ca="1" si="7"/>
        <v>-483036.10000000085</v>
      </c>
      <c r="AC17" s="121">
        <f t="shared" ca="1" si="7"/>
        <v>7974417.9500000058</v>
      </c>
      <c r="AD17" s="121">
        <f t="shared" ca="1" si="7"/>
        <v>10791279.500000006</v>
      </c>
      <c r="AE17" s="121">
        <f t="shared" ca="1" si="7"/>
        <v>10791279.500000006</v>
      </c>
      <c r="AF17" s="121">
        <f t="shared" ca="1" si="7"/>
        <v>10791279.500000006</v>
      </c>
      <c r="AG17" s="121">
        <f t="shared" ca="1" si="7"/>
        <v>10791279.500000006</v>
      </c>
      <c r="AH17" s="121">
        <f t="shared" ca="1" si="7"/>
        <v>10791279.500000006</v>
      </c>
      <c r="AI17" s="121">
        <f t="shared" ca="1" si="7"/>
        <v>10791279.500000006</v>
      </c>
      <c r="AJ17" s="121">
        <f t="shared" ref="AJ17:BK17" ca="1" si="8">AJ7+AJ15</f>
        <v>10791279.500000006</v>
      </c>
      <c r="AK17" s="121">
        <f t="shared" ca="1" si="8"/>
        <v>10791279.500000006</v>
      </c>
      <c r="AL17" s="121">
        <f t="shared" ca="1" si="8"/>
        <v>10791279.500000006</v>
      </c>
      <c r="AM17" s="121">
        <f t="shared" ca="1" si="8"/>
        <v>2333825.4499999979</v>
      </c>
      <c r="AN17" s="121">
        <f t="shared" ca="1" si="8"/>
        <v>10812534.279500002</v>
      </c>
      <c r="AO17" s="121">
        <f t="shared" ca="1" si="8"/>
        <v>26472708.237500012</v>
      </c>
      <c r="AP17" s="121">
        <f t="shared" ca="1" si="8"/>
        <v>31691941.180500016</v>
      </c>
      <c r="AQ17" s="121">
        <f t="shared" ca="1" si="8"/>
        <v>31691941.180500016</v>
      </c>
      <c r="AR17" s="121">
        <f t="shared" ca="1" si="8"/>
        <v>31691941.180500016</v>
      </c>
      <c r="AS17" s="121">
        <f t="shared" ca="1" si="8"/>
        <v>31691941.180500016</v>
      </c>
      <c r="AT17" s="121">
        <f t="shared" ca="1" si="8"/>
        <v>31691941.180500016</v>
      </c>
      <c r="AU17" s="121">
        <f t="shared" ca="1" si="8"/>
        <v>31691941.180500016</v>
      </c>
      <c r="AV17" s="121">
        <f t="shared" ca="1" si="8"/>
        <v>31691941.180500016</v>
      </c>
      <c r="AW17" s="121">
        <f t="shared" ca="1" si="8"/>
        <v>31691941.180500016</v>
      </c>
      <c r="AX17" s="121">
        <f t="shared" ca="1" si="8"/>
        <v>31691941.180500016</v>
      </c>
      <c r="AY17" s="121">
        <f t="shared" ca="1" si="8"/>
        <v>16031767.222500006</v>
      </c>
      <c r="AZ17" s="121">
        <f t="shared" ca="1" si="8"/>
        <v>9318081.4086349998</v>
      </c>
      <c r="BA17" s="121">
        <f t="shared" ca="1" si="8"/>
        <v>24553416.276285011</v>
      </c>
      <c r="BB17" s="121">
        <f t="shared" ca="1" si="8"/>
        <v>29616316.144770015</v>
      </c>
      <c r="BC17" s="121">
        <f t="shared" ca="1" si="8"/>
        <v>29616316.144770015</v>
      </c>
      <c r="BD17" s="121">
        <f t="shared" ca="1" si="8"/>
        <v>29616316.144770015</v>
      </c>
      <c r="BE17" s="121">
        <f t="shared" ca="1" si="8"/>
        <v>29616316.144770015</v>
      </c>
      <c r="BF17" s="121">
        <f t="shared" ca="1" si="8"/>
        <v>29616316.144770015</v>
      </c>
      <c r="BG17" s="121">
        <f t="shared" ca="1" si="8"/>
        <v>29616316.144770015</v>
      </c>
      <c r="BH17" s="121">
        <f t="shared" ca="1" si="8"/>
        <v>29616316.144770015</v>
      </c>
      <c r="BI17" s="121">
        <f t="shared" ca="1" si="8"/>
        <v>29616316.144770015</v>
      </c>
      <c r="BJ17" s="121">
        <f t="shared" ca="1" si="8"/>
        <v>29616316.144770015</v>
      </c>
      <c r="BK17" s="121">
        <f t="shared" ca="1" si="8"/>
        <v>14405282.005225005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466</v>
      </c>
      <c r="C19" s="121">
        <f ca="1">C15</f>
        <v>45862500</v>
      </c>
      <c r="D19" s="121">
        <f t="shared" ref="D19:AI19" ca="1" si="9">C20</f>
        <v>45862500</v>
      </c>
      <c r="E19" s="121">
        <f t="shared" ca="1" si="9"/>
        <v>45862500</v>
      </c>
      <c r="F19" s="121">
        <f t="shared" ca="1" si="9"/>
        <v>45862500</v>
      </c>
      <c r="G19" s="121">
        <f t="shared" ca="1" si="9"/>
        <v>45862500</v>
      </c>
      <c r="H19" s="121">
        <f t="shared" ca="1" si="9"/>
        <v>23911000</v>
      </c>
      <c r="I19" s="121">
        <f t="shared" ca="1" si="9"/>
        <v>15124000</v>
      </c>
      <c r="J19" s="121">
        <f t="shared" ca="1" si="9"/>
        <v>7573700.0000000009</v>
      </c>
      <c r="K19" s="121">
        <f t="shared" ca="1" si="9"/>
        <v>0</v>
      </c>
      <c r="L19" s="121">
        <f t="shared" ca="1" si="9"/>
        <v>19166700</v>
      </c>
      <c r="M19" s="121">
        <f t="shared" ca="1" si="9"/>
        <v>12383200</v>
      </c>
      <c r="N19" s="121">
        <f t="shared" ca="1" si="9"/>
        <v>5993300.0000000009</v>
      </c>
      <c r="O19" s="121">
        <f t="shared" ca="1" si="9"/>
        <v>0</v>
      </c>
      <c r="P19" s="121">
        <f t="shared" ca="1" si="9"/>
        <v>11657383.149999991</v>
      </c>
      <c r="Q19" s="121">
        <f t="shared" ca="1" si="9"/>
        <v>5096668.1499999901</v>
      </c>
      <c r="R19" s="121">
        <f t="shared" ca="1" si="9"/>
        <v>2345688.1499999887</v>
      </c>
      <c r="S19" s="121">
        <f t="shared" ca="1" si="9"/>
        <v>834473.14999998757</v>
      </c>
      <c r="T19" s="121">
        <f t="shared" ca="1" si="9"/>
        <v>323258.14999998634</v>
      </c>
      <c r="U19" s="121">
        <f t="shared" ca="1" si="9"/>
        <v>-187956.85000001488</v>
      </c>
      <c r="V19" s="121">
        <f t="shared" ca="1" si="9"/>
        <v>-699171.85000001616</v>
      </c>
      <c r="W19" s="121">
        <f t="shared" ca="1" si="9"/>
        <v>-1210386.8500000173</v>
      </c>
      <c r="X19" s="121">
        <f t="shared" ca="1" si="9"/>
        <v>-1721601.8500000185</v>
      </c>
      <c r="Y19" s="121">
        <f t="shared" ca="1" si="9"/>
        <v>-2232816.8500000197</v>
      </c>
      <c r="Z19" s="121">
        <f t="shared" ca="1" si="9"/>
        <v>-2744031.850000021</v>
      </c>
      <c r="AA19" s="121">
        <f t="shared" ca="1" si="9"/>
        <v>-3255246.8500000224</v>
      </c>
      <c r="AB19" s="121">
        <f t="shared" ca="1" si="9"/>
        <v>-7491381.8500000238</v>
      </c>
      <c r="AC19" s="121">
        <f t="shared" ca="1" si="9"/>
        <v>-7974417.9500000244</v>
      </c>
      <c r="AD19" s="121">
        <f t="shared" ca="1" si="9"/>
        <v>-1.862645149230957E-8</v>
      </c>
      <c r="AE19" s="121">
        <f t="shared" ca="1" si="9"/>
        <v>10791279.499999987</v>
      </c>
      <c r="AF19" s="121">
        <f t="shared" ca="1" si="9"/>
        <v>21582558.999999993</v>
      </c>
      <c r="AG19" s="121">
        <f t="shared" ca="1" si="9"/>
        <v>32373838.5</v>
      </c>
      <c r="AH19" s="121">
        <f t="shared" ca="1" si="9"/>
        <v>43165118.000000007</v>
      </c>
      <c r="AI19" s="121">
        <f t="shared" ca="1" si="9"/>
        <v>53956397.500000015</v>
      </c>
      <c r="AJ19" s="121">
        <f t="shared" ref="AJ19:BK19" ca="1" si="10">AI20</f>
        <v>64747677.000000022</v>
      </c>
      <c r="AK19" s="121">
        <f t="shared" ca="1" si="10"/>
        <v>75538956.50000003</v>
      </c>
      <c r="AL19" s="121">
        <f t="shared" ca="1" si="10"/>
        <v>86330236.00000003</v>
      </c>
      <c r="AM19" s="121">
        <f t="shared" ca="1" si="10"/>
        <v>97121515.50000003</v>
      </c>
      <c r="AN19" s="121">
        <f t="shared" ca="1" si="10"/>
        <v>99455340.950000033</v>
      </c>
      <c r="AO19" s="121">
        <f t="shared" ca="1" si="10"/>
        <v>110267875.22950004</v>
      </c>
      <c r="AP19" s="121">
        <f t="shared" ca="1" si="10"/>
        <v>136740583.46700007</v>
      </c>
      <c r="AQ19" s="121">
        <f t="shared" ca="1" si="10"/>
        <v>168432524.6475001</v>
      </c>
      <c r="AR19" s="121">
        <f t="shared" ca="1" si="10"/>
        <v>200124465.82800013</v>
      </c>
      <c r="AS19" s="121">
        <f t="shared" ca="1" si="10"/>
        <v>231816407.00850016</v>
      </c>
      <c r="AT19" s="121">
        <f t="shared" ca="1" si="10"/>
        <v>263508348.18900019</v>
      </c>
      <c r="AU19" s="121">
        <f t="shared" ca="1" si="10"/>
        <v>295200289.36950022</v>
      </c>
      <c r="AV19" s="121">
        <f t="shared" ca="1" si="10"/>
        <v>326892230.55000025</v>
      </c>
      <c r="AW19" s="121">
        <f t="shared" ca="1" si="10"/>
        <v>358584171.73050028</v>
      </c>
      <c r="AX19" s="121">
        <f t="shared" ca="1" si="10"/>
        <v>390276112.91100031</v>
      </c>
      <c r="AY19" s="121">
        <f t="shared" ca="1" si="10"/>
        <v>421968054.09150034</v>
      </c>
      <c r="AZ19" s="121">
        <f t="shared" ca="1" si="10"/>
        <v>437999821.31400037</v>
      </c>
      <c r="BA19" s="121">
        <f t="shared" ca="1" si="10"/>
        <v>447317902.72263539</v>
      </c>
      <c r="BB19" s="121">
        <f t="shared" ca="1" si="10"/>
        <v>471871318.99892038</v>
      </c>
      <c r="BC19" s="121">
        <f t="shared" ca="1" si="10"/>
        <v>501487635.14369041</v>
      </c>
      <c r="BD19" s="121">
        <f t="shared" ca="1" si="10"/>
        <v>531103951.28846043</v>
      </c>
      <c r="BE19" s="121">
        <f t="shared" ca="1" si="10"/>
        <v>560720267.4332304</v>
      </c>
      <c r="BF19" s="121">
        <f t="shared" ca="1" si="10"/>
        <v>590336583.57800043</v>
      </c>
      <c r="BG19" s="121">
        <f t="shared" ca="1" si="10"/>
        <v>619952899.72277045</v>
      </c>
      <c r="BH19" s="121">
        <f t="shared" ca="1" si="10"/>
        <v>649569215.86754048</v>
      </c>
      <c r="BI19" s="121">
        <f t="shared" ca="1" si="10"/>
        <v>679185532.0123105</v>
      </c>
      <c r="BJ19" s="121">
        <f t="shared" ca="1" si="10"/>
        <v>708801848.15708053</v>
      </c>
      <c r="BK19" s="121">
        <f t="shared" ca="1" si="10"/>
        <v>738418164.30185056</v>
      </c>
    </row>
    <row r="20" spans="2:64" x14ac:dyDescent="0.15">
      <c r="B20" s="127" t="s">
        <v>465</v>
      </c>
      <c r="C20" s="121">
        <f ca="1">C15+C17</f>
        <v>45862500</v>
      </c>
      <c r="D20" s="121">
        <f t="shared" ref="D20:AI20" ca="1" si="11">D17+D19</f>
        <v>45862500</v>
      </c>
      <c r="E20" s="121">
        <f t="shared" ca="1" si="11"/>
        <v>45862500</v>
      </c>
      <c r="F20" s="121">
        <f t="shared" ca="1" si="11"/>
        <v>45862500</v>
      </c>
      <c r="G20" s="121">
        <f t="shared" ca="1" si="11"/>
        <v>23911000</v>
      </c>
      <c r="H20" s="121">
        <f t="shared" ca="1" si="11"/>
        <v>15124000</v>
      </c>
      <c r="I20" s="121">
        <f t="shared" ca="1" si="11"/>
        <v>7573700.0000000009</v>
      </c>
      <c r="J20" s="121">
        <f t="shared" ca="1" si="11"/>
        <v>0</v>
      </c>
      <c r="K20" s="121">
        <f t="shared" ca="1" si="11"/>
        <v>19166700</v>
      </c>
      <c r="L20" s="121">
        <f t="shared" ca="1" si="11"/>
        <v>12383200</v>
      </c>
      <c r="M20" s="121">
        <f t="shared" ca="1" si="11"/>
        <v>5993300.0000000009</v>
      </c>
      <c r="N20" s="121">
        <f t="shared" ca="1" si="11"/>
        <v>0</v>
      </c>
      <c r="O20" s="121">
        <f t="shared" ca="1" si="11"/>
        <v>11657383.149999991</v>
      </c>
      <c r="P20" s="121">
        <f t="shared" ca="1" si="11"/>
        <v>5096668.1499999901</v>
      </c>
      <c r="Q20" s="121">
        <f t="shared" ca="1" si="11"/>
        <v>2345688.1499999887</v>
      </c>
      <c r="R20" s="121">
        <f t="shared" ca="1" si="11"/>
        <v>834473.14999998757</v>
      </c>
      <c r="S20" s="121">
        <f t="shared" ca="1" si="11"/>
        <v>323258.14999998634</v>
      </c>
      <c r="T20" s="121">
        <f t="shared" ca="1" si="11"/>
        <v>-187956.85000001488</v>
      </c>
      <c r="U20" s="121">
        <f t="shared" ca="1" si="11"/>
        <v>-699171.85000001616</v>
      </c>
      <c r="V20" s="121">
        <f t="shared" ca="1" si="11"/>
        <v>-1210386.8500000173</v>
      </c>
      <c r="W20" s="121">
        <f t="shared" ca="1" si="11"/>
        <v>-1721601.8500000185</v>
      </c>
      <c r="X20" s="121">
        <f t="shared" ca="1" si="11"/>
        <v>-2232816.8500000197</v>
      </c>
      <c r="Y20" s="121">
        <f t="shared" ca="1" si="11"/>
        <v>-2744031.850000021</v>
      </c>
      <c r="Z20" s="121">
        <f t="shared" ca="1" si="11"/>
        <v>-3255246.8500000224</v>
      </c>
      <c r="AA20" s="121">
        <f t="shared" ca="1" si="11"/>
        <v>-7491381.8500000238</v>
      </c>
      <c r="AB20" s="121">
        <f t="shared" ca="1" si="11"/>
        <v>-7974417.9500000244</v>
      </c>
      <c r="AC20" s="121">
        <f t="shared" ca="1" si="11"/>
        <v>-1.862645149230957E-8</v>
      </c>
      <c r="AD20" s="121">
        <f t="shared" ca="1" si="11"/>
        <v>10791279.499999987</v>
      </c>
      <c r="AE20" s="121">
        <f t="shared" ca="1" si="11"/>
        <v>21582558.999999993</v>
      </c>
      <c r="AF20" s="121">
        <f t="shared" ca="1" si="11"/>
        <v>32373838.5</v>
      </c>
      <c r="AG20" s="121">
        <f t="shared" ca="1" si="11"/>
        <v>43165118.000000007</v>
      </c>
      <c r="AH20" s="121">
        <f t="shared" ca="1" si="11"/>
        <v>53956397.500000015</v>
      </c>
      <c r="AI20" s="121">
        <f t="shared" ca="1" si="11"/>
        <v>64747677.000000022</v>
      </c>
      <c r="AJ20" s="121">
        <f t="shared" ref="AJ20:BK20" ca="1" si="12">AJ17+AJ19</f>
        <v>75538956.50000003</v>
      </c>
      <c r="AK20" s="121">
        <f t="shared" ca="1" si="12"/>
        <v>86330236.00000003</v>
      </c>
      <c r="AL20" s="121">
        <f t="shared" ca="1" si="12"/>
        <v>97121515.50000003</v>
      </c>
      <c r="AM20" s="121">
        <f t="shared" ca="1" si="12"/>
        <v>99455340.950000033</v>
      </c>
      <c r="AN20" s="121">
        <f t="shared" ca="1" si="12"/>
        <v>110267875.22950004</v>
      </c>
      <c r="AO20" s="121">
        <f t="shared" ca="1" si="12"/>
        <v>136740583.46700007</v>
      </c>
      <c r="AP20" s="121">
        <f t="shared" ca="1" si="12"/>
        <v>168432524.6475001</v>
      </c>
      <c r="AQ20" s="121">
        <f t="shared" ca="1" si="12"/>
        <v>200124465.82800013</v>
      </c>
      <c r="AR20" s="121">
        <f t="shared" ca="1" si="12"/>
        <v>231816407.00850016</v>
      </c>
      <c r="AS20" s="121">
        <f t="shared" ca="1" si="12"/>
        <v>263508348.18900019</v>
      </c>
      <c r="AT20" s="121">
        <f t="shared" ca="1" si="12"/>
        <v>295200289.36950022</v>
      </c>
      <c r="AU20" s="121">
        <f t="shared" ca="1" si="12"/>
        <v>326892230.55000025</v>
      </c>
      <c r="AV20" s="121">
        <f t="shared" ca="1" si="12"/>
        <v>358584171.73050028</v>
      </c>
      <c r="AW20" s="121">
        <f t="shared" ca="1" si="12"/>
        <v>390276112.91100031</v>
      </c>
      <c r="AX20" s="121">
        <f t="shared" ca="1" si="12"/>
        <v>421968054.09150034</v>
      </c>
      <c r="AY20" s="121">
        <f t="shared" ca="1" si="12"/>
        <v>437999821.31400037</v>
      </c>
      <c r="AZ20" s="121">
        <f t="shared" ca="1" si="12"/>
        <v>447317902.72263539</v>
      </c>
      <c r="BA20" s="121">
        <f t="shared" ca="1" si="12"/>
        <v>471871318.99892038</v>
      </c>
      <c r="BB20" s="121">
        <f t="shared" ca="1" si="12"/>
        <v>501487635.14369041</v>
      </c>
      <c r="BC20" s="121">
        <f t="shared" ca="1" si="12"/>
        <v>531103951.28846043</v>
      </c>
      <c r="BD20" s="121">
        <f t="shared" ca="1" si="12"/>
        <v>560720267.4332304</v>
      </c>
      <c r="BE20" s="121">
        <f t="shared" ca="1" si="12"/>
        <v>590336583.57800043</v>
      </c>
      <c r="BF20" s="121">
        <f t="shared" ca="1" si="12"/>
        <v>619952899.72277045</v>
      </c>
      <c r="BG20" s="121">
        <f t="shared" ca="1" si="12"/>
        <v>649569215.86754048</v>
      </c>
      <c r="BH20" s="121">
        <f t="shared" ca="1" si="12"/>
        <v>679185532.0123105</v>
      </c>
      <c r="BI20" s="121">
        <f t="shared" ca="1" si="12"/>
        <v>708801848.15708053</v>
      </c>
      <c r="BJ20" s="121">
        <f t="shared" ca="1" si="12"/>
        <v>738418164.30185056</v>
      </c>
      <c r="BK20" s="121">
        <f t="shared" ca="1" si="12"/>
        <v>752823446.30707562</v>
      </c>
      <c r="BL20" s="130">
        <f ca="1">BK20-BK11</f>
        <v>90485583.149999976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940</v>
      </c>
      <c r="C23" s="75" t="s">
        <v>838</v>
      </c>
      <c r="D23" s="75" t="s">
        <v>1261</v>
      </c>
      <c r="E23" s="75" t="s">
        <v>1262</v>
      </c>
      <c r="F23" s="75" t="s">
        <v>834</v>
      </c>
      <c r="G23" s="75" t="s">
        <v>835</v>
      </c>
      <c r="L23" s="130"/>
      <c r="U23" s="130"/>
    </row>
    <row r="24" spans="2:64" x14ac:dyDescent="0.15">
      <c r="B24" s="136" t="s">
        <v>942</v>
      </c>
      <c r="C24" s="266" t="s">
        <v>1249</v>
      </c>
      <c r="D24" s="266" t="str">
        <f>C26</f>
        <v>JulYR1</v>
      </c>
      <c r="E24" s="266" t="str">
        <f>D26</f>
        <v>NovYR1</v>
      </c>
      <c r="F24" s="266"/>
      <c r="L24" s="130"/>
    </row>
    <row r="25" spans="2:64" x14ac:dyDescent="0.15">
      <c r="B25" s="136" t="s">
        <v>912</v>
      </c>
      <c r="C25" s="266" t="s">
        <v>1249</v>
      </c>
      <c r="D25" s="381" t="str" cm="1">
        <f t="array" aca="1" ref="D25" ca="1">OFFSET(INDIRECT(D24),-1,1)</f>
        <v>AugYR1</v>
      </c>
      <c r="E25" s="381" t="str" cm="1">
        <f t="array" aca="1" ref="E25" ca="1">OFFSET(INDIRECT(E24),-1,1)</f>
        <v>DecYR1</v>
      </c>
      <c r="F25" s="266" t="s">
        <v>1266</v>
      </c>
      <c r="L25" s="130"/>
    </row>
    <row r="26" spans="2:64" x14ac:dyDescent="0.15">
      <c r="B26" s="138" t="s">
        <v>913</v>
      </c>
      <c r="C26" s="381" t="s">
        <v>1267</v>
      </c>
      <c r="D26" s="381" t="s">
        <v>1278</v>
      </c>
      <c r="E26" s="381" t="s">
        <v>1279</v>
      </c>
      <c r="F26" s="266"/>
      <c r="L26" s="130"/>
    </row>
    <row r="27" spans="2:64" x14ac:dyDescent="0.15">
      <c r="B27" s="138" t="s">
        <v>943</v>
      </c>
      <c r="C27" s="266" t="s">
        <v>1245</v>
      </c>
      <c r="D27" s="381" t="s">
        <v>914</v>
      </c>
      <c r="E27" s="266" t="s">
        <v>939</v>
      </c>
      <c r="F27" s="266" t="s">
        <v>937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827</v>
      </c>
      <c r="C29" s="121">
        <f>C4</f>
        <v>0</v>
      </c>
      <c r="D29" s="130">
        <f ca="1">C31</f>
        <v>-45862500</v>
      </c>
      <c r="E29" s="130">
        <f ca="1">D31</f>
        <v>-72209300</v>
      </c>
      <c r="F29" s="224">
        <f>C29</f>
        <v>0</v>
      </c>
      <c r="G29" s="224">
        <f ca="1">F31</f>
        <v>-90485583.149999991</v>
      </c>
      <c r="L29" s="130"/>
    </row>
    <row r="30" spans="2:64" x14ac:dyDescent="0.15">
      <c r="B30" s="138" t="s">
        <v>828</v>
      </c>
      <c r="C30" s="70">
        <f ca="1">C31-C29</f>
        <v>-45862500</v>
      </c>
      <c r="D30" s="385">
        <f ca="1">D31-D29</f>
        <v>-26346800</v>
      </c>
      <c r="E30" s="385">
        <f ca="1">E31-E29</f>
        <v>-18276283.149999991</v>
      </c>
      <c r="F30" s="224">
        <f ca="1">SUM(C30:E30)</f>
        <v>-90485583.149999991</v>
      </c>
      <c r="G30" s="145">
        <f ca="1">G31-G29</f>
        <v>843309029.4570756</v>
      </c>
      <c r="L30" s="130"/>
    </row>
    <row r="31" spans="2:64" x14ac:dyDescent="0.15">
      <c r="B31" s="138" t="s">
        <v>829</v>
      </c>
      <c r="C31" s="70" cm="1">
        <f t="array" aca="1" ref="C31" ca="1">INDIRECT(C26 &amp;"Acum")</f>
        <v>-45862500</v>
      </c>
      <c r="D31" s="70" cm="1">
        <f t="array" aca="1" ref="D31" ca="1">INDIRECT(D26&amp;"Acum")</f>
        <v>-72209300</v>
      </c>
      <c r="E31" s="70" cm="1">
        <f t="array" aca="1" ref="E31" ca="1">INDIRECT(E26&amp;"Acum")</f>
        <v>-90485583.149999991</v>
      </c>
      <c r="F31" s="67">
        <f ca="1">E31</f>
        <v>-90485583.149999991</v>
      </c>
      <c r="G31" s="224">
        <f ca="1">CajaAcumFinPeriodo</f>
        <v>752823446.30707562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938</v>
      </c>
      <c r="D34" s="75" t="s">
        <v>825</v>
      </c>
      <c r="E34" s="75" t="s">
        <v>826</v>
      </c>
      <c r="F34" s="75" t="s">
        <v>890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74977549.307411745</v>
      </c>
      <c r="E36" s="386">
        <f ca="1">D30*-1</f>
        <v>26346800</v>
      </c>
      <c r="F36" s="383">
        <f ca="1">E36/D36</f>
        <v>0.35139585440405352</v>
      </c>
    </row>
    <row r="37" spans="1:15" x14ac:dyDescent="0.15">
      <c r="B37" s="138" t="str">
        <f ca="1">"Second Round - NPV from " &amp; E25</f>
        <v>Second Round - NPV from DecYR1</v>
      </c>
      <c r="C37" s="221">
        <f>'FIN-VALUE_DB'!D41</f>
        <v>0.45524999999999999</v>
      </c>
      <c r="D37" s="70">
        <f ca="1">NPV(+C37/12,INDIRECT(E25):BK7)</f>
        <v>196936487.59316695</v>
      </c>
      <c r="E37" s="386">
        <f ca="1">E30*-1</f>
        <v>18276283.149999991</v>
      </c>
      <c r="F37" s="237">
        <f ca="1">E37/D37</f>
        <v>9.2802930393250896E-2</v>
      </c>
    </row>
    <row r="38" spans="1:15" x14ac:dyDescent="0.15">
      <c r="B38" s="138" t="str">
        <f>"Exit Valuation - NPV from " &amp; F25</f>
        <v>Exit Valuation - NPV from DecYR2</v>
      </c>
      <c r="C38" s="221">
        <f>'FIN-VALUE_DB'!E41</f>
        <v>0.25525000000000003</v>
      </c>
      <c r="D38" s="121">
        <f ca="1">NPV(+C38/12,INDIRECT(F25):BK7)</f>
        <v>473205454.39837199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832</v>
      </c>
      <c r="B41" s="48" t="s">
        <v>935</v>
      </c>
      <c r="C41" s="34" t="s">
        <v>907</v>
      </c>
      <c r="D41" s="34" t="s">
        <v>909</v>
      </c>
      <c r="E41" s="34" t="s">
        <v>934</v>
      </c>
      <c r="F41" s="408" t="s">
        <v>832</v>
      </c>
      <c r="G41" s="408"/>
      <c r="H41" s="408"/>
    </row>
    <row r="42" spans="1:15" ht="13.5" customHeight="1" x14ac:dyDescent="0.15">
      <c r="A42" s="34"/>
      <c r="B42" s="48"/>
      <c r="C42" s="34"/>
      <c r="D42" s="34"/>
      <c r="E42" s="34"/>
      <c r="F42" s="75" t="s">
        <v>908</v>
      </c>
      <c r="G42" s="75" t="s">
        <v>836</v>
      </c>
      <c r="H42" s="75" t="s">
        <v>837</v>
      </c>
    </row>
    <row r="43" spans="1:15" x14ac:dyDescent="0.15">
      <c r="B43" s="33" t="s">
        <v>892</v>
      </c>
    </row>
    <row r="44" spans="1:15" x14ac:dyDescent="0.15">
      <c r="B44" s="106" t="s">
        <v>831</v>
      </c>
      <c r="C44" s="33" t="str">
        <f>C25</f>
        <v>YR0</v>
      </c>
      <c r="D44" s="121">
        <f ca="1">C15/2</f>
        <v>22931250</v>
      </c>
      <c r="F44" s="238">
        <f ca="1">D44/E46</f>
        <v>0.5</v>
      </c>
      <c r="G44" s="239">
        <f ca="1">F44*(1-G54)</f>
        <v>0.32430207279797324</v>
      </c>
      <c r="H44" s="240">
        <f ca="1">G44*(1-H62)</f>
        <v>0.29420589010971593</v>
      </c>
      <c r="L44" s="223"/>
    </row>
    <row r="45" spans="1:15" x14ac:dyDescent="0.15">
      <c r="B45" s="106" t="s">
        <v>893</v>
      </c>
      <c r="C45" s="33" t="str">
        <f>C25</f>
        <v>YR0</v>
      </c>
      <c r="D45" s="121">
        <f ca="1">C15/2</f>
        <v>22931250</v>
      </c>
      <c r="F45" s="238">
        <f ca="1">D45/E46</f>
        <v>0.5</v>
      </c>
      <c r="G45" s="239">
        <f ca="1">F45*(1-G54)</f>
        <v>0.32430207279797324</v>
      </c>
      <c r="H45" s="240">
        <f ca="1">G45*(1-H62)</f>
        <v>0.29420589010971593</v>
      </c>
    </row>
    <row r="46" spans="1:15" x14ac:dyDescent="0.15">
      <c r="B46" s="47" t="s">
        <v>830</v>
      </c>
      <c r="E46" s="121">
        <f ca="1">D45+D44</f>
        <v>45862500</v>
      </c>
    </row>
    <row r="47" spans="1:15" x14ac:dyDescent="0.15">
      <c r="B47" s="106" t="s">
        <v>903</v>
      </c>
      <c r="D47" s="382">
        <v>1000</v>
      </c>
      <c r="L47" s="223"/>
    </row>
    <row r="48" spans="1:15" x14ac:dyDescent="0.15">
      <c r="B48" s="106" t="s">
        <v>904</v>
      </c>
      <c r="D48" s="382">
        <v>1000</v>
      </c>
    </row>
    <row r="49" spans="2:12" x14ac:dyDescent="0.15">
      <c r="B49" s="47" t="s">
        <v>894</v>
      </c>
      <c r="D49" s="235">
        <f>SUM(D47:D48)</f>
        <v>2000</v>
      </c>
    </row>
    <row r="50" spans="2:12" x14ac:dyDescent="0.15">
      <c r="B50" s="47" t="s">
        <v>895</v>
      </c>
      <c r="D50" s="131">
        <f ca="1">E46/D49</f>
        <v>22931.25</v>
      </c>
    </row>
    <row r="51" spans="2:12" x14ac:dyDescent="0.15">
      <c r="B51" s="47" t="s">
        <v>898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1259</v>
      </c>
    </row>
    <row r="54" spans="2:12" x14ac:dyDescent="0.15">
      <c r="B54" s="106" t="s">
        <v>896</v>
      </c>
      <c r="C54" s="33" t="str">
        <f ca="1">D25</f>
        <v>AugYR1</v>
      </c>
      <c r="D54" s="121">
        <f ca="1">E36</f>
        <v>26346800</v>
      </c>
      <c r="F54" s="238"/>
      <c r="G54" s="242">
        <f ca="1">D54/E55</f>
        <v>0.35139585440405352</v>
      </c>
      <c r="H54" s="242">
        <f ca="1">G54*(1-H62)</f>
        <v>0.31878528938731721</v>
      </c>
      <c r="L54" s="223"/>
    </row>
    <row r="55" spans="2:12" x14ac:dyDescent="0.15">
      <c r="B55" s="47" t="s">
        <v>830</v>
      </c>
      <c r="E55" s="121">
        <f ca="1">D36</f>
        <v>74977549.307411745</v>
      </c>
    </row>
    <row r="56" spans="2:12" x14ac:dyDescent="0.15">
      <c r="B56" s="106" t="s">
        <v>905</v>
      </c>
      <c r="D56" s="234">
        <f ca="1">D49/(1-G54)-D49</f>
        <v>1083.5448918729503</v>
      </c>
      <c r="L56" s="223"/>
    </row>
    <row r="57" spans="2:12" x14ac:dyDescent="0.15">
      <c r="B57" s="47" t="s">
        <v>894</v>
      </c>
      <c r="D57" s="235">
        <f ca="1">D49+D56</f>
        <v>3083.5448918729503</v>
      </c>
    </row>
    <row r="58" spans="2:12" x14ac:dyDescent="0.15">
      <c r="B58" s="47" t="s">
        <v>895</v>
      </c>
      <c r="D58" s="131">
        <f ca="1">E55/D57</f>
        <v>24315.374653705872</v>
      </c>
    </row>
    <row r="59" spans="2:12" x14ac:dyDescent="0.15">
      <c r="B59" s="47" t="s">
        <v>898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1260</v>
      </c>
    </row>
    <row r="62" spans="2:12" x14ac:dyDescent="0.15">
      <c r="B62" s="106" t="s">
        <v>897</v>
      </c>
      <c r="C62" s="33" t="str">
        <f ca="1">E25</f>
        <v>DecYR1</v>
      </c>
      <c r="D62" s="121">
        <f ca="1">E37</f>
        <v>18276283.149999991</v>
      </c>
      <c r="F62" s="238"/>
      <c r="H62" s="242">
        <f ca="1">D62/E63</f>
        <v>9.2802930393250896E-2</v>
      </c>
      <c r="L62" s="223"/>
    </row>
    <row r="63" spans="2:12" x14ac:dyDescent="0.15">
      <c r="B63" s="47" t="s">
        <v>830</v>
      </c>
      <c r="E63" s="121">
        <f ca="1">D37</f>
        <v>196936487.59316695</v>
      </c>
    </row>
    <row r="64" spans="2:12" x14ac:dyDescent="0.15">
      <c r="B64" s="106" t="s">
        <v>906</v>
      </c>
      <c r="D64" s="234">
        <f ca="1">D57/(1-H62)-D57</f>
        <v>315.43532442074047</v>
      </c>
      <c r="L64" s="223"/>
    </row>
    <row r="65" spans="2:8" x14ac:dyDescent="0.15">
      <c r="B65" s="47" t="s">
        <v>894</v>
      </c>
      <c r="D65" s="235">
        <f ca="1">D57+D64</f>
        <v>3398.9802162936908</v>
      </c>
    </row>
    <row r="66" spans="2:8" x14ac:dyDescent="0.15">
      <c r="B66" s="47" t="s">
        <v>895</v>
      </c>
      <c r="D66" s="131">
        <f ca="1">E63/D65</f>
        <v>57939.874627428704</v>
      </c>
    </row>
    <row r="67" spans="2:8" x14ac:dyDescent="0.15">
      <c r="B67" s="33" t="s">
        <v>898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936</v>
      </c>
      <c r="C69" s="75" t="s">
        <v>899</v>
      </c>
      <c r="D69" s="75" t="s">
        <v>890</v>
      </c>
      <c r="E69" s="75" t="s">
        <v>900</v>
      </c>
      <c r="F69" s="75" t="s">
        <v>902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DecYR2 - First Exit Value</v>
      </c>
      <c r="C71" s="130">
        <f ca="1">D38</f>
        <v>473205454.39837199</v>
      </c>
    </row>
    <row r="72" spans="2:8" x14ac:dyDescent="0.15">
      <c r="B72" s="138" t="s">
        <v>831</v>
      </c>
      <c r="C72" s="130">
        <f ca="1">D44</f>
        <v>22931250</v>
      </c>
      <c r="D72" s="236">
        <f ca="1">H44</f>
        <v>0.29420589010971593</v>
      </c>
      <c r="E72" s="130">
        <f ca="1">$C$71*D72</f>
        <v>139219831.91604564</v>
      </c>
      <c r="F72" s="243">
        <f ca="1">E72/C72</f>
        <v>6.0711837303263287</v>
      </c>
    </row>
    <row r="73" spans="2:8" x14ac:dyDescent="0.15">
      <c r="B73" s="138" t="s">
        <v>893</v>
      </c>
      <c r="C73" s="130">
        <f ca="1">D45</f>
        <v>22931250</v>
      </c>
      <c r="D73" s="236">
        <f ca="1">H45</f>
        <v>0.29420589010971593</v>
      </c>
      <c r="E73" s="130">
        <f ca="1">$C$71*D73</f>
        <v>139219831.91604564</v>
      </c>
      <c r="F73" s="243">
        <f ca="1">E73/C73</f>
        <v>6.0711837303263287</v>
      </c>
    </row>
    <row r="74" spans="2:8" x14ac:dyDescent="0.15">
      <c r="B74" s="138" t="s">
        <v>896</v>
      </c>
      <c r="C74" s="130">
        <f ca="1">D54</f>
        <v>26346800</v>
      </c>
      <c r="D74" s="236">
        <f ca="1">H54</f>
        <v>0.31878528938731721</v>
      </c>
      <c r="E74" s="130">
        <f ca="1">$C$71*D74</f>
        <v>150850937.72004196</v>
      </c>
      <c r="F74" s="243">
        <f ca="1">E74/C74</f>
        <v>5.7255885997556426</v>
      </c>
    </row>
    <row r="75" spans="2:8" x14ac:dyDescent="0.15">
      <c r="B75" s="138" t="s">
        <v>897</v>
      </c>
      <c r="C75" s="130">
        <f ca="1">D62</f>
        <v>18276283.149999991</v>
      </c>
      <c r="D75" s="236">
        <f ca="1">H62</f>
        <v>9.2802930393250896E-2</v>
      </c>
      <c r="E75" s="130">
        <f ca="1">$C$71*D75</f>
        <v>43914852.846238777</v>
      </c>
      <c r="F75" s="243">
        <f ca="1">E75/C75</f>
        <v>2.4028328126574685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901</v>
      </c>
      <c r="C77" s="130">
        <f ca="1">SUM(C72:C75)</f>
        <v>90485583.149999991</v>
      </c>
      <c r="D77" s="236">
        <f ca="1">SUM(D72:D75)</f>
        <v>1</v>
      </c>
      <c r="E77" s="130">
        <f ca="1">SUM(E72:E75)</f>
        <v>473205454.39837199</v>
      </c>
      <c r="F77" s="243">
        <f ca="1">E77/C77</f>
        <v>5.2296226418072438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409" t="s">
        <v>151</v>
      </c>
      <c r="B3" s="406"/>
    </row>
    <row r="4" spans="1:62" x14ac:dyDescent="0.15">
      <c r="C4" s="406" t="s">
        <v>35</v>
      </c>
      <c r="D4" s="406"/>
      <c r="E4" s="406"/>
      <c r="F4" s="406"/>
      <c r="G4" s="406"/>
      <c r="H4" s="406"/>
      <c r="I4" s="406"/>
      <c r="J4" s="406"/>
      <c r="K4" s="406"/>
      <c r="L4" s="406"/>
      <c r="M4" s="406"/>
      <c r="N4" s="406"/>
      <c r="O4" s="406" t="s">
        <v>36</v>
      </c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 t="s">
        <v>37</v>
      </c>
      <c r="AB4" s="406"/>
      <c r="AC4" s="406"/>
      <c r="AD4" s="406"/>
      <c r="AE4" s="406"/>
      <c r="AF4" s="406"/>
      <c r="AG4" s="406"/>
      <c r="AH4" s="406"/>
      <c r="AI4" s="406"/>
      <c r="AJ4" s="406"/>
      <c r="AK4" s="406"/>
      <c r="AL4" s="406"/>
      <c r="AM4" s="406" t="s">
        <v>38</v>
      </c>
      <c r="AN4" s="406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 t="s">
        <v>39</v>
      </c>
      <c r="AZ4" s="406"/>
      <c r="BA4" s="406"/>
      <c r="BB4" s="406"/>
      <c r="BC4" s="406"/>
      <c r="BD4" s="406"/>
      <c r="BE4" s="406"/>
      <c r="BF4" s="406"/>
      <c r="BG4" s="406"/>
      <c r="BH4" s="406"/>
      <c r="BI4" s="406"/>
      <c r="BJ4" s="406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2.5</v>
      </c>
      <c r="G6" s="12">
        <f>STAFF_CWS!L560</f>
        <v>2</v>
      </c>
      <c r="H6" s="12">
        <f>STAFF_CWS!M560</f>
        <v>3</v>
      </c>
      <c r="I6" s="12">
        <f>STAFF_CWS!N560</f>
        <v>3</v>
      </c>
      <c r="J6" s="12">
        <f>STAFF_CWS!O560</f>
        <v>3</v>
      </c>
      <c r="K6" s="12">
        <f>STAFF_CWS!P560</f>
        <v>3</v>
      </c>
      <c r="L6" s="12">
        <f>STAFF_CWS!Q560</f>
        <v>3</v>
      </c>
      <c r="M6" s="12">
        <f>STAFF_CWS!R560</f>
        <v>3</v>
      </c>
      <c r="N6" s="12">
        <f>STAFF_CWS!S560</f>
        <v>3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2997500</v>
      </c>
      <c r="G7" s="250">
        <f>STAFF_CWS!L570</f>
        <v>2678500</v>
      </c>
      <c r="H7" s="250">
        <f>STAFF_CWS!M570</f>
        <v>3157000</v>
      </c>
      <c r="I7" s="250">
        <f>STAFF_CWS!N570</f>
        <v>3157000</v>
      </c>
      <c r="J7" s="250">
        <f>STAFF_CWS!O570</f>
        <v>3157000</v>
      </c>
      <c r="K7" s="250">
        <f>STAFF_CWS!P570</f>
        <v>3157000</v>
      </c>
      <c r="L7" s="250">
        <f>STAFF_CWS!Q570</f>
        <v>3157000</v>
      </c>
      <c r="M7" s="250">
        <f>STAFF_CWS!R570</f>
        <v>3157000</v>
      </c>
      <c r="N7" s="250">
        <f>STAFF_CWS!S570</f>
        <v>3386000</v>
      </c>
      <c r="O7" s="250">
        <f>STAFF_CWS!T570</f>
        <v>5644000</v>
      </c>
      <c r="P7" s="250">
        <f>STAFF_CWS!U570</f>
        <v>5644000</v>
      </c>
      <c r="Q7" s="250">
        <f>STAFF_CWS!V570</f>
        <v>5644000</v>
      </c>
      <c r="R7" s="250">
        <f>STAFF_CWS!W570</f>
        <v>4644000</v>
      </c>
      <c r="S7" s="250">
        <f>STAFF_CWS!X570</f>
        <v>4644000</v>
      </c>
      <c r="T7" s="250">
        <f>STAFF_CWS!Y570</f>
        <v>4644000</v>
      </c>
      <c r="U7" s="250">
        <f>STAFF_CWS!Z570</f>
        <v>4644000</v>
      </c>
      <c r="V7" s="250">
        <f>STAFF_CWS!AA570</f>
        <v>4644000</v>
      </c>
      <c r="W7" s="250">
        <f>STAFF_CWS!AB570</f>
        <v>4644000</v>
      </c>
      <c r="X7" s="250">
        <f>STAFF_CWS!AC570</f>
        <v>4644000</v>
      </c>
      <c r="Y7" s="250">
        <f>STAFF_CWS!AD570</f>
        <v>4644000</v>
      </c>
      <c r="Z7" s="250">
        <f>STAFF_CWS!AE570</f>
        <v>4644000</v>
      </c>
      <c r="AA7" s="250">
        <f>STAFF_CWS!AF570</f>
        <v>6888000</v>
      </c>
      <c r="AB7" s="250">
        <f>STAFF_CWS!AG570</f>
        <v>6888000</v>
      </c>
      <c r="AC7" s="250">
        <f>STAFF_CWS!AH570</f>
        <v>6888000</v>
      </c>
      <c r="AD7" s="250">
        <f>STAFF_CWS!AI570</f>
        <v>6888000</v>
      </c>
      <c r="AE7" s="250">
        <f>STAFF_CWS!AJ570</f>
        <v>6888000</v>
      </c>
      <c r="AF7" s="250">
        <f>STAFF_CWS!AK570</f>
        <v>6888000</v>
      </c>
      <c r="AG7" s="250">
        <f>STAFF_CWS!AL570</f>
        <v>6888000</v>
      </c>
      <c r="AH7" s="250">
        <f>STAFF_CWS!AM570</f>
        <v>6888000</v>
      </c>
      <c r="AI7" s="250">
        <f>STAFF_CWS!AN570</f>
        <v>6888000</v>
      </c>
      <c r="AJ7" s="250">
        <f>STAFF_CWS!AO570</f>
        <v>6888000</v>
      </c>
      <c r="AK7" s="250">
        <f>STAFF_CWS!AP570</f>
        <v>6888000</v>
      </c>
      <c r="AL7" s="250">
        <f>STAFF_CWS!AQ570</f>
        <v>6888000</v>
      </c>
      <c r="AM7" s="250">
        <f>STAFF_CWS!AR570</f>
        <v>6888000</v>
      </c>
      <c r="AN7" s="250">
        <f>STAFF_CWS!AS570</f>
        <v>6888000</v>
      </c>
      <c r="AO7" s="250">
        <f>STAFF_CWS!AT570</f>
        <v>6888000</v>
      </c>
      <c r="AP7" s="250">
        <f>STAFF_CWS!AU570</f>
        <v>6888000</v>
      </c>
      <c r="AQ7" s="250">
        <f>STAFF_CWS!AV570</f>
        <v>6888000</v>
      </c>
      <c r="AR7" s="250">
        <f>STAFF_CWS!AW570</f>
        <v>6888000</v>
      </c>
      <c r="AS7" s="250">
        <f>STAFF_CWS!AX570</f>
        <v>6888000</v>
      </c>
      <c r="AT7" s="250">
        <f>STAFF_CWS!AY570</f>
        <v>6888000</v>
      </c>
      <c r="AU7" s="250">
        <f>STAFF_CWS!AZ570</f>
        <v>6888000</v>
      </c>
      <c r="AV7" s="250">
        <f>STAFF_CWS!BA570</f>
        <v>6888000</v>
      </c>
      <c r="AW7" s="250">
        <f>STAFF_CWS!BB570</f>
        <v>6888000</v>
      </c>
      <c r="AX7" s="250">
        <f>STAFF_CWS!BC570</f>
        <v>6888000</v>
      </c>
      <c r="AY7" s="250">
        <f>STAFF_CWS!BD570</f>
        <v>6888000</v>
      </c>
      <c r="AZ7" s="250">
        <f>STAFF_CWS!BE570</f>
        <v>6888000</v>
      </c>
      <c r="BA7" s="250">
        <f>STAFF_CWS!BF570</f>
        <v>6888000</v>
      </c>
      <c r="BB7" s="250">
        <f>STAFF_CWS!BG570</f>
        <v>6888000</v>
      </c>
      <c r="BC7" s="250">
        <f>STAFF_CWS!BH570</f>
        <v>6888000</v>
      </c>
      <c r="BD7" s="250">
        <f>STAFF_CWS!BI570</f>
        <v>6888000</v>
      </c>
      <c r="BE7" s="250">
        <f>STAFF_CWS!BJ570</f>
        <v>6888000</v>
      </c>
      <c r="BF7" s="250">
        <f>STAFF_CWS!BK570</f>
        <v>6888000</v>
      </c>
      <c r="BG7" s="250">
        <f>STAFF_CWS!BL570</f>
        <v>6888000</v>
      </c>
      <c r="BH7" s="250">
        <f>STAFF_CWS!BM570</f>
        <v>6888000</v>
      </c>
      <c r="BI7" s="250">
        <f>STAFF_CWS!BN570</f>
        <v>6888000</v>
      </c>
      <c r="BJ7" s="250">
        <f>STAFF_CWS!BO570</f>
        <v>6888000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409" t="s">
        <v>154</v>
      </c>
      <c r="B9" s="406"/>
    </row>
    <row r="10" spans="1:62" x14ac:dyDescent="0.15">
      <c r="C10" s="406" t="s">
        <v>35</v>
      </c>
      <c r="D10" s="406"/>
      <c r="E10" s="406"/>
      <c r="F10" s="406"/>
      <c r="G10" s="406"/>
      <c r="H10" s="406"/>
      <c r="I10" s="406"/>
      <c r="J10" s="406"/>
      <c r="K10" s="406"/>
      <c r="L10" s="406"/>
      <c r="M10" s="406"/>
      <c r="N10" s="406"/>
      <c r="O10" s="406" t="s">
        <v>36</v>
      </c>
      <c r="P10" s="406"/>
      <c r="Q10" s="406"/>
      <c r="R10" s="406"/>
      <c r="S10" s="406"/>
      <c r="T10" s="406"/>
      <c r="U10" s="406"/>
      <c r="V10" s="406"/>
      <c r="W10" s="406"/>
      <c r="X10" s="406"/>
      <c r="Y10" s="406"/>
      <c r="Z10" s="406"/>
      <c r="AA10" s="406" t="s">
        <v>37</v>
      </c>
      <c r="AB10" s="406"/>
      <c r="AC10" s="406"/>
      <c r="AD10" s="406"/>
      <c r="AE10" s="406"/>
      <c r="AF10" s="406"/>
      <c r="AG10" s="406"/>
      <c r="AH10" s="406"/>
      <c r="AI10" s="406"/>
      <c r="AJ10" s="406"/>
      <c r="AK10" s="406"/>
      <c r="AL10" s="406"/>
      <c r="AM10" s="406" t="s">
        <v>38</v>
      </c>
      <c r="AN10" s="406"/>
      <c r="AO10" s="406"/>
      <c r="AP10" s="406"/>
      <c r="AQ10" s="406"/>
      <c r="AR10" s="406"/>
      <c r="AS10" s="406"/>
      <c r="AT10" s="406"/>
      <c r="AU10" s="406"/>
      <c r="AV10" s="406"/>
      <c r="AW10" s="406"/>
      <c r="AX10" s="406"/>
      <c r="AY10" s="406" t="s">
        <v>39</v>
      </c>
      <c r="AZ10" s="406"/>
      <c r="BA10" s="406"/>
      <c r="BB10" s="406"/>
      <c r="BC10" s="406"/>
      <c r="BD10" s="406"/>
      <c r="BE10" s="406"/>
      <c r="BF10" s="406"/>
      <c r="BG10" s="406"/>
      <c r="BH10" s="406"/>
      <c r="BI10" s="406"/>
      <c r="BJ10" s="406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1.5</v>
      </c>
      <c r="G12" s="12">
        <f>STAFF_CWS!L27</f>
        <v>1.5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0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0.5</v>
      </c>
      <c r="H15" s="12">
        <f>STAFF_CWS!M135</f>
        <v>1</v>
      </c>
      <c r="I15" s="12">
        <f>STAFF_CWS!N135</f>
        <v>1</v>
      </c>
      <c r="J15" s="12">
        <f>STAFF_CWS!O135</f>
        <v>1</v>
      </c>
      <c r="K15" s="12">
        <f>STAFF_CWS!P135</f>
        <v>1</v>
      </c>
      <c r="L15" s="12">
        <f>STAFF_CWS!Q135</f>
        <v>1</v>
      </c>
      <c r="M15" s="12">
        <f>STAFF_CWS!R135</f>
        <v>1</v>
      </c>
      <c r="N15" s="12">
        <f>STAFF_CWS!S135</f>
        <v>1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2.5</v>
      </c>
      <c r="G16" s="12">
        <f t="shared" si="0"/>
        <v>2</v>
      </c>
      <c r="H16" s="12">
        <f t="shared" si="0"/>
        <v>3</v>
      </c>
      <c r="I16" s="12">
        <f t="shared" si="0"/>
        <v>3</v>
      </c>
      <c r="J16" s="12">
        <f t="shared" si="0"/>
        <v>3</v>
      </c>
      <c r="K16" s="12">
        <f t="shared" si="0"/>
        <v>3</v>
      </c>
      <c r="L16" s="12">
        <f t="shared" si="0"/>
        <v>3</v>
      </c>
      <c r="M16" s="12">
        <f t="shared" si="0"/>
        <v>3</v>
      </c>
      <c r="N16" s="12">
        <f t="shared" si="0"/>
        <v>3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570</v>
      </c>
    </row>
    <row r="19" spans="1:62" x14ac:dyDescent="0.15">
      <c r="C19" s="406" t="s">
        <v>35</v>
      </c>
      <c r="D19" s="406"/>
      <c r="E19" s="406"/>
      <c r="F19" s="406"/>
      <c r="G19" s="406"/>
      <c r="H19" s="406"/>
      <c r="I19" s="406"/>
      <c r="J19" s="406"/>
      <c r="K19" s="406"/>
      <c r="L19" s="406"/>
      <c r="M19" s="406"/>
      <c r="N19" s="406"/>
      <c r="O19" s="406" t="s">
        <v>36</v>
      </c>
      <c r="P19" s="406"/>
      <c r="Q19" s="406"/>
      <c r="R19" s="406"/>
      <c r="S19" s="406"/>
      <c r="T19" s="406"/>
      <c r="U19" s="406"/>
      <c r="V19" s="406"/>
      <c r="W19" s="406"/>
      <c r="X19" s="406"/>
      <c r="Y19" s="406"/>
      <c r="Z19" s="406"/>
      <c r="AA19" s="406" t="s">
        <v>37</v>
      </c>
      <c r="AB19" s="406"/>
      <c r="AC19" s="406"/>
      <c r="AD19" s="406"/>
      <c r="AE19" s="406"/>
      <c r="AF19" s="406"/>
      <c r="AG19" s="406"/>
      <c r="AH19" s="406"/>
      <c r="AI19" s="406"/>
      <c r="AJ19" s="406"/>
      <c r="AK19" s="406"/>
      <c r="AL19" s="406"/>
      <c r="AM19" s="406" t="s">
        <v>38</v>
      </c>
      <c r="AN19" s="406"/>
      <c r="AO19" s="406"/>
      <c r="AP19" s="406"/>
      <c r="AQ19" s="406"/>
      <c r="AR19" s="406"/>
      <c r="AS19" s="406"/>
      <c r="AT19" s="406"/>
      <c r="AU19" s="406"/>
      <c r="AV19" s="406"/>
      <c r="AW19" s="406"/>
      <c r="AX19" s="406"/>
      <c r="AY19" s="406" t="s">
        <v>39</v>
      </c>
      <c r="AZ19" s="406"/>
      <c r="BA19" s="406"/>
      <c r="BB19" s="406"/>
      <c r="BC19" s="406"/>
      <c r="BD19" s="406"/>
      <c r="BE19" s="406"/>
      <c r="BF19" s="406"/>
      <c r="BG19" s="406"/>
      <c r="BH19" s="406"/>
      <c r="BI19" s="406"/>
      <c r="BJ19" s="406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206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78</v>
      </c>
      <c r="G21">
        <f>'REV-REVCALC_CWS'!G13</f>
        <v>107</v>
      </c>
      <c r="H21">
        <f>'REV-REVCALC_CWS'!H13</f>
        <v>159</v>
      </c>
      <c r="I21">
        <f>'REV-REVCALC_CWS'!I13</f>
        <v>199</v>
      </c>
      <c r="J21">
        <f>'REV-REVCALC_CWS'!J13</f>
        <v>239</v>
      </c>
      <c r="K21">
        <f>'REV-REVCALC_CWS'!K13</f>
        <v>279</v>
      </c>
      <c r="L21">
        <f>'REV-REVCALC_CWS'!L13</f>
        <v>319</v>
      </c>
      <c r="M21">
        <f>'REV-REVCALC_CWS'!M13</f>
        <v>359</v>
      </c>
      <c r="N21">
        <f>'REV-REVCALC_CWS'!N13</f>
        <v>319</v>
      </c>
      <c r="O21">
        <f>'REV-REVCALC_CWS'!O13</f>
        <v>567</v>
      </c>
      <c r="P21">
        <f>'REV-REVCALC_CWS'!P13</f>
        <v>908</v>
      </c>
      <c r="Q21">
        <f>'REV-REVCALC_CWS'!Q13</f>
        <v>1021</v>
      </c>
      <c r="R21">
        <f>'REV-REVCALC_CWS'!R13</f>
        <v>1021</v>
      </c>
      <c r="S21">
        <f>'REV-REVCALC_CWS'!S13</f>
        <v>1021</v>
      </c>
      <c r="T21">
        <f>'REV-REVCALC_CWS'!T13</f>
        <v>1021</v>
      </c>
      <c r="U21">
        <f>'REV-REVCALC_CWS'!U13</f>
        <v>1021</v>
      </c>
      <c r="V21">
        <f>'REV-REVCALC_CWS'!V13</f>
        <v>1021</v>
      </c>
      <c r="W21">
        <f>'REV-REVCALC_CWS'!W13</f>
        <v>1021</v>
      </c>
      <c r="X21">
        <f>'REV-REVCALC_CWS'!X13</f>
        <v>1021</v>
      </c>
      <c r="Y21">
        <f>'REV-REVCALC_CWS'!Y13</f>
        <v>1021</v>
      </c>
      <c r="Z21">
        <f>'REV-REVCALC_CWS'!Z13</f>
        <v>681</v>
      </c>
      <c r="AA21">
        <f>'REV-REVCALC_CWS'!AA13</f>
        <v>726</v>
      </c>
      <c r="AB21">
        <f>'REV-REVCALC_CWS'!AB13</f>
        <v>1161</v>
      </c>
      <c r="AC21">
        <f>'REV-REVCALC_CWS'!AC13</f>
        <v>1306</v>
      </c>
      <c r="AD21">
        <f>'REV-REVCALC_CWS'!AD13</f>
        <v>1306</v>
      </c>
      <c r="AE21">
        <f>'REV-REVCALC_CWS'!AE13</f>
        <v>1306</v>
      </c>
      <c r="AF21">
        <f>'REV-REVCALC_CWS'!AF13</f>
        <v>1306</v>
      </c>
      <c r="AG21">
        <f>'REV-REVCALC_CWS'!AG13</f>
        <v>1306</v>
      </c>
      <c r="AH21">
        <f>'REV-REVCALC_CWS'!AH13</f>
        <v>1306</v>
      </c>
      <c r="AI21">
        <f>'REV-REVCALC_CWS'!AI13</f>
        <v>1306</v>
      </c>
      <c r="AJ21">
        <f>'REV-REVCALC_CWS'!AJ13</f>
        <v>1306</v>
      </c>
      <c r="AK21">
        <f>'REV-REVCALC_CWS'!AK13</f>
        <v>1306</v>
      </c>
      <c r="AL21">
        <f>'REV-REVCALC_CWS'!AL13</f>
        <v>871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309</v>
      </c>
      <c r="C22" s="250">
        <f>'REV-REVCALC_CWS'!C94</f>
        <v>0</v>
      </c>
      <c r="D22" s="250">
        <f>'REV-REVCALC_CWS'!D94</f>
        <v>0</v>
      </c>
      <c r="E22" s="250">
        <f>'REV-REVCALC_CWS'!E94</f>
        <v>0</v>
      </c>
      <c r="F22" s="250">
        <f>'REV-REVCALC_CWS'!F94</f>
        <v>1092000</v>
      </c>
      <c r="G22" s="250">
        <f>'REV-REVCALC_CWS'!G94</f>
        <v>1498000</v>
      </c>
      <c r="H22" s="250">
        <f>'REV-REVCALC_CWS'!H94</f>
        <v>3918000</v>
      </c>
      <c r="I22" s="250">
        <f>'REV-REVCALC_CWS'!I94</f>
        <v>4897000</v>
      </c>
      <c r="J22" s="250">
        <f>'REV-REVCALC_CWS'!J94</f>
        <v>5873000</v>
      </c>
      <c r="K22" s="250">
        <f>'REV-REVCALC_CWS'!K94</f>
        <v>6852000</v>
      </c>
      <c r="L22" s="250">
        <f>'REV-REVCALC_CWS'!L94</f>
        <v>7828000</v>
      </c>
      <c r="M22" s="250">
        <f>'REV-REVCALC_CWS'!M94</f>
        <v>8807000</v>
      </c>
      <c r="N22" s="250">
        <f>'REV-REVCALC_CWS'!N94</f>
        <v>7828000</v>
      </c>
      <c r="O22" s="250">
        <f>'REV-REVCALC_CWS'!O94</f>
        <v>15196140</v>
      </c>
      <c r="P22" s="250">
        <f>'REV-REVCALC_CWS'!P94</f>
        <v>24323240</v>
      </c>
      <c r="Q22" s="250">
        <f>'REV-REVCALC_CWS'!Q94</f>
        <v>27354550</v>
      </c>
      <c r="R22" s="250">
        <f>'REV-REVCALC_CWS'!R94</f>
        <v>27354550</v>
      </c>
      <c r="S22" s="250">
        <f>'REV-REVCALC_CWS'!S94</f>
        <v>27354550</v>
      </c>
      <c r="T22" s="250">
        <f>'REV-REVCALC_CWS'!T94</f>
        <v>27354550</v>
      </c>
      <c r="U22" s="250">
        <f>'REV-REVCALC_CWS'!U94</f>
        <v>27354550</v>
      </c>
      <c r="V22" s="250">
        <f>'REV-REVCALC_CWS'!V94</f>
        <v>27354550</v>
      </c>
      <c r="W22" s="250">
        <f>'REV-REVCALC_CWS'!W94</f>
        <v>27354550</v>
      </c>
      <c r="X22" s="250">
        <f>'REV-REVCALC_CWS'!X94</f>
        <v>27354550</v>
      </c>
      <c r="Y22" s="250">
        <f>'REV-REVCALC_CWS'!Y94</f>
        <v>27354550</v>
      </c>
      <c r="Z22" s="250">
        <f>'REV-REVCALC_CWS'!Z94</f>
        <v>18242430</v>
      </c>
      <c r="AA22" s="250">
        <f>'REV-REVCALC_CWS'!AA94</f>
        <v>31448113.200000003</v>
      </c>
      <c r="AB22" s="250">
        <f>'REV-REVCALC_CWS'!AB94</f>
        <v>50312630.5</v>
      </c>
      <c r="AC22" s="250">
        <f>'REV-REVCALC_CWS'!AC94</f>
        <v>56594696.800000004</v>
      </c>
      <c r="AD22" s="250">
        <f>'REV-REVCALC_CWS'!AD94</f>
        <v>56594696.800000004</v>
      </c>
      <c r="AE22" s="250">
        <f>'REV-REVCALC_CWS'!AE94</f>
        <v>56594696.800000004</v>
      </c>
      <c r="AF22" s="250">
        <f>'REV-REVCALC_CWS'!AF94</f>
        <v>56594696.800000004</v>
      </c>
      <c r="AG22" s="250">
        <f>'REV-REVCALC_CWS'!AG94</f>
        <v>56594696.800000004</v>
      </c>
      <c r="AH22" s="250">
        <f>'REV-REVCALC_CWS'!AH94</f>
        <v>56594696.800000004</v>
      </c>
      <c r="AI22" s="250">
        <f>'REV-REVCALC_CWS'!AI94</f>
        <v>56594696.800000004</v>
      </c>
      <c r="AJ22" s="250">
        <f>'REV-REVCALC_CWS'!AJ94</f>
        <v>56594696.800000004</v>
      </c>
      <c r="AK22" s="250">
        <f>'REV-REVCALC_CWS'!AK94</f>
        <v>56594696.800000004</v>
      </c>
      <c r="AL22" s="250">
        <f>'REV-REVCALC_CWS'!AL94</f>
        <v>37730179.5</v>
      </c>
      <c r="AM22" s="250">
        <f>'REV-REVCALC_CWS'!AM94</f>
        <v>60348068.266000003</v>
      </c>
      <c r="AN22" s="250">
        <f>'REV-REVCALC_CWS'!AN94</f>
        <v>96566464.561000019</v>
      </c>
      <c r="AO22" s="250">
        <f>'REV-REVCALC_CWS'!AO94</f>
        <v>108638038.28300001</v>
      </c>
      <c r="AP22" s="250">
        <f>'REV-REVCALC_CWS'!AP94</f>
        <v>108638038.28300001</v>
      </c>
      <c r="AQ22" s="250">
        <f>'REV-REVCALC_CWS'!AQ94</f>
        <v>108638038.28300001</v>
      </c>
      <c r="AR22" s="250">
        <f>'REV-REVCALC_CWS'!AR94</f>
        <v>108638038.28300001</v>
      </c>
      <c r="AS22" s="250">
        <f>'REV-REVCALC_CWS'!AS94</f>
        <v>108638038.28300001</v>
      </c>
      <c r="AT22" s="250">
        <f>'REV-REVCALC_CWS'!AT94</f>
        <v>108638038.28300001</v>
      </c>
      <c r="AU22" s="250">
        <f>'REV-REVCALC_CWS'!AU94</f>
        <v>108638038.28300001</v>
      </c>
      <c r="AV22" s="250">
        <f>'REV-REVCALC_CWS'!AV94</f>
        <v>108638038.28300001</v>
      </c>
      <c r="AW22" s="250">
        <f>'REV-REVCALC_CWS'!AW94</f>
        <v>108638038.28300001</v>
      </c>
      <c r="AX22" s="250">
        <f>'REV-REVCALC_CWS'!AX94</f>
        <v>72419641.98800002</v>
      </c>
      <c r="AY22" s="250">
        <f>'REV-REVCALC_CWS'!AY94</f>
        <v>62991184.291510016</v>
      </c>
      <c r="AZ22" s="250">
        <f>'REV-REVCALC_CWS'!AZ94</f>
        <v>100812429.48098002</v>
      </c>
      <c r="BA22" s="250">
        <f>'REV-REVCALC_CWS'!BA94</f>
        <v>113390048.31604002</v>
      </c>
      <c r="BB22" s="250">
        <f>'REV-REVCALC_CWS'!BB94</f>
        <v>113390048.31604002</v>
      </c>
      <c r="BC22" s="250">
        <f>'REV-REVCALC_CWS'!BC94</f>
        <v>113390048.31604002</v>
      </c>
      <c r="BD22" s="250">
        <f>'REV-REVCALC_CWS'!BD94</f>
        <v>113390048.31604002</v>
      </c>
      <c r="BE22" s="250">
        <f>'REV-REVCALC_CWS'!BE94</f>
        <v>113390048.31604002</v>
      </c>
      <c r="BF22" s="250">
        <f>'REV-REVCALC_CWS'!BF94</f>
        <v>113390048.31604002</v>
      </c>
      <c r="BG22" s="250">
        <f>'REV-REVCALC_CWS'!BG94</f>
        <v>113390048.31604002</v>
      </c>
      <c r="BH22" s="250">
        <f>'REV-REVCALC_CWS'!BH94</f>
        <v>113390048.31604002</v>
      </c>
      <c r="BI22" s="250">
        <f>'REV-REVCALC_CWS'!BI94</f>
        <v>113390048.31604002</v>
      </c>
      <c r="BJ22" s="250">
        <f>'REV-REVCALC_CWS'!BJ94</f>
        <v>75620206.846770018</v>
      </c>
    </row>
    <row r="23" spans="1:62" x14ac:dyDescent="0.15">
      <c r="B23" s="33" t="s">
        <v>574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571</v>
      </c>
      <c r="C26" s="406" t="s">
        <v>35</v>
      </c>
      <c r="D26" s="406"/>
      <c r="E26" s="406"/>
      <c r="F26" s="406"/>
      <c r="G26" s="406"/>
      <c r="H26" s="406"/>
      <c r="I26" s="406"/>
      <c r="J26" s="406"/>
      <c r="K26" s="406"/>
      <c r="L26" s="406"/>
      <c r="M26" s="406"/>
      <c r="N26" s="406"/>
      <c r="O26" s="406" t="s">
        <v>36</v>
      </c>
      <c r="P26" s="406"/>
      <c r="Q26" s="406"/>
      <c r="R26" s="406"/>
      <c r="S26" s="406"/>
      <c r="T26" s="406"/>
      <c r="U26" s="406"/>
      <c r="V26" s="406"/>
      <c r="W26" s="406"/>
      <c r="X26" s="406"/>
      <c r="Y26" s="406"/>
      <c r="Z26" s="406"/>
      <c r="AA26" s="406" t="s">
        <v>37</v>
      </c>
      <c r="AB26" s="406"/>
      <c r="AC26" s="406"/>
      <c r="AD26" s="406"/>
      <c r="AE26" s="406"/>
      <c r="AF26" s="406"/>
      <c r="AG26" s="406"/>
      <c r="AH26" s="406"/>
      <c r="AI26" s="406"/>
      <c r="AJ26" s="406"/>
      <c r="AK26" s="406"/>
      <c r="AL26" s="406"/>
      <c r="AM26" s="406" t="s">
        <v>38</v>
      </c>
      <c r="AN26" s="406"/>
      <c r="AO26" s="406"/>
      <c r="AP26" s="406"/>
      <c r="AQ26" s="406"/>
      <c r="AR26" s="406"/>
      <c r="AS26" s="406"/>
      <c r="AT26" s="406"/>
      <c r="AU26" s="406"/>
      <c r="AV26" s="406"/>
      <c r="AW26" s="406"/>
      <c r="AX26" s="406"/>
      <c r="AY26" s="406" t="s">
        <v>39</v>
      </c>
      <c r="AZ26" s="406"/>
      <c r="BA26" s="406"/>
      <c r="BB26" s="406"/>
      <c r="BC26" s="406"/>
      <c r="BD26" s="406"/>
      <c r="BE26" s="406"/>
      <c r="BF26" s="406"/>
      <c r="BG26" s="406"/>
      <c r="BH26" s="406"/>
      <c r="BI26" s="406"/>
      <c r="BJ26" s="406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572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2.5</v>
      </c>
      <c r="G29" s="12">
        <f t="shared" si="1"/>
        <v>2</v>
      </c>
      <c r="H29" s="12">
        <f t="shared" si="1"/>
        <v>3</v>
      </c>
      <c r="I29" s="12">
        <f t="shared" si="1"/>
        <v>3</v>
      </c>
      <c r="J29" s="12">
        <f t="shared" si="1"/>
        <v>3</v>
      </c>
      <c r="K29" s="12">
        <f t="shared" si="1"/>
        <v>3</v>
      </c>
      <c r="L29" s="12">
        <f t="shared" si="1"/>
        <v>3</v>
      </c>
      <c r="M29" s="12">
        <f t="shared" si="1"/>
        <v>3</v>
      </c>
      <c r="N29" s="12">
        <f t="shared" si="1"/>
        <v>3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573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1200000</v>
      </c>
      <c r="G30" s="250">
        <f>DEV_CWS!I75</f>
        <v>1200000</v>
      </c>
      <c r="H30" s="250">
        <f>DEV_CWS!J75</f>
        <v>1200000</v>
      </c>
      <c r="I30" s="250">
        <f>DEV_CWS!K75</f>
        <v>1200000</v>
      </c>
      <c r="J30" s="250">
        <f>DEV_CWS!L75</f>
        <v>1200000</v>
      </c>
      <c r="K30" s="250">
        <f>DEV_CWS!M75</f>
        <v>1200000</v>
      </c>
      <c r="L30" s="250">
        <f>DEV_CWS!N75</f>
        <v>1200000</v>
      </c>
      <c r="M30" s="250">
        <f>DEV_CWS!O75</f>
        <v>1200000</v>
      </c>
      <c r="N30" s="250">
        <f>DEV_CWS!P75</f>
        <v>1200000</v>
      </c>
      <c r="O30" s="250">
        <f>DEV_CWS!Q75</f>
        <v>1320000</v>
      </c>
      <c r="P30" s="250">
        <f>DEV_CWS!R75</f>
        <v>1320000</v>
      </c>
      <c r="Q30" s="250">
        <f>DEV_CWS!S75</f>
        <v>1320000</v>
      </c>
      <c r="R30" s="250">
        <f>DEV_CWS!T75</f>
        <v>1320000</v>
      </c>
      <c r="S30" s="250">
        <f>DEV_CWS!U75</f>
        <v>1320000</v>
      </c>
      <c r="T30" s="250">
        <f>DEV_CWS!V75</f>
        <v>1320000</v>
      </c>
      <c r="U30" s="250">
        <f>DEV_CWS!W75</f>
        <v>1320000</v>
      </c>
      <c r="V30" s="250">
        <f>DEV_CWS!X75</f>
        <v>1320000</v>
      </c>
      <c r="W30" s="250">
        <f>DEV_CWS!Y75</f>
        <v>1320000</v>
      </c>
      <c r="X30" s="250">
        <f>DEV_CWS!Z75</f>
        <v>1320000</v>
      </c>
      <c r="Y30" s="250">
        <f>DEV_CWS!AA75</f>
        <v>1320000</v>
      </c>
      <c r="Z30" s="250">
        <f>DEV_CWS!AB75</f>
        <v>1320000</v>
      </c>
      <c r="AA30" s="250">
        <f>DEV_CWS!AC75</f>
        <v>1412400</v>
      </c>
      <c r="AB30" s="250">
        <f>DEV_CWS!AD75</f>
        <v>1412400</v>
      </c>
      <c r="AC30" s="250">
        <f>DEV_CWS!AE75</f>
        <v>1412400</v>
      </c>
      <c r="AD30" s="250">
        <f>DEV_CWS!AF75</f>
        <v>1412400</v>
      </c>
      <c r="AE30" s="250">
        <f>DEV_CWS!AG75</f>
        <v>1412400</v>
      </c>
      <c r="AF30" s="250">
        <f>DEV_CWS!AH75</f>
        <v>1412400</v>
      </c>
      <c r="AG30" s="250">
        <f>DEV_CWS!AI75</f>
        <v>1412400</v>
      </c>
      <c r="AH30" s="250">
        <f>DEV_CWS!AJ75</f>
        <v>1412400</v>
      </c>
      <c r="AI30" s="250">
        <f>DEV_CWS!AK75</f>
        <v>1412400</v>
      </c>
      <c r="AJ30" s="250">
        <f>DEV_CWS!AL75</f>
        <v>1412400</v>
      </c>
      <c r="AK30" s="250">
        <f>DEV_CWS!AM75</f>
        <v>1412400</v>
      </c>
      <c r="AL30" s="250">
        <f>DEV_CWS!AN75</f>
        <v>1412400</v>
      </c>
      <c r="AM30" s="250">
        <f>DEV_CWS!AO75</f>
        <v>1511268</v>
      </c>
      <c r="AN30" s="250">
        <f>DEV_CWS!AP75</f>
        <v>1511268</v>
      </c>
      <c r="AO30" s="250">
        <f>DEV_CWS!AQ75</f>
        <v>1511268</v>
      </c>
      <c r="AP30" s="250">
        <f>DEV_CWS!AR75</f>
        <v>1511268</v>
      </c>
      <c r="AQ30" s="250">
        <f>DEV_CWS!AS75</f>
        <v>1511268</v>
      </c>
      <c r="AR30" s="250">
        <f>DEV_CWS!AT75</f>
        <v>1511268</v>
      </c>
      <c r="AS30" s="250">
        <f>DEV_CWS!AU75</f>
        <v>1511268</v>
      </c>
      <c r="AT30" s="250">
        <f>DEV_CWS!AV75</f>
        <v>1511268</v>
      </c>
      <c r="AU30" s="250">
        <f>DEV_CWS!AW75</f>
        <v>1511268</v>
      </c>
      <c r="AV30" s="250">
        <f>DEV_CWS!AX75</f>
        <v>1511268</v>
      </c>
      <c r="AW30" s="250">
        <f>DEV_CWS!AY75</f>
        <v>1511268</v>
      </c>
      <c r="AX30" s="250">
        <f>DEV_CWS!AZ75</f>
        <v>1511268</v>
      </c>
      <c r="AY30" s="250">
        <f>DEV_CWS!BA75</f>
        <v>1617056.76</v>
      </c>
      <c r="AZ30" s="250">
        <f>DEV_CWS!BB75</f>
        <v>1617056.76</v>
      </c>
      <c r="BA30" s="250">
        <f>DEV_CWS!BC75</f>
        <v>1617056.76</v>
      </c>
      <c r="BB30" s="250">
        <f>DEV_CWS!BD75</f>
        <v>1617056.76</v>
      </c>
      <c r="BC30" s="250">
        <f>DEV_CWS!BE75</f>
        <v>1617056.76</v>
      </c>
      <c r="BD30" s="250">
        <f>DEV_CWS!BF75</f>
        <v>1617056.76</v>
      </c>
      <c r="BE30" s="250">
        <f>DEV_CWS!BG75</f>
        <v>1617056.76</v>
      </c>
      <c r="BF30" s="250">
        <f>DEV_CWS!BH75</f>
        <v>1617056.76</v>
      </c>
      <c r="BG30" s="250">
        <f>DEV_CWS!BI75</f>
        <v>1617056.76</v>
      </c>
      <c r="BH30" s="250">
        <f>DEV_CWS!BJ75</f>
        <v>1617056.76</v>
      </c>
      <c r="BI30" s="250">
        <f>DEV_CWS!BK75</f>
        <v>1617056.76</v>
      </c>
      <c r="BJ30" s="250">
        <f>DEV_CWS!BL75</f>
        <v>1617056.76</v>
      </c>
    </row>
    <row r="31" spans="1:62" x14ac:dyDescent="0.15">
      <c r="C31" s="406" t="s">
        <v>35</v>
      </c>
      <c r="D31" s="406"/>
      <c r="E31" s="406"/>
      <c r="F31" s="406"/>
      <c r="G31" s="406"/>
      <c r="H31" s="406"/>
      <c r="I31" s="406"/>
      <c r="J31" s="406"/>
      <c r="K31" s="406"/>
      <c r="L31" s="406"/>
      <c r="M31" s="406"/>
      <c r="N31" s="406"/>
      <c r="O31" s="406" t="s">
        <v>36</v>
      </c>
      <c r="P31" s="406"/>
      <c r="Q31" s="406"/>
      <c r="R31" s="406"/>
      <c r="S31" s="406"/>
      <c r="T31" s="406"/>
      <c r="U31" s="406"/>
      <c r="V31" s="406"/>
      <c r="W31" s="406"/>
      <c r="X31" s="406"/>
      <c r="Y31" s="406"/>
      <c r="Z31" s="406"/>
      <c r="AA31" s="406" t="s">
        <v>37</v>
      </c>
      <c r="AB31" s="406"/>
      <c r="AC31" s="406"/>
      <c r="AD31" s="406"/>
      <c r="AE31" s="406"/>
      <c r="AF31" s="406"/>
      <c r="AG31" s="406"/>
      <c r="AH31" s="406"/>
      <c r="AI31" s="406"/>
      <c r="AJ31" s="406"/>
      <c r="AK31" s="406"/>
      <c r="AL31" s="406"/>
      <c r="AM31" s="406" t="s">
        <v>38</v>
      </c>
      <c r="AN31" s="406"/>
      <c r="AO31" s="406"/>
      <c r="AP31" s="406"/>
      <c r="AQ31" s="406"/>
      <c r="AR31" s="406"/>
      <c r="AS31" s="406"/>
      <c r="AT31" s="406"/>
      <c r="AU31" s="406"/>
      <c r="AV31" s="406"/>
      <c r="AW31" s="406"/>
      <c r="AX31" s="406"/>
      <c r="AY31" s="406" t="s">
        <v>39</v>
      </c>
      <c r="AZ31" s="406"/>
      <c r="BA31" s="406"/>
      <c r="BB31" s="406"/>
      <c r="BC31" s="406"/>
      <c r="BD31" s="406"/>
      <c r="BE31" s="406"/>
      <c r="BF31" s="406"/>
      <c r="BG31" s="406"/>
      <c r="BH31" s="406"/>
      <c r="BI31" s="406"/>
      <c r="BJ31" s="406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Víveres y Manufactura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1200000</v>
      </c>
      <c r="G37" s="250">
        <f>DEV_CWS!I57</f>
        <v>1200000</v>
      </c>
      <c r="H37" s="250">
        <f>DEV_CWS!J57</f>
        <v>1200000</v>
      </c>
      <c r="I37" s="250">
        <f>DEV_CWS!K57</f>
        <v>1200000</v>
      </c>
      <c r="J37" s="250">
        <f>DEV_CWS!L57</f>
        <v>1200000</v>
      </c>
      <c r="K37" s="250">
        <f>DEV_CWS!M57</f>
        <v>1200000</v>
      </c>
      <c r="L37" s="250">
        <f>DEV_CWS!N57</f>
        <v>1200000</v>
      </c>
      <c r="M37" s="250">
        <f>DEV_CWS!O57</f>
        <v>1200000</v>
      </c>
      <c r="N37" s="250">
        <f>DEV_CWS!P57</f>
        <v>1200000</v>
      </c>
      <c r="O37" s="250">
        <f>DEV_CWS!Q57</f>
        <v>1320000</v>
      </c>
      <c r="P37" s="250">
        <f>DEV_CWS!R57</f>
        <v>1320000</v>
      </c>
      <c r="Q37" s="250">
        <f>DEV_CWS!S57</f>
        <v>1320000</v>
      </c>
      <c r="R37" s="250">
        <f>DEV_CWS!T57</f>
        <v>1320000</v>
      </c>
      <c r="S37" s="250">
        <f>DEV_CWS!U57</f>
        <v>1320000</v>
      </c>
      <c r="T37" s="250">
        <f>DEV_CWS!V57</f>
        <v>1320000</v>
      </c>
      <c r="U37" s="250">
        <f>DEV_CWS!W57</f>
        <v>1320000</v>
      </c>
      <c r="V37" s="250">
        <f>DEV_CWS!X57</f>
        <v>1320000</v>
      </c>
      <c r="W37" s="250">
        <f>DEV_CWS!Y57</f>
        <v>1320000</v>
      </c>
      <c r="X37" s="250">
        <f>DEV_CWS!Z57</f>
        <v>1320000</v>
      </c>
      <c r="Y37" s="250">
        <f>DEV_CWS!AA57</f>
        <v>1320000</v>
      </c>
      <c r="Z37" s="250">
        <f>DEV_CWS!AB57</f>
        <v>1320000</v>
      </c>
      <c r="AA37" s="250">
        <f>DEV_CWS!AC57</f>
        <v>1412400</v>
      </c>
      <c r="AB37" s="250">
        <f>DEV_CWS!AD57</f>
        <v>1412400</v>
      </c>
      <c r="AC37" s="250">
        <f>DEV_CWS!AE57</f>
        <v>1412400</v>
      </c>
      <c r="AD37" s="250">
        <f>DEV_CWS!AF57</f>
        <v>1412400</v>
      </c>
      <c r="AE37" s="250">
        <f>DEV_CWS!AG57</f>
        <v>1412400</v>
      </c>
      <c r="AF37" s="250">
        <f>DEV_CWS!AH57</f>
        <v>1412400</v>
      </c>
      <c r="AG37" s="250">
        <f>DEV_CWS!AI57</f>
        <v>1412400</v>
      </c>
      <c r="AH37" s="250">
        <f>DEV_CWS!AJ57</f>
        <v>1412400</v>
      </c>
      <c r="AI37" s="250">
        <f>DEV_CWS!AK57</f>
        <v>1412400</v>
      </c>
      <c r="AJ37" s="250">
        <f>DEV_CWS!AL57</f>
        <v>1412400</v>
      </c>
      <c r="AK37" s="250">
        <f>DEV_CWS!AM57</f>
        <v>1412400</v>
      </c>
      <c r="AL37" s="250">
        <f>DEV_CWS!AN57</f>
        <v>1412400</v>
      </c>
      <c r="AM37" s="250">
        <f>DEV_CWS!AO57</f>
        <v>1511268</v>
      </c>
      <c r="AN37" s="250">
        <f>DEV_CWS!AP57</f>
        <v>1511268</v>
      </c>
      <c r="AO37" s="250">
        <f>DEV_CWS!AQ57</f>
        <v>1511268</v>
      </c>
      <c r="AP37" s="250">
        <f>DEV_CWS!AR57</f>
        <v>1511268</v>
      </c>
      <c r="AQ37" s="250">
        <f>DEV_CWS!AS57</f>
        <v>1511268</v>
      </c>
      <c r="AR37" s="250">
        <f>DEV_CWS!AT57</f>
        <v>1511268</v>
      </c>
      <c r="AS37" s="250">
        <f>DEV_CWS!AU57</f>
        <v>1511268</v>
      </c>
      <c r="AT37" s="250">
        <f>DEV_CWS!AV57</f>
        <v>1511268</v>
      </c>
      <c r="AU37" s="250">
        <f>DEV_CWS!AW57</f>
        <v>1511268</v>
      </c>
      <c r="AV37" s="250">
        <f>DEV_CWS!AX57</f>
        <v>1511268</v>
      </c>
      <c r="AW37" s="250">
        <f>DEV_CWS!AY57</f>
        <v>1511268</v>
      </c>
      <c r="AX37" s="250">
        <f>DEV_CWS!AZ57</f>
        <v>1511268</v>
      </c>
      <c r="AY37" s="250">
        <f>DEV_CWS!BA57</f>
        <v>1617056.76</v>
      </c>
      <c r="AZ37" s="250">
        <f>DEV_CWS!BB57</f>
        <v>1617056.76</v>
      </c>
      <c r="BA37" s="250">
        <f>DEV_CWS!BC57</f>
        <v>1617056.76</v>
      </c>
      <c r="BB37" s="250">
        <f>DEV_CWS!BD57</f>
        <v>1617056.76</v>
      </c>
      <c r="BC37" s="250">
        <f>DEV_CWS!BE57</f>
        <v>1617056.76</v>
      </c>
      <c r="BD37" s="250">
        <f>DEV_CWS!BF57</f>
        <v>1617056.76</v>
      </c>
      <c r="BE37" s="250">
        <f>DEV_CWS!BG57</f>
        <v>1617056.76</v>
      </c>
      <c r="BF37" s="250">
        <f>DEV_CWS!BH57</f>
        <v>1617056.76</v>
      </c>
      <c r="BG37" s="250">
        <f>DEV_CWS!BI57</f>
        <v>1617056.76</v>
      </c>
      <c r="BH37" s="250">
        <f>DEV_CWS!BJ57</f>
        <v>1617056.76</v>
      </c>
      <c r="BI37" s="250">
        <f>DEV_CWS!BK57</f>
        <v>1617056.76</v>
      </c>
      <c r="BJ37" s="250">
        <f>DEV_CWS!BL57</f>
        <v>1617056.76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988</v>
      </c>
      <c r="C40" s="74" t="s">
        <v>147</v>
      </c>
      <c r="D40" s="406" t="s">
        <v>35</v>
      </c>
      <c r="E40" s="406"/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 t="s">
        <v>36</v>
      </c>
      <c r="Q40" s="406"/>
      <c r="R40" s="406"/>
      <c r="S40" s="406"/>
      <c r="T40" s="406"/>
      <c r="U40" s="406"/>
      <c r="V40" s="406"/>
      <c r="W40" s="406"/>
      <c r="X40" s="406"/>
      <c r="Y40" s="406"/>
      <c r="Z40" s="406"/>
      <c r="AA40" s="406"/>
      <c r="AB40" s="406" t="s">
        <v>37</v>
      </c>
      <c r="AC40" s="406"/>
      <c r="AD40" s="406"/>
      <c r="AE40" s="406"/>
      <c r="AF40" s="406"/>
      <c r="AG40" s="406"/>
      <c r="AH40" s="406"/>
      <c r="AI40" s="406"/>
      <c r="AJ40" s="406"/>
      <c r="AK40" s="406"/>
      <c r="AL40" s="406"/>
      <c r="AM40" s="406"/>
      <c r="AN40" s="406" t="s">
        <v>38</v>
      </c>
      <c r="AO40" s="406"/>
      <c r="AP40" s="406"/>
      <c r="AQ40" s="406"/>
      <c r="AR40" s="406"/>
      <c r="AS40" s="406"/>
      <c r="AT40" s="406"/>
      <c r="AU40" s="406"/>
      <c r="AV40" s="406"/>
      <c r="AW40" s="406"/>
      <c r="AX40" s="406"/>
      <c r="AY40" s="406"/>
      <c r="AZ40" s="406" t="s">
        <v>39</v>
      </c>
      <c r="BA40" s="406"/>
      <c r="BB40" s="406"/>
      <c r="BC40" s="406"/>
      <c r="BD40" s="406"/>
      <c r="BE40" s="406"/>
      <c r="BF40" s="406"/>
      <c r="BG40" s="406"/>
      <c r="BH40" s="406"/>
      <c r="BI40" s="406"/>
      <c r="BJ40" s="406"/>
      <c r="BK40" s="406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767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-13489916.666666666</v>
      </c>
      <c r="H42" s="250">
        <f>+'FIN-P&amp;L_CWS'!I208</f>
        <v>-8055250</v>
      </c>
      <c r="I42" s="250">
        <f>+'FIN-P&amp;L_CWS'!J208</f>
        <v>-7629883.3333333321</v>
      </c>
      <c r="J42" s="250">
        <f>+'FIN-P&amp;L_CWS'!K208</f>
        <v>-7733283.3333333321</v>
      </c>
      <c r="K42" s="250">
        <f>+'FIN-P&amp;L_CWS'!L208</f>
        <v>-7339683.3333333321</v>
      </c>
      <c r="L42" s="250">
        <f>+'FIN-P&amp;L_CWS'!M208</f>
        <v>-6943083.3333333321</v>
      </c>
      <c r="M42" s="250">
        <f>+'FIN-P&amp;L_CWS'!N208</f>
        <v>-6549483.3333333321</v>
      </c>
      <c r="N42" s="250">
        <f>+'FIN-P&amp;L_CWS'!O208</f>
        <v>-6152883.3333333321</v>
      </c>
      <c r="O42" s="250">
        <f>+'FIN-P&amp;L_CWS'!P208</f>
        <v>-6778483.3333333321</v>
      </c>
      <c r="P42" s="250">
        <f>+'FIN-P&amp;L_CWS'!Q208</f>
        <v>-6641631.6666666679</v>
      </c>
      <c r="Q42" s="250">
        <f>+'FIN-P&amp;L_CWS'!R208</f>
        <v>-2911896.6666666679</v>
      </c>
      <c r="R42" s="250">
        <f>+'FIN-P&amp;L_CWS'!S208</f>
        <v>-1672131.6666666679</v>
      </c>
      <c r="S42" s="250">
        <f>+'FIN-P&amp;L_CWS'!T208</f>
        <v>-672131.66666666791</v>
      </c>
      <c r="T42" s="250">
        <f>+'FIN-P&amp;L_CWS'!U208</f>
        <v>-672131.66666666791</v>
      </c>
      <c r="U42" s="250">
        <f>+'FIN-P&amp;L_CWS'!V208</f>
        <v>-672131.66666666791</v>
      </c>
      <c r="V42" s="250">
        <f>+'FIN-P&amp;L_CWS'!W208</f>
        <v>-672131.66666666791</v>
      </c>
      <c r="W42" s="250">
        <f>+'FIN-P&amp;L_CWS'!X208</f>
        <v>-672131.66666666791</v>
      </c>
      <c r="X42" s="250">
        <f>+'FIN-P&amp;L_CWS'!Y208</f>
        <v>-672131.66666666791</v>
      </c>
      <c r="Y42" s="250">
        <f>+'FIN-P&amp;L_CWS'!Z208</f>
        <v>-672131.66666666791</v>
      </c>
      <c r="Z42" s="250">
        <f>+'FIN-P&amp;L_CWS'!AA208</f>
        <v>-672131.66666666791</v>
      </c>
      <c r="AA42" s="250">
        <f>+'FIN-P&amp;L_CWS'!AB208</f>
        <v>-4397051.6666666679</v>
      </c>
      <c r="AB42" s="250">
        <f>+'FIN-P&amp;L_CWS'!AC208</f>
        <v>-643952.76666666754</v>
      </c>
      <c r="AC42" s="250">
        <f>+'FIN-P&amp;L_CWS'!AD208</f>
        <v>7813501.2833333388</v>
      </c>
      <c r="AD42" s="250">
        <f>+'FIN-P&amp;L_CWS'!AE208</f>
        <v>10630362.83333334</v>
      </c>
      <c r="AE42" s="250">
        <f>+'FIN-P&amp;L_CWS'!AF208</f>
        <v>10630362.83333334</v>
      </c>
      <c r="AF42" s="250">
        <f>+'FIN-P&amp;L_CWS'!AG208</f>
        <v>10630362.83333334</v>
      </c>
      <c r="AG42" s="250">
        <f>+'FIN-P&amp;L_CWS'!AH208</f>
        <v>10630362.83333334</v>
      </c>
      <c r="AH42" s="250">
        <f>+'FIN-P&amp;L_CWS'!AI208</f>
        <v>10630362.83333334</v>
      </c>
      <c r="AI42" s="250">
        <f>+'FIN-P&amp;L_CWS'!AJ208</f>
        <v>10630362.83333334</v>
      </c>
      <c r="AJ42" s="250">
        <f>+'FIN-P&amp;L_CWS'!AK208</f>
        <v>10630362.83333334</v>
      </c>
      <c r="AK42" s="250">
        <f>+'FIN-P&amp;L_CWS'!AL208</f>
        <v>10630362.83333334</v>
      </c>
      <c r="AL42" s="250">
        <f>+'FIN-P&amp;L_CWS'!AM208</f>
        <v>10630362.83333334</v>
      </c>
      <c r="AM42" s="250">
        <f>+'FIN-P&amp;L_CWS'!AN208</f>
        <v>2172908.7833333313</v>
      </c>
      <c r="AN42" s="250">
        <f>+'FIN-P&amp;L_CWS'!AO208</f>
        <v>10651617.612833336</v>
      </c>
      <c r="AO42" s="250">
        <f>+'FIN-P&amp;L_CWS'!AP208</f>
        <v>26311791.570833344</v>
      </c>
      <c r="AP42" s="250">
        <f>+'FIN-P&amp;L_CWS'!AQ208</f>
        <v>31531024.513833348</v>
      </c>
      <c r="AQ42" s="250">
        <f>+'FIN-P&amp;L_CWS'!AR208</f>
        <v>31531024.513833348</v>
      </c>
      <c r="AR42" s="250">
        <f>+'FIN-P&amp;L_CWS'!AS208</f>
        <v>31531024.513833348</v>
      </c>
      <c r="AS42" s="250">
        <f>+'FIN-P&amp;L_CWS'!AT208</f>
        <v>31531024.513833348</v>
      </c>
      <c r="AT42" s="250">
        <f>+'FIN-P&amp;L_CWS'!AU208</f>
        <v>31531024.513833348</v>
      </c>
      <c r="AU42" s="250">
        <f>+'FIN-P&amp;L_CWS'!AV208</f>
        <v>31531024.513833348</v>
      </c>
      <c r="AV42" s="250">
        <f>+'FIN-P&amp;L_CWS'!AW208</f>
        <v>31531024.513833348</v>
      </c>
      <c r="AW42" s="250">
        <f>+'FIN-P&amp;L_CWS'!AX208</f>
        <v>31531024.513833348</v>
      </c>
      <c r="AX42" s="250">
        <f>+'FIN-P&amp;L_CWS'!AY208</f>
        <v>31531024.513833348</v>
      </c>
      <c r="AY42" s="250">
        <f>+'FIN-P&amp;L_CWS'!AZ208</f>
        <v>15870850.55583334</v>
      </c>
      <c r="AZ42" s="250">
        <f>+'FIN-P&amp;L_CWS'!BA208</f>
        <v>9157164.7419683337</v>
      </c>
      <c r="BA42" s="250">
        <f>+'FIN-P&amp;L_CWS'!BB208</f>
        <v>24392499.609618343</v>
      </c>
      <c r="BB42" s="250">
        <f>+'FIN-P&amp;L_CWS'!BC208</f>
        <v>29455399.478103347</v>
      </c>
      <c r="BC42" s="250">
        <f>+'FIN-P&amp;L_CWS'!BD208</f>
        <v>29455399.478103347</v>
      </c>
      <c r="BD42" s="250">
        <f>+'FIN-P&amp;L_CWS'!BE208</f>
        <v>29455399.478103347</v>
      </c>
      <c r="BE42" s="250">
        <f>+'FIN-P&amp;L_CWS'!BF208</f>
        <v>29455399.478103347</v>
      </c>
      <c r="BF42" s="250">
        <f>+'FIN-P&amp;L_CWS'!BG208</f>
        <v>29455399.478103347</v>
      </c>
      <c r="BG42" s="250">
        <f>+'FIN-P&amp;L_CWS'!BH208</f>
        <v>29455399.478103347</v>
      </c>
      <c r="BH42" s="250">
        <f>+'FIN-P&amp;L_CWS'!BI208</f>
        <v>29455399.478103347</v>
      </c>
      <c r="BI42" s="250">
        <f>+'FIN-P&amp;L_CWS'!BJ208</f>
        <v>29455399.478103347</v>
      </c>
      <c r="BJ42" s="250">
        <f>+'FIN-P&amp;L_CWS'!BK208</f>
        <v>29455399.478103347</v>
      </c>
      <c r="BK42" s="250">
        <f>+'FIN-P&amp;L_CWS'!BL208</f>
        <v>14244365.338558339</v>
      </c>
    </row>
    <row r="43" spans="1:64" x14ac:dyDescent="0.15">
      <c r="B43" s="33" t="s">
        <v>1075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-13489916.666666666</v>
      </c>
      <c r="H43" s="250">
        <f>+'FIN-P&amp;L_CWS'!I209</f>
        <v>-21545166.666666664</v>
      </c>
      <c r="I43" s="250">
        <f>+'FIN-P&amp;L_CWS'!J209</f>
        <v>-29175049.999999996</v>
      </c>
      <c r="J43" s="250">
        <f>+'FIN-P&amp;L_CWS'!K209</f>
        <v>-36908333.333333328</v>
      </c>
      <c r="K43" s="250">
        <f>+'FIN-P&amp;L_CWS'!L209</f>
        <v>-44248016.666666657</v>
      </c>
      <c r="L43" s="250">
        <f>+'FIN-P&amp;L_CWS'!M209</f>
        <v>-51191099.999999985</v>
      </c>
      <c r="M43" s="250">
        <f>+'FIN-P&amp;L_CWS'!N209</f>
        <v>-57740583.333333313</v>
      </c>
      <c r="N43" s="250">
        <f>+'FIN-P&amp;L_CWS'!O209</f>
        <v>-63893466.666666642</v>
      </c>
      <c r="O43" s="250">
        <f>+'FIN-P&amp;L_CWS'!P209</f>
        <v>-70671949.99999997</v>
      </c>
      <c r="P43" s="250">
        <f>+'FIN-P&amp;L_CWS'!Q209</f>
        <v>-77313581.666666642</v>
      </c>
      <c r="Q43" s="250">
        <f>+'FIN-P&amp;L_CWS'!R209</f>
        <v>-80225478.333333313</v>
      </c>
      <c r="R43" s="250">
        <f>+'FIN-P&amp;L_CWS'!S209</f>
        <v>-81897609.999999985</v>
      </c>
      <c r="S43" s="250">
        <f>+'FIN-P&amp;L_CWS'!T209</f>
        <v>-82569741.666666657</v>
      </c>
      <c r="T43" s="250">
        <f>+'FIN-P&amp;L_CWS'!U209</f>
        <v>-83241873.333333328</v>
      </c>
      <c r="U43" s="250">
        <f>+'FIN-P&amp;L_CWS'!V209</f>
        <v>-83914005</v>
      </c>
      <c r="V43" s="250">
        <f>+'FIN-P&amp;L_CWS'!W209</f>
        <v>-84586136.666666672</v>
      </c>
      <c r="W43" s="250">
        <f>+'FIN-P&amp;L_CWS'!X209</f>
        <v>-85258268.333333343</v>
      </c>
      <c r="X43" s="250">
        <f>+'FIN-P&amp;L_CWS'!Y209</f>
        <v>-85930400.000000015</v>
      </c>
      <c r="Y43" s="250">
        <f>+'FIN-P&amp;L_CWS'!Z209</f>
        <v>-86602531.666666687</v>
      </c>
      <c r="Z43" s="250">
        <f>+'FIN-P&amp;L_CWS'!AA209</f>
        <v>-87274663.333333358</v>
      </c>
      <c r="AA43" s="250">
        <f>+'FIN-P&amp;L_CWS'!AB209</f>
        <v>-91671715.00000003</v>
      </c>
      <c r="AB43" s="250">
        <f>+'FIN-P&amp;L_CWS'!AC209</f>
        <v>-92315667.766666695</v>
      </c>
      <c r="AC43" s="250">
        <f>+'FIN-P&amp;L_CWS'!AD209</f>
        <v>-84502166.483333349</v>
      </c>
      <c r="AD43" s="250">
        <f>+'FIN-P&amp;L_CWS'!AE209</f>
        <v>-73871803.650000006</v>
      </c>
      <c r="AE43" s="250">
        <f>+'FIN-P&amp;L_CWS'!AF209</f>
        <v>-63241440.816666663</v>
      </c>
      <c r="AF43" s="250">
        <f>+'FIN-P&amp;L_CWS'!AG209</f>
        <v>-52611077.983333319</v>
      </c>
      <c r="AG43" s="250">
        <f>+'FIN-P&amp;L_CWS'!AH209</f>
        <v>-41980715.149999976</v>
      </c>
      <c r="AH43" s="250">
        <f>+'FIN-P&amp;L_CWS'!AI209</f>
        <v>-31350352.316666637</v>
      </c>
      <c r="AI43" s="250">
        <f>+'FIN-P&amp;L_CWS'!AJ209</f>
        <v>-20719989.483333297</v>
      </c>
      <c r="AJ43" s="250">
        <f>+'FIN-P&amp;L_CWS'!AK209</f>
        <v>-10089626.649999958</v>
      </c>
      <c r="AK43" s="250">
        <f>+'FIN-P&amp;L_CWS'!AL209</f>
        <v>540736.18333338201</v>
      </c>
      <c r="AL43" s="250">
        <f>+'FIN-P&amp;L_CWS'!AM209</f>
        <v>11171099.016666722</v>
      </c>
      <c r="AM43" s="250">
        <f>+'FIN-P&amp;L_CWS'!AN209</f>
        <v>13344007.800000053</v>
      </c>
      <c r="AN43" s="250">
        <f>+'FIN-P&amp;L_CWS'!AO209</f>
        <v>23995625.412833389</v>
      </c>
      <c r="AO43" s="250">
        <f>+'FIN-P&amp;L_CWS'!AP209</f>
        <v>50307416.983666733</v>
      </c>
      <c r="AP43" s="250">
        <f>+'FIN-P&amp;L_CWS'!AQ209</f>
        <v>81838441.497500077</v>
      </c>
      <c r="AQ43" s="250">
        <f>+'FIN-P&amp;L_CWS'!AR209</f>
        <v>113369466.01133342</v>
      </c>
      <c r="AR43" s="250">
        <f>+'FIN-P&amp;L_CWS'!AS209</f>
        <v>144900490.52516678</v>
      </c>
      <c r="AS43" s="250">
        <f>+'FIN-P&amp;L_CWS'!AT209</f>
        <v>176431515.03900012</v>
      </c>
      <c r="AT43" s="250">
        <f>+'FIN-P&amp;L_CWS'!AU209</f>
        <v>207962539.55283347</v>
      </c>
      <c r="AU43" s="250">
        <f>+'FIN-P&amp;L_CWS'!AV209</f>
        <v>239493564.06666681</v>
      </c>
      <c r="AV43" s="250">
        <f>+'FIN-P&amp;L_CWS'!AW209</f>
        <v>271024588.58050019</v>
      </c>
      <c r="AW43" s="250">
        <f>+'FIN-P&amp;L_CWS'!AX209</f>
        <v>302555613.09433353</v>
      </c>
      <c r="AX43" s="250">
        <f>+'FIN-P&amp;L_CWS'!AY209</f>
        <v>334086637.60816687</v>
      </c>
      <c r="AY43" s="250">
        <f>+'FIN-P&amp;L_CWS'!AZ209</f>
        <v>349957488.16400021</v>
      </c>
      <c r="AZ43" s="250">
        <f>+'FIN-P&amp;L_CWS'!BA209</f>
        <v>359114652.90596855</v>
      </c>
      <c r="BA43" s="250">
        <f>+'FIN-P&amp;L_CWS'!BB209</f>
        <v>383507152.51558691</v>
      </c>
      <c r="BB43" s="250">
        <f>+'FIN-P&amp;L_CWS'!BC209</f>
        <v>412962551.99369025</v>
      </c>
      <c r="BC43" s="250">
        <f>+'FIN-P&amp;L_CWS'!BD209</f>
        <v>442417951.47179359</v>
      </c>
      <c r="BD43" s="250">
        <f>+'FIN-P&amp;L_CWS'!BE209</f>
        <v>471873350.94989693</v>
      </c>
      <c r="BE43" s="250">
        <f>+'FIN-P&amp;L_CWS'!BF209</f>
        <v>501328750.42800027</v>
      </c>
      <c r="BF43" s="250">
        <f>+'FIN-P&amp;L_CWS'!BG209</f>
        <v>530784149.90610361</v>
      </c>
      <c r="BG43" s="250">
        <f>+'FIN-P&amp;L_CWS'!BH209</f>
        <v>560239549.38420701</v>
      </c>
      <c r="BH43" s="250">
        <f>+'FIN-P&amp;L_CWS'!BI209</f>
        <v>589694948.86231041</v>
      </c>
      <c r="BI43" s="250">
        <f>+'FIN-P&amp;L_CWS'!BJ209</f>
        <v>619150348.34041381</v>
      </c>
      <c r="BJ43" s="250">
        <f>+'FIN-P&amp;L_CWS'!BK209</f>
        <v>648605747.81851721</v>
      </c>
      <c r="BK43" s="250">
        <f>+'FIN-P&amp;L_CWS'!BL209</f>
        <v>662850113.15707552</v>
      </c>
    </row>
    <row r="44" spans="1:64" x14ac:dyDescent="0.15">
      <c r="B44" s="33" t="s">
        <v>1077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-21951500</v>
      </c>
      <c r="H44" s="250">
        <f>+'FIN-CASHFLOW_CWS'!H67</f>
        <v>-8787000</v>
      </c>
      <c r="I44" s="250">
        <f>+'FIN-CASHFLOW_CWS'!I67</f>
        <v>-7550299.9999999991</v>
      </c>
      <c r="J44" s="250">
        <f>+'FIN-CASHFLOW_CWS'!J67</f>
        <v>-7573699.9999999991</v>
      </c>
      <c r="K44" s="250">
        <f>+'FIN-CASHFLOW_CWS'!K67</f>
        <v>-7180099.9999999991</v>
      </c>
      <c r="L44" s="250">
        <f>+'FIN-CASHFLOW_CWS'!L67</f>
        <v>-6783499.9999999991</v>
      </c>
      <c r="M44" s="250">
        <f>+'FIN-CASHFLOW_CWS'!M67</f>
        <v>-6389899.9999999991</v>
      </c>
      <c r="N44" s="250">
        <f>+'FIN-CASHFLOW_CWS'!N67</f>
        <v>-5993299.9999999991</v>
      </c>
      <c r="O44" s="250">
        <f>+'FIN-CASHFLOW_CWS'!O67</f>
        <v>-6618899.9999999991</v>
      </c>
      <c r="P44" s="250">
        <f>+'FIN-CASHFLOW_CWS'!P67</f>
        <v>-6560715.0000000009</v>
      </c>
      <c r="Q44" s="250">
        <f>+'FIN-CASHFLOW_CWS'!Q67</f>
        <v>-2750980.0000000014</v>
      </c>
      <c r="R44" s="250">
        <f>+'FIN-CASHFLOW_CWS'!R67</f>
        <v>-1511215.0000000012</v>
      </c>
      <c r="S44" s="250">
        <f>+'FIN-CASHFLOW_CWS'!S67</f>
        <v>-511215.00000000122</v>
      </c>
      <c r="T44" s="250">
        <f>+'FIN-CASHFLOW_CWS'!T67</f>
        <v>-511215.00000000122</v>
      </c>
      <c r="U44" s="250">
        <f>+'FIN-CASHFLOW_CWS'!U67</f>
        <v>-511215.00000000122</v>
      </c>
      <c r="V44" s="250">
        <f>+'FIN-CASHFLOW_CWS'!V67</f>
        <v>-511215.00000000122</v>
      </c>
      <c r="W44" s="250">
        <f>+'FIN-CASHFLOW_CWS'!W67</f>
        <v>-511215.00000000122</v>
      </c>
      <c r="X44" s="250">
        <f>+'FIN-CASHFLOW_CWS'!X67</f>
        <v>-511215.00000000122</v>
      </c>
      <c r="Y44" s="250">
        <f>+'FIN-CASHFLOW_CWS'!Y67</f>
        <v>-511215.00000000122</v>
      </c>
      <c r="Z44" s="250">
        <f>+'FIN-CASHFLOW_CWS'!Z67</f>
        <v>-511215.00000000122</v>
      </c>
      <c r="AA44" s="250">
        <f>+'FIN-CASHFLOW_CWS'!AA67</f>
        <v>-4236135.0000000009</v>
      </c>
      <c r="AB44" s="250">
        <f>+'FIN-CASHFLOW_CWS'!AB67</f>
        <v>-483036.10000000085</v>
      </c>
      <c r="AC44" s="250">
        <f>+'FIN-CASHFLOW_CWS'!AC67</f>
        <v>7974417.9500000058</v>
      </c>
      <c r="AD44" s="250">
        <f>+'FIN-CASHFLOW_CWS'!AD67</f>
        <v>10791279.500000006</v>
      </c>
      <c r="AE44" s="250">
        <f>+'FIN-CASHFLOW_CWS'!AE67</f>
        <v>10791279.500000006</v>
      </c>
      <c r="AF44" s="250">
        <f>+'FIN-CASHFLOW_CWS'!AF67</f>
        <v>10791279.500000006</v>
      </c>
      <c r="AG44" s="250">
        <f>+'FIN-CASHFLOW_CWS'!AG67</f>
        <v>10791279.500000006</v>
      </c>
      <c r="AH44" s="250">
        <f>+'FIN-CASHFLOW_CWS'!AH67</f>
        <v>10791279.500000006</v>
      </c>
      <c r="AI44" s="250">
        <f>+'FIN-CASHFLOW_CWS'!AI67</f>
        <v>10791279.500000006</v>
      </c>
      <c r="AJ44" s="250">
        <f>+'FIN-CASHFLOW_CWS'!AJ67</f>
        <v>10791279.500000006</v>
      </c>
      <c r="AK44" s="250">
        <f>+'FIN-CASHFLOW_CWS'!AK67</f>
        <v>10791279.500000006</v>
      </c>
      <c r="AL44" s="250">
        <f>+'FIN-CASHFLOW_CWS'!AL67</f>
        <v>10791279.500000006</v>
      </c>
      <c r="AM44" s="250">
        <f>+'FIN-CASHFLOW_CWS'!AM67</f>
        <v>2333825.4499999979</v>
      </c>
      <c r="AN44" s="250">
        <f>+'FIN-CASHFLOW_CWS'!AN67</f>
        <v>10812534.279500002</v>
      </c>
      <c r="AO44" s="250">
        <f>+'FIN-CASHFLOW_CWS'!AO67</f>
        <v>26472708.237500012</v>
      </c>
      <c r="AP44" s="250">
        <f>+'FIN-CASHFLOW_CWS'!AP67</f>
        <v>31691941.180500016</v>
      </c>
      <c r="AQ44" s="250">
        <f>+'FIN-CASHFLOW_CWS'!AQ67</f>
        <v>31691941.180500016</v>
      </c>
      <c r="AR44" s="250">
        <f>+'FIN-CASHFLOW_CWS'!AR67</f>
        <v>31691941.180500016</v>
      </c>
      <c r="AS44" s="250">
        <f>+'FIN-CASHFLOW_CWS'!AS67</f>
        <v>31691941.180500016</v>
      </c>
      <c r="AT44" s="250">
        <f>+'FIN-CASHFLOW_CWS'!AT67</f>
        <v>31691941.180500016</v>
      </c>
      <c r="AU44" s="250">
        <f>+'FIN-CASHFLOW_CWS'!AU67</f>
        <v>31691941.180500016</v>
      </c>
      <c r="AV44" s="250">
        <f>+'FIN-CASHFLOW_CWS'!AV67</f>
        <v>31691941.180500016</v>
      </c>
      <c r="AW44" s="250">
        <f>+'FIN-CASHFLOW_CWS'!AW67</f>
        <v>31691941.180500016</v>
      </c>
      <c r="AX44" s="250">
        <f>+'FIN-CASHFLOW_CWS'!AX67</f>
        <v>31691941.180500016</v>
      </c>
      <c r="AY44" s="250">
        <f>+'FIN-CASHFLOW_CWS'!AY67</f>
        <v>16031767.222500006</v>
      </c>
      <c r="AZ44" s="250">
        <f>+'FIN-CASHFLOW_CWS'!AZ67</f>
        <v>9318081.4086349998</v>
      </c>
      <c r="BA44" s="250">
        <f>+'FIN-CASHFLOW_CWS'!BA67</f>
        <v>24553416.276285011</v>
      </c>
      <c r="BB44" s="250">
        <f>+'FIN-CASHFLOW_CWS'!BB67</f>
        <v>29616316.144770015</v>
      </c>
      <c r="BC44" s="250">
        <f>+'FIN-CASHFLOW_CWS'!BC67</f>
        <v>29616316.144770015</v>
      </c>
      <c r="BD44" s="250">
        <f>+'FIN-CASHFLOW_CWS'!BD67</f>
        <v>29616316.144770015</v>
      </c>
      <c r="BE44" s="250">
        <f>+'FIN-CASHFLOW_CWS'!BE67</f>
        <v>29616316.144770015</v>
      </c>
      <c r="BF44" s="250">
        <f>+'FIN-CASHFLOW_CWS'!BF67</f>
        <v>29616316.144770015</v>
      </c>
      <c r="BG44" s="250">
        <f>+'FIN-CASHFLOW_CWS'!BG67</f>
        <v>29616316.144770015</v>
      </c>
      <c r="BH44" s="250">
        <f>+'FIN-CASHFLOW_CWS'!BH67</f>
        <v>29616316.144770015</v>
      </c>
      <c r="BI44" s="250">
        <f>+'FIN-CASHFLOW_CWS'!BI67</f>
        <v>29616316.144770015</v>
      </c>
      <c r="BJ44" s="250">
        <f>+'FIN-CASHFLOW_CWS'!BJ67</f>
        <v>29616316.144770015</v>
      </c>
      <c r="BK44" s="250">
        <f>+'FIN-CASHFLOW_CWS'!BK67</f>
        <v>14405282.005225005</v>
      </c>
      <c r="BL44" s="66"/>
    </row>
    <row r="45" spans="1:64" x14ac:dyDescent="0.15">
      <c r="B45" s="33" t="s">
        <v>1076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-21951500</v>
      </c>
      <c r="H45" s="250">
        <f>+'FIN-CASHFLOW_CWS'!H70</f>
        <v>-30738500</v>
      </c>
      <c r="I45" s="250">
        <f>+'FIN-CASHFLOW_CWS'!I70</f>
        <v>-38288800</v>
      </c>
      <c r="J45" s="250">
        <f>+'FIN-CASHFLOW_CWS'!J70</f>
        <v>-45862500</v>
      </c>
      <c r="K45" s="250">
        <f>+'FIN-CASHFLOW_CWS'!K70</f>
        <v>-53042600</v>
      </c>
      <c r="L45" s="250">
        <f>+'FIN-CASHFLOW_CWS'!L70</f>
        <v>-59826100</v>
      </c>
      <c r="M45" s="250">
        <f>+'FIN-CASHFLOW_CWS'!M70</f>
        <v>-66216000</v>
      </c>
      <c r="N45" s="250">
        <f>+'FIN-CASHFLOW_CWS'!N70</f>
        <v>-72209300</v>
      </c>
      <c r="O45" s="250">
        <f>+'FIN-CASHFLOW_CWS'!O70</f>
        <v>-78828200</v>
      </c>
      <c r="P45" s="250">
        <f>+'FIN-CASHFLOW_CWS'!P70</f>
        <v>-85388915</v>
      </c>
      <c r="Q45" s="250">
        <f>+'FIN-CASHFLOW_CWS'!Q70</f>
        <v>-88139895</v>
      </c>
      <c r="R45" s="250">
        <f>+'FIN-CASHFLOW_CWS'!R70</f>
        <v>-89651110</v>
      </c>
      <c r="S45" s="250">
        <f>+'FIN-CASHFLOW_CWS'!S70</f>
        <v>-90162325</v>
      </c>
      <c r="T45" s="250">
        <f>+'FIN-CASHFLOW_CWS'!T70</f>
        <v>-90673540</v>
      </c>
      <c r="U45" s="250">
        <f>+'FIN-CASHFLOW_CWS'!U70</f>
        <v>-91184755</v>
      </c>
      <c r="V45" s="250">
        <f>+'FIN-CASHFLOW_CWS'!V70</f>
        <v>-91695970</v>
      </c>
      <c r="W45" s="250">
        <f>+'FIN-CASHFLOW_CWS'!W70</f>
        <v>-92207185</v>
      </c>
      <c r="X45" s="250">
        <f>+'FIN-CASHFLOW_CWS'!X70</f>
        <v>-92718400</v>
      </c>
      <c r="Y45" s="250">
        <f>+'FIN-CASHFLOW_CWS'!Y70</f>
        <v>-93229615</v>
      </c>
      <c r="Z45" s="250">
        <f>+'FIN-CASHFLOW_CWS'!Z70</f>
        <v>-93740830</v>
      </c>
      <c r="AA45" s="250">
        <f>+'FIN-CASHFLOW_CWS'!AA70</f>
        <v>-97976965</v>
      </c>
      <c r="AB45" s="250">
        <f>+'FIN-CASHFLOW_CWS'!AB70</f>
        <v>-98460001.099999994</v>
      </c>
      <c r="AC45" s="250">
        <f>+'FIN-CASHFLOW_CWS'!AC70</f>
        <v>-90485583.149999991</v>
      </c>
      <c r="AD45" s="250">
        <f>+'FIN-CASHFLOW_CWS'!AD70</f>
        <v>-79694303.649999991</v>
      </c>
      <c r="AE45" s="250">
        <f>+'FIN-CASHFLOW_CWS'!AE70</f>
        <v>-68903024.149999991</v>
      </c>
      <c r="AF45" s="250">
        <f>+'FIN-CASHFLOW_CWS'!AF70</f>
        <v>-58111744.649999984</v>
      </c>
      <c r="AG45" s="250">
        <f>+'FIN-CASHFLOW_CWS'!AG70</f>
        <v>-47320465.149999976</v>
      </c>
      <c r="AH45" s="250">
        <f>+'FIN-CASHFLOW_CWS'!AH70</f>
        <v>-36529185.649999969</v>
      </c>
      <c r="AI45" s="250">
        <f>+'FIN-CASHFLOW_CWS'!AI70</f>
        <v>-25737906.149999961</v>
      </c>
      <c r="AJ45" s="250">
        <f>+'FIN-CASHFLOW_CWS'!AJ70</f>
        <v>-14946626.649999956</v>
      </c>
      <c r="AK45" s="250">
        <f>+'FIN-CASHFLOW_CWS'!AK70</f>
        <v>-4155347.1499999501</v>
      </c>
      <c r="AL45" s="250">
        <f>+'FIN-CASHFLOW_CWS'!AL70</f>
        <v>6635932.3500000555</v>
      </c>
      <c r="AM45" s="250">
        <f>+'FIN-CASHFLOW_CWS'!AM70</f>
        <v>8969757.8000000529</v>
      </c>
      <c r="AN45" s="250">
        <f>+'FIN-CASHFLOW_CWS'!AN70</f>
        <v>19782292.079500057</v>
      </c>
      <c r="AO45" s="250">
        <f>+'FIN-CASHFLOW_CWS'!AO70</f>
        <v>46255000.317000069</v>
      </c>
      <c r="AP45" s="250">
        <f>+'FIN-CASHFLOW_CWS'!AP70</f>
        <v>77946941.497500092</v>
      </c>
      <c r="AQ45" s="250">
        <f>+'FIN-CASHFLOW_CWS'!AQ70</f>
        <v>109638882.67800011</v>
      </c>
      <c r="AR45" s="250">
        <f>+'FIN-CASHFLOW_CWS'!AR70</f>
        <v>141330823.85850012</v>
      </c>
      <c r="AS45" s="250">
        <f>+'FIN-CASHFLOW_CWS'!AS70</f>
        <v>173022765.03900015</v>
      </c>
      <c r="AT45" s="250">
        <f>+'FIN-CASHFLOW_CWS'!AT70</f>
        <v>204714706.21950018</v>
      </c>
      <c r="AU45" s="250">
        <f>+'FIN-CASHFLOW_CWS'!AU70</f>
        <v>236406647.40000021</v>
      </c>
      <c r="AV45" s="250">
        <f>+'FIN-CASHFLOW_CWS'!AV70</f>
        <v>268098588.58050025</v>
      </c>
      <c r="AW45" s="250">
        <f>+'FIN-CASHFLOW_CWS'!AW70</f>
        <v>299790529.76100028</v>
      </c>
      <c r="AX45" s="250">
        <f>+'FIN-CASHFLOW_CWS'!AX70</f>
        <v>331482470.94150031</v>
      </c>
      <c r="AY45" s="250">
        <f>+'FIN-CASHFLOW_CWS'!AY70</f>
        <v>347514238.16400033</v>
      </c>
      <c r="AZ45" s="250">
        <f>+'FIN-CASHFLOW_CWS'!AZ70</f>
        <v>356832319.57263535</v>
      </c>
      <c r="BA45" s="250">
        <f>+'FIN-CASHFLOW_CWS'!BA70</f>
        <v>381385735.84892035</v>
      </c>
      <c r="BB45" s="250">
        <f>+'FIN-CASHFLOW_CWS'!BB70</f>
        <v>411002051.99369037</v>
      </c>
      <c r="BC45" s="250">
        <f>+'FIN-CASHFLOW_CWS'!BC70</f>
        <v>440618368.1384604</v>
      </c>
      <c r="BD45" s="250">
        <f>+'FIN-CASHFLOW_CWS'!BD70</f>
        <v>470234684.28323042</v>
      </c>
      <c r="BE45" s="250">
        <f>+'FIN-CASHFLOW_CWS'!BE70</f>
        <v>499851000.42800045</v>
      </c>
      <c r="BF45" s="250">
        <f>+'FIN-CASHFLOW_CWS'!BF70</f>
        <v>529467316.57277048</v>
      </c>
      <c r="BG45" s="250">
        <f>+'FIN-CASHFLOW_CWS'!BG70</f>
        <v>559083632.7175405</v>
      </c>
      <c r="BH45" s="250">
        <f>+'FIN-CASHFLOW_CWS'!BH70</f>
        <v>588699948.86231053</v>
      </c>
      <c r="BI45" s="250">
        <f>+'FIN-CASHFLOW_CWS'!BI70</f>
        <v>618316265.00708055</v>
      </c>
      <c r="BJ45" s="250">
        <f>+'FIN-CASHFLOW_CWS'!BJ70</f>
        <v>647932581.15185058</v>
      </c>
      <c r="BK45" s="250">
        <f>+'FIN-CASHFLOW_CWS'!BK70</f>
        <v>662337863.15707564</v>
      </c>
    </row>
    <row r="47" spans="1:64" x14ac:dyDescent="0.15">
      <c r="A47" s="251" t="s">
        <v>922</v>
      </c>
      <c r="C47" s="74" t="s">
        <v>147</v>
      </c>
      <c r="D47" s="406" t="s">
        <v>35</v>
      </c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 t="s">
        <v>36</v>
      </c>
      <c r="Q47" s="406"/>
      <c r="R47" s="406"/>
      <c r="S47" s="406"/>
      <c r="T47" s="406"/>
      <c r="U47" s="406"/>
      <c r="V47" s="406"/>
      <c r="W47" s="406"/>
      <c r="X47" s="406"/>
      <c r="Y47" s="406"/>
      <c r="Z47" s="406"/>
      <c r="AA47" s="406"/>
      <c r="AB47" s="406" t="s">
        <v>37</v>
      </c>
      <c r="AC47" s="406"/>
      <c r="AD47" s="406"/>
      <c r="AE47" s="406"/>
      <c r="AF47" s="406"/>
      <c r="AG47" s="406"/>
      <c r="AH47" s="406"/>
      <c r="AI47" s="406"/>
      <c r="AJ47" s="406"/>
      <c r="AK47" s="406"/>
      <c r="AL47" s="406"/>
      <c r="AM47" s="406"/>
      <c r="AN47" s="406" t="s">
        <v>38</v>
      </c>
      <c r="AO47" s="406"/>
      <c r="AP47" s="406"/>
      <c r="AQ47" s="406"/>
      <c r="AR47" s="406"/>
      <c r="AS47" s="406"/>
      <c r="AT47" s="406"/>
      <c r="AU47" s="406"/>
      <c r="AV47" s="406"/>
      <c r="AW47" s="406"/>
      <c r="AX47" s="406"/>
      <c r="AY47" s="406"/>
      <c r="AZ47" s="406" t="s">
        <v>39</v>
      </c>
      <c r="BA47" s="406"/>
      <c r="BB47" s="406"/>
      <c r="BC47" s="406"/>
      <c r="BD47" s="406"/>
      <c r="BE47" s="406"/>
      <c r="BF47" s="406"/>
      <c r="BG47" s="406"/>
      <c r="BH47" s="406"/>
      <c r="BI47" s="406"/>
      <c r="BJ47" s="406"/>
      <c r="BK47" s="406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767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-13489916.666666666</v>
      </c>
      <c r="H49" s="250">
        <f t="shared" si="3"/>
        <v>-8055250</v>
      </c>
      <c r="I49" s="250">
        <f t="shared" si="3"/>
        <v>-7629883.3333333321</v>
      </c>
      <c r="J49" s="250">
        <f t="shared" si="3"/>
        <v>-7733283.3333333321</v>
      </c>
      <c r="K49" s="250">
        <f t="shared" si="3"/>
        <v>-7339683.3333333321</v>
      </c>
      <c r="L49" s="250">
        <f t="shared" si="3"/>
        <v>-6943083.3333333321</v>
      </c>
      <c r="M49" s="250">
        <f t="shared" si="3"/>
        <v>-6549483.3333333321</v>
      </c>
      <c r="N49" s="250">
        <f t="shared" si="3"/>
        <v>-6152883.3333333321</v>
      </c>
      <c r="O49" s="250">
        <f t="shared" si="3"/>
        <v>-6778483.3333333321</v>
      </c>
      <c r="P49" s="250">
        <f t="shared" si="3"/>
        <v>-6641631.6666666679</v>
      </c>
      <c r="Q49" s="250">
        <f t="shared" si="3"/>
        <v>-2911896.6666666679</v>
      </c>
      <c r="R49" s="250">
        <f t="shared" si="3"/>
        <v>-1672131.6666666679</v>
      </c>
      <c r="S49" s="250">
        <f t="shared" si="3"/>
        <v>-672131.66666666791</v>
      </c>
      <c r="T49" s="250">
        <f t="shared" si="3"/>
        <v>-672131.66666666791</v>
      </c>
      <c r="U49" s="250">
        <f t="shared" si="3"/>
        <v>-672131.66666666791</v>
      </c>
      <c r="V49" s="250">
        <f t="shared" si="3"/>
        <v>-672131.66666666791</v>
      </c>
      <c r="W49" s="250">
        <f t="shared" si="3"/>
        <v>-672131.66666666791</v>
      </c>
      <c r="X49" s="250">
        <f t="shared" si="3"/>
        <v>-672131.66666666791</v>
      </c>
      <c r="Y49" s="250">
        <f t="shared" si="3"/>
        <v>-672131.66666666791</v>
      </c>
      <c r="Z49" s="250">
        <f t="shared" si="3"/>
        <v>-672131.66666666791</v>
      </c>
      <c r="AA49" s="250">
        <f t="shared" si="3"/>
        <v>-4397051.6666666679</v>
      </c>
      <c r="AB49" s="250">
        <f t="shared" si="3"/>
        <v>-643952.76666666754</v>
      </c>
      <c r="AC49" s="250">
        <f t="shared" si="3"/>
        <v>7813501.2833333388</v>
      </c>
      <c r="AD49" s="250">
        <f t="shared" si="3"/>
        <v>10630362.83333334</v>
      </c>
      <c r="AE49" s="250">
        <f t="shared" si="3"/>
        <v>10630362.83333334</v>
      </c>
      <c r="AF49" s="250">
        <f t="shared" si="3"/>
        <v>10630362.83333334</v>
      </c>
      <c r="AG49" s="250">
        <f t="shared" si="3"/>
        <v>10630362.83333334</v>
      </c>
      <c r="AH49" s="250">
        <f t="shared" si="3"/>
        <v>10630362.83333334</v>
      </c>
      <c r="AI49" s="250">
        <f t="shared" si="3"/>
        <v>10630362.83333334</v>
      </c>
      <c r="AJ49" s="250">
        <f t="shared" si="3"/>
        <v>10630362.83333334</v>
      </c>
      <c r="AK49" s="250">
        <f t="shared" si="3"/>
        <v>10630362.83333334</v>
      </c>
      <c r="AL49" s="250">
        <f t="shared" si="3"/>
        <v>10630362.83333334</v>
      </c>
      <c r="AM49" s="250">
        <f t="shared" si="3"/>
        <v>2172908.7833333313</v>
      </c>
      <c r="AN49" s="250">
        <f t="shared" si="3"/>
        <v>10651617.612833336</v>
      </c>
      <c r="AO49" s="250">
        <f t="shared" si="3"/>
        <v>26311791.570833344</v>
      </c>
      <c r="AP49" s="250">
        <f t="shared" si="3"/>
        <v>31531024.513833348</v>
      </c>
      <c r="AQ49" s="250">
        <f t="shared" si="3"/>
        <v>31531024.513833348</v>
      </c>
      <c r="AR49" s="250">
        <f t="shared" si="3"/>
        <v>31531024.513833348</v>
      </c>
      <c r="AS49" s="250">
        <f t="shared" si="3"/>
        <v>31531024.513833348</v>
      </c>
      <c r="AT49" s="250">
        <f t="shared" si="3"/>
        <v>31531024.513833348</v>
      </c>
      <c r="AU49" s="250">
        <f t="shared" si="3"/>
        <v>31531024.513833348</v>
      </c>
      <c r="AV49" s="250">
        <f t="shared" si="3"/>
        <v>31531024.513833348</v>
      </c>
      <c r="AW49" s="250">
        <f t="shared" si="3"/>
        <v>31531024.513833348</v>
      </c>
      <c r="AX49" s="250">
        <f t="shared" si="3"/>
        <v>31531024.513833348</v>
      </c>
      <c r="AY49" s="250">
        <f t="shared" si="3"/>
        <v>15870850.55583334</v>
      </c>
      <c r="AZ49" s="250">
        <f t="shared" si="3"/>
        <v>9157164.7419683337</v>
      </c>
      <c r="BA49" s="250">
        <f t="shared" si="3"/>
        <v>24392499.609618343</v>
      </c>
      <c r="BB49" s="250">
        <f t="shared" si="3"/>
        <v>29455399.478103347</v>
      </c>
      <c r="BC49" s="250">
        <f t="shared" si="3"/>
        <v>29455399.478103347</v>
      </c>
      <c r="BD49" s="250">
        <f t="shared" si="3"/>
        <v>29455399.478103347</v>
      </c>
      <c r="BE49" s="250">
        <f t="shared" si="3"/>
        <v>29455399.478103347</v>
      </c>
      <c r="BF49" s="250">
        <f t="shared" si="3"/>
        <v>29455399.478103347</v>
      </c>
      <c r="BG49" s="250">
        <f t="shared" si="3"/>
        <v>29455399.478103347</v>
      </c>
      <c r="BH49" s="250">
        <f t="shared" si="3"/>
        <v>29455399.478103347</v>
      </c>
      <c r="BI49" s="250">
        <f t="shared" si="3"/>
        <v>29455399.478103347</v>
      </c>
      <c r="BJ49" s="250">
        <f t="shared" si="3"/>
        <v>29455399.478103347</v>
      </c>
      <c r="BK49" s="250">
        <f t="shared" si="3"/>
        <v>14244365.338558339</v>
      </c>
    </row>
    <row r="50" spans="1:64" x14ac:dyDescent="0.15">
      <c r="B50" s="33" t="s">
        <v>921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-21951500</v>
      </c>
      <c r="H50" s="250">
        <f t="shared" si="4"/>
        <v>-8787000</v>
      </c>
      <c r="I50" s="250">
        <f t="shared" si="4"/>
        <v>-7550299.9999999991</v>
      </c>
      <c r="J50" s="250">
        <f t="shared" si="4"/>
        <v>-7573699.9999999991</v>
      </c>
      <c r="K50" s="250">
        <f t="shared" si="4"/>
        <v>-7180099.9999999991</v>
      </c>
      <c r="L50" s="250">
        <f t="shared" si="4"/>
        <v>-6783499.9999999991</v>
      </c>
      <c r="M50" s="250">
        <f t="shared" si="4"/>
        <v>-6389899.9999999991</v>
      </c>
      <c r="N50" s="250">
        <f t="shared" si="4"/>
        <v>-5993299.9999999991</v>
      </c>
      <c r="O50" s="250">
        <f t="shared" si="4"/>
        <v>-6618899.9999999991</v>
      </c>
      <c r="P50" s="250">
        <f t="shared" si="4"/>
        <v>-6560715.0000000009</v>
      </c>
      <c r="Q50" s="250">
        <f t="shared" si="4"/>
        <v>-2750980.0000000014</v>
      </c>
      <c r="R50" s="250">
        <f t="shared" si="4"/>
        <v>-1511215.0000000012</v>
      </c>
      <c r="S50" s="250">
        <f t="shared" si="4"/>
        <v>-511215.00000000122</v>
      </c>
      <c r="T50" s="250">
        <f t="shared" si="4"/>
        <v>-511215.00000000122</v>
      </c>
      <c r="U50" s="250">
        <f t="shared" si="4"/>
        <v>-511215.00000000122</v>
      </c>
      <c r="V50" s="250">
        <f t="shared" si="4"/>
        <v>-511215.00000000122</v>
      </c>
      <c r="W50" s="250">
        <f t="shared" si="4"/>
        <v>-511215.00000000122</v>
      </c>
      <c r="X50" s="250">
        <f t="shared" si="4"/>
        <v>-511215.00000000122</v>
      </c>
      <c r="Y50" s="250">
        <f t="shared" si="4"/>
        <v>-511215.00000000122</v>
      </c>
      <c r="Z50" s="250">
        <f t="shared" si="4"/>
        <v>-511215.00000000122</v>
      </c>
      <c r="AA50" s="250">
        <f t="shared" si="4"/>
        <v>-4236135.0000000009</v>
      </c>
      <c r="AB50" s="250">
        <f t="shared" si="4"/>
        <v>-483036.10000000085</v>
      </c>
      <c r="AC50" s="250">
        <f t="shared" si="4"/>
        <v>7974417.9500000058</v>
      </c>
      <c r="AD50" s="250">
        <f t="shared" si="4"/>
        <v>10791279.500000006</v>
      </c>
      <c r="AE50" s="250">
        <f t="shared" si="4"/>
        <v>10791279.500000006</v>
      </c>
      <c r="AF50" s="250">
        <f t="shared" si="4"/>
        <v>10791279.500000006</v>
      </c>
      <c r="AG50" s="250">
        <f t="shared" si="4"/>
        <v>10791279.500000006</v>
      </c>
      <c r="AH50" s="250">
        <f t="shared" si="4"/>
        <v>10791279.500000006</v>
      </c>
      <c r="AI50" s="250">
        <f t="shared" si="4"/>
        <v>10791279.500000006</v>
      </c>
      <c r="AJ50" s="250">
        <f t="shared" si="4"/>
        <v>10791279.500000006</v>
      </c>
      <c r="AK50" s="250">
        <f t="shared" si="4"/>
        <v>10791279.500000006</v>
      </c>
      <c r="AL50" s="250">
        <f t="shared" si="4"/>
        <v>10791279.500000006</v>
      </c>
      <c r="AM50" s="250">
        <f t="shared" si="4"/>
        <v>2333825.4499999979</v>
      </c>
      <c r="AN50" s="250">
        <f t="shared" si="4"/>
        <v>10812534.279500002</v>
      </c>
      <c r="AO50" s="250">
        <f t="shared" si="4"/>
        <v>26472708.237500012</v>
      </c>
      <c r="AP50" s="250">
        <f t="shared" si="4"/>
        <v>31691941.180500016</v>
      </c>
      <c r="AQ50" s="250">
        <f t="shared" si="4"/>
        <v>31691941.180500016</v>
      </c>
      <c r="AR50" s="250">
        <f t="shared" si="4"/>
        <v>31691941.180500016</v>
      </c>
      <c r="AS50" s="250">
        <f t="shared" si="4"/>
        <v>31691941.180500016</v>
      </c>
      <c r="AT50" s="250">
        <f t="shared" si="4"/>
        <v>31691941.180500016</v>
      </c>
      <c r="AU50" s="250">
        <f t="shared" si="4"/>
        <v>31691941.180500016</v>
      </c>
      <c r="AV50" s="250">
        <f t="shared" si="4"/>
        <v>31691941.180500016</v>
      </c>
      <c r="AW50" s="250">
        <f t="shared" si="4"/>
        <v>31691941.180500016</v>
      </c>
      <c r="AX50" s="250">
        <f t="shared" si="4"/>
        <v>31691941.180500016</v>
      </c>
      <c r="AY50" s="250">
        <f t="shared" si="4"/>
        <v>16031767.222500006</v>
      </c>
      <c r="AZ50" s="250">
        <f t="shared" si="4"/>
        <v>9318081.4086349998</v>
      </c>
      <c r="BA50" s="250">
        <f t="shared" si="4"/>
        <v>24553416.276285011</v>
      </c>
      <c r="BB50" s="250">
        <f t="shared" si="4"/>
        <v>29616316.144770015</v>
      </c>
      <c r="BC50" s="250">
        <f t="shared" si="4"/>
        <v>29616316.144770015</v>
      </c>
      <c r="BD50" s="250">
        <f t="shared" si="4"/>
        <v>29616316.144770015</v>
      </c>
      <c r="BE50" s="250">
        <f t="shared" si="4"/>
        <v>29616316.144770015</v>
      </c>
      <c r="BF50" s="250">
        <f t="shared" si="4"/>
        <v>29616316.144770015</v>
      </c>
      <c r="BG50" s="250">
        <f t="shared" si="4"/>
        <v>29616316.144770015</v>
      </c>
      <c r="BH50" s="250">
        <f t="shared" si="4"/>
        <v>29616316.144770015</v>
      </c>
      <c r="BI50" s="250">
        <f t="shared" si="4"/>
        <v>29616316.144770015</v>
      </c>
      <c r="BJ50" s="250">
        <f t="shared" si="4"/>
        <v>29616316.144770015</v>
      </c>
      <c r="BK50" s="250">
        <f t="shared" si="4"/>
        <v>14405282.005225005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989</v>
      </c>
    </row>
    <row r="53" spans="1:64" x14ac:dyDescent="0.15">
      <c r="A53"/>
      <c r="C53" s="74" t="s">
        <v>147</v>
      </c>
      <c r="D53" s="406" t="s">
        <v>35</v>
      </c>
      <c r="E53" s="406"/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 t="s">
        <v>36</v>
      </c>
      <c r="Q53" s="406"/>
      <c r="R53" s="406"/>
      <c r="S53" s="406"/>
      <c r="T53" s="406"/>
      <c r="U53" s="406"/>
      <c r="V53" s="406"/>
      <c r="W53" s="406"/>
      <c r="X53" s="406"/>
      <c r="Y53" s="406"/>
      <c r="Z53" s="406"/>
      <c r="AA53" s="406"/>
      <c r="AB53" s="406" t="s">
        <v>37</v>
      </c>
      <c r="AC53" s="406"/>
      <c r="AD53" s="406"/>
      <c r="AE53" s="406"/>
      <c r="AF53" s="406"/>
      <c r="AG53" s="406"/>
      <c r="AH53" s="406"/>
      <c r="AI53" s="406"/>
      <c r="AJ53" s="406"/>
      <c r="AK53" s="406"/>
      <c r="AL53" s="406"/>
      <c r="AM53" s="406"/>
      <c r="AN53" s="406" t="s">
        <v>38</v>
      </c>
      <c r="AO53" s="406"/>
      <c r="AP53" s="406"/>
      <c r="AQ53" s="406"/>
      <c r="AR53" s="406"/>
      <c r="AS53" s="406"/>
      <c r="AT53" s="406"/>
      <c r="AU53" s="406"/>
      <c r="AV53" s="406"/>
      <c r="AW53" s="406"/>
      <c r="AX53" s="406"/>
      <c r="AY53" s="406"/>
      <c r="AZ53" s="406" t="s">
        <v>39</v>
      </c>
      <c r="BA53" s="406"/>
      <c r="BB53" s="406"/>
      <c r="BC53" s="406"/>
      <c r="BD53" s="406"/>
      <c r="BE53" s="406"/>
      <c r="BF53" s="406"/>
      <c r="BG53" s="406"/>
      <c r="BH53" s="406"/>
      <c r="BI53" s="406"/>
      <c r="BJ53" s="406"/>
      <c r="BK53" s="406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767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-13489916.666666666</v>
      </c>
      <c r="H55" s="250">
        <f t="shared" si="5"/>
        <v>-8055250</v>
      </c>
      <c r="I55" s="250">
        <f t="shared" si="5"/>
        <v>-7629883.3333333321</v>
      </c>
      <c r="J55" s="250">
        <f t="shared" si="5"/>
        <v>-7733283.3333333321</v>
      </c>
      <c r="K55" s="250">
        <f t="shared" si="5"/>
        <v>-7339683.3333333321</v>
      </c>
      <c r="L55" s="250">
        <f t="shared" si="5"/>
        <v>-6943083.3333333321</v>
      </c>
      <c r="M55" s="250">
        <f t="shared" si="5"/>
        <v>-6549483.3333333321</v>
      </c>
      <c r="N55" s="250">
        <f t="shared" si="5"/>
        <v>-6152883.3333333321</v>
      </c>
      <c r="O55" s="250">
        <f t="shared" si="5"/>
        <v>-6778483.3333333321</v>
      </c>
      <c r="P55" s="250">
        <f t="shared" si="5"/>
        <v>-6641631.6666666679</v>
      </c>
      <c r="Q55" s="250">
        <f t="shared" si="5"/>
        <v>-2911896.6666666679</v>
      </c>
      <c r="R55" s="250">
        <f t="shared" si="5"/>
        <v>-1672131.6666666679</v>
      </c>
      <c r="S55" s="250">
        <f t="shared" si="5"/>
        <v>-672131.66666666791</v>
      </c>
      <c r="T55" s="250">
        <f t="shared" si="5"/>
        <v>-672131.66666666791</v>
      </c>
      <c r="U55" s="250">
        <f t="shared" si="5"/>
        <v>-672131.66666666791</v>
      </c>
      <c r="V55" s="250">
        <f t="shared" si="5"/>
        <v>-672131.66666666791</v>
      </c>
      <c r="W55" s="250">
        <f t="shared" si="5"/>
        <v>-672131.66666666791</v>
      </c>
      <c r="X55" s="250">
        <f t="shared" si="5"/>
        <v>-672131.66666666791</v>
      </c>
      <c r="Y55" s="250">
        <f t="shared" si="5"/>
        <v>-672131.66666666791</v>
      </c>
      <c r="Z55" s="250">
        <f t="shared" si="5"/>
        <v>-672131.66666666791</v>
      </c>
      <c r="AA55" s="250">
        <f t="shared" si="5"/>
        <v>-4397051.6666666679</v>
      </c>
      <c r="AB55" s="250">
        <f t="shared" si="5"/>
        <v>-643952.76666666754</v>
      </c>
      <c r="AC55" s="250">
        <f t="shared" si="5"/>
        <v>7813501.2833333388</v>
      </c>
      <c r="AD55" s="250">
        <f t="shared" si="5"/>
        <v>10630362.83333334</v>
      </c>
      <c r="AE55" s="250">
        <f t="shared" si="5"/>
        <v>10630362.83333334</v>
      </c>
      <c r="AF55" s="250">
        <f t="shared" si="5"/>
        <v>10630362.83333334</v>
      </c>
      <c r="AG55" s="250">
        <f t="shared" si="5"/>
        <v>10630362.83333334</v>
      </c>
      <c r="AH55" s="250">
        <f t="shared" si="5"/>
        <v>10630362.83333334</v>
      </c>
      <c r="AI55" s="250">
        <f t="shared" si="5"/>
        <v>10630362.83333334</v>
      </c>
      <c r="AJ55" s="250">
        <f t="shared" si="5"/>
        <v>10630362.83333334</v>
      </c>
      <c r="AK55" s="250">
        <f t="shared" si="5"/>
        <v>10630362.83333334</v>
      </c>
      <c r="AL55" s="250">
        <f t="shared" si="5"/>
        <v>10630362.83333334</v>
      </c>
      <c r="AM55" s="250">
        <f t="shared" si="5"/>
        <v>2172908.7833333313</v>
      </c>
      <c r="AN55" s="250">
        <f t="shared" si="5"/>
        <v>10651617.612833336</v>
      </c>
      <c r="AO55" s="250">
        <f t="shared" si="5"/>
        <v>26311791.570833344</v>
      </c>
      <c r="AP55" s="250">
        <f t="shared" si="5"/>
        <v>31531024.513833348</v>
      </c>
      <c r="AQ55" s="250">
        <f t="shared" si="5"/>
        <v>31531024.513833348</v>
      </c>
      <c r="AR55" s="250">
        <f t="shared" si="5"/>
        <v>31531024.513833348</v>
      </c>
      <c r="AS55" s="250">
        <f t="shared" si="5"/>
        <v>31531024.513833348</v>
      </c>
      <c r="AT55" s="250">
        <f t="shared" si="5"/>
        <v>31531024.513833348</v>
      </c>
      <c r="AU55" s="250">
        <f t="shared" si="5"/>
        <v>31531024.513833348</v>
      </c>
      <c r="AV55" s="250">
        <f t="shared" si="5"/>
        <v>31531024.513833348</v>
      </c>
      <c r="AW55" s="250">
        <f t="shared" si="5"/>
        <v>31531024.513833348</v>
      </c>
      <c r="AX55" s="250">
        <f t="shared" si="5"/>
        <v>31531024.513833348</v>
      </c>
      <c r="AY55" s="250">
        <f t="shared" si="5"/>
        <v>15870850.55583334</v>
      </c>
      <c r="AZ55" s="250">
        <f t="shared" si="5"/>
        <v>9157164.7419683337</v>
      </c>
      <c r="BA55" s="250">
        <f t="shared" si="5"/>
        <v>24392499.609618343</v>
      </c>
      <c r="BB55" s="250">
        <f t="shared" si="5"/>
        <v>29455399.478103347</v>
      </c>
      <c r="BC55" s="250">
        <f t="shared" si="5"/>
        <v>29455399.478103347</v>
      </c>
      <c r="BD55" s="250">
        <f t="shared" si="5"/>
        <v>29455399.478103347</v>
      </c>
      <c r="BE55" s="250">
        <f t="shared" si="5"/>
        <v>29455399.478103347</v>
      </c>
      <c r="BF55" s="250">
        <f t="shared" si="5"/>
        <v>29455399.478103347</v>
      </c>
      <c r="BG55" s="250">
        <f t="shared" si="5"/>
        <v>29455399.478103347</v>
      </c>
      <c r="BH55" s="250">
        <f t="shared" si="5"/>
        <v>29455399.478103347</v>
      </c>
      <c r="BI55" s="250">
        <f t="shared" si="5"/>
        <v>29455399.478103347</v>
      </c>
      <c r="BJ55" s="250">
        <f t="shared" si="5"/>
        <v>29455399.478103347</v>
      </c>
      <c r="BK55" s="250">
        <f t="shared" si="5"/>
        <v>14244365.338558339</v>
      </c>
    </row>
    <row r="56" spans="1:64" x14ac:dyDescent="0.15">
      <c r="B56" s="33" t="s">
        <v>1075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-13489916.666666666</v>
      </c>
      <c r="H56" s="250">
        <f t="shared" si="6"/>
        <v>-21545166.666666664</v>
      </c>
      <c r="I56" s="250">
        <f t="shared" si="6"/>
        <v>-29175049.999999996</v>
      </c>
      <c r="J56" s="250">
        <f t="shared" si="6"/>
        <v>-36908333.333333328</v>
      </c>
      <c r="K56" s="250">
        <f t="shared" si="6"/>
        <v>-44248016.666666657</v>
      </c>
      <c r="L56" s="250">
        <f t="shared" si="6"/>
        <v>-51191099.999999985</v>
      </c>
      <c r="M56" s="250">
        <f t="shared" si="6"/>
        <v>-57740583.333333313</v>
      </c>
      <c r="N56" s="250">
        <f t="shared" si="6"/>
        <v>-63893466.666666642</v>
      </c>
      <c r="O56" s="250">
        <f t="shared" si="6"/>
        <v>-70671949.99999997</v>
      </c>
      <c r="P56" s="250">
        <f t="shared" si="6"/>
        <v>-77313581.666666642</v>
      </c>
      <c r="Q56" s="250">
        <f t="shared" si="6"/>
        <v>-80225478.333333313</v>
      </c>
      <c r="R56" s="250">
        <f t="shared" si="6"/>
        <v>-81897609.999999985</v>
      </c>
      <c r="S56" s="250">
        <f t="shared" si="5"/>
        <v>-82569741.666666657</v>
      </c>
      <c r="T56" s="250">
        <f t="shared" si="5"/>
        <v>-83241873.333333328</v>
      </c>
      <c r="U56" s="250">
        <f t="shared" si="5"/>
        <v>-83914005</v>
      </c>
      <c r="V56" s="250">
        <f t="shared" si="5"/>
        <v>-84586136.666666672</v>
      </c>
      <c r="W56" s="250">
        <f t="shared" si="5"/>
        <v>-85258268.333333343</v>
      </c>
      <c r="X56" s="250">
        <f t="shared" si="5"/>
        <v>-85930400.000000015</v>
      </c>
      <c r="Y56" s="250">
        <f t="shared" si="5"/>
        <v>-86602531.666666687</v>
      </c>
      <c r="Z56" s="250">
        <f t="shared" si="5"/>
        <v>-87274663.333333358</v>
      </c>
      <c r="AA56" s="250">
        <f t="shared" si="5"/>
        <v>-91671715.00000003</v>
      </c>
      <c r="AB56" s="250">
        <f t="shared" si="5"/>
        <v>-92315667.766666695</v>
      </c>
      <c r="AC56" s="250">
        <f t="shared" si="5"/>
        <v>-84502166.483333349</v>
      </c>
      <c r="AD56" s="250">
        <f t="shared" si="5"/>
        <v>-73871803.650000006</v>
      </c>
      <c r="AE56" s="250">
        <f t="shared" si="5"/>
        <v>-63241440.816666663</v>
      </c>
      <c r="AF56" s="250">
        <f t="shared" si="5"/>
        <v>-52611077.983333319</v>
      </c>
      <c r="AG56" s="250">
        <f t="shared" si="5"/>
        <v>-41980715.149999976</v>
      </c>
      <c r="AH56" s="250">
        <f t="shared" si="5"/>
        <v>-31350352.316666637</v>
      </c>
      <c r="AI56" s="250">
        <f t="shared" si="5"/>
        <v>-20719989.483333297</v>
      </c>
      <c r="AJ56" s="250">
        <f t="shared" si="5"/>
        <v>-10089626.649999958</v>
      </c>
      <c r="AK56" s="250">
        <f t="shared" si="5"/>
        <v>540736.18333338201</v>
      </c>
      <c r="AL56" s="250">
        <f t="shared" si="5"/>
        <v>11171099.016666722</v>
      </c>
      <c r="AM56" s="250">
        <f t="shared" si="5"/>
        <v>13344007.800000053</v>
      </c>
      <c r="AN56" s="250">
        <f t="shared" si="5"/>
        <v>23995625.412833389</v>
      </c>
      <c r="AO56" s="250">
        <f t="shared" si="5"/>
        <v>50307416.983666733</v>
      </c>
      <c r="AP56" s="250">
        <f t="shared" si="5"/>
        <v>81838441.497500077</v>
      </c>
      <c r="AQ56" s="250">
        <f t="shared" si="5"/>
        <v>113369466.01133342</v>
      </c>
      <c r="AR56" s="250">
        <f t="shared" si="5"/>
        <v>144900490.52516678</v>
      </c>
      <c r="AS56" s="250">
        <f t="shared" si="5"/>
        <v>176431515.03900012</v>
      </c>
      <c r="AT56" s="250">
        <f t="shared" si="5"/>
        <v>207962539.55283347</v>
      </c>
      <c r="AU56" s="250">
        <f t="shared" si="5"/>
        <v>239493564.06666681</v>
      </c>
      <c r="AV56" s="250">
        <f t="shared" si="5"/>
        <v>271024588.58050019</v>
      </c>
      <c r="AW56" s="250">
        <f t="shared" si="5"/>
        <v>302555613.09433353</v>
      </c>
      <c r="AX56" s="250">
        <f t="shared" si="5"/>
        <v>334086637.60816687</v>
      </c>
      <c r="AY56" s="250">
        <f t="shared" si="5"/>
        <v>349957488.16400021</v>
      </c>
      <c r="AZ56" s="250">
        <f t="shared" si="5"/>
        <v>359114652.90596855</v>
      </c>
      <c r="BA56" s="250">
        <f t="shared" si="5"/>
        <v>383507152.51558691</v>
      </c>
      <c r="BB56" s="250">
        <f t="shared" si="5"/>
        <v>412962551.99369025</v>
      </c>
      <c r="BC56" s="250">
        <f t="shared" si="5"/>
        <v>442417951.47179359</v>
      </c>
      <c r="BD56" s="250">
        <f t="shared" si="5"/>
        <v>471873350.94989693</v>
      </c>
      <c r="BE56" s="250">
        <f t="shared" si="5"/>
        <v>501328750.42800027</v>
      </c>
      <c r="BF56" s="250">
        <f t="shared" si="5"/>
        <v>530784149.90610361</v>
      </c>
      <c r="BG56" s="250">
        <f t="shared" si="5"/>
        <v>560239549.38420701</v>
      </c>
      <c r="BH56" s="250">
        <f t="shared" si="5"/>
        <v>589694948.86231041</v>
      </c>
      <c r="BI56" s="250">
        <f t="shared" si="5"/>
        <v>619150348.34041381</v>
      </c>
      <c r="BJ56" s="250">
        <f t="shared" si="5"/>
        <v>648605747.81851721</v>
      </c>
      <c r="BK56" s="250">
        <f t="shared" si="5"/>
        <v>662850113.15707552</v>
      </c>
    </row>
    <row r="57" spans="1:64" x14ac:dyDescent="0.15">
      <c r="B57" s="33" t="s">
        <v>921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-21951500</v>
      </c>
      <c r="H57" s="250">
        <f t="shared" si="5"/>
        <v>-8787000</v>
      </c>
      <c r="I57" s="250">
        <f t="shared" si="5"/>
        <v>-7550299.9999999991</v>
      </c>
      <c r="J57" s="250">
        <f t="shared" si="5"/>
        <v>-7573699.9999999991</v>
      </c>
      <c r="K57" s="250">
        <f t="shared" si="5"/>
        <v>-7180099.9999999991</v>
      </c>
      <c r="L57" s="250">
        <f t="shared" si="5"/>
        <v>-6783499.9999999991</v>
      </c>
      <c r="M57" s="250">
        <f t="shared" si="5"/>
        <v>-6389899.9999999991</v>
      </c>
      <c r="N57" s="250">
        <f t="shared" si="5"/>
        <v>-5993299.9999999991</v>
      </c>
      <c r="O57" s="250">
        <f t="shared" si="5"/>
        <v>-6618899.9999999991</v>
      </c>
      <c r="P57" s="250">
        <f t="shared" si="5"/>
        <v>-6560715.0000000009</v>
      </c>
      <c r="Q57" s="250">
        <f t="shared" si="5"/>
        <v>-2750980.0000000014</v>
      </c>
      <c r="R57" s="250">
        <f t="shared" si="5"/>
        <v>-1511215.0000000012</v>
      </c>
      <c r="S57" s="250">
        <f t="shared" si="5"/>
        <v>-511215.00000000122</v>
      </c>
      <c r="T57" s="250">
        <f t="shared" si="5"/>
        <v>-511215.00000000122</v>
      </c>
      <c r="U57" s="250">
        <f t="shared" si="5"/>
        <v>-511215.00000000122</v>
      </c>
      <c r="V57" s="250">
        <f t="shared" si="5"/>
        <v>-511215.00000000122</v>
      </c>
      <c r="W57" s="250">
        <f t="shared" si="5"/>
        <v>-511215.00000000122</v>
      </c>
      <c r="X57" s="250">
        <f t="shared" si="5"/>
        <v>-511215.00000000122</v>
      </c>
      <c r="Y57" s="250">
        <f t="shared" si="5"/>
        <v>-511215.00000000122</v>
      </c>
      <c r="Z57" s="250">
        <f t="shared" si="5"/>
        <v>-511215.00000000122</v>
      </c>
      <c r="AA57" s="250">
        <f t="shared" si="5"/>
        <v>-4236135.0000000009</v>
      </c>
      <c r="AB57" s="250">
        <f t="shared" si="5"/>
        <v>-483036.10000000085</v>
      </c>
      <c r="AC57" s="250">
        <f t="shared" si="5"/>
        <v>7974417.9500000058</v>
      </c>
      <c r="AD57" s="250">
        <f t="shared" si="5"/>
        <v>10791279.500000006</v>
      </c>
      <c r="AE57" s="250">
        <f t="shared" si="5"/>
        <v>10791279.500000006</v>
      </c>
      <c r="AF57" s="250">
        <f t="shared" si="5"/>
        <v>10791279.500000006</v>
      </c>
      <c r="AG57" s="250">
        <f t="shared" si="5"/>
        <v>10791279.500000006</v>
      </c>
      <c r="AH57" s="250">
        <f t="shared" si="5"/>
        <v>10791279.500000006</v>
      </c>
      <c r="AI57" s="250">
        <f t="shared" si="5"/>
        <v>10791279.500000006</v>
      </c>
      <c r="AJ57" s="250">
        <f t="shared" si="5"/>
        <v>10791279.500000006</v>
      </c>
      <c r="AK57" s="250">
        <f t="shared" si="5"/>
        <v>10791279.500000006</v>
      </c>
      <c r="AL57" s="250">
        <f t="shared" si="5"/>
        <v>10791279.500000006</v>
      </c>
      <c r="AM57" s="250">
        <f t="shared" si="5"/>
        <v>2333825.4499999979</v>
      </c>
      <c r="AN57" s="250">
        <f t="shared" si="5"/>
        <v>10812534.279500002</v>
      </c>
      <c r="AO57" s="250">
        <f t="shared" si="5"/>
        <v>26472708.237500012</v>
      </c>
      <c r="AP57" s="250">
        <f t="shared" si="5"/>
        <v>31691941.180500016</v>
      </c>
      <c r="AQ57" s="250">
        <f t="shared" si="5"/>
        <v>31691941.180500016</v>
      </c>
      <c r="AR57" s="250">
        <f t="shared" si="5"/>
        <v>31691941.180500016</v>
      </c>
      <c r="AS57" s="250">
        <f t="shared" si="5"/>
        <v>31691941.180500016</v>
      </c>
      <c r="AT57" s="250">
        <f t="shared" si="5"/>
        <v>31691941.180500016</v>
      </c>
      <c r="AU57" s="250">
        <f t="shared" si="5"/>
        <v>31691941.180500016</v>
      </c>
      <c r="AV57" s="250">
        <f t="shared" si="5"/>
        <v>31691941.180500016</v>
      </c>
      <c r="AW57" s="250">
        <f t="shared" si="5"/>
        <v>31691941.180500016</v>
      </c>
      <c r="AX57" s="250">
        <f t="shared" si="5"/>
        <v>31691941.180500016</v>
      </c>
      <c r="AY57" s="250">
        <f t="shared" si="5"/>
        <v>16031767.222500006</v>
      </c>
      <c r="AZ57" s="250">
        <f t="shared" si="5"/>
        <v>9318081.4086349998</v>
      </c>
      <c r="BA57" s="250">
        <f t="shared" si="5"/>
        <v>24553416.276285011</v>
      </c>
      <c r="BB57" s="250">
        <f t="shared" si="5"/>
        <v>29616316.144770015</v>
      </c>
      <c r="BC57" s="250">
        <f t="shared" si="5"/>
        <v>29616316.144770015</v>
      </c>
      <c r="BD57" s="250">
        <f t="shared" si="5"/>
        <v>29616316.144770015</v>
      </c>
      <c r="BE57" s="250">
        <f t="shared" si="5"/>
        <v>29616316.144770015</v>
      </c>
      <c r="BF57" s="250">
        <f t="shared" si="5"/>
        <v>29616316.144770015</v>
      </c>
      <c r="BG57" s="250">
        <f t="shared" si="5"/>
        <v>29616316.144770015</v>
      </c>
      <c r="BH57" s="250">
        <f t="shared" si="5"/>
        <v>29616316.144770015</v>
      </c>
      <c r="BI57" s="250">
        <f t="shared" si="5"/>
        <v>29616316.144770015</v>
      </c>
      <c r="BJ57" s="250">
        <f t="shared" si="5"/>
        <v>29616316.144770015</v>
      </c>
      <c r="BK57" s="250">
        <f t="shared" si="5"/>
        <v>14405282.005225005</v>
      </c>
      <c r="BL57" s="66"/>
    </row>
    <row r="58" spans="1:64" x14ac:dyDescent="0.15">
      <c r="B58" s="33" t="s">
        <v>1076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-21951500</v>
      </c>
      <c r="H58" s="250">
        <f t="shared" si="5"/>
        <v>-30738500</v>
      </c>
      <c r="I58" s="250">
        <f t="shared" si="5"/>
        <v>-38288800</v>
      </c>
      <c r="J58" s="250">
        <f t="shared" si="5"/>
        <v>-45862500</v>
      </c>
      <c r="K58" s="250">
        <f t="shared" si="5"/>
        <v>-53042600</v>
      </c>
      <c r="L58" s="250">
        <f t="shared" si="5"/>
        <v>-59826100</v>
      </c>
      <c r="M58" s="250">
        <f t="shared" si="5"/>
        <v>-66216000</v>
      </c>
      <c r="N58" s="250">
        <f t="shared" si="5"/>
        <v>-72209300</v>
      </c>
      <c r="O58" s="250">
        <f t="shared" si="5"/>
        <v>-78828200</v>
      </c>
      <c r="P58" s="250">
        <f t="shared" si="5"/>
        <v>-85388915</v>
      </c>
      <c r="Q58" s="250">
        <f t="shared" si="5"/>
        <v>-88139895</v>
      </c>
      <c r="R58" s="250">
        <f t="shared" si="5"/>
        <v>-89651110</v>
      </c>
      <c r="S58" s="250">
        <f t="shared" si="5"/>
        <v>-90162325</v>
      </c>
      <c r="T58" s="250">
        <f t="shared" si="5"/>
        <v>-90673540</v>
      </c>
      <c r="U58" s="250">
        <f t="shared" si="5"/>
        <v>-91184755</v>
      </c>
      <c r="V58" s="250">
        <f t="shared" si="5"/>
        <v>-91695970</v>
      </c>
      <c r="W58" s="250">
        <f t="shared" si="5"/>
        <v>-92207185</v>
      </c>
      <c r="X58" s="250">
        <f t="shared" si="5"/>
        <v>-92718400</v>
      </c>
      <c r="Y58" s="250">
        <f t="shared" si="5"/>
        <v>-93229615</v>
      </c>
      <c r="Z58" s="250">
        <f t="shared" si="5"/>
        <v>-93740830</v>
      </c>
      <c r="AA58" s="250">
        <f t="shared" si="5"/>
        <v>-97976965</v>
      </c>
      <c r="AB58" s="250">
        <f t="shared" si="5"/>
        <v>-98460001.099999994</v>
      </c>
      <c r="AC58" s="250">
        <f t="shared" si="5"/>
        <v>-90485583.149999991</v>
      </c>
      <c r="AD58" s="250">
        <f t="shared" si="5"/>
        <v>-79694303.649999991</v>
      </c>
      <c r="AE58" s="250">
        <f t="shared" si="5"/>
        <v>-68903024.149999991</v>
      </c>
      <c r="AF58" s="250">
        <f t="shared" si="5"/>
        <v>-58111744.649999984</v>
      </c>
      <c r="AG58" s="250">
        <f t="shared" si="5"/>
        <v>-47320465.149999976</v>
      </c>
      <c r="AH58" s="250">
        <f t="shared" si="5"/>
        <v>-36529185.649999969</v>
      </c>
      <c r="AI58" s="250">
        <f t="shared" si="5"/>
        <v>-25737906.149999961</v>
      </c>
      <c r="AJ58" s="250">
        <f t="shared" si="5"/>
        <v>-14946626.649999956</v>
      </c>
      <c r="AK58" s="250">
        <f t="shared" si="5"/>
        <v>-4155347.1499999501</v>
      </c>
      <c r="AL58" s="250">
        <f t="shared" si="5"/>
        <v>6635932.3500000555</v>
      </c>
      <c r="AM58" s="250">
        <f t="shared" si="5"/>
        <v>8969757.8000000529</v>
      </c>
      <c r="AN58" s="250">
        <f t="shared" si="5"/>
        <v>19782292.079500057</v>
      </c>
      <c r="AO58" s="250">
        <f t="shared" si="5"/>
        <v>46255000.317000069</v>
      </c>
      <c r="AP58" s="250">
        <f t="shared" si="5"/>
        <v>77946941.497500092</v>
      </c>
      <c r="AQ58" s="250">
        <f t="shared" si="5"/>
        <v>109638882.67800011</v>
      </c>
      <c r="AR58" s="250">
        <f t="shared" si="5"/>
        <v>141330823.85850012</v>
      </c>
      <c r="AS58" s="250">
        <f t="shared" si="5"/>
        <v>173022765.03900015</v>
      </c>
      <c r="AT58" s="250">
        <f t="shared" si="5"/>
        <v>204714706.21950018</v>
      </c>
      <c r="AU58" s="250">
        <f t="shared" si="5"/>
        <v>236406647.40000021</v>
      </c>
      <c r="AV58" s="250">
        <f t="shared" si="5"/>
        <v>268098588.58050025</v>
      </c>
      <c r="AW58" s="250">
        <f t="shared" si="5"/>
        <v>299790529.76100028</v>
      </c>
      <c r="AX58" s="250">
        <f t="shared" si="5"/>
        <v>331482470.94150031</v>
      </c>
      <c r="AY58" s="250">
        <f t="shared" si="5"/>
        <v>347514238.16400033</v>
      </c>
      <c r="AZ58" s="250">
        <f t="shared" si="5"/>
        <v>356832319.57263535</v>
      </c>
      <c r="BA58" s="250">
        <f t="shared" si="5"/>
        <v>381385735.84892035</v>
      </c>
      <c r="BB58" s="250">
        <f t="shared" si="5"/>
        <v>411002051.99369037</v>
      </c>
      <c r="BC58" s="250">
        <f t="shared" si="5"/>
        <v>440618368.1384604</v>
      </c>
      <c r="BD58" s="250">
        <f t="shared" si="5"/>
        <v>470234684.28323042</v>
      </c>
      <c r="BE58" s="250">
        <f t="shared" si="5"/>
        <v>499851000.42800045</v>
      </c>
      <c r="BF58" s="250">
        <f t="shared" si="5"/>
        <v>529467316.57277048</v>
      </c>
      <c r="BG58" s="250">
        <f t="shared" si="5"/>
        <v>559083632.7175405</v>
      </c>
      <c r="BH58" s="250">
        <f t="shared" si="5"/>
        <v>588699948.86231053</v>
      </c>
      <c r="BI58" s="250">
        <f t="shared" si="5"/>
        <v>618316265.00708055</v>
      </c>
      <c r="BJ58" s="250">
        <f t="shared" si="5"/>
        <v>647932581.15185058</v>
      </c>
      <c r="BK58" s="250">
        <f t="shared" si="5"/>
        <v>662337863.15707564</v>
      </c>
    </row>
    <row r="59" spans="1:64" x14ac:dyDescent="0.15">
      <c r="B59" s="33" t="s">
        <v>1078</v>
      </c>
      <c r="C59" s="259">
        <f ca="1">+'FIN-CASHFLOW_CWS'!C58</f>
        <v>45862500</v>
      </c>
      <c r="D59" s="259">
        <f ca="1">+'FIN-CASHFLOW_CWS'!D58</f>
        <v>45862500</v>
      </c>
      <c r="E59" s="259">
        <f ca="1">+'FIN-CASHFLOW_CWS'!E58</f>
        <v>45862500</v>
      </c>
      <c r="F59" s="259">
        <f ca="1">+'FIN-CASHFLOW_CWS'!F58</f>
        <v>45862500</v>
      </c>
      <c r="G59" s="259">
        <f ca="1">+'FIN-CASHFLOW_CWS'!G58</f>
        <v>23911000</v>
      </c>
      <c r="H59" s="259">
        <f ca="1">+'FIN-CASHFLOW_CWS'!H58</f>
        <v>15124000</v>
      </c>
      <c r="I59" s="259">
        <f ca="1">+'FIN-CASHFLOW_CWS'!I58</f>
        <v>7573700.0000000009</v>
      </c>
      <c r="J59" s="259">
        <f ca="1">+'FIN-CASHFLOW_CWS'!J58</f>
        <v>0</v>
      </c>
      <c r="K59" s="259">
        <f ca="1">+'FIN-CASHFLOW_CWS'!K58</f>
        <v>19166700</v>
      </c>
      <c r="L59" s="259">
        <f ca="1">+'FIN-CASHFLOW_CWS'!L58</f>
        <v>12383200</v>
      </c>
      <c r="M59" s="259">
        <f ca="1">+'FIN-CASHFLOW_CWS'!M58</f>
        <v>5993300.0000000009</v>
      </c>
      <c r="N59" s="259">
        <f ca="1">+'FIN-CASHFLOW_CWS'!N58</f>
        <v>0</v>
      </c>
      <c r="O59" s="259">
        <f ca="1">+'FIN-CASHFLOW_CWS'!O58</f>
        <v>11657383.149999991</v>
      </c>
      <c r="P59" s="259">
        <f ca="1">+'FIN-CASHFLOW_CWS'!P58</f>
        <v>5096668.1499999901</v>
      </c>
      <c r="Q59" s="259">
        <f ca="1">+'FIN-CASHFLOW_CWS'!Q58</f>
        <v>2345688.1499999887</v>
      </c>
      <c r="R59" s="259">
        <f ca="1">+'FIN-CASHFLOW_CWS'!R58</f>
        <v>834473.14999998757</v>
      </c>
      <c r="S59" s="259">
        <f ca="1">+'FIN-CASHFLOW_CWS'!S58</f>
        <v>323258.14999998634</v>
      </c>
      <c r="T59" s="259">
        <f ca="1">+'FIN-CASHFLOW_CWS'!T58</f>
        <v>-187956.85000001488</v>
      </c>
      <c r="U59" s="259">
        <f ca="1">+'FIN-CASHFLOW_CWS'!U58</f>
        <v>-699171.85000001616</v>
      </c>
      <c r="V59" s="259">
        <f ca="1">+'FIN-CASHFLOW_CWS'!V58</f>
        <v>-1210386.8500000173</v>
      </c>
      <c r="W59" s="259">
        <f ca="1">+'FIN-CASHFLOW_CWS'!W58</f>
        <v>-1721601.8500000185</v>
      </c>
      <c r="X59" s="259">
        <f ca="1">+'FIN-CASHFLOW_CWS'!X58</f>
        <v>-2232816.8500000197</v>
      </c>
      <c r="Y59" s="259">
        <f ca="1">+'FIN-CASHFLOW_CWS'!Y58</f>
        <v>-2744031.850000021</v>
      </c>
      <c r="Z59" s="259">
        <f ca="1">+'FIN-CASHFLOW_CWS'!Z58</f>
        <v>-3255246.8500000224</v>
      </c>
      <c r="AA59" s="259">
        <f ca="1">+'FIN-CASHFLOW_CWS'!AA58</f>
        <v>-7491381.8500000238</v>
      </c>
      <c r="AB59" s="259">
        <f ca="1">+'FIN-CASHFLOW_CWS'!AB58</f>
        <v>-7974417.9500000244</v>
      </c>
      <c r="AC59" s="259">
        <f ca="1">+'FIN-CASHFLOW_CWS'!AC58</f>
        <v>-1.862645149230957E-8</v>
      </c>
      <c r="AD59" s="259">
        <f ca="1">+'FIN-CASHFLOW_CWS'!AD58</f>
        <v>10791279.499999987</v>
      </c>
      <c r="AE59" s="259">
        <f ca="1">+'FIN-CASHFLOW_CWS'!AE58</f>
        <v>21582558.999999993</v>
      </c>
      <c r="AF59" s="259">
        <f ca="1">+'FIN-CASHFLOW_CWS'!AF58</f>
        <v>32373838.5</v>
      </c>
      <c r="AG59" s="259">
        <f ca="1">+'FIN-CASHFLOW_CWS'!AG58</f>
        <v>43165118.000000007</v>
      </c>
      <c r="AH59" s="259">
        <f ca="1">+'FIN-CASHFLOW_CWS'!AH58</f>
        <v>53956397.500000015</v>
      </c>
      <c r="AI59" s="259">
        <f ca="1">+'FIN-CASHFLOW_CWS'!AI58</f>
        <v>64747677.000000022</v>
      </c>
      <c r="AJ59" s="259">
        <f ca="1">+'FIN-CASHFLOW_CWS'!AJ58</f>
        <v>75538956.50000003</v>
      </c>
      <c r="AK59" s="259">
        <f ca="1">+'FIN-CASHFLOW_CWS'!AK58</f>
        <v>86330236.00000003</v>
      </c>
      <c r="AL59" s="259">
        <f ca="1">+'FIN-CASHFLOW_CWS'!AL58</f>
        <v>97121515.50000003</v>
      </c>
      <c r="AM59" s="259">
        <f ca="1">+'FIN-CASHFLOW_CWS'!AM58</f>
        <v>99455340.950000033</v>
      </c>
      <c r="AN59" s="259">
        <f ca="1">+'FIN-CASHFLOW_CWS'!AN58</f>
        <v>110267875.22950004</v>
      </c>
      <c r="AO59" s="259">
        <f ca="1">+'FIN-CASHFLOW_CWS'!AO58</f>
        <v>136740583.46700007</v>
      </c>
      <c r="AP59" s="259">
        <f ca="1">+'FIN-CASHFLOW_CWS'!AP58</f>
        <v>168432524.6475001</v>
      </c>
      <c r="AQ59" s="259">
        <f ca="1">+'FIN-CASHFLOW_CWS'!AQ58</f>
        <v>200124465.82800013</v>
      </c>
      <c r="AR59" s="259">
        <f ca="1">+'FIN-CASHFLOW_CWS'!AR58</f>
        <v>231816407.00850016</v>
      </c>
      <c r="AS59" s="259">
        <f ca="1">+'FIN-CASHFLOW_CWS'!AS58</f>
        <v>263508348.18900019</v>
      </c>
      <c r="AT59" s="259">
        <f ca="1">+'FIN-CASHFLOW_CWS'!AT58</f>
        <v>295200289.36950022</v>
      </c>
      <c r="AU59" s="259">
        <f ca="1">+'FIN-CASHFLOW_CWS'!AU58</f>
        <v>326892230.55000025</v>
      </c>
      <c r="AV59" s="259">
        <f ca="1">+'FIN-CASHFLOW_CWS'!AV58</f>
        <v>358584171.73050028</v>
      </c>
      <c r="AW59" s="259">
        <f ca="1">+'FIN-CASHFLOW_CWS'!AW58</f>
        <v>390276112.91100031</v>
      </c>
      <c r="AX59" s="259">
        <f ca="1">+'FIN-CASHFLOW_CWS'!AX58</f>
        <v>421968054.09150034</v>
      </c>
      <c r="AY59" s="259">
        <f ca="1">+'FIN-CASHFLOW_CWS'!AY58</f>
        <v>437999821.31400037</v>
      </c>
      <c r="AZ59" s="259">
        <f ca="1">+'FIN-CASHFLOW_CWS'!AZ58</f>
        <v>447317902.72263539</v>
      </c>
      <c r="BA59" s="259">
        <f ca="1">+'FIN-CASHFLOW_CWS'!BA58</f>
        <v>471871318.99892038</v>
      </c>
      <c r="BB59" s="259">
        <f ca="1">+'FIN-CASHFLOW_CWS'!BB58</f>
        <v>501487635.14369041</v>
      </c>
      <c r="BC59" s="259">
        <f ca="1">+'FIN-CASHFLOW_CWS'!BC58</f>
        <v>531103951.28846043</v>
      </c>
      <c r="BD59" s="259">
        <f ca="1">+'FIN-CASHFLOW_CWS'!BD58</f>
        <v>560720267.4332304</v>
      </c>
      <c r="BE59" s="259">
        <f ca="1">+'FIN-CASHFLOW_CWS'!BE58</f>
        <v>590336583.57800043</v>
      </c>
      <c r="BF59" s="259">
        <f ca="1">+'FIN-CASHFLOW_CWS'!BF58</f>
        <v>619952899.72277045</v>
      </c>
      <c r="BG59" s="259">
        <f ca="1">+'FIN-CASHFLOW_CWS'!BG58</f>
        <v>649569215.86754048</v>
      </c>
      <c r="BH59" s="259">
        <f ca="1">+'FIN-CASHFLOW_CWS'!BH58</f>
        <v>679185532.0123105</v>
      </c>
      <c r="BI59" s="259">
        <f ca="1">+'FIN-CASHFLOW_CWS'!BI58</f>
        <v>708801848.15708053</v>
      </c>
      <c r="BJ59" s="259">
        <f ca="1">+'FIN-CASHFLOW_CWS'!BJ58</f>
        <v>738418164.30185056</v>
      </c>
      <c r="BK59" s="259">
        <f ca="1">+'FIN-CASHFLOW_CWS'!BK58</f>
        <v>752823446.30707562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406" t="s">
        <v>308</v>
      </c>
      <c r="B2" s="406"/>
      <c r="C2" s="197"/>
    </row>
    <row r="3" spans="1:62" x14ac:dyDescent="0.15">
      <c r="A3" s="10"/>
      <c r="B3" s="10" t="s">
        <v>719</v>
      </c>
      <c r="C3" s="197"/>
    </row>
    <row r="4" spans="1:62" x14ac:dyDescent="0.15">
      <c r="C4" s="406" t="s">
        <v>35</v>
      </c>
      <c r="D4" s="406"/>
      <c r="E4" s="406"/>
      <c r="F4" s="406"/>
      <c r="G4" s="406"/>
      <c r="H4" s="406"/>
      <c r="I4" s="406"/>
      <c r="J4" s="406"/>
      <c r="K4" s="406"/>
      <c r="L4" s="406"/>
      <c r="M4" s="406"/>
      <c r="N4" s="406"/>
      <c r="O4" s="406" t="s">
        <v>36</v>
      </c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 t="s">
        <v>37</v>
      </c>
      <c r="AB4" s="406"/>
      <c r="AC4" s="406"/>
      <c r="AD4" s="406"/>
      <c r="AE4" s="406"/>
      <c r="AF4" s="406"/>
      <c r="AG4" s="406"/>
      <c r="AH4" s="406"/>
      <c r="AI4" s="406"/>
      <c r="AJ4" s="406"/>
      <c r="AK4" s="406"/>
      <c r="AL4" s="406"/>
      <c r="AM4" s="406" t="s">
        <v>38</v>
      </c>
      <c r="AN4" s="406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 t="s">
        <v>39</v>
      </c>
      <c r="AZ4" s="406"/>
      <c r="BA4" s="406"/>
      <c r="BB4" s="406"/>
      <c r="BC4" s="406"/>
      <c r="BD4" s="406"/>
      <c r="BE4" s="406"/>
      <c r="BF4" s="406"/>
      <c r="BG4" s="406"/>
      <c r="BH4" s="406"/>
      <c r="BI4" s="406"/>
      <c r="BJ4" s="406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394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397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395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710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1200000</v>
      </c>
      <c r="G10" s="203">
        <f>DEV_DB!H99</f>
        <v>1200000</v>
      </c>
      <c r="H10" s="203">
        <f>DEV_DB!I99</f>
        <v>1200000</v>
      </c>
      <c r="I10" s="203">
        <f>DEV_DB!J99</f>
        <v>1200000</v>
      </c>
      <c r="J10" s="203">
        <f>DEV_DB!K99</f>
        <v>1200000</v>
      </c>
      <c r="K10" s="203">
        <f>DEV_DB!L99</f>
        <v>1200000</v>
      </c>
      <c r="L10" s="203">
        <f>DEV_DB!M99</f>
        <v>1200000</v>
      </c>
      <c r="M10" s="203">
        <f>DEV_DB!N99</f>
        <v>1200000</v>
      </c>
      <c r="N10" s="203">
        <f>DEV_DB!O99</f>
        <v>1200000</v>
      </c>
      <c r="O10" s="203">
        <f>DEV_DB!P99</f>
        <v>1320000</v>
      </c>
      <c r="P10" s="203">
        <f>DEV_DB!Q99</f>
        <v>1320000</v>
      </c>
      <c r="Q10" s="203">
        <f>DEV_DB!R99</f>
        <v>1320000</v>
      </c>
      <c r="R10" s="203">
        <f>DEV_DB!S99</f>
        <v>1320000</v>
      </c>
      <c r="S10" s="203">
        <f>DEV_DB!T99</f>
        <v>1320000</v>
      </c>
      <c r="T10" s="203">
        <f>DEV_DB!U99</f>
        <v>1320000</v>
      </c>
      <c r="U10" s="203">
        <f>DEV_DB!V99</f>
        <v>1320000</v>
      </c>
      <c r="V10" s="203">
        <f>DEV_DB!W99</f>
        <v>1320000</v>
      </c>
      <c r="W10" s="203">
        <f>DEV_DB!X99</f>
        <v>1320000</v>
      </c>
      <c r="X10" s="203">
        <f>DEV_DB!Y99</f>
        <v>1320000</v>
      </c>
      <c r="Y10" s="203">
        <f>DEV_DB!Z99</f>
        <v>1320000</v>
      </c>
      <c r="Z10" s="203">
        <f>DEV_DB!AA99</f>
        <v>1320000</v>
      </c>
      <c r="AA10" s="203">
        <f>DEV_DB!AB99</f>
        <v>1412400</v>
      </c>
      <c r="AB10" s="203">
        <f>DEV_DB!AC99</f>
        <v>1412400</v>
      </c>
      <c r="AC10" s="203">
        <f>DEV_DB!AD99</f>
        <v>1412400</v>
      </c>
      <c r="AD10" s="203">
        <f>DEV_DB!AE99</f>
        <v>1412400</v>
      </c>
      <c r="AE10" s="203">
        <f>DEV_DB!AF99</f>
        <v>1412400</v>
      </c>
      <c r="AF10" s="203">
        <f>DEV_DB!AG99</f>
        <v>1412400</v>
      </c>
      <c r="AG10" s="203">
        <f>DEV_DB!AH99</f>
        <v>1412400</v>
      </c>
      <c r="AH10" s="203">
        <f>DEV_DB!AI99</f>
        <v>1412400</v>
      </c>
      <c r="AI10" s="203">
        <f>DEV_DB!AJ99</f>
        <v>1412400</v>
      </c>
      <c r="AJ10" s="203">
        <f>DEV_DB!AK99</f>
        <v>1412400</v>
      </c>
      <c r="AK10" s="203">
        <f>DEV_DB!AL99</f>
        <v>1412400</v>
      </c>
      <c r="AL10" s="203">
        <f>DEV_DB!AM99</f>
        <v>1412400</v>
      </c>
      <c r="AM10" s="203">
        <f>DEV_DB!AN99</f>
        <v>1511268</v>
      </c>
      <c r="AN10" s="203">
        <f>DEV_DB!AO99</f>
        <v>1511268</v>
      </c>
      <c r="AO10" s="203">
        <f>DEV_DB!AP99</f>
        <v>1511268</v>
      </c>
      <c r="AP10" s="203">
        <f>DEV_DB!AQ99</f>
        <v>1511268</v>
      </c>
      <c r="AQ10" s="203">
        <f>DEV_DB!AR99</f>
        <v>1511268</v>
      </c>
      <c r="AR10" s="203">
        <f>DEV_DB!AS99</f>
        <v>1511268</v>
      </c>
      <c r="AS10" s="203">
        <f>DEV_DB!AT99</f>
        <v>1511268</v>
      </c>
      <c r="AT10" s="203">
        <f>DEV_DB!AU99</f>
        <v>1511268</v>
      </c>
      <c r="AU10" s="203">
        <f>DEV_DB!AV99</f>
        <v>1511268</v>
      </c>
      <c r="AV10" s="203">
        <f>DEV_DB!AW99</f>
        <v>1511268</v>
      </c>
      <c r="AW10" s="203">
        <f>DEV_DB!AX99</f>
        <v>1511268</v>
      </c>
      <c r="AX10" s="203">
        <f>DEV_DB!AY99</f>
        <v>1511268</v>
      </c>
      <c r="AY10" s="203">
        <f>DEV_DB!AZ99</f>
        <v>1617056.76</v>
      </c>
      <c r="AZ10" s="203">
        <f>DEV_DB!BA99</f>
        <v>1617056.76</v>
      </c>
      <c r="BA10" s="203">
        <f>DEV_DB!BB99</f>
        <v>1617056.76</v>
      </c>
      <c r="BB10" s="203">
        <f>DEV_DB!BC99</f>
        <v>1617056.76</v>
      </c>
      <c r="BC10" s="203">
        <f>DEV_DB!BD99</f>
        <v>1617056.76</v>
      </c>
      <c r="BD10" s="203">
        <f>DEV_DB!BE99</f>
        <v>1617056.76</v>
      </c>
      <c r="BE10" s="203">
        <f>DEV_DB!BF99</f>
        <v>1617056.76</v>
      </c>
      <c r="BF10" s="203">
        <f>DEV_DB!BG99</f>
        <v>1617056.76</v>
      </c>
      <c r="BG10" s="203">
        <f>DEV_DB!BH99</f>
        <v>1617056.76</v>
      </c>
      <c r="BH10" s="203">
        <f>DEV_DB!BI99</f>
        <v>1617056.76</v>
      </c>
      <c r="BI10" s="203">
        <f>DEV_DB!BJ99</f>
        <v>1617056.76</v>
      </c>
      <c r="BJ10" s="203">
        <f>DEV_DB!BK99</f>
        <v>1617056.76</v>
      </c>
    </row>
    <row r="11" spans="1:62" x14ac:dyDescent="0.15">
      <c r="B11" s="124" t="s">
        <v>398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711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720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1200000</v>
      </c>
      <c r="G13" s="9">
        <f>DEV_DB!H117</f>
        <v>1200000</v>
      </c>
      <c r="H13" s="9">
        <f>DEV_DB!I117</f>
        <v>1200000</v>
      </c>
      <c r="I13" s="9">
        <f>DEV_DB!J117</f>
        <v>1200000</v>
      </c>
      <c r="J13" s="9">
        <f>DEV_DB!K117</f>
        <v>1200000</v>
      </c>
      <c r="K13" s="9">
        <f>DEV_DB!L117</f>
        <v>1200000</v>
      </c>
      <c r="L13" s="9">
        <f>DEV_DB!M117</f>
        <v>1200000</v>
      </c>
      <c r="M13" s="9">
        <f>DEV_DB!N117</f>
        <v>1200000</v>
      </c>
      <c r="N13" s="9">
        <f>DEV_DB!O117</f>
        <v>1200000</v>
      </c>
      <c r="O13" s="9">
        <f>DEV_DB!P117</f>
        <v>1320000</v>
      </c>
      <c r="P13" s="9">
        <f>DEV_DB!Q117</f>
        <v>1320000</v>
      </c>
      <c r="Q13" s="9">
        <f>DEV_DB!R117</f>
        <v>1320000</v>
      </c>
      <c r="R13" s="9">
        <f>DEV_DB!S117</f>
        <v>1320000</v>
      </c>
      <c r="S13" s="9">
        <f>DEV_DB!T117</f>
        <v>1320000</v>
      </c>
      <c r="T13" s="9">
        <f>DEV_DB!U117</f>
        <v>1320000</v>
      </c>
      <c r="U13" s="9">
        <f>DEV_DB!V117</f>
        <v>1320000</v>
      </c>
      <c r="V13" s="9">
        <f>DEV_DB!W117</f>
        <v>1320000</v>
      </c>
      <c r="W13" s="9">
        <f>DEV_DB!X117</f>
        <v>1320000</v>
      </c>
      <c r="X13" s="9">
        <f>DEV_DB!Y117</f>
        <v>1320000</v>
      </c>
      <c r="Y13" s="9">
        <f>DEV_DB!Z117</f>
        <v>1320000</v>
      </c>
      <c r="Z13" s="9">
        <f>DEV_DB!AA117</f>
        <v>1320000</v>
      </c>
      <c r="AA13" s="9">
        <f>DEV_DB!AB117</f>
        <v>1412400</v>
      </c>
      <c r="AB13" s="9">
        <f>DEV_DB!AC117</f>
        <v>1412400</v>
      </c>
      <c r="AC13" s="9">
        <f>DEV_DB!AD117</f>
        <v>1412400</v>
      </c>
      <c r="AD13" s="9">
        <f>DEV_DB!AE117</f>
        <v>1412400</v>
      </c>
      <c r="AE13" s="9">
        <f>DEV_DB!AF117</f>
        <v>1412400</v>
      </c>
      <c r="AF13" s="9">
        <f>DEV_DB!AG117</f>
        <v>1412400</v>
      </c>
      <c r="AG13" s="9">
        <f>DEV_DB!AH117</f>
        <v>1412400</v>
      </c>
      <c r="AH13" s="9">
        <f>DEV_DB!AI117</f>
        <v>1412400</v>
      </c>
      <c r="AI13" s="9">
        <f>DEV_DB!AJ117</f>
        <v>1412400</v>
      </c>
      <c r="AJ13" s="9">
        <f>DEV_DB!AK117</f>
        <v>1412400</v>
      </c>
      <c r="AK13" s="9">
        <f>DEV_DB!AL117</f>
        <v>1412400</v>
      </c>
      <c r="AL13" s="9">
        <f>DEV_DB!AM117</f>
        <v>1412400</v>
      </c>
      <c r="AM13" s="9">
        <f>DEV_DB!AN117</f>
        <v>1511268</v>
      </c>
      <c r="AN13" s="9">
        <f>DEV_DB!AO117</f>
        <v>1511268</v>
      </c>
      <c r="AO13" s="9">
        <f>DEV_DB!AP117</f>
        <v>1511268</v>
      </c>
      <c r="AP13" s="9">
        <f>DEV_DB!AQ117</f>
        <v>1511268</v>
      </c>
      <c r="AQ13" s="9">
        <f>DEV_DB!AR117</f>
        <v>1511268</v>
      </c>
      <c r="AR13" s="9">
        <f>DEV_DB!AS117</f>
        <v>1511268</v>
      </c>
      <c r="AS13" s="9">
        <f>DEV_DB!AT117</f>
        <v>1511268</v>
      </c>
      <c r="AT13" s="9">
        <f>DEV_DB!AU117</f>
        <v>1511268</v>
      </c>
      <c r="AU13" s="9">
        <f>DEV_DB!AV117</f>
        <v>1511268</v>
      </c>
      <c r="AV13" s="9">
        <f>DEV_DB!AW117</f>
        <v>1511268</v>
      </c>
      <c r="AW13" s="9">
        <f>DEV_DB!AX117</f>
        <v>1511268</v>
      </c>
      <c r="AX13" s="9">
        <f>DEV_DB!AY117</f>
        <v>1511268</v>
      </c>
      <c r="AY13" s="9">
        <f>DEV_DB!AZ117</f>
        <v>1617056.76</v>
      </c>
      <c r="AZ13" s="9">
        <f>DEV_DB!BA117</f>
        <v>1617056.76</v>
      </c>
      <c r="BA13" s="9">
        <f>DEV_DB!BB117</f>
        <v>1617056.76</v>
      </c>
      <c r="BB13" s="9">
        <f>DEV_DB!BC117</f>
        <v>1617056.76</v>
      </c>
      <c r="BC13" s="9">
        <f>DEV_DB!BD117</f>
        <v>1617056.76</v>
      </c>
      <c r="BD13" s="9">
        <f>DEV_DB!BE117</f>
        <v>1617056.76</v>
      </c>
      <c r="BE13" s="9">
        <f>DEV_DB!BF117</f>
        <v>1617056.76</v>
      </c>
      <c r="BF13" s="9">
        <f>DEV_DB!BG117</f>
        <v>1617056.76</v>
      </c>
      <c r="BG13" s="9">
        <f>DEV_DB!BH117</f>
        <v>1617056.76</v>
      </c>
      <c r="BH13" s="9">
        <f>DEV_DB!BI117</f>
        <v>1617056.76</v>
      </c>
      <c r="BI13" s="9">
        <f>DEV_DB!BJ117</f>
        <v>1617056.76</v>
      </c>
      <c r="BJ13" s="9">
        <f>DEV_DB!BK117</f>
        <v>1617056.76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718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2864</v>
      </c>
      <c r="E3" s="184">
        <f>REV_DB!F20</f>
        <v>16445</v>
      </c>
      <c r="F3" s="184">
        <f>REV_DB!G20</f>
        <v>29034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46544000</v>
      </c>
      <c r="E4" s="63">
        <f>REV_DB!F24</f>
        <v>290002100</v>
      </c>
      <c r="F4" s="63">
        <f>REV_DB!G24</f>
        <v>598384274.80000007</v>
      </c>
      <c r="G4" s="63">
        <f>REV_DB!H24</f>
        <v>1145209397.7760003</v>
      </c>
      <c r="H4" s="63">
        <f>REV_DB!I24</f>
        <v>1191762376.5755403</v>
      </c>
      <c r="I4" s="181">
        <f>SUM(D4:H4)</f>
        <v>3271902149.1515408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18811800</v>
      </c>
      <c r="E5" s="63">
        <f>REV_DB!F17</f>
        <v>180846855</v>
      </c>
      <c r="F5" s="63">
        <f>REV_DB!G17</f>
        <v>450604400.60000002</v>
      </c>
      <c r="G5" s="63">
        <f>REV_DB!H17</f>
        <v>737867172.41600013</v>
      </c>
      <c r="H5" s="63">
        <f>REV_DB!I17</f>
        <v>743779966.19770515</v>
      </c>
      <c r="I5" s="181">
        <f>SUM(D5:H5)</f>
        <v>2131910194.2137055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0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1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1083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659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670</v>
      </c>
      <c r="C26" s="67">
        <f>C352</f>
        <v>0</v>
      </c>
      <c r="D26" s="67">
        <f>SUM(D352:O352)</f>
        <v>4930000</v>
      </c>
      <c r="E26" s="67">
        <f>SUM(P352:AA352)</f>
        <v>18960000</v>
      </c>
      <c r="F26" s="67">
        <f>SUM(AB352:AM352)</f>
        <v>37920000</v>
      </c>
      <c r="G26" s="67">
        <f>SUM(AN352:AY352)</f>
        <v>37920000</v>
      </c>
      <c r="H26" s="67">
        <f>SUM(AZ352:BK352)</f>
        <v>37920000</v>
      </c>
      <c r="I26" s="181">
        <f>SUM(C26:H26)</f>
        <v>137650000</v>
      </c>
      <c r="J26" s="181">
        <f>BM352</f>
        <v>137650000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671</v>
      </c>
      <c r="C28" s="67">
        <f>C368</f>
        <v>0</v>
      </c>
      <c r="D28" s="67">
        <f>SUM(D368:O368)</f>
        <v>493000</v>
      </c>
      <c r="E28" s="67">
        <f>SUM(P368:AA368)</f>
        <v>3792000</v>
      </c>
      <c r="F28" s="67">
        <f>SUM(AB368:AM368)</f>
        <v>7584000</v>
      </c>
      <c r="G28" s="67">
        <f>SUM(AN368:AY368)</f>
        <v>7584000</v>
      </c>
      <c r="H28" s="67">
        <f>SUM(AZ368:BK368)</f>
        <v>7584000</v>
      </c>
      <c r="I28" s="181">
        <f t="shared" si="1"/>
        <v>27037000</v>
      </c>
      <c r="J28" s="181">
        <f>BL368</f>
        <v>27037000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672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716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673</v>
      </c>
      <c r="C32" s="192">
        <f>C376</f>
        <v>0</v>
      </c>
      <c r="D32" s="192">
        <f>SUM(D376:O376)</f>
        <v>5423000</v>
      </c>
      <c r="E32" s="192">
        <f>SUM(P376:AA376)</f>
        <v>22752000</v>
      </c>
      <c r="F32" s="192">
        <f>SUM(AB376:AM376)</f>
        <v>45504000</v>
      </c>
      <c r="G32" s="192">
        <f>SUM(AN376:AY376)</f>
        <v>45504000</v>
      </c>
      <c r="H32" s="192">
        <f>SUM(AZ376:BK376)</f>
        <v>45504000</v>
      </c>
      <c r="I32" s="181">
        <f t="shared" si="1"/>
        <v>164687000</v>
      </c>
      <c r="J32" s="181">
        <f>BM376</f>
        <v>164687000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698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394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397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395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710</v>
      </c>
      <c r="C37" s="67">
        <f>C99</f>
        <v>0</v>
      </c>
      <c r="D37" s="67">
        <f>SUM(D99:O99)</f>
        <v>10800000</v>
      </c>
      <c r="E37" s="67">
        <f>SUM(P99:AA99)</f>
        <v>15840000</v>
      </c>
      <c r="F37" s="67">
        <f>SUM(AB99:AM99)</f>
        <v>16948800</v>
      </c>
      <c r="G37" s="67">
        <f>SUM(AN99:AY99)</f>
        <v>18135216</v>
      </c>
      <c r="H37" s="67">
        <f>SUM(AZ99:BK99)</f>
        <v>19404681.120000001</v>
      </c>
      <c r="I37" s="181">
        <f t="shared" si="2"/>
        <v>81128697.120000005</v>
      </c>
      <c r="J37" s="181">
        <f>BL99</f>
        <v>81128697.120000035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398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711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714</v>
      </c>
      <c r="C40" s="192">
        <f>C117</f>
        <v>0</v>
      </c>
      <c r="D40" s="192">
        <f>SUM(D34:D39)</f>
        <v>10800000</v>
      </c>
      <c r="E40" s="192">
        <f>SUM(E34:E39)</f>
        <v>15840000</v>
      </c>
      <c r="F40" s="192">
        <f>SUM(F34:F39)</f>
        <v>16948800</v>
      </c>
      <c r="G40" s="192">
        <f>SUM(G34:G39)</f>
        <v>18135216</v>
      </c>
      <c r="H40" s="192">
        <f>SUM(H34:H39)</f>
        <v>19404681.120000001</v>
      </c>
      <c r="I40" s="181">
        <f t="shared" si="2"/>
        <v>81128697.120000005</v>
      </c>
      <c r="J40" s="181">
        <f>SUM(J34:J39)</f>
        <v>81128697.120000035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712</v>
      </c>
      <c r="C41" s="192">
        <f t="shared" ref="C41:J41" si="3">C40+C32</f>
        <v>0</v>
      </c>
      <c r="D41" s="192">
        <f t="shared" si="3"/>
        <v>16223000</v>
      </c>
      <c r="E41" s="192">
        <f t="shared" si="3"/>
        <v>38592000</v>
      </c>
      <c r="F41" s="192">
        <f t="shared" si="3"/>
        <v>62452800</v>
      </c>
      <c r="G41" s="192">
        <f t="shared" si="3"/>
        <v>63639216</v>
      </c>
      <c r="H41" s="192">
        <f t="shared" si="3"/>
        <v>64908681.120000005</v>
      </c>
      <c r="I41" s="213">
        <f t="shared" si="3"/>
        <v>245815697.12</v>
      </c>
      <c r="J41" s="213">
        <f t="shared" si="3"/>
        <v>245815697.12000003</v>
      </c>
      <c r="K41" s="10"/>
      <c r="L41" s="10"/>
      <c r="M41" s="10"/>
      <c r="N41" s="10"/>
      <c r="O41" s="10"/>
      <c r="P41" s="406" t="s">
        <v>36</v>
      </c>
      <c r="Q41" s="406"/>
      <c r="R41" s="406"/>
      <c r="S41" s="406"/>
      <c r="T41" s="406"/>
      <c r="U41" s="406"/>
      <c r="V41" s="406"/>
      <c r="W41" s="406"/>
      <c r="X41" s="406"/>
      <c r="Y41" s="406"/>
      <c r="Z41" s="406"/>
      <c r="AA41" s="406"/>
      <c r="AB41" s="406" t="s">
        <v>37</v>
      </c>
      <c r="AC41" s="406"/>
      <c r="AD41" s="406"/>
      <c r="AE41" s="406"/>
      <c r="AF41" s="406"/>
      <c r="AG41" s="406"/>
      <c r="AH41" s="406"/>
      <c r="AI41" s="406"/>
      <c r="AJ41" s="406"/>
      <c r="AK41" s="406"/>
      <c r="AL41" s="406"/>
      <c r="AM41" s="406"/>
      <c r="AN41" s="406" t="s">
        <v>38</v>
      </c>
      <c r="AO41" s="406"/>
      <c r="AP41" s="406"/>
      <c r="AQ41" s="406"/>
      <c r="AR41" s="406"/>
      <c r="AS41" s="406"/>
      <c r="AT41" s="406"/>
      <c r="AU41" s="406"/>
      <c r="AV41" s="406"/>
      <c r="AW41" s="406"/>
      <c r="AX41" s="406"/>
      <c r="AY41" s="406"/>
      <c r="AZ41" s="406" t="s">
        <v>39</v>
      </c>
      <c r="BA41" s="406"/>
      <c r="BB41" s="406"/>
      <c r="BC41" s="406"/>
      <c r="BD41" s="406"/>
      <c r="BE41" s="406"/>
      <c r="BF41" s="406"/>
      <c r="BG41" s="406"/>
      <c r="BH41" s="406"/>
      <c r="BI41" s="406"/>
      <c r="BJ41" s="406"/>
      <c r="BK41" s="406"/>
      <c r="BL41" s="35"/>
      <c r="BM41" s="212"/>
    </row>
    <row r="42" spans="2:75" s="14" customFormat="1" x14ac:dyDescent="0.15">
      <c r="B42" s="73" t="s">
        <v>675</v>
      </c>
      <c r="C42" s="67">
        <f>C119</f>
        <v>0</v>
      </c>
      <c r="D42" s="67">
        <f>SUM(D119:O119)</f>
        <v>8485000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8485000</v>
      </c>
      <c r="J42" s="181">
        <f>BL141</f>
        <v>8485000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406" t="s">
        <v>35</v>
      </c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 t="s">
        <v>36</v>
      </c>
      <c r="R44" s="406"/>
      <c r="S44" s="406"/>
      <c r="T44" s="406"/>
      <c r="U44" s="406"/>
      <c r="V44" s="406"/>
      <c r="W44" s="406"/>
      <c r="X44" s="406"/>
      <c r="Y44" s="406"/>
      <c r="Z44" s="406"/>
      <c r="AA44" s="406"/>
      <c r="AB44" s="406"/>
      <c r="AC44" s="406" t="s">
        <v>37</v>
      </c>
      <c r="AD44" s="406"/>
      <c r="AE44" s="406"/>
      <c r="AF44" s="406"/>
      <c r="AG44" s="406"/>
      <c r="AH44" s="406"/>
      <c r="AI44" s="406"/>
      <c r="AJ44" s="406"/>
      <c r="AK44" s="406"/>
      <c r="AL44" s="406"/>
      <c r="AM44" s="406"/>
      <c r="AN44" s="406"/>
      <c r="AO44" s="406" t="s">
        <v>38</v>
      </c>
      <c r="AP44" s="406"/>
      <c r="AQ44" s="406"/>
      <c r="AR44" s="406"/>
      <c r="AS44" s="406"/>
      <c r="AT44" s="406"/>
      <c r="AU44" s="406"/>
      <c r="AV44" s="406"/>
      <c r="AW44" s="406"/>
      <c r="AX44" s="406"/>
      <c r="AY44" s="406"/>
      <c r="AZ44" s="406"/>
      <c r="BA44" s="406" t="s">
        <v>39</v>
      </c>
      <c r="BB44" s="406"/>
      <c r="BC44" s="406"/>
      <c r="BD44" s="406"/>
      <c r="BE44" s="406"/>
      <c r="BF44" s="406"/>
      <c r="BG44" s="406"/>
      <c r="BH44" s="406"/>
      <c r="BI44" s="406"/>
      <c r="BJ44" s="406"/>
      <c r="BK44" s="406"/>
      <c r="BL44" s="406"/>
      <c r="BM44" s="65"/>
    </row>
    <row r="45" spans="2:75" customFormat="1" x14ac:dyDescent="0.15">
      <c r="B45" s="14" t="s">
        <v>709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405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400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406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523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568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569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400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407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401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404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405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403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400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408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409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1200000</v>
      </c>
      <c r="H89" s="63">
        <f>DEV_CWS!I47</f>
        <v>1200000</v>
      </c>
      <c r="I89" s="63">
        <f>DEV_CWS!J47</f>
        <v>1200000</v>
      </c>
      <c r="J89" s="63">
        <f>DEV_CWS!K47</f>
        <v>1200000</v>
      </c>
      <c r="K89" s="63">
        <f>DEV_CWS!L47</f>
        <v>1200000</v>
      </c>
      <c r="L89" s="63">
        <f>DEV_CWS!M47</f>
        <v>1200000</v>
      </c>
      <c r="M89" s="63">
        <f>DEV_CWS!N47</f>
        <v>1200000</v>
      </c>
      <c r="N89" s="63">
        <f>DEV_CWS!O47</f>
        <v>1200000</v>
      </c>
      <c r="O89" s="63">
        <f>DEV_CWS!P47</f>
        <v>1200000</v>
      </c>
      <c r="P89" s="63">
        <f>DEV_CWS!Q47</f>
        <v>1320000</v>
      </c>
      <c r="Q89" s="63">
        <f>DEV_CWS!R47</f>
        <v>1320000</v>
      </c>
      <c r="R89" s="63">
        <f>DEV_CWS!S47</f>
        <v>1320000</v>
      </c>
      <c r="S89" s="63">
        <f>DEV_CWS!T47</f>
        <v>1320000</v>
      </c>
      <c r="T89" s="63">
        <f>DEV_CWS!U47</f>
        <v>1320000</v>
      </c>
      <c r="U89" s="63">
        <f>DEV_CWS!V47</f>
        <v>1320000</v>
      </c>
      <c r="V89" s="63">
        <f>DEV_CWS!W47</f>
        <v>1320000</v>
      </c>
      <c r="W89" s="63">
        <f>DEV_CWS!X47</f>
        <v>1320000</v>
      </c>
      <c r="X89" s="63">
        <f>DEV_CWS!Y47</f>
        <v>1320000</v>
      </c>
      <c r="Y89" s="63">
        <f>DEV_CWS!Z47</f>
        <v>1320000</v>
      </c>
      <c r="Z89" s="63">
        <f>DEV_CWS!AA47</f>
        <v>1320000</v>
      </c>
      <c r="AA89" s="63">
        <f>DEV_CWS!AB47</f>
        <v>1320000</v>
      </c>
      <c r="AB89" s="63">
        <f>DEV_CWS!AC47</f>
        <v>1412400</v>
      </c>
      <c r="AC89" s="63">
        <f>DEV_CWS!AD47</f>
        <v>1412400</v>
      </c>
      <c r="AD89" s="63">
        <f>DEV_CWS!AE47</f>
        <v>1412400</v>
      </c>
      <c r="AE89" s="63">
        <f>DEV_CWS!AF47</f>
        <v>1412400</v>
      </c>
      <c r="AF89" s="63">
        <f>DEV_CWS!AG47</f>
        <v>1412400</v>
      </c>
      <c r="AG89" s="63">
        <f>DEV_CWS!AH47</f>
        <v>1412400</v>
      </c>
      <c r="AH89" s="63">
        <f>DEV_CWS!AI47</f>
        <v>1412400</v>
      </c>
      <c r="AI89" s="63">
        <f>DEV_CWS!AJ47</f>
        <v>1412400</v>
      </c>
      <c r="AJ89" s="63">
        <f>DEV_CWS!AK47</f>
        <v>1412400</v>
      </c>
      <c r="AK89" s="63">
        <f>DEV_CWS!AL47</f>
        <v>1412400</v>
      </c>
      <c r="AL89" s="63">
        <f>DEV_CWS!AM47</f>
        <v>1412400</v>
      </c>
      <c r="AM89" s="63">
        <f>DEV_CWS!AN47</f>
        <v>1412400</v>
      </c>
      <c r="AN89" s="63">
        <f>DEV_CWS!AO47</f>
        <v>1511268</v>
      </c>
      <c r="AO89" s="63">
        <f>DEV_CWS!AP47</f>
        <v>1511268</v>
      </c>
      <c r="AP89" s="63">
        <f>DEV_CWS!AQ47</f>
        <v>1511268</v>
      </c>
      <c r="AQ89" s="63">
        <f>DEV_CWS!AR47</f>
        <v>1511268</v>
      </c>
      <c r="AR89" s="63">
        <f>DEV_CWS!AS47</f>
        <v>1511268</v>
      </c>
      <c r="AS89" s="63">
        <f>DEV_CWS!AT47</f>
        <v>1511268</v>
      </c>
      <c r="AT89" s="63">
        <f>DEV_CWS!AU47</f>
        <v>1511268</v>
      </c>
      <c r="AU89" s="63">
        <f>DEV_CWS!AV47</f>
        <v>1511268</v>
      </c>
      <c r="AV89" s="63">
        <f>DEV_CWS!AW47</f>
        <v>1511268</v>
      </c>
      <c r="AW89" s="63">
        <f>DEV_CWS!AX47</f>
        <v>1511268</v>
      </c>
      <c r="AX89" s="63">
        <f>DEV_CWS!AY47</f>
        <v>1511268</v>
      </c>
      <c r="AY89" s="63">
        <f>DEV_CWS!AZ47</f>
        <v>1511268</v>
      </c>
      <c r="AZ89" s="63">
        <f>DEV_CWS!BA47</f>
        <v>1617056.76</v>
      </c>
      <c r="BA89" s="63">
        <f>DEV_CWS!BB47</f>
        <v>1617056.76</v>
      </c>
      <c r="BB89" s="63">
        <f>DEV_CWS!BC47</f>
        <v>1617056.76</v>
      </c>
      <c r="BC89" s="63">
        <f>DEV_CWS!BD47</f>
        <v>1617056.76</v>
      </c>
      <c r="BD89" s="63">
        <f>DEV_CWS!BE47</f>
        <v>1617056.76</v>
      </c>
      <c r="BE89" s="63">
        <f>DEV_CWS!BF47</f>
        <v>1617056.76</v>
      </c>
      <c r="BF89" s="63">
        <f>DEV_CWS!BG47</f>
        <v>1617056.76</v>
      </c>
      <c r="BG89" s="63">
        <f>DEV_CWS!BH47</f>
        <v>1617056.76</v>
      </c>
      <c r="BH89" s="63">
        <f>DEV_CWS!BI47</f>
        <v>1617056.76</v>
      </c>
      <c r="BI89" s="63">
        <f>DEV_CWS!BJ47</f>
        <v>1617056.76</v>
      </c>
      <c r="BJ89" s="63">
        <f>DEV_CWS!BK47</f>
        <v>1617056.76</v>
      </c>
      <c r="BK89" s="63">
        <f>DEV_CWS!BL47</f>
        <v>1617056.76</v>
      </c>
      <c r="BL89" s="37"/>
      <c r="BM89" s="65"/>
    </row>
    <row r="90" spans="1:65" customFormat="1" x14ac:dyDescent="0.15">
      <c r="B90" s="47" t="s">
        <v>724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725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370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371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400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410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1200000</v>
      </c>
      <c r="H99" s="63">
        <f>DEV_CWS!I57</f>
        <v>1200000</v>
      </c>
      <c r="I99" s="63">
        <f>DEV_CWS!J57</f>
        <v>1200000</v>
      </c>
      <c r="J99" s="63">
        <f>DEV_CWS!K57</f>
        <v>1200000</v>
      </c>
      <c r="K99" s="63">
        <f>DEV_CWS!L57</f>
        <v>1200000</v>
      </c>
      <c r="L99" s="63">
        <f>DEV_CWS!M57</f>
        <v>1200000</v>
      </c>
      <c r="M99" s="63">
        <f>DEV_CWS!N57</f>
        <v>1200000</v>
      </c>
      <c r="N99" s="63">
        <f>DEV_CWS!O57</f>
        <v>1200000</v>
      </c>
      <c r="O99" s="63">
        <f>DEV_CWS!P57</f>
        <v>1200000</v>
      </c>
      <c r="P99" s="63">
        <f>DEV_CWS!Q57</f>
        <v>1320000</v>
      </c>
      <c r="Q99" s="63">
        <f>DEV_CWS!R57</f>
        <v>1320000</v>
      </c>
      <c r="R99" s="63">
        <f>DEV_CWS!S57</f>
        <v>1320000</v>
      </c>
      <c r="S99" s="63">
        <f>DEV_CWS!T57</f>
        <v>1320000</v>
      </c>
      <c r="T99" s="63">
        <f>DEV_CWS!U57</f>
        <v>1320000</v>
      </c>
      <c r="U99" s="63">
        <f>DEV_CWS!V57</f>
        <v>1320000</v>
      </c>
      <c r="V99" s="63">
        <f>DEV_CWS!W57</f>
        <v>1320000</v>
      </c>
      <c r="W99" s="63">
        <f>DEV_CWS!X57</f>
        <v>1320000</v>
      </c>
      <c r="X99" s="63">
        <f>DEV_CWS!Y57</f>
        <v>1320000</v>
      </c>
      <c r="Y99" s="63">
        <f>DEV_CWS!Z57</f>
        <v>1320000</v>
      </c>
      <c r="Z99" s="63">
        <f>DEV_CWS!AA57</f>
        <v>1320000</v>
      </c>
      <c r="AA99" s="63">
        <f>DEV_CWS!AB57</f>
        <v>1320000</v>
      </c>
      <c r="AB99" s="63">
        <f>DEV_CWS!AC57</f>
        <v>1412400</v>
      </c>
      <c r="AC99" s="63">
        <f>DEV_CWS!AD57</f>
        <v>1412400</v>
      </c>
      <c r="AD99" s="63">
        <f>DEV_CWS!AE57</f>
        <v>1412400</v>
      </c>
      <c r="AE99" s="63">
        <f>DEV_CWS!AF57</f>
        <v>1412400</v>
      </c>
      <c r="AF99" s="63">
        <f>DEV_CWS!AG57</f>
        <v>1412400</v>
      </c>
      <c r="AG99" s="63">
        <f>DEV_CWS!AH57</f>
        <v>1412400</v>
      </c>
      <c r="AH99" s="63">
        <f>DEV_CWS!AI57</f>
        <v>1412400</v>
      </c>
      <c r="AI99" s="63">
        <f>DEV_CWS!AJ57</f>
        <v>1412400</v>
      </c>
      <c r="AJ99" s="63">
        <f>DEV_CWS!AK57</f>
        <v>1412400</v>
      </c>
      <c r="AK99" s="63">
        <f>DEV_CWS!AL57</f>
        <v>1412400</v>
      </c>
      <c r="AL99" s="63">
        <f>DEV_CWS!AM57</f>
        <v>1412400</v>
      </c>
      <c r="AM99" s="63">
        <f>DEV_CWS!AN57</f>
        <v>1412400</v>
      </c>
      <c r="AN99" s="63">
        <f>DEV_CWS!AO57</f>
        <v>1511268</v>
      </c>
      <c r="AO99" s="63">
        <f>DEV_CWS!AP57</f>
        <v>1511268</v>
      </c>
      <c r="AP99" s="63">
        <f>DEV_CWS!AQ57</f>
        <v>1511268</v>
      </c>
      <c r="AQ99" s="63">
        <f>DEV_CWS!AR57</f>
        <v>1511268</v>
      </c>
      <c r="AR99" s="63">
        <f>DEV_CWS!AS57</f>
        <v>1511268</v>
      </c>
      <c r="AS99" s="63">
        <f>DEV_CWS!AT57</f>
        <v>1511268</v>
      </c>
      <c r="AT99" s="63">
        <f>DEV_CWS!AU57</f>
        <v>1511268</v>
      </c>
      <c r="AU99" s="63">
        <f>DEV_CWS!AV57</f>
        <v>1511268</v>
      </c>
      <c r="AV99" s="63">
        <f>DEV_CWS!AW57</f>
        <v>1511268</v>
      </c>
      <c r="AW99" s="63">
        <f>DEV_CWS!AX57</f>
        <v>1511268</v>
      </c>
      <c r="AX99" s="63">
        <f>DEV_CWS!AY57</f>
        <v>1511268</v>
      </c>
      <c r="AY99" s="63">
        <f>DEV_CWS!AZ57</f>
        <v>1511268</v>
      </c>
      <c r="AZ99" s="63">
        <f>DEV_CWS!BA57</f>
        <v>1617056.76</v>
      </c>
      <c r="BA99" s="63">
        <f>DEV_CWS!BB57</f>
        <v>1617056.76</v>
      </c>
      <c r="BB99" s="63">
        <f>DEV_CWS!BC57</f>
        <v>1617056.76</v>
      </c>
      <c r="BC99" s="63">
        <f>DEV_CWS!BD57</f>
        <v>1617056.76</v>
      </c>
      <c r="BD99" s="63">
        <f>DEV_CWS!BE57</f>
        <v>1617056.76</v>
      </c>
      <c r="BE99" s="63">
        <f>DEV_CWS!BF57</f>
        <v>1617056.76</v>
      </c>
      <c r="BF99" s="63">
        <f>DEV_CWS!BG57</f>
        <v>1617056.76</v>
      </c>
      <c r="BG99" s="63">
        <f>DEV_CWS!BH57</f>
        <v>1617056.76</v>
      </c>
      <c r="BH99" s="63">
        <f>DEV_CWS!BI57</f>
        <v>1617056.76</v>
      </c>
      <c r="BI99" s="63">
        <f>DEV_CWS!BJ57</f>
        <v>1617056.76</v>
      </c>
      <c r="BJ99" s="63">
        <f>DEV_CWS!BK57</f>
        <v>1617056.76</v>
      </c>
      <c r="BK99" s="63">
        <f>DEV_CWS!BL57</f>
        <v>1617056.76</v>
      </c>
      <c r="BL99" s="38">
        <f>SUM(C99:BK99)</f>
        <v>81128697.120000035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398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404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185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400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411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439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372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1200000</v>
      </c>
      <c r="H117" s="63">
        <f>DEV_CWS!I75</f>
        <v>1200000</v>
      </c>
      <c r="I117" s="63">
        <f>DEV_CWS!J75</f>
        <v>1200000</v>
      </c>
      <c r="J117" s="63">
        <f>DEV_CWS!K75</f>
        <v>1200000</v>
      </c>
      <c r="K117" s="63">
        <f>DEV_CWS!L75</f>
        <v>1200000</v>
      </c>
      <c r="L117" s="63">
        <f>DEV_CWS!M75</f>
        <v>1200000</v>
      </c>
      <c r="M117" s="63">
        <f>DEV_CWS!N75</f>
        <v>1200000</v>
      </c>
      <c r="N117" s="63">
        <f>DEV_CWS!O75</f>
        <v>1200000</v>
      </c>
      <c r="O117" s="63">
        <f>DEV_CWS!P75</f>
        <v>1200000</v>
      </c>
      <c r="P117" s="63">
        <f>DEV_CWS!Q75</f>
        <v>1320000</v>
      </c>
      <c r="Q117" s="63">
        <f>DEV_CWS!R75</f>
        <v>1320000</v>
      </c>
      <c r="R117" s="63">
        <f>DEV_CWS!S75</f>
        <v>1320000</v>
      </c>
      <c r="S117" s="63">
        <f>DEV_CWS!T75</f>
        <v>1320000</v>
      </c>
      <c r="T117" s="63">
        <f>DEV_CWS!U75</f>
        <v>1320000</v>
      </c>
      <c r="U117" s="63">
        <f>DEV_CWS!V75</f>
        <v>1320000</v>
      </c>
      <c r="V117" s="63">
        <f>DEV_CWS!W75</f>
        <v>1320000</v>
      </c>
      <c r="W117" s="63">
        <f>DEV_CWS!X75</f>
        <v>1320000</v>
      </c>
      <c r="X117" s="63">
        <f>DEV_CWS!Y75</f>
        <v>1320000</v>
      </c>
      <c r="Y117" s="63">
        <f>DEV_CWS!Z75</f>
        <v>1320000</v>
      </c>
      <c r="Z117" s="63">
        <f>DEV_CWS!AA75</f>
        <v>1320000</v>
      </c>
      <c r="AA117" s="63">
        <f>DEV_CWS!AB75</f>
        <v>1320000</v>
      </c>
      <c r="AB117" s="63">
        <f>DEV_CWS!AC75</f>
        <v>1412400</v>
      </c>
      <c r="AC117" s="63">
        <f>DEV_CWS!AD75</f>
        <v>1412400</v>
      </c>
      <c r="AD117" s="63">
        <f>DEV_CWS!AE75</f>
        <v>1412400</v>
      </c>
      <c r="AE117" s="63">
        <f>DEV_CWS!AF75</f>
        <v>1412400</v>
      </c>
      <c r="AF117" s="63">
        <f>DEV_CWS!AG75</f>
        <v>1412400</v>
      </c>
      <c r="AG117" s="63">
        <f>DEV_CWS!AH75</f>
        <v>1412400</v>
      </c>
      <c r="AH117" s="63">
        <f>DEV_CWS!AI75</f>
        <v>1412400</v>
      </c>
      <c r="AI117" s="63">
        <f>DEV_CWS!AJ75</f>
        <v>1412400</v>
      </c>
      <c r="AJ117" s="63">
        <f>DEV_CWS!AK75</f>
        <v>1412400</v>
      </c>
      <c r="AK117" s="63">
        <f>DEV_CWS!AL75</f>
        <v>1412400</v>
      </c>
      <c r="AL117" s="63">
        <f>DEV_CWS!AM75</f>
        <v>1412400</v>
      </c>
      <c r="AM117" s="63">
        <f>DEV_CWS!AN75</f>
        <v>1412400</v>
      </c>
      <c r="AN117" s="63">
        <f>DEV_CWS!AO75</f>
        <v>1511268</v>
      </c>
      <c r="AO117" s="63">
        <f>DEV_CWS!AP75</f>
        <v>1511268</v>
      </c>
      <c r="AP117" s="63">
        <f>DEV_CWS!AQ75</f>
        <v>1511268</v>
      </c>
      <c r="AQ117" s="63">
        <f>DEV_CWS!AR75</f>
        <v>1511268</v>
      </c>
      <c r="AR117" s="63">
        <f>DEV_CWS!AS75</f>
        <v>1511268</v>
      </c>
      <c r="AS117" s="63">
        <f>DEV_CWS!AT75</f>
        <v>1511268</v>
      </c>
      <c r="AT117" s="63">
        <f>DEV_CWS!AU75</f>
        <v>1511268</v>
      </c>
      <c r="AU117" s="63">
        <f>DEV_CWS!AV75</f>
        <v>1511268</v>
      </c>
      <c r="AV117" s="63">
        <f>DEV_CWS!AW75</f>
        <v>1511268</v>
      </c>
      <c r="AW117" s="63">
        <f>DEV_CWS!AX75</f>
        <v>1511268</v>
      </c>
      <c r="AX117" s="63">
        <f>DEV_CWS!AY75</f>
        <v>1511268</v>
      </c>
      <c r="AY117" s="63">
        <f>DEV_CWS!AZ75</f>
        <v>1511268</v>
      </c>
      <c r="AZ117" s="63">
        <f>DEV_CWS!BA75</f>
        <v>1617056.76</v>
      </c>
      <c r="BA117" s="63">
        <f>DEV_CWS!BB75</f>
        <v>1617056.76</v>
      </c>
      <c r="BB117" s="63">
        <f>DEV_CWS!BC75</f>
        <v>1617056.76</v>
      </c>
      <c r="BC117" s="63">
        <f>DEV_CWS!BD75</f>
        <v>1617056.76</v>
      </c>
      <c r="BD117" s="63">
        <f>DEV_CWS!BE75</f>
        <v>1617056.76</v>
      </c>
      <c r="BE117" s="63">
        <f>DEV_CWS!BF75</f>
        <v>1617056.76</v>
      </c>
      <c r="BF117" s="63">
        <f>DEV_CWS!BG75</f>
        <v>1617056.76</v>
      </c>
      <c r="BG117" s="63">
        <f>DEV_CWS!BH75</f>
        <v>1617056.76</v>
      </c>
      <c r="BH117" s="63">
        <f>DEV_CWS!BI75</f>
        <v>1617056.76</v>
      </c>
      <c r="BI117" s="63">
        <f>DEV_CWS!BJ75</f>
        <v>1617056.76</v>
      </c>
      <c r="BJ117" s="63">
        <f>DEV_CWS!BK75</f>
        <v>1617056.76</v>
      </c>
      <c r="BK117" s="63">
        <f>DEV_CWS!BL75</f>
        <v>1617056.76</v>
      </c>
      <c r="BL117" s="38">
        <f>SUM(C117:BK117)</f>
        <v>81128697.120000035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393</v>
      </c>
      <c r="C119" s="63">
        <f>DEV_CWS!D110</f>
        <v>0</v>
      </c>
      <c r="D119" s="63">
        <f>DEV_CWS!E110</f>
        <v>0</v>
      </c>
      <c r="E119" s="63">
        <f>DEV_CWS!F110</f>
        <v>0</v>
      </c>
      <c r="F119" s="63">
        <f>DEV_CWS!G110</f>
        <v>0</v>
      </c>
      <c r="G119" s="63">
        <f>DEV_CWS!H110</f>
        <v>7745000</v>
      </c>
      <c r="H119" s="63">
        <f>DEV_CWS!I110</f>
        <v>740000</v>
      </c>
      <c r="I119" s="63">
        <f>DEV_CWS!J110</f>
        <v>0</v>
      </c>
      <c r="J119" s="63">
        <f>DEV_CWS!K110</f>
        <v>0</v>
      </c>
      <c r="K119" s="63">
        <f>DEV_CWS!L110</f>
        <v>0</v>
      </c>
      <c r="L119" s="63">
        <f>DEV_CWS!M110</f>
        <v>0</v>
      </c>
      <c r="M119" s="63">
        <f>DEV_CWS!N110</f>
        <v>0</v>
      </c>
      <c r="N119" s="63">
        <f>DEV_CWS!O110</f>
        <v>0</v>
      </c>
      <c r="O119" s="63">
        <f>DEV_CWS!P110</f>
        <v>0</v>
      </c>
      <c r="P119" s="63">
        <f>DEV_CWS!Q110</f>
        <v>0</v>
      </c>
      <c r="Q119" s="63">
        <f>DEV_CWS!R110</f>
        <v>0</v>
      </c>
      <c r="R119" s="63">
        <f>DEV_CWS!S110</f>
        <v>0</v>
      </c>
      <c r="S119" s="63">
        <f>DEV_CWS!T110</f>
        <v>0</v>
      </c>
      <c r="T119" s="63">
        <f>DEV_CWS!U110</f>
        <v>0</v>
      </c>
      <c r="U119" s="63">
        <f>DEV_CWS!V110</f>
        <v>0</v>
      </c>
      <c r="V119" s="63">
        <f>DEV_CWS!W110</f>
        <v>0</v>
      </c>
      <c r="W119" s="63">
        <f>DEV_CWS!X110</f>
        <v>0</v>
      </c>
      <c r="X119" s="63">
        <f>DEV_CWS!Y110</f>
        <v>0</v>
      </c>
      <c r="Y119" s="63">
        <f>DEV_CWS!Z110</f>
        <v>0</v>
      </c>
      <c r="Z119" s="63">
        <f>DEV_CWS!AA110</f>
        <v>0</v>
      </c>
      <c r="AA119" s="63">
        <f>DEV_CWS!AB110</f>
        <v>0</v>
      </c>
      <c r="AB119" s="63">
        <f>DEV_CWS!AC110</f>
        <v>0</v>
      </c>
      <c r="AC119" s="63">
        <f>DEV_CWS!AD110</f>
        <v>0</v>
      </c>
      <c r="AD119" s="63">
        <f>DEV_CWS!AE110</f>
        <v>0</v>
      </c>
      <c r="AE119" s="63">
        <f>DEV_CWS!AF110</f>
        <v>0</v>
      </c>
      <c r="AF119" s="63">
        <f>DEV_CWS!AG110</f>
        <v>0</v>
      </c>
      <c r="AG119" s="63">
        <f>DEV_CWS!AH110</f>
        <v>0</v>
      </c>
      <c r="AH119" s="63">
        <f>DEV_CWS!AI110</f>
        <v>0</v>
      </c>
      <c r="AI119" s="63">
        <f>DEV_CWS!AJ110</f>
        <v>0</v>
      </c>
      <c r="AJ119" s="63">
        <f>DEV_CWS!AK110</f>
        <v>0</v>
      </c>
      <c r="AK119" s="63">
        <f>DEV_CWS!AL110</f>
        <v>0</v>
      </c>
      <c r="AL119" s="63">
        <f>DEV_CWS!AM110</f>
        <v>0</v>
      </c>
      <c r="AM119" s="63">
        <f>DEV_CWS!AN110</f>
        <v>0</v>
      </c>
      <c r="AN119" s="63">
        <f>DEV_CWS!AO110</f>
        <v>0</v>
      </c>
      <c r="AO119" s="63">
        <f>DEV_CWS!AP110</f>
        <v>0</v>
      </c>
      <c r="AP119" s="63">
        <f>DEV_CWS!AQ110</f>
        <v>0</v>
      </c>
      <c r="AQ119" s="63">
        <f>DEV_CWS!AR110</f>
        <v>0</v>
      </c>
      <c r="AR119" s="63">
        <f>DEV_CWS!AS110</f>
        <v>0</v>
      </c>
      <c r="AS119" s="63">
        <f>DEV_CWS!AT110</f>
        <v>0</v>
      </c>
      <c r="AT119" s="63">
        <f>DEV_CWS!AU110</f>
        <v>0</v>
      </c>
      <c r="AU119" s="63">
        <f>DEV_CWS!AV110</f>
        <v>0</v>
      </c>
      <c r="AV119" s="63">
        <f>DEV_CWS!AW110</f>
        <v>0</v>
      </c>
      <c r="AW119" s="63">
        <f>DEV_CWS!AX110</f>
        <v>0</v>
      </c>
      <c r="AX119" s="63">
        <f>DEV_CWS!AY110</f>
        <v>0</v>
      </c>
      <c r="AY119" s="63">
        <f>DEV_CWS!AZ110</f>
        <v>0</v>
      </c>
      <c r="AZ119" s="63">
        <f>DEV_CWS!BA110</f>
        <v>0</v>
      </c>
      <c r="BA119" s="63">
        <f>DEV_CWS!BB110</f>
        <v>0</v>
      </c>
      <c r="BB119" s="63">
        <f>DEV_CWS!BC110</f>
        <v>0</v>
      </c>
      <c r="BC119" s="63">
        <f>DEV_CWS!BD110</f>
        <v>0</v>
      </c>
      <c r="BD119" s="63">
        <f>DEV_CWS!BE110</f>
        <v>0</v>
      </c>
      <c r="BE119" s="63">
        <f>DEV_CWS!BF110</f>
        <v>0</v>
      </c>
      <c r="BF119" s="63">
        <f>DEV_CWS!BG110</f>
        <v>0</v>
      </c>
      <c r="BG119" s="63">
        <f>DEV_CWS!BH110</f>
        <v>0</v>
      </c>
      <c r="BH119" s="63">
        <f>DEV_CWS!BI110</f>
        <v>0</v>
      </c>
      <c r="BI119" s="63">
        <f>DEV_CWS!BJ110</f>
        <v>0</v>
      </c>
      <c r="BJ119" s="63">
        <f>DEV_CWS!BK110</f>
        <v>0</v>
      </c>
      <c r="BK119" s="63">
        <f>DEV_CWS!BL110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394</v>
      </c>
    </row>
    <row r="122" spans="1:65" x14ac:dyDescent="0.15">
      <c r="A122" s="75"/>
      <c r="B122" s="47" t="s">
        <v>190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0</v>
      </c>
    </row>
    <row r="123" spans="1:65" x14ac:dyDescent="0.15">
      <c r="A123" s="75"/>
      <c r="B123" s="47" t="s">
        <v>184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189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400000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400000</v>
      </c>
    </row>
    <row r="125" spans="1:65" x14ac:dyDescent="0.15">
      <c r="A125" s="75"/>
      <c r="B125" s="47"/>
    </row>
    <row r="126" spans="1:65" x14ac:dyDescent="0.15">
      <c r="A126" s="75"/>
      <c r="B126" s="14" t="s">
        <v>397</v>
      </c>
    </row>
    <row r="127" spans="1:65" x14ac:dyDescent="0.15">
      <c r="A127" s="75"/>
      <c r="B127" s="47" t="s">
        <v>186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187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188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395</v>
      </c>
    </row>
    <row r="132" spans="1:75" x14ac:dyDescent="0.15">
      <c r="A132" s="75"/>
      <c r="B132" s="47" t="s">
        <v>412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413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396</v>
      </c>
    </row>
    <row r="136" spans="1:75" x14ac:dyDescent="0.15">
      <c r="A136" s="75"/>
      <c r="B136" s="47" t="s">
        <v>414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185</v>
      </c>
      <c r="D137" s="63">
        <f>DEV_CWS!D106</f>
        <v>0</v>
      </c>
      <c r="E137" s="63">
        <f>DEV_CWS!E106</f>
        <v>0</v>
      </c>
      <c r="F137" s="63">
        <f>DEV_CWS!F106</f>
        <v>0</v>
      </c>
      <c r="G137" s="63">
        <f>DEV_CWS!G106</f>
        <v>0</v>
      </c>
      <c r="H137" s="63">
        <f>DEV_CWS!H106</f>
        <v>0</v>
      </c>
      <c r="I137" s="63">
        <f>DEV_CWS!I106</f>
        <v>0</v>
      </c>
      <c r="J137" s="63">
        <f>DEV_CWS!J106</f>
        <v>0</v>
      </c>
      <c r="K137" s="63">
        <f>DEV_CWS!K106</f>
        <v>0</v>
      </c>
      <c r="L137" s="63">
        <f>DEV_CWS!L106</f>
        <v>0</v>
      </c>
      <c r="M137" s="63">
        <f>DEV_CWS!M106</f>
        <v>0</v>
      </c>
      <c r="N137" s="63">
        <f>DEV_CWS!N106</f>
        <v>0</v>
      </c>
      <c r="O137" s="63">
        <f>DEV_CWS!O106</f>
        <v>0</v>
      </c>
      <c r="P137" s="63">
        <f>DEV_CWS!P106</f>
        <v>0</v>
      </c>
      <c r="Q137" s="63">
        <f>DEV_CWS!Q106</f>
        <v>0</v>
      </c>
      <c r="R137" s="63">
        <f>DEV_CWS!R106</f>
        <v>0</v>
      </c>
      <c r="S137" s="63">
        <f>DEV_CWS!S106</f>
        <v>0</v>
      </c>
      <c r="T137" s="63">
        <f>DEV_CWS!T106</f>
        <v>0</v>
      </c>
      <c r="U137" s="63">
        <f>DEV_CWS!U106</f>
        <v>0</v>
      </c>
      <c r="V137" s="63">
        <f>DEV_CWS!V106</f>
        <v>0</v>
      </c>
      <c r="W137" s="63">
        <f>DEV_CWS!W106</f>
        <v>0</v>
      </c>
      <c r="X137" s="63">
        <f>DEV_CWS!X106</f>
        <v>0</v>
      </c>
      <c r="Y137" s="63">
        <f>DEV_CWS!Y106</f>
        <v>0</v>
      </c>
      <c r="Z137" s="63">
        <f>DEV_CWS!Z106</f>
        <v>0</v>
      </c>
      <c r="AA137" s="63">
        <f>DEV_CWS!AA106</f>
        <v>0</v>
      </c>
      <c r="AB137" s="63">
        <f>DEV_CWS!AB106</f>
        <v>0</v>
      </c>
      <c r="AC137" s="63">
        <f>DEV_CWS!AC106</f>
        <v>0</v>
      </c>
      <c r="AD137" s="63">
        <f>DEV_CWS!AD106</f>
        <v>0</v>
      </c>
      <c r="AE137" s="63">
        <f>DEV_CWS!AE106</f>
        <v>0</v>
      </c>
      <c r="AF137" s="63">
        <f>DEV_CWS!AF106</f>
        <v>0</v>
      </c>
      <c r="AG137" s="63">
        <f>DEV_CWS!AG106</f>
        <v>0</v>
      </c>
      <c r="AH137" s="63">
        <f>DEV_CWS!AH106</f>
        <v>0</v>
      </c>
      <c r="AI137" s="63">
        <f>DEV_CWS!AI106</f>
        <v>0</v>
      </c>
      <c r="AJ137" s="63">
        <f>DEV_CWS!AJ106</f>
        <v>0</v>
      </c>
      <c r="AK137" s="63">
        <f>DEV_CWS!AK106</f>
        <v>0</v>
      </c>
      <c r="AL137" s="63">
        <f>DEV_CWS!AL106</f>
        <v>0</v>
      </c>
      <c r="AM137" s="63">
        <f>DEV_CWS!AM106</f>
        <v>0</v>
      </c>
      <c r="AN137" s="63">
        <f>DEV_CWS!AN106</f>
        <v>0</v>
      </c>
      <c r="AO137" s="63">
        <f>DEV_CWS!AO106</f>
        <v>0</v>
      </c>
      <c r="AP137" s="63">
        <f>DEV_CWS!AP106</f>
        <v>0</v>
      </c>
      <c r="AQ137" s="63">
        <f>DEV_CWS!AQ106</f>
        <v>0</v>
      </c>
      <c r="AR137" s="63">
        <f>DEV_CWS!AR106</f>
        <v>0</v>
      </c>
      <c r="AS137" s="63">
        <f>DEV_CWS!AS106</f>
        <v>0</v>
      </c>
      <c r="AT137" s="63">
        <f>DEV_CWS!AT106</f>
        <v>0</v>
      </c>
      <c r="AU137" s="63">
        <f>DEV_CWS!AU106</f>
        <v>0</v>
      </c>
      <c r="AV137" s="63">
        <f>DEV_CWS!AV106</f>
        <v>0</v>
      </c>
      <c r="AW137" s="63">
        <f>DEV_CWS!AW106</f>
        <v>0</v>
      </c>
      <c r="AX137" s="63">
        <f>DEV_CWS!AX106</f>
        <v>0</v>
      </c>
      <c r="AY137" s="63">
        <f>DEV_CWS!AY106</f>
        <v>0</v>
      </c>
      <c r="AZ137" s="63">
        <f>DEV_CWS!AZ106</f>
        <v>0</v>
      </c>
      <c r="BA137" s="63">
        <f>DEV_CWS!BA106</f>
        <v>0</v>
      </c>
      <c r="BB137" s="63">
        <f>DEV_CWS!BB106</f>
        <v>0</v>
      </c>
      <c r="BC137" s="63">
        <f>DEV_CWS!BC106</f>
        <v>0</v>
      </c>
      <c r="BD137" s="63">
        <f>DEV_CWS!BD106</f>
        <v>0</v>
      </c>
      <c r="BE137" s="63">
        <f>DEV_CWS!BE106</f>
        <v>0</v>
      </c>
      <c r="BF137" s="63">
        <f>DEV_CWS!BF106</f>
        <v>0</v>
      </c>
      <c r="BG137" s="63">
        <f>DEV_CWS!BG106</f>
        <v>0</v>
      </c>
      <c r="BH137" s="63">
        <f>DEV_CWS!BH106</f>
        <v>0</v>
      </c>
      <c r="BI137" s="63">
        <f>DEV_CWS!BI106</f>
        <v>0</v>
      </c>
      <c r="BJ137" s="63">
        <f>DEV_CWS!BJ106</f>
        <v>0</v>
      </c>
      <c r="BK137" s="63">
        <f>DEV_CWS!BK106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398</v>
      </c>
      <c r="D139" s="63">
        <f>DEV_CWS!D108</f>
        <v>0</v>
      </c>
      <c r="E139" s="63">
        <f>DEV_CWS!E108</f>
        <v>0</v>
      </c>
      <c r="F139" s="63">
        <f>DEV_CWS!F108</f>
        <v>0</v>
      </c>
      <c r="G139" s="63">
        <f>DEV_CWS!G108</f>
        <v>0</v>
      </c>
      <c r="H139" s="63">
        <f>DEV_CWS!H108</f>
        <v>0</v>
      </c>
      <c r="I139" s="63">
        <f>DEV_CWS!I108</f>
        <v>0</v>
      </c>
      <c r="J139" s="63">
        <f>DEV_CWS!J108</f>
        <v>0</v>
      </c>
      <c r="K139" s="63">
        <f>DEV_CWS!K108</f>
        <v>0</v>
      </c>
      <c r="L139" s="63">
        <f>DEV_CWS!L108</f>
        <v>0</v>
      </c>
      <c r="M139" s="63">
        <f>DEV_CWS!M108</f>
        <v>0</v>
      </c>
      <c r="N139" s="63">
        <f>DEV_CWS!N108</f>
        <v>0</v>
      </c>
      <c r="O139" s="63">
        <f>DEV_CWS!O108</f>
        <v>0</v>
      </c>
      <c r="P139" s="63">
        <f>DEV_CWS!P108</f>
        <v>0</v>
      </c>
      <c r="Q139" s="63">
        <f>DEV_CWS!Q108</f>
        <v>0</v>
      </c>
      <c r="R139" s="63">
        <f>DEV_CWS!R108</f>
        <v>0</v>
      </c>
      <c r="S139" s="63">
        <f>DEV_CWS!S108</f>
        <v>0</v>
      </c>
      <c r="T139" s="63">
        <f>DEV_CWS!T108</f>
        <v>0</v>
      </c>
      <c r="U139" s="63">
        <f>DEV_CWS!U108</f>
        <v>0</v>
      </c>
      <c r="V139" s="63">
        <f>DEV_CWS!V108</f>
        <v>0</v>
      </c>
      <c r="W139" s="63">
        <f>DEV_CWS!W108</f>
        <v>0</v>
      </c>
      <c r="X139" s="63">
        <f>DEV_CWS!X108</f>
        <v>0</v>
      </c>
      <c r="Y139" s="63">
        <f>DEV_CWS!Y108</f>
        <v>0</v>
      </c>
      <c r="Z139" s="63">
        <f>DEV_CWS!Z108</f>
        <v>0</v>
      </c>
      <c r="AA139" s="63">
        <f>DEV_CWS!AA108</f>
        <v>0</v>
      </c>
      <c r="AB139" s="63">
        <f>DEV_CWS!AB108</f>
        <v>0</v>
      </c>
      <c r="AC139" s="63">
        <f>DEV_CWS!AC108</f>
        <v>0</v>
      </c>
      <c r="AD139" s="63">
        <f>DEV_CWS!AD108</f>
        <v>0</v>
      </c>
      <c r="AE139" s="63">
        <f>DEV_CWS!AE108</f>
        <v>0</v>
      </c>
      <c r="AF139" s="63">
        <f>DEV_CWS!AF108</f>
        <v>0</v>
      </c>
      <c r="AG139" s="63">
        <f>DEV_CWS!AG108</f>
        <v>0</v>
      </c>
      <c r="AH139" s="63">
        <f>DEV_CWS!AH108</f>
        <v>0</v>
      </c>
      <c r="AI139" s="63">
        <f>DEV_CWS!AI108</f>
        <v>0</v>
      </c>
      <c r="AJ139" s="63">
        <f>DEV_CWS!AJ108</f>
        <v>0</v>
      </c>
      <c r="AK139" s="63">
        <f>DEV_CWS!AK108</f>
        <v>0</v>
      </c>
      <c r="AL139" s="63">
        <f>DEV_CWS!AL108</f>
        <v>0</v>
      </c>
      <c r="AM139" s="63">
        <f>DEV_CWS!AM108</f>
        <v>0</v>
      </c>
      <c r="AN139" s="63">
        <f>DEV_CWS!AN108</f>
        <v>0</v>
      </c>
      <c r="AO139" s="63">
        <f>DEV_CWS!AO108</f>
        <v>0</v>
      </c>
      <c r="AP139" s="63">
        <f>DEV_CWS!AP108</f>
        <v>0</v>
      </c>
      <c r="AQ139" s="63">
        <f>DEV_CWS!AQ108</f>
        <v>0</v>
      </c>
      <c r="AR139" s="63">
        <f>DEV_CWS!AR108</f>
        <v>0</v>
      </c>
      <c r="AS139" s="63">
        <f>DEV_CWS!AS108</f>
        <v>0</v>
      </c>
      <c r="AT139" s="63">
        <f>DEV_CWS!AT108</f>
        <v>0</v>
      </c>
      <c r="AU139" s="63">
        <f>DEV_CWS!AU108</f>
        <v>0</v>
      </c>
      <c r="AV139" s="63">
        <f>DEV_CWS!AV108</f>
        <v>0</v>
      </c>
      <c r="AW139" s="63">
        <f>DEV_CWS!AW108</f>
        <v>0</v>
      </c>
      <c r="AX139" s="63">
        <f>DEV_CWS!AX108</f>
        <v>0</v>
      </c>
      <c r="AY139" s="63">
        <f>DEV_CWS!AY108</f>
        <v>0</v>
      </c>
      <c r="AZ139" s="63">
        <f>DEV_CWS!AZ108</f>
        <v>0</v>
      </c>
      <c r="BA139" s="63">
        <f>DEV_CWS!BA108</f>
        <v>0</v>
      </c>
      <c r="BB139" s="63">
        <f>DEV_CWS!BB108</f>
        <v>0</v>
      </c>
      <c r="BC139" s="63">
        <f>DEV_CWS!BC108</f>
        <v>0</v>
      </c>
      <c r="BD139" s="63">
        <f>DEV_CWS!BD108</f>
        <v>0</v>
      </c>
      <c r="BE139" s="63">
        <f>DEV_CWS!BE108</f>
        <v>0</v>
      </c>
      <c r="BF139" s="63">
        <f>DEV_CWS!BF108</f>
        <v>0</v>
      </c>
      <c r="BG139" s="63">
        <f>DEV_CWS!BG108</f>
        <v>0</v>
      </c>
      <c r="BH139" s="63">
        <f>DEV_CWS!BH108</f>
        <v>0</v>
      </c>
      <c r="BI139" s="63">
        <f>DEV_CWS!BI108</f>
        <v>0</v>
      </c>
      <c r="BJ139" s="63">
        <f>DEV_CWS!BJ108</f>
        <v>0</v>
      </c>
      <c r="BK139" s="63">
        <f>DEV_CWS!BK108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415</v>
      </c>
      <c r="D141" s="63">
        <f>DEV_CWS!D110</f>
        <v>0</v>
      </c>
      <c r="E141" s="63">
        <f>DEV_CWS!E110</f>
        <v>0</v>
      </c>
      <c r="F141" s="63">
        <f>DEV_CWS!F110</f>
        <v>0</v>
      </c>
      <c r="G141" s="63">
        <f>DEV_CWS!G110</f>
        <v>0</v>
      </c>
      <c r="H141" s="63">
        <f>DEV_CWS!H110</f>
        <v>7745000</v>
      </c>
      <c r="I141" s="63">
        <f>DEV_CWS!I110</f>
        <v>740000</v>
      </c>
      <c r="J141" s="63">
        <f>DEV_CWS!J110</f>
        <v>0</v>
      </c>
      <c r="K141" s="63">
        <f>DEV_CWS!K110</f>
        <v>0</v>
      </c>
      <c r="L141" s="63">
        <f>DEV_CWS!L110</f>
        <v>0</v>
      </c>
      <c r="M141" s="63">
        <f>DEV_CWS!M110</f>
        <v>0</v>
      </c>
      <c r="N141" s="63">
        <f>DEV_CWS!N110</f>
        <v>0</v>
      </c>
      <c r="O141" s="63">
        <f>DEV_CWS!O110</f>
        <v>0</v>
      </c>
      <c r="P141" s="63">
        <f>DEV_CWS!P110</f>
        <v>0</v>
      </c>
      <c r="Q141" s="63">
        <f>DEV_CWS!Q110</f>
        <v>0</v>
      </c>
      <c r="R141" s="63">
        <f>DEV_CWS!R110</f>
        <v>0</v>
      </c>
      <c r="S141" s="63">
        <f>DEV_CWS!S110</f>
        <v>0</v>
      </c>
      <c r="T141" s="63">
        <f>DEV_CWS!T110</f>
        <v>0</v>
      </c>
      <c r="U141" s="63">
        <f>DEV_CWS!U110</f>
        <v>0</v>
      </c>
      <c r="V141" s="63">
        <f>DEV_CWS!V110</f>
        <v>0</v>
      </c>
      <c r="W141" s="63">
        <f>DEV_CWS!W110</f>
        <v>0</v>
      </c>
      <c r="X141" s="63">
        <f>DEV_CWS!X110</f>
        <v>0</v>
      </c>
      <c r="Y141" s="63">
        <f>DEV_CWS!Y110</f>
        <v>0</v>
      </c>
      <c r="Z141" s="63">
        <f>DEV_CWS!Z110</f>
        <v>0</v>
      </c>
      <c r="AA141" s="63">
        <f>DEV_CWS!AA110</f>
        <v>0</v>
      </c>
      <c r="AB141" s="63">
        <f>DEV_CWS!AB110</f>
        <v>0</v>
      </c>
      <c r="AC141" s="63">
        <f>DEV_CWS!AC110</f>
        <v>0</v>
      </c>
      <c r="AD141" s="63">
        <f>DEV_CWS!AD110</f>
        <v>0</v>
      </c>
      <c r="AE141" s="63">
        <f>DEV_CWS!AE110</f>
        <v>0</v>
      </c>
      <c r="AF141" s="63">
        <f>DEV_CWS!AF110</f>
        <v>0</v>
      </c>
      <c r="AG141" s="63">
        <f>DEV_CWS!AG110</f>
        <v>0</v>
      </c>
      <c r="AH141" s="63">
        <f>DEV_CWS!AH110</f>
        <v>0</v>
      </c>
      <c r="AI141" s="63">
        <f>DEV_CWS!AI110</f>
        <v>0</v>
      </c>
      <c r="AJ141" s="63">
        <f>DEV_CWS!AJ110</f>
        <v>0</v>
      </c>
      <c r="AK141" s="63">
        <f>DEV_CWS!AK110</f>
        <v>0</v>
      </c>
      <c r="AL141" s="63">
        <f>DEV_CWS!AL110</f>
        <v>0</v>
      </c>
      <c r="AM141" s="63">
        <f>DEV_CWS!AM110</f>
        <v>0</v>
      </c>
      <c r="AN141" s="63">
        <f>DEV_CWS!AN110</f>
        <v>0</v>
      </c>
      <c r="AO141" s="63">
        <f>DEV_CWS!AO110</f>
        <v>0</v>
      </c>
      <c r="AP141" s="63">
        <f>DEV_CWS!AP110</f>
        <v>0</v>
      </c>
      <c r="AQ141" s="63">
        <f>DEV_CWS!AQ110</f>
        <v>0</v>
      </c>
      <c r="AR141" s="63">
        <f>DEV_CWS!AR110</f>
        <v>0</v>
      </c>
      <c r="AS141" s="63">
        <f>DEV_CWS!AS110</f>
        <v>0</v>
      </c>
      <c r="AT141" s="63">
        <f>DEV_CWS!AT110</f>
        <v>0</v>
      </c>
      <c r="AU141" s="63">
        <f>DEV_CWS!AU110</f>
        <v>0</v>
      </c>
      <c r="AV141" s="63">
        <f>DEV_CWS!AV110</f>
        <v>0</v>
      </c>
      <c r="AW141" s="63">
        <f>DEV_CWS!AW110</f>
        <v>0</v>
      </c>
      <c r="AX141" s="63">
        <f>DEV_CWS!AX110</f>
        <v>0</v>
      </c>
      <c r="AY141" s="63">
        <f>DEV_CWS!AY110</f>
        <v>0</v>
      </c>
      <c r="AZ141" s="63">
        <f>DEV_CWS!AZ110</f>
        <v>0</v>
      </c>
      <c r="BA141" s="63">
        <f>DEV_CWS!BA110</f>
        <v>0</v>
      </c>
      <c r="BB141" s="63">
        <f>DEV_CWS!BB110</f>
        <v>0</v>
      </c>
      <c r="BC141" s="63">
        <f>DEV_CWS!BC110</f>
        <v>0</v>
      </c>
      <c r="BD141" s="63">
        <f>DEV_CWS!BD110</f>
        <v>0</v>
      </c>
      <c r="BE141" s="63">
        <f>DEV_CWS!BE110</f>
        <v>0</v>
      </c>
      <c r="BF141" s="63">
        <f>DEV_CWS!BF110</f>
        <v>0</v>
      </c>
      <c r="BG141" s="63">
        <f>DEV_CWS!BG110</f>
        <v>0</v>
      </c>
      <c r="BH141" s="63">
        <f>DEV_CWS!BH110</f>
        <v>0</v>
      </c>
      <c r="BI141" s="63">
        <f>DEV_CWS!BI110</f>
        <v>0</v>
      </c>
      <c r="BJ141" s="63">
        <f>DEV_CWS!BJ110</f>
        <v>0</v>
      </c>
      <c r="BK141" s="63">
        <f>DEV_CWS!BK110</f>
        <v>0</v>
      </c>
      <c r="BL141" s="38">
        <f>SUM(C141:BK141)</f>
        <v>8485000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410" t="s">
        <v>35</v>
      </c>
      <c r="E143" s="410"/>
      <c r="F143" s="410"/>
      <c r="G143" s="410"/>
      <c r="H143" s="410"/>
      <c r="I143" s="410"/>
      <c r="J143" s="410"/>
      <c r="K143" s="410"/>
      <c r="L143" s="410"/>
      <c r="M143" s="410"/>
      <c r="N143" s="410"/>
      <c r="O143" s="4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664</v>
      </c>
      <c r="BM144" s="181" t="s">
        <v>597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0.5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0</v>
      </c>
      <c r="K173" s="210">
        <f>STAFF_CWS!O109</f>
        <v>0</v>
      </c>
      <c r="L173" s="210">
        <f>STAFF_CWS!P109</f>
        <v>0</v>
      </c>
      <c r="M173" s="210">
        <f>STAFF_CWS!Q109</f>
        <v>0</v>
      </c>
      <c r="N173" s="210">
        <f>STAFF_CWS!R109</f>
        <v>0</v>
      </c>
      <c r="O173" s="210">
        <f>STAFF_CWS!S109</f>
        <v>0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0.5</v>
      </c>
      <c r="I197" s="210">
        <f>STAFF_CWS!M133</f>
        <v>1</v>
      </c>
      <c r="J197" s="210">
        <f>STAFF_CWS!N133</f>
        <v>1</v>
      </c>
      <c r="K197" s="210">
        <f>STAFF_CWS!O133</f>
        <v>1</v>
      </c>
      <c r="L197" s="210">
        <f>STAFF_CWS!P133</f>
        <v>1</v>
      </c>
      <c r="M197" s="210">
        <f>STAFF_CWS!Q133</f>
        <v>1</v>
      </c>
      <c r="N197" s="210">
        <f>STAFF_CWS!R133</f>
        <v>1</v>
      </c>
      <c r="O197" s="210">
        <f>STAFF_CWS!S133</f>
        <v>1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0.5</v>
      </c>
      <c r="I199" s="210">
        <f>STAFF_CWS!M135</f>
        <v>1</v>
      </c>
      <c r="J199" s="210">
        <f>STAFF_CWS!N135</f>
        <v>1</v>
      </c>
      <c r="K199" s="210">
        <f>STAFF_CWS!O135</f>
        <v>1</v>
      </c>
      <c r="L199" s="210">
        <f>STAFF_CWS!P135</f>
        <v>1</v>
      </c>
      <c r="M199" s="210">
        <f>STAFF_CWS!Q135</f>
        <v>1</v>
      </c>
      <c r="N199" s="210">
        <f>STAFF_CWS!R135</f>
        <v>1</v>
      </c>
      <c r="O199" s="210">
        <f>STAFF_CWS!S135</f>
        <v>1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0</v>
      </c>
      <c r="K201" s="210">
        <f>STAFF_CWS!O137</f>
        <v>0</v>
      </c>
      <c r="L201" s="210">
        <f>STAFF_CWS!P137</f>
        <v>0</v>
      </c>
      <c r="M201" s="210">
        <f>STAFF_CWS!Q137</f>
        <v>0</v>
      </c>
      <c r="N201" s="210">
        <f>STAFF_CWS!R137</f>
        <v>0</v>
      </c>
      <c r="O201" s="210">
        <f>STAFF_CWS!S137</f>
        <v>0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1</v>
      </c>
      <c r="K202" s="210">
        <f>STAFF_CWS!O138</f>
        <v>1</v>
      </c>
      <c r="L202" s="210">
        <f>STAFF_CWS!P138</f>
        <v>1</v>
      </c>
      <c r="M202" s="210">
        <f>STAFF_CWS!Q138</f>
        <v>1</v>
      </c>
      <c r="N202" s="210">
        <f>STAFF_CWS!R138</f>
        <v>1</v>
      </c>
      <c r="O202" s="210">
        <f>STAFF_CWS!S138</f>
        <v>1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0</v>
      </c>
      <c r="K203" s="210">
        <f>STAFF_CWS!O139</f>
        <v>0</v>
      </c>
      <c r="L203" s="210">
        <f>STAFF_CWS!P139</f>
        <v>0</v>
      </c>
      <c r="M203" s="210">
        <f>STAFF_CWS!Q139</f>
        <v>0</v>
      </c>
      <c r="N203" s="210">
        <f>STAFF_CWS!R139</f>
        <v>0</v>
      </c>
      <c r="O203" s="210">
        <f>STAFF_CWS!S139</f>
        <v>0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1160000</v>
      </c>
      <c r="H271" s="26">
        <f>STAFF_CWS!L448</f>
        <v>580000</v>
      </c>
      <c r="I271" s="26">
        <f>STAFF_CWS!M448</f>
        <v>1160000</v>
      </c>
      <c r="J271" s="26">
        <f>STAFF_CWS!N448</f>
        <v>1160000</v>
      </c>
      <c r="K271" s="26">
        <f>STAFF_CWS!O448</f>
        <v>1160000</v>
      </c>
      <c r="L271" s="26">
        <f>STAFF_CWS!P448</f>
        <v>1160000</v>
      </c>
      <c r="M271" s="26">
        <f>STAFF_CWS!Q448</f>
        <v>1160000</v>
      </c>
      <c r="N271" s="26">
        <f>STAFF_CWS!R448</f>
        <v>1160000</v>
      </c>
      <c r="O271" s="26">
        <f>STAFF_CWS!S448</f>
        <v>1160000</v>
      </c>
      <c r="P271" s="26">
        <f>STAFF_CWS!T448</f>
        <v>1160000</v>
      </c>
      <c r="Q271" s="26">
        <f>STAFF_CWS!U448</f>
        <v>1160000</v>
      </c>
      <c r="R271" s="26">
        <f>STAFF_CWS!V448</f>
        <v>1160000</v>
      </c>
      <c r="S271" s="26">
        <f>STAFF_CWS!W448</f>
        <v>1160000</v>
      </c>
      <c r="T271" s="26">
        <f>STAFF_CWS!X448</f>
        <v>1160000</v>
      </c>
      <c r="U271" s="26">
        <f>STAFF_CWS!Y448</f>
        <v>1160000</v>
      </c>
      <c r="V271" s="26">
        <f>STAFF_CWS!Z448</f>
        <v>1160000</v>
      </c>
      <c r="W271" s="26">
        <f>STAFF_CWS!AA448</f>
        <v>1160000</v>
      </c>
      <c r="X271" s="26">
        <f>STAFF_CWS!AB448</f>
        <v>1160000</v>
      </c>
      <c r="Y271" s="26">
        <f>STAFF_CWS!AC448</f>
        <v>1160000</v>
      </c>
      <c r="Z271" s="26">
        <f>STAFF_CWS!AD448</f>
        <v>1160000</v>
      </c>
      <c r="AA271" s="26">
        <f>STAFF_CWS!AE448</f>
        <v>1160000</v>
      </c>
      <c r="AB271" s="26">
        <f>STAFF_CWS!AF448</f>
        <v>1160000</v>
      </c>
      <c r="AC271" s="26">
        <f>STAFF_CWS!AG448</f>
        <v>1160000</v>
      </c>
      <c r="AD271" s="26">
        <f>STAFF_CWS!AH448</f>
        <v>1160000</v>
      </c>
      <c r="AE271" s="26">
        <f>STAFF_CWS!AI448</f>
        <v>1160000</v>
      </c>
      <c r="AF271" s="26">
        <f>STAFF_CWS!AJ448</f>
        <v>1160000</v>
      </c>
      <c r="AG271" s="26">
        <f>STAFF_CWS!AK448</f>
        <v>1160000</v>
      </c>
      <c r="AH271" s="26">
        <f>STAFF_CWS!AL448</f>
        <v>1160000</v>
      </c>
      <c r="AI271" s="26">
        <f>STAFF_CWS!AM448</f>
        <v>1160000</v>
      </c>
      <c r="AJ271" s="26">
        <f>STAFF_CWS!AN448</f>
        <v>1160000</v>
      </c>
      <c r="AK271" s="26">
        <f>STAFF_CWS!AO448</f>
        <v>1160000</v>
      </c>
      <c r="AL271" s="26">
        <f>STAFF_CWS!AP448</f>
        <v>1160000</v>
      </c>
      <c r="AM271" s="26">
        <f>STAFF_CWS!AQ448</f>
        <v>1160000</v>
      </c>
      <c r="AN271" s="26">
        <f>STAFF_CWS!AR448</f>
        <v>1160000</v>
      </c>
      <c r="AO271" s="26">
        <f>STAFF_CWS!AS448</f>
        <v>1160000</v>
      </c>
      <c r="AP271" s="26">
        <f>STAFF_CWS!AT448</f>
        <v>1160000</v>
      </c>
      <c r="AQ271" s="26">
        <f>STAFF_CWS!AU448</f>
        <v>1160000</v>
      </c>
      <c r="AR271" s="26">
        <f>STAFF_CWS!AV448</f>
        <v>1160000</v>
      </c>
      <c r="AS271" s="26">
        <f>STAFF_CWS!AW448</f>
        <v>1160000</v>
      </c>
      <c r="AT271" s="26">
        <f>STAFF_CWS!AX448</f>
        <v>1160000</v>
      </c>
      <c r="AU271" s="26">
        <f>STAFF_CWS!AY448</f>
        <v>1160000</v>
      </c>
      <c r="AV271" s="26">
        <f>STAFF_CWS!AZ448</f>
        <v>1160000</v>
      </c>
      <c r="AW271" s="26">
        <f>STAFF_CWS!BA448</f>
        <v>1160000</v>
      </c>
      <c r="AX271" s="26">
        <f>STAFF_CWS!BB448</f>
        <v>1160000</v>
      </c>
      <c r="AY271" s="26">
        <f>STAFF_CWS!BC448</f>
        <v>1160000</v>
      </c>
      <c r="AZ271" s="26">
        <f>STAFF_CWS!BD448</f>
        <v>1160000</v>
      </c>
      <c r="BA271" s="26">
        <f>STAFF_CWS!BE448</f>
        <v>1160000</v>
      </c>
      <c r="BB271" s="26">
        <f>STAFF_CWS!BF448</f>
        <v>1160000</v>
      </c>
      <c r="BC271" s="26">
        <f>STAFF_CWS!BG448</f>
        <v>1160000</v>
      </c>
      <c r="BD271" s="26">
        <f>STAFF_CWS!BH448</f>
        <v>1160000</v>
      </c>
      <c r="BE271" s="26">
        <f>STAFF_CWS!BI448</f>
        <v>1160000</v>
      </c>
      <c r="BF271" s="26">
        <f>STAFF_CWS!BJ448</f>
        <v>1160000</v>
      </c>
      <c r="BG271" s="26">
        <f>STAFF_CWS!BK448</f>
        <v>1160000</v>
      </c>
      <c r="BH271" s="26">
        <f>STAFF_CWS!BL448</f>
        <v>1160000</v>
      </c>
      <c r="BI271" s="26">
        <f>STAFF_CWS!BM448</f>
        <v>1160000</v>
      </c>
      <c r="BJ271" s="26">
        <f>STAFF_CWS!BN448</f>
        <v>1160000</v>
      </c>
      <c r="BK271" s="26">
        <f>STAFF_CWS!BO448</f>
        <v>1160000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580000</v>
      </c>
      <c r="H273" s="26">
        <f>STAFF_CWS!L450</f>
        <v>290000</v>
      </c>
      <c r="I273" s="26">
        <f>STAFF_CWS!M450</f>
        <v>580000</v>
      </c>
      <c r="J273" s="26">
        <f>STAFF_CWS!N450</f>
        <v>580000</v>
      </c>
      <c r="K273" s="26">
        <f>STAFF_CWS!O450</f>
        <v>580000</v>
      </c>
      <c r="L273" s="26">
        <f>STAFF_CWS!P450</f>
        <v>580000</v>
      </c>
      <c r="M273" s="26">
        <f>STAFF_CWS!Q450</f>
        <v>580000</v>
      </c>
      <c r="N273" s="26">
        <f>STAFF_CWS!R450</f>
        <v>580000</v>
      </c>
      <c r="O273" s="26">
        <f>STAFF_CWS!S450</f>
        <v>580000</v>
      </c>
      <c r="P273" s="26">
        <f>STAFF_CWS!T450</f>
        <v>580000</v>
      </c>
      <c r="Q273" s="26">
        <f>STAFF_CWS!U450</f>
        <v>580000</v>
      </c>
      <c r="R273" s="26">
        <f>STAFF_CWS!V450</f>
        <v>580000</v>
      </c>
      <c r="S273" s="26">
        <f>STAFF_CWS!W450</f>
        <v>580000</v>
      </c>
      <c r="T273" s="26">
        <f>STAFF_CWS!X450</f>
        <v>580000</v>
      </c>
      <c r="U273" s="26">
        <f>STAFF_CWS!Y450</f>
        <v>580000</v>
      </c>
      <c r="V273" s="26">
        <f>STAFF_CWS!Z450</f>
        <v>580000</v>
      </c>
      <c r="W273" s="26">
        <f>STAFF_CWS!AA450</f>
        <v>580000</v>
      </c>
      <c r="X273" s="26">
        <f>STAFF_CWS!AB450</f>
        <v>580000</v>
      </c>
      <c r="Y273" s="26">
        <f>STAFF_CWS!AC450</f>
        <v>580000</v>
      </c>
      <c r="Z273" s="26">
        <f>STAFF_CWS!AD450</f>
        <v>580000</v>
      </c>
      <c r="AA273" s="26">
        <f>STAFF_CWS!AE450</f>
        <v>580000</v>
      </c>
      <c r="AB273" s="26">
        <f>STAFF_CWS!AF450</f>
        <v>1160000</v>
      </c>
      <c r="AC273" s="26">
        <f>STAFF_CWS!AG450</f>
        <v>1160000</v>
      </c>
      <c r="AD273" s="26">
        <f>STAFF_CWS!AH450</f>
        <v>1160000</v>
      </c>
      <c r="AE273" s="26">
        <f>STAFF_CWS!AI450</f>
        <v>1160000</v>
      </c>
      <c r="AF273" s="26">
        <f>STAFF_CWS!AJ450</f>
        <v>1160000</v>
      </c>
      <c r="AG273" s="26">
        <f>STAFF_CWS!AK450</f>
        <v>1160000</v>
      </c>
      <c r="AH273" s="26">
        <f>STAFF_CWS!AL450</f>
        <v>1160000</v>
      </c>
      <c r="AI273" s="26">
        <f>STAFF_CWS!AM450</f>
        <v>1160000</v>
      </c>
      <c r="AJ273" s="26">
        <f>STAFF_CWS!AN450</f>
        <v>1160000</v>
      </c>
      <c r="AK273" s="26">
        <f>STAFF_CWS!AO450</f>
        <v>1160000</v>
      </c>
      <c r="AL273" s="26">
        <f>STAFF_CWS!AP450</f>
        <v>1160000</v>
      </c>
      <c r="AM273" s="26">
        <f>STAFF_CWS!AQ450</f>
        <v>1160000</v>
      </c>
      <c r="AN273" s="26">
        <f>STAFF_CWS!AR450</f>
        <v>1160000</v>
      </c>
      <c r="AO273" s="26">
        <f>STAFF_CWS!AS450</f>
        <v>1160000</v>
      </c>
      <c r="AP273" s="26">
        <f>STAFF_CWS!AT450</f>
        <v>1160000</v>
      </c>
      <c r="AQ273" s="26">
        <f>STAFF_CWS!AU450</f>
        <v>1160000</v>
      </c>
      <c r="AR273" s="26">
        <f>STAFF_CWS!AV450</f>
        <v>1160000</v>
      </c>
      <c r="AS273" s="26">
        <f>STAFF_CWS!AW450</f>
        <v>1160000</v>
      </c>
      <c r="AT273" s="26">
        <f>STAFF_CWS!AX450</f>
        <v>1160000</v>
      </c>
      <c r="AU273" s="26">
        <f>STAFF_CWS!AY450</f>
        <v>1160000</v>
      </c>
      <c r="AV273" s="26">
        <f>STAFF_CWS!AZ450</f>
        <v>1160000</v>
      </c>
      <c r="AW273" s="26">
        <f>STAFF_CWS!BA450</f>
        <v>1160000</v>
      </c>
      <c r="AX273" s="26">
        <f>STAFF_CWS!BB450</f>
        <v>1160000</v>
      </c>
      <c r="AY273" s="26">
        <f>STAFF_CWS!BC450</f>
        <v>1160000</v>
      </c>
      <c r="AZ273" s="26">
        <f>STAFF_CWS!BD450</f>
        <v>1160000</v>
      </c>
      <c r="BA273" s="26">
        <f>STAFF_CWS!BE450</f>
        <v>1160000</v>
      </c>
      <c r="BB273" s="26">
        <f>STAFF_CWS!BF450</f>
        <v>1160000</v>
      </c>
      <c r="BC273" s="26">
        <f>STAFF_CWS!BG450</f>
        <v>1160000</v>
      </c>
      <c r="BD273" s="26">
        <f>STAFF_CWS!BH450</f>
        <v>1160000</v>
      </c>
      <c r="BE273" s="26">
        <f>STAFF_CWS!BI450</f>
        <v>1160000</v>
      </c>
      <c r="BF273" s="26">
        <f>STAFF_CWS!BJ450</f>
        <v>1160000</v>
      </c>
      <c r="BG273" s="26">
        <f>STAFF_CWS!BK450</f>
        <v>1160000</v>
      </c>
      <c r="BH273" s="26">
        <f>STAFF_CWS!BL450</f>
        <v>1160000</v>
      </c>
      <c r="BI273" s="26">
        <f>STAFF_CWS!BM450</f>
        <v>1160000</v>
      </c>
      <c r="BJ273" s="26">
        <f>STAFF_CWS!BN450</f>
        <v>1160000</v>
      </c>
      <c r="BK273" s="26">
        <f>STAFF_CWS!BO450</f>
        <v>1160000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580000</v>
      </c>
      <c r="H275" s="26">
        <f>STAFF_CWS!L452</f>
        <v>290000</v>
      </c>
      <c r="I275" s="26">
        <f>STAFF_CWS!M452</f>
        <v>580000</v>
      </c>
      <c r="J275" s="26">
        <f>STAFF_CWS!N452</f>
        <v>580000</v>
      </c>
      <c r="K275" s="26">
        <f>STAFF_CWS!O452</f>
        <v>580000</v>
      </c>
      <c r="L275" s="26">
        <f>STAFF_CWS!P452</f>
        <v>580000</v>
      </c>
      <c r="M275" s="26">
        <f>STAFF_CWS!Q452</f>
        <v>580000</v>
      </c>
      <c r="N275" s="26">
        <f>STAFF_CWS!R452</f>
        <v>580000</v>
      </c>
      <c r="O275" s="26">
        <f>STAFF_CWS!S452</f>
        <v>580000</v>
      </c>
      <c r="P275" s="26">
        <f>STAFF_CWS!T452</f>
        <v>580000</v>
      </c>
      <c r="Q275" s="26">
        <f>STAFF_CWS!U452</f>
        <v>580000</v>
      </c>
      <c r="R275" s="26">
        <f>STAFF_CWS!V452</f>
        <v>580000</v>
      </c>
      <c r="S275" s="26">
        <f>STAFF_CWS!W452</f>
        <v>580000</v>
      </c>
      <c r="T275" s="26">
        <f>STAFF_CWS!X452</f>
        <v>580000</v>
      </c>
      <c r="U275" s="26">
        <f>STAFF_CWS!Y452</f>
        <v>580000</v>
      </c>
      <c r="V275" s="26">
        <f>STAFF_CWS!Z452</f>
        <v>580000</v>
      </c>
      <c r="W275" s="26">
        <f>STAFF_CWS!AA452</f>
        <v>580000</v>
      </c>
      <c r="X275" s="26">
        <f>STAFF_CWS!AB452</f>
        <v>580000</v>
      </c>
      <c r="Y275" s="26">
        <f>STAFF_CWS!AC452</f>
        <v>580000</v>
      </c>
      <c r="Z275" s="26">
        <f>STAFF_CWS!AD452</f>
        <v>580000</v>
      </c>
      <c r="AA275" s="26">
        <f>STAFF_CWS!AE452</f>
        <v>580000</v>
      </c>
      <c r="AB275" s="26">
        <f>STAFF_CWS!AF452</f>
        <v>1160000</v>
      </c>
      <c r="AC275" s="26">
        <f>STAFF_CWS!AG452</f>
        <v>1160000</v>
      </c>
      <c r="AD275" s="26">
        <f>STAFF_CWS!AH452</f>
        <v>1160000</v>
      </c>
      <c r="AE275" s="26">
        <f>STAFF_CWS!AI452</f>
        <v>1160000</v>
      </c>
      <c r="AF275" s="26">
        <f>STAFF_CWS!AJ452</f>
        <v>1160000</v>
      </c>
      <c r="AG275" s="26">
        <f>STAFF_CWS!AK452</f>
        <v>1160000</v>
      </c>
      <c r="AH275" s="26">
        <f>STAFF_CWS!AL452</f>
        <v>1160000</v>
      </c>
      <c r="AI275" s="26">
        <f>STAFF_CWS!AM452</f>
        <v>1160000</v>
      </c>
      <c r="AJ275" s="26">
        <f>STAFF_CWS!AN452</f>
        <v>1160000</v>
      </c>
      <c r="AK275" s="26">
        <f>STAFF_CWS!AO452</f>
        <v>1160000</v>
      </c>
      <c r="AL275" s="26">
        <f>STAFF_CWS!AP452</f>
        <v>1160000</v>
      </c>
      <c r="AM275" s="26">
        <f>STAFF_CWS!AQ452</f>
        <v>1160000</v>
      </c>
      <c r="AN275" s="26">
        <f>STAFF_CWS!AR452</f>
        <v>1160000</v>
      </c>
      <c r="AO275" s="26">
        <f>STAFF_CWS!AS452</f>
        <v>1160000</v>
      </c>
      <c r="AP275" s="26">
        <f>STAFF_CWS!AT452</f>
        <v>1160000</v>
      </c>
      <c r="AQ275" s="26">
        <f>STAFF_CWS!AU452</f>
        <v>1160000</v>
      </c>
      <c r="AR275" s="26">
        <f>STAFF_CWS!AV452</f>
        <v>1160000</v>
      </c>
      <c r="AS275" s="26">
        <f>STAFF_CWS!AW452</f>
        <v>1160000</v>
      </c>
      <c r="AT275" s="26">
        <f>STAFF_CWS!AX452</f>
        <v>1160000</v>
      </c>
      <c r="AU275" s="26">
        <f>STAFF_CWS!AY452</f>
        <v>1160000</v>
      </c>
      <c r="AV275" s="26">
        <f>STAFF_CWS!AZ452</f>
        <v>1160000</v>
      </c>
      <c r="AW275" s="26">
        <f>STAFF_CWS!BA452</f>
        <v>1160000</v>
      </c>
      <c r="AX275" s="26">
        <f>STAFF_CWS!BB452</f>
        <v>1160000</v>
      </c>
      <c r="AY275" s="26">
        <f>STAFF_CWS!BC452</f>
        <v>1160000</v>
      </c>
      <c r="AZ275" s="26">
        <f>STAFF_CWS!BD452</f>
        <v>1160000</v>
      </c>
      <c r="BA275" s="26">
        <f>STAFF_CWS!BE452</f>
        <v>1160000</v>
      </c>
      <c r="BB275" s="26">
        <f>STAFF_CWS!BF452</f>
        <v>1160000</v>
      </c>
      <c r="BC275" s="26">
        <f>STAFF_CWS!BG452</f>
        <v>1160000</v>
      </c>
      <c r="BD275" s="26">
        <f>STAFF_CWS!BH452</f>
        <v>1160000</v>
      </c>
      <c r="BE275" s="26">
        <f>STAFF_CWS!BI452</f>
        <v>1160000</v>
      </c>
      <c r="BF275" s="26">
        <f>STAFF_CWS!BJ452</f>
        <v>1160000</v>
      </c>
      <c r="BG275" s="26">
        <f>STAFF_CWS!BK452</f>
        <v>1160000</v>
      </c>
      <c r="BH275" s="26">
        <f>STAFF_CWS!BL452</f>
        <v>1160000</v>
      </c>
      <c r="BI275" s="26">
        <f>STAFF_CWS!BM452</f>
        <v>1160000</v>
      </c>
      <c r="BJ275" s="26">
        <f>STAFF_CWS!BN452</f>
        <v>1160000</v>
      </c>
      <c r="BK275" s="26">
        <f>STAFF_CWS!BO452</f>
        <v>1160000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0</v>
      </c>
      <c r="K280" s="26">
        <f>STAFF_CWS!O457</f>
        <v>0</v>
      </c>
      <c r="L280" s="26">
        <f>STAFF_CWS!P457</f>
        <v>0</v>
      </c>
      <c r="M280" s="26">
        <f>STAFF_CWS!Q457</f>
        <v>0</v>
      </c>
      <c r="N280" s="26">
        <f>STAFF_CWS!R457</f>
        <v>0</v>
      </c>
      <c r="O280" s="26">
        <f>STAFF_CWS!S457</f>
        <v>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0</v>
      </c>
      <c r="K282" s="26">
        <f>STAFF_CWS!O459</f>
        <v>0</v>
      </c>
      <c r="L282" s="26">
        <f>STAFF_CWS!P459</f>
        <v>0</v>
      </c>
      <c r="M282" s="26">
        <f>STAFF_CWS!Q459</f>
        <v>0</v>
      </c>
      <c r="N282" s="26">
        <f>STAFF_CWS!R459</f>
        <v>0</v>
      </c>
      <c r="O282" s="26">
        <f>STAFF_CWS!S459</f>
        <v>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0</v>
      </c>
      <c r="K284" s="26">
        <f>STAFF_CWS!O461</f>
        <v>0</v>
      </c>
      <c r="L284" s="26">
        <f>STAFF_CWS!P461</f>
        <v>0</v>
      </c>
      <c r="M284" s="26">
        <f>STAFF_CWS!Q461</f>
        <v>0</v>
      </c>
      <c r="N284" s="26">
        <f>STAFF_CWS!R461</f>
        <v>0</v>
      </c>
      <c r="O284" s="26">
        <f>STAFF_CWS!S461</f>
        <v>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580000</v>
      </c>
      <c r="H352" s="26">
        <f>STAFF_CWS!L529</f>
        <v>290000</v>
      </c>
      <c r="I352" s="26">
        <f>STAFF_CWS!M529</f>
        <v>580000</v>
      </c>
      <c r="J352" s="26">
        <f>STAFF_CWS!N529</f>
        <v>580000</v>
      </c>
      <c r="K352" s="26">
        <f>STAFF_CWS!O529</f>
        <v>580000</v>
      </c>
      <c r="L352" s="26">
        <f>STAFF_CWS!P529</f>
        <v>580000</v>
      </c>
      <c r="M352" s="26">
        <f>STAFF_CWS!Q529</f>
        <v>580000</v>
      </c>
      <c r="N352" s="26">
        <f>STAFF_CWS!R529</f>
        <v>580000</v>
      </c>
      <c r="O352" s="26">
        <f>STAFF_CWS!S529</f>
        <v>580000</v>
      </c>
      <c r="P352" s="26">
        <f>STAFF_CWS!T529</f>
        <v>1580000</v>
      </c>
      <c r="Q352" s="26">
        <f>STAFF_CWS!U529</f>
        <v>1580000</v>
      </c>
      <c r="R352" s="26">
        <f>STAFF_CWS!V529</f>
        <v>1580000</v>
      </c>
      <c r="S352" s="26">
        <f>STAFF_CWS!W529</f>
        <v>1580000</v>
      </c>
      <c r="T352" s="26">
        <f>STAFF_CWS!X529</f>
        <v>1580000</v>
      </c>
      <c r="U352" s="26">
        <f>STAFF_CWS!Y529</f>
        <v>1580000</v>
      </c>
      <c r="V352" s="26">
        <f>STAFF_CWS!Z529</f>
        <v>1580000</v>
      </c>
      <c r="W352" s="26">
        <f>STAFF_CWS!AA529</f>
        <v>1580000</v>
      </c>
      <c r="X352" s="26">
        <f>STAFF_CWS!AB529</f>
        <v>1580000</v>
      </c>
      <c r="Y352" s="26">
        <f>STAFF_CWS!AC529</f>
        <v>1580000</v>
      </c>
      <c r="Z352" s="26">
        <f>STAFF_CWS!AD529</f>
        <v>1580000</v>
      </c>
      <c r="AA352" s="26">
        <f>STAFF_CWS!AE529</f>
        <v>1580000</v>
      </c>
      <c r="AB352" s="26">
        <f>STAFF_CWS!AF529</f>
        <v>3160000</v>
      </c>
      <c r="AC352" s="26">
        <f>STAFF_CWS!AG529</f>
        <v>3160000</v>
      </c>
      <c r="AD352" s="26">
        <f>STAFF_CWS!AH529</f>
        <v>3160000</v>
      </c>
      <c r="AE352" s="26">
        <f>STAFF_CWS!AI529</f>
        <v>3160000</v>
      </c>
      <c r="AF352" s="26">
        <f>STAFF_CWS!AJ529</f>
        <v>3160000</v>
      </c>
      <c r="AG352" s="26">
        <f>STAFF_CWS!AK529</f>
        <v>3160000</v>
      </c>
      <c r="AH352" s="26">
        <f>STAFF_CWS!AL529</f>
        <v>3160000</v>
      </c>
      <c r="AI352" s="26">
        <f>STAFF_CWS!AM529</f>
        <v>3160000</v>
      </c>
      <c r="AJ352" s="26">
        <f>STAFF_CWS!AN529</f>
        <v>3160000</v>
      </c>
      <c r="AK352" s="26">
        <f>STAFF_CWS!AO529</f>
        <v>3160000</v>
      </c>
      <c r="AL352" s="26">
        <f>STAFF_CWS!AP529</f>
        <v>3160000</v>
      </c>
      <c r="AM352" s="26">
        <f>STAFF_CWS!AQ529</f>
        <v>3160000</v>
      </c>
      <c r="AN352" s="26">
        <f>STAFF_CWS!AR529</f>
        <v>3160000</v>
      </c>
      <c r="AO352" s="26">
        <f>STAFF_CWS!AS529</f>
        <v>3160000</v>
      </c>
      <c r="AP352" s="26">
        <f>STAFF_CWS!AT529</f>
        <v>3160000</v>
      </c>
      <c r="AQ352" s="26">
        <f>STAFF_CWS!AU529</f>
        <v>3160000</v>
      </c>
      <c r="AR352" s="26">
        <f>STAFF_CWS!AV529</f>
        <v>3160000</v>
      </c>
      <c r="AS352" s="26">
        <f>STAFF_CWS!AW529</f>
        <v>3160000</v>
      </c>
      <c r="AT352" s="26">
        <f>STAFF_CWS!AX529</f>
        <v>3160000</v>
      </c>
      <c r="AU352" s="26">
        <f>STAFF_CWS!AY529</f>
        <v>3160000</v>
      </c>
      <c r="AV352" s="26">
        <f>STAFF_CWS!AZ529</f>
        <v>3160000</v>
      </c>
      <c r="AW352" s="26">
        <f>STAFF_CWS!BA529</f>
        <v>3160000</v>
      </c>
      <c r="AX352" s="26">
        <f>STAFF_CWS!BB529</f>
        <v>3160000</v>
      </c>
      <c r="AY352" s="26">
        <f>STAFF_CWS!BC529</f>
        <v>3160000</v>
      </c>
      <c r="AZ352" s="26">
        <f>STAFF_CWS!BD529</f>
        <v>3160000</v>
      </c>
      <c r="BA352" s="26">
        <f>STAFF_CWS!BE529</f>
        <v>3160000</v>
      </c>
      <c r="BB352" s="26">
        <f>STAFF_CWS!BF529</f>
        <v>3160000</v>
      </c>
      <c r="BC352" s="26">
        <f>STAFF_CWS!BG529</f>
        <v>3160000</v>
      </c>
      <c r="BD352" s="26">
        <f>STAFF_CWS!BH529</f>
        <v>3160000</v>
      </c>
      <c r="BE352" s="26">
        <f>STAFF_CWS!BI529</f>
        <v>3160000</v>
      </c>
      <c r="BF352" s="26">
        <f>STAFF_CWS!BJ529</f>
        <v>3160000</v>
      </c>
      <c r="BG352" s="26">
        <f>STAFF_CWS!BK529</f>
        <v>3160000</v>
      </c>
      <c r="BH352" s="26">
        <f>STAFF_CWS!BL529</f>
        <v>3160000</v>
      </c>
      <c r="BI352" s="26">
        <f>STAFF_CWS!BM529</f>
        <v>3160000</v>
      </c>
      <c r="BJ352" s="26">
        <f>STAFF_CWS!BN529</f>
        <v>3160000</v>
      </c>
      <c r="BK352" s="26">
        <f>STAFF_CWS!BO529</f>
        <v>3160000</v>
      </c>
      <c r="BL352" s="38">
        <f>SUM(C352:BK352)</f>
        <v>137650000</v>
      </c>
      <c r="BM352" s="65">
        <f>STAFF_CWS!BP529</f>
        <v>137650000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580000</v>
      </c>
      <c r="H354" s="26">
        <f>STAFF_CWS!L531</f>
        <v>290000</v>
      </c>
      <c r="I354" s="26">
        <f>STAFF_CWS!M531</f>
        <v>580000</v>
      </c>
      <c r="J354" s="26">
        <f>STAFF_CWS!N531</f>
        <v>580000</v>
      </c>
      <c r="K354" s="26">
        <f>STAFF_CWS!O531</f>
        <v>580000</v>
      </c>
      <c r="L354" s="26">
        <f>STAFF_CWS!P531</f>
        <v>580000</v>
      </c>
      <c r="M354" s="26">
        <f>STAFF_CWS!Q531</f>
        <v>580000</v>
      </c>
      <c r="N354" s="26">
        <f>STAFF_CWS!R531</f>
        <v>580000</v>
      </c>
      <c r="O354" s="26">
        <f>STAFF_CWS!S531</f>
        <v>580000</v>
      </c>
      <c r="P354" s="26">
        <f>STAFF_CWS!T531</f>
        <v>1580000</v>
      </c>
      <c r="Q354" s="26">
        <f>STAFF_CWS!U531</f>
        <v>1580000</v>
      </c>
      <c r="R354" s="26">
        <f>STAFF_CWS!V531</f>
        <v>1580000</v>
      </c>
      <c r="S354" s="26">
        <f>STAFF_CWS!W531</f>
        <v>1580000</v>
      </c>
      <c r="T354" s="26">
        <f>STAFF_CWS!X531</f>
        <v>1580000</v>
      </c>
      <c r="U354" s="26">
        <f>STAFF_CWS!Y531</f>
        <v>1580000</v>
      </c>
      <c r="V354" s="26">
        <f>STAFF_CWS!Z531</f>
        <v>1580000</v>
      </c>
      <c r="W354" s="26">
        <f>STAFF_CWS!AA531</f>
        <v>1580000</v>
      </c>
      <c r="X354" s="26">
        <f>STAFF_CWS!AB531</f>
        <v>1580000</v>
      </c>
      <c r="Y354" s="26">
        <f>STAFF_CWS!AC531</f>
        <v>1580000</v>
      </c>
      <c r="Z354" s="26">
        <f>STAFF_CWS!AD531</f>
        <v>1580000</v>
      </c>
      <c r="AA354" s="26">
        <f>STAFF_CWS!AE531</f>
        <v>1580000</v>
      </c>
      <c r="AB354" s="26">
        <f>STAFF_CWS!AF531</f>
        <v>3160000</v>
      </c>
      <c r="AC354" s="26">
        <f>STAFF_CWS!AG531</f>
        <v>3160000</v>
      </c>
      <c r="AD354" s="26">
        <f>STAFF_CWS!AH531</f>
        <v>3160000</v>
      </c>
      <c r="AE354" s="26">
        <f>STAFF_CWS!AI531</f>
        <v>3160000</v>
      </c>
      <c r="AF354" s="26">
        <f>STAFF_CWS!AJ531</f>
        <v>3160000</v>
      </c>
      <c r="AG354" s="26">
        <f>STAFF_CWS!AK531</f>
        <v>3160000</v>
      </c>
      <c r="AH354" s="26">
        <f>STAFF_CWS!AL531</f>
        <v>3160000</v>
      </c>
      <c r="AI354" s="26">
        <f>STAFF_CWS!AM531</f>
        <v>3160000</v>
      </c>
      <c r="AJ354" s="26">
        <f>STAFF_CWS!AN531</f>
        <v>3160000</v>
      </c>
      <c r="AK354" s="26">
        <f>STAFF_CWS!AO531</f>
        <v>3160000</v>
      </c>
      <c r="AL354" s="26">
        <f>STAFF_CWS!AP531</f>
        <v>3160000</v>
      </c>
      <c r="AM354" s="26">
        <f>STAFF_CWS!AQ531</f>
        <v>3160000</v>
      </c>
      <c r="AN354" s="26">
        <f>STAFF_CWS!AR531</f>
        <v>3160000</v>
      </c>
      <c r="AO354" s="26">
        <f>STAFF_CWS!AS531</f>
        <v>3160000</v>
      </c>
      <c r="AP354" s="26">
        <f>STAFF_CWS!AT531</f>
        <v>3160000</v>
      </c>
      <c r="AQ354" s="26">
        <f>STAFF_CWS!AU531</f>
        <v>3160000</v>
      </c>
      <c r="AR354" s="26">
        <f>STAFF_CWS!AV531</f>
        <v>3160000</v>
      </c>
      <c r="AS354" s="26">
        <f>STAFF_CWS!AW531</f>
        <v>3160000</v>
      </c>
      <c r="AT354" s="26">
        <f>STAFF_CWS!AX531</f>
        <v>3160000</v>
      </c>
      <c r="AU354" s="26">
        <f>STAFF_CWS!AY531</f>
        <v>3160000</v>
      </c>
      <c r="AV354" s="26">
        <f>STAFF_CWS!AZ531</f>
        <v>3160000</v>
      </c>
      <c r="AW354" s="26">
        <f>STAFF_CWS!BA531</f>
        <v>3160000</v>
      </c>
      <c r="AX354" s="26">
        <f>STAFF_CWS!BB531</f>
        <v>3160000</v>
      </c>
      <c r="AY354" s="26">
        <f>STAFF_CWS!BC531</f>
        <v>3160000</v>
      </c>
      <c r="AZ354" s="26">
        <f>STAFF_CWS!BD531</f>
        <v>3160000</v>
      </c>
      <c r="BA354" s="26">
        <f>STAFF_CWS!BE531</f>
        <v>3160000</v>
      </c>
      <c r="BB354" s="26">
        <f>STAFF_CWS!BF531</f>
        <v>3160000</v>
      </c>
      <c r="BC354" s="26">
        <f>STAFF_CWS!BG531</f>
        <v>3160000</v>
      </c>
      <c r="BD354" s="26">
        <f>STAFF_CWS!BH531</f>
        <v>3160000</v>
      </c>
      <c r="BE354" s="26">
        <f>STAFF_CWS!BI531</f>
        <v>3160000</v>
      </c>
      <c r="BF354" s="26">
        <f>STAFF_CWS!BJ531</f>
        <v>3160000</v>
      </c>
      <c r="BG354" s="26">
        <f>STAFF_CWS!BK531</f>
        <v>3160000</v>
      </c>
      <c r="BH354" s="26">
        <f>STAFF_CWS!BL531</f>
        <v>3160000</v>
      </c>
      <c r="BI354" s="26">
        <f>STAFF_CWS!BM531</f>
        <v>3160000</v>
      </c>
      <c r="BJ354" s="26">
        <f>STAFF_CWS!BN531</f>
        <v>3160000</v>
      </c>
      <c r="BK354" s="26">
        <f>STAFF_CWS!BO531</f>
        <v>3160000</v>
      </c>
      <c r="BL354" s="38">
        <f>SUM(C354:BK354)</f>
        <v>137650000</v>
      </c>
      <c r="BM354" s="65">
        <f>STAFF_CWS!BP531</f>
        <v>137650000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580000</v>
      </c>
      <c r="H358" s="26">
        <f>STAFF_CWS!L535</f>
        <v>290000</v>
      </c>
      <c r="I358" s="26">
        <f>STAFF_CWS!M535</f>
        <v>580000</v>
      </c>
      <c r="J358" s="26">
        <f>STAFF_CWS!N535</f>
        <v>580000</v>
      </c>
      <c r="K358" s="26">
        <f>STAFF_CWS!O535</f>
        <v>580000</v>
      </c>
      <c r="L358" s="26">
        <f>STAFF_CWS!P535</f>
        <v>580000</v>
      </c>
      <c r="M358" s="26">
        <f>STAFF_CWS!Q535</f>
        <v>580000</v>
      </c>
      <c r="N358" s="26">
        <f>STAFF_CWS!R535</f>
        <v>580000</v>
      </c>
      <c r="O358" s="26">
        <f>STAFF_CWS!S535</f>
        <v>580000</v>
      </c>
      <c r="P358" s="26">
        <f>STAFF_CWS!T535</f>
        <v>1580000</v>
      </c>
      <c r="Q358" s="26">
        <f>STAFF_CWS!U535</f>
        <v>1580000</v>
      </c>
      <c r="R358" s="26">
        <f>STAFF_CWS!V535</f>
        <v>1580000</v>
      </c>
      <c r="S358" s="26">
        <f>STAFF_CWS!W535</f>
        <v>1580000</v>
      </c>
      <c r="T358" s="26">
        <f>STAFF_CWS!X535</f>
        <v>1580000</v>
      </c>
      <c r="U358" s="26">
        <f>STAFF_CWS!Y535</f>
        <v>1580000</v>
      </c>
      <c r="V358" s="26">
        <f>STAFF_CWS!Z535</f>
        <v>1580000</v>
      </c>
      <c r="W358" s="26">
        <f>STAFF_CWS!AA535</f>
        <v>1580000</v>
      </c>
      <c r="X358" s="26">
        <f>STAFF_CWS!AB535</f>
        <v>1580000</v>
      </c>
      <c r="Y358" s="26">
        <f>STAFF_CWS!AC535</f>
        <v>1580000</v>
      </c>
      <c r="Z358" s="26">
        <f>STAFF_CWS!AD535</f>
        <v>1580000</v>
      </c>
      <c r="AA358" s="26">
        <f>STAFF_CWS!AE535</f>
        <v>1580000</v>
      </c>
      <c r="AB358" s="26">
        <f>STAFF_CWS!AF535</f>
        <v>3160000</v>
      </c>
      <c r="AC358" s="26">
        <f>STAFF_CWS!AG535</f>
        <v>3160000</v>
      </c>
      <c r="AD358" s="26">
        <f>STAFF_CWS!AH535</f>
        <v>3160000</v>
      </c>
      <c r="AE358" s="26">
        <f>STAFF_CWS!AI535</f>
        <v>3160000</v>
      </c>
      <c r="AF358" s="26">
        <f>STAFF_CWS!AJ535</f>
        <v>3160000</v>
      </c>
      <c r="AG358" s="26">
        <f>STAFF_CWS!AK535</f>
        <v>3160000</v>
      </c>
      <c r="AH358" s="26">
        <f>STAFF_CWS!AL535</f>
        <v>3160000</v>
      </c>
      <c r="AI358" s="26">
        <f>STAFF_CWS!AM535</f>
        <v>3160000</v>
      </c>
      <c r="AJ358" s="26">
        <f>STAFF_CWS!AN535</f>
        <v>3160000</v>
      </c>
      <c r="AK358" s="26">
        <f>STAFF_CWS!AO535</f>
        <v>3160000</v>
      </c>
      <c r="AL358" s="26">
        <f>STAFF_CWS!AP535</f>
        <v>3160000</v>
      </c>
      <c r="AM358" s="26">
        <f>STAFF_CWS!AQ535</f>
        <v>3160000</v>
      </c>
      <c r="AN358" s="26">
        <f>STAFF_CWS!AR535</f>
        <v>3160000</v>
      </c>
      <c r="AO358" s="26">
        <f>STAFF_CWS!AS535</f>
        <v>3160000</v>
      </c>
      <c r="AP358" s="26">
        <f>STAFF_CWS!AT535</f>
        <v>3160000</v>
      </c>
      <c r="AQ358" s="26">
        <f>STAFF_CWS!AU535</f>
        <v>3160000</v>
      </c>
      <c r="AR358" s="26">
        <f>STAFF_CWS!AV535</f>
        <v>3160000</v>
      </c>
      <c r="AS358" s="26">
        <f>STAFF_CWS!AW535</f>
        <v>3160000</v>
      </c>
      <c r="AT358" s="26">
        <f>STAFF_CWS!AX535</f>
        <v>3160000</v>
      </c>
      <c r="AU358" s="26">
        <f>STAFF_CWS!AY535</f>
        <v>3160000</v>
      </c>
      <c r="AV358" s="26">
        <f>STAFF_CWS!AZ535</f>
        <v>3160000</v>
      </c>
      <c r="AW358" s="26">
        <f>STAFF_CWS!BA535</f>
        <v>3160000</v>
      </c>
      <c r="AX358" s="26">
        <f>STAFF_CWS!BB535</f>
        <v>3160000</v>
      </c>
      <c r="AY358" s="26">
        <f>STAFF_CWS!BC535</f>
        <v>3160000</v>
      </c>
      <c r="AZ358" s="26">
        <f>STAFF_CWS!BD535</f>
        <v>3160000</v>
      </c>
      <c r="BA358" s="26">
        <f>STAFF_CWS!BE535</f>
        <v>3160000</v>
      </c>
      <c r="BB358" s="26">
        <f>STAFF_CWS!BF535</f>
        <v>3160000</v>
      </c>
      <c r="BC358" s="26">
        <f>STAFF_CWS!BG535</f>
        <v>3160000</v>
      </c>
      <c r="BD358" s="26">
        <f>STAFF_CWS!BH535</f>
        <v>3160000</v>
      </c>
      <c r="BE358" s="26">
        <f>STAFF_CWS!BI535</f>
        <v>3160000</v>
      </c>
      <c r="BF358" s="26">
        <f>STAFF_CWS!BJ535</f>
        <v>3160000</v>
      </c>
      <c r="BG358" s="26">
        <f>STAFF_CWS!BK535</f>
        <v>3160000</v>
      </c>
      <c r="BH358" s="26">
        <f>STAFF_CWS!BL535</f>
        <v>3160000</v>
      </c>
      <c r="BI358" s="26">
        <f>STAFF_CWS!BM535</f>
        <v>3160000</v>
      </c>
      <c r="BJ358" s="26">
        <f>STAFF_CWS!BN535</f>
        <v>3160000</v>
      </c>
      <c r="BK358" s="26">
        <f>STAFF_CWS!BO535</f>
        <v>3160000</v>
      </c>
      <c r="BL358" s="38">
        <f>SUM(C358:BK358)</f>
        <v>137650000</v>
      </c>
      <c r="BM358" s="65">
        <f>STAFF_CWS!BP535</f>
        <v>137650000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46400</v>
      </c>
      <c r="H363" s="26">
        <f>STAFF_CWS!L540</f>
        <v>23200</v>
      </c>
      <c r="I363" s="26">
        <f>STAFF_CWS!M540</f>
        <v>46400</v>
      </c>
      <c r="J363" s="26">
        <f>STAFF_CWS!N540</f>
        <v>46400</v>
      </c>
      <c r="K363" s="26">
        <f>STAFF_CWS!O540</f>
        <v>46400</v>
      </c>
      <c r="L363" s="26">
        <f>STAFF_CWS!P540</f>
        <v>46400</v>
      </c>
      <c r="M363" s="26">
        <f>STAFF_CWS!Q540</f>
        <v>46400</v>
      </c>
      <c r="N363" s="26">
        <f>STAFF_CWS!R540</f>
        <v>46400</v>
      </c>
      <c r="O363" s="26">
        <f>STAFF_CWS!S540</f>
        <v>46400</v>
      </c>
      <c r="P363" s="26">
        <f>STAFF_CWS!T540</f>
        <v>252800</v>
      </c>
      <c r="Q363" s="26">
        <f>STAFF_CWS!U540</f>
        <v>252800</v>
      </c>
      <c r="R363" s="26">
        <f>STAFF_CWS!V540</f>
        <v>252800</v>
      </c>
      <c r="S363" s="26">
        <f>STAFF_CWS!W540</f>
        <v>252800</v>
      </c>
      <c r="T363" s="26">
        <f>STAFF_CWS!X540</f>
        <v>252800</v>
      </c>
      <c r="U363" s="26">
        <f>STAFF_CWS!Y540</f>
        <v>252800</v>
      </c>
      <c r="V363" s="26">
        <f>STAFF_CWS!Z540</f>
        <v>252800</v>
      </c>
      <c r="W363" s="26">
        <f>STAFF_CWS!AA540</f>
        <v>252800</v>
      </c>
      <c r="X363" s="26">
        <f>STAFF_CWS!AB540</f>
        <v>252800</v>
      </c>
      <c r="Y363" s="26">
        <f>STAFF_CWS!AC540</f>
        <v>252800</v>
      </c>
      <c r="Z363" s="26">
        <f>STAFF_CWS!AD540</f>
        <v>252800</v>
      </c>
      <c r="AA363" s="26">
        <f>STAFF_CWS!AE540</f>
        <v>252800</v>
      </c>
      <c r="AB363" s="26">
        <f>STAFF_CWS!AF540</f>
        <v>505600</v>
      </c>
      <c r="AC363" s="26">
        <f>STAFF_CWS!AG540</f>
        <v>505600</v>
      </c>
      <c r="AD363" s="26">
        <f>STAFF_CWS!AH540</f>
        <v>505600</v>
      </c>
      <c r="AE363" s="26">
        <f>STAFF_CWS!AI540</f>
        <v>505600</v>
      </c>
      <c r="AF363" s="26">
        <f>STAFF_CWS!AJ540</f>
        <v>505600</v>
      </c>
      <c r="AG363" s="26">
        <f>STAFF_CWS!AK540</f>
        <v>505600</v>
      </c>
      <c r="AH363" s="26">
        <f>STAFF_CWS!AL540</f>
        <v>505600</v>
      </c>
      <c r="AI363" s="26">
        <f>STAFF_CWS!AM540</f>
        <v>505600</v>
      </c>
      <c r="AJ363" s="26">
        <f>STAFF_CWS!AN540</f>
        <v>505600</v>
      </c>
      <c r="AK363" s="26">
        <f>STAFF_CWS!AO540</f>
        <v>505600</v>
      </c>
      <c r="AL363" s="26">
        <f>STAFF_CWS!AP540</f>
        <v>505600</v>
      </c>
      <c r="AM363" s="26">
        <f>STAFF_CWS!AQ540</f>
        <v>505600</v>
      </c>
      <c r="AN363" s="26">
        <f>STAFF_CWS!AR540</f>
        <v>505600</v>
      </c>
      <c r="AO363" s="26">
        <f>STAFF_CWS!AS540</f>
        <v>505600</v>
      </c>
      <c r="AP363" s="26">
        <f>STAFF_CWS!AT540</f>
        <v>505600</v>
      </c>
      <c r="AQ363" s="26">
        <f>STAFF_CWS!AU540</f>
        <v>505600</v>
      </c>
      <c r="AR363" s="26">
        <f>STAFF_CWS!AV540</f>
        <v>505600</v>
      </c>
      <c r="AS363" s="26">
        <f>STAFF_CWS!AW540</f>
        <v>505600</v>
      </c>
      <c r="AT363" s="26">
        <f>STAFF_CWS!AX540</f>
        <v>505600</v>
      </c>
      <c r="AU363" s="26">
        <f>STAFF_CWS!AY540</f>
        <v>505600</v>
      </c>
      <c r="AV363" s="26">
        <f>STAFF_CWS!AZ540</f>
        <v>505600</v>
      </c>
      <c r="AW363" s="26">
        <f>STAFF_CWS!BA540</f>
        <v>505600</v>
      </c>
      <c r="AX363" s="26">
        <f>STAFF_CWS!BB540</f>
        <v>505600</v>
      </c>
      <c r="AY363" s="26">
        <f>STAFF_CWS!BC540</f>
        <v>505600</v>
      </c>
      <c r="AZ363" s="26">
        <f>STAFF_CWS!BD540</f>
        <v>505600</v>
      </c>
      <c r="BA363" s="26">
        <f>STAFF_CWS!BE540</f>
        <v>505600</v>
      </c>
      <c r="BB363" s="26">
        <f>STAFF_CWS!BF540</f>
        <v>505600</v>
      </c>
      <c r="BC363" s="26">
        <f>STAFF_CWS!BG540</f>
        <v>505600</v>
      </c>
      <c r="BD363" s="26">
        <f>STAFF_CWS!BH540</f>
        <v>505600</v>
      </c>
      <c r="BE363" s="26">
        <f>STAFF_CWS!BI540</f>
        <v>505600</v>
      </c>
      <c r="BF363" s="26">
        <f>STAFF_CWS!BJ540</f>
        <v>505600</v>
      </c>
      <c r="BG363" s="26">
        <f>STAFF_CWS!BK540</f>
        <v>505600</v>
      </c>
      <c r="BH363" s="26">
        <f>STAFF_CWS!BL540</f>
        <v>505600</v>
      </c>
      <c r="BI363" s="26">
        <f>STAFF_CWS!BM540</f>
        <v>505600</v>
      </c>
      <c r="BJ363" s="26">
        <f>STAFF_CWS!BN540</f>
        <v>505600</v>
      </c>
      <c r="BK363" s="26">
        <f>STAFF_CWS!BO540</f>
        <v>505600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11600</v>
      </c>
      <c r="H364" s="26">
        <f>STAFF_CWS!L541</f>
        <v>5800</v>
      </c>
      <c r="I364" s="26">
        <f>STAFF_CWS!M541</f>
        <v>11600</v>
      </c>
      <c r="J364" s="26">
        <f>STAFF_CWS!N541</f>
        <v>11600</v>
      </c>
      <c r="K364" s="26">
        <f>STAFF_CWS!O541</f>
        <v>11600</v>
      </c>
      <c r="L364" s="26">
        <f>STAFF_CWS!P541</f>
        <v>11600</v>
      </c>
      <c r="M364" s="26">
        <f>STAFF_CWS!Q541</f>
        <v>11600</v>
      </c>
      <c r="N364" s="26">
        <f>STAFF_CWS!R541</f>
        <v>11600</v>
      </c>
      <c r="O364" s="26">
        <f>STAFF_CWS!S541</f>
        <v>11600</v>
      </c>
      <c r="P364" s="26">
        <f>STAFF_CWS!T541</f>
        <v>63200</v>
      </c>
      <c r="Q364" s="26">
        <f>STAFF_CWS!U541</f>
        <v>63200</v>
      </c>
      <c r="R364" s="26">
        <f>STAFF_CWS!V541</f>
        <v>63200</v>
      </c>
      <c r="S364" s="26">
        <f>STAFF_CWS!W541</f>
        <v>63200</v>
      </c>
      <c r="T364" s="26">
        <f>STAFF_CWS!X541</f>
        <v>63200</v>
      </c>
      <c r="U364" s="26">
        <f>STAFF_CWS!Y541</f>
        <v>63200</v>
      </c>
      <c r="V364" s="26">
        <f>STAFF_CWS!Z541</f>
        <v>63200</v>
      </c>
      <c r="W364" s="26">
        <f>STAFF_CWS!AA541</f>
        <v>63200</v>
      </c>
      <c r="X364" s="26">
        <f>STAFF_CWS!AB541</f>
        <v>63200</v>
      </c>
      <c r="Y364" s="26">
        <f>STAFF_CWS!AC541</f>
        <v>63200</v>
      </c>
      <c r="Z364" s="26">
        <f>STAFF_CWS!AD541</f>
        <v>63200</v>
      </c>
      <c r="AA364" s="26">
        <f>STAFF_CWS!AE541</f>
        <v>63200</v>
      </c>
      <c r="AB364" s="26">
        <f>STAFF_CWS!AF541</f>
        <v>126400</v>
      </c>
      <c r="AC364" s="26">
        <f>STAFF_CWS!AG541</f>
        <v>126400</v>
      </c>
      <c r="AD364" s="26">
        <f>STAFF_CWS!AH541</f>
        <v>126400</v>
      </c>
      <c r="AE364" s="26">
        <f>STAFF_CWS!AI541</f>
        <v>126400</v>
      </c>
      <c r="AF364" s="26">
        <f>STAFF_CWS!AJ541</f>
        <v>126400</v>
      </c>
      <c r="AG364" s="26">
        <f>STAFF_CWS!AK541</f>
        <v>126400</v>
      </c>
      <c r="AH364" s="26">
        <f>STAFF_CWS!AL541</f>
        <v>126400</v>
      </c>
      <c r="AI364" s="26">
        <f>STAFF_CWS!AM541</f>
        <v>126400</v>
      </c>
      <c r="AJ364" s="26">
        <f>STAFF_CWS!AN541</f>
        <v>126400</v>
      </c>
      <c r="AK364" s="26">
        <f>STAFF_CWS!AO541</f>
        <v>126400</v>
      </c>
      <c r="AL364" s="26">
        <f>STAFF_CWS!AP541</f>
        <v>126400</v>
      </c>
      <c r="AM364" s="26">
        <f>STAFF_CWS!AQ541</f>
        <v>126400</v>
      </c>
      <c r="AN364" s="26">
        <f>STAFF_CWS!AR541</f>
        <v>126400</v>
      </c>
      <c r="AO364" s="26">
        <f>STAFF_CWS!AS541</f>
        <v>126400</v>
      </c>
      <c r="AP364" s="26">
        <f>STAFF_CWS!AT541</f>
        <v>126400</v>
      </c>
      <c r="AQ364" s="26">
        <f>STAFF_CWS!AU541</f>
        <v>126400</v>
      </c>
      <c r="AR364" s="26">
        <f>STAFF_CWS!AV541</f>
        <v>126400</v>
      </c>
      <c r="AS364" s="26">
        <f>STAFF_CWS!AW541</f>
        <v>126400</v>
      </c>
      <c r="AT364" s="26">
        <f>STAFF_CWS!AX541</f>
        <v>126400</v>
      </c>
      <c r="AU364" s="26">
        <f>STAFF_CWS!AY541</f>
        <v>126400</v>
      </c>
      <c r="AV364" s="26">
        <f>STAFF_CWS!AZ541</f>
        <v>126400</v>
      </c>
      <c r="AW364" s="26">
        <f>STAFF_CWS!BA541</f>
        <v>126400</v>
      </c>
      <c r="AX364" s="26">
        <f>STAFF_CWS!BB541</f>
        <v>126400</v>
      </c>
      <c r="AY364" s="26">
        <f>STAFF_CWS!BC541</f>
        <v>126400</v>
      </c>
      <c r="AZ364" s="26">
        <f>STAFF_CWS!BD541</f>
        <v>126400</v>
      </c>
      <c r="BA364" s="26">
        <f>STAFF_CWS!BE541</f>
        <v>126400</v>
      </c>
      <c r="BB364" s="26">
        <f>STAFF_CWS!BF541</f>
        <v>126400</v>
      </c>
      <c r="BC364" s="26">
        <f>STAFF_CWS!BG541</f>
        <v>126400</v>
      </c>
      <c r="BD364" s="26">
        <f>STAFF_CWS!BH541</f>
        <v>126400</v>
      </c>
      <c r="BE364" s="26">
        <f>STAFF_CWS!BI541</f>
        <v>126400</v>
      </c>
      <c r="BF364" s="26">
        <f>STAFF_CWS!BJ541</f>
        <v>126400</v>
      </c>
      <c r="BG364" s="26">
        <f>STAFF_CWS!BK541</f>
        <v>126400</v>
      </c>
      <c r="BH364" s="26">
        <f>STAFF_CWS!BL541</f>
        <v>126400</v>
      </c>
      <c r="BI364" s="26">
        <f>STAFF_CWS!BM541</f>
        <v>126400</v>
      </c>
      <c r="BJ364" s="26">
        <f>STAFF_CWS!BN541</f>
        <v>126400</v>
      </c>
      <c r="BK364" s="26">
        <f>STAFF_CWS!BO541</f>
        <v>126400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58000</v>
      </c>
      <c r="H368" s="26">
        <f>STAFF_CWS!L545</f>
        <v>29000</v>
      </c>
      <c r="I368" s="26">
        <f>STAFF_CWS!M545</f>
        <v>58000</v>
      </c>
      <c r="J368" s="26">
        <f>STAFF_CWS!N545</f>
        <v>58000</v>
      </c>
      <c r="K368" s="26">
        <f>STAFF_CWS!O545</f>
        <v>58000</v>
      </c>
      <c r="L368" s="26">
        <f>STAFF_CWS!P545</f>
        <v>58000</v>
      </c>
      <c r="M368" s="26">
        <f>STAFF_CWS!Q545</f>
        <v>58000</v>
      </c>
      <c r="N368" s="26">
        <f>STAFF_CWS!R545</f>
        <v>58000</v>
      </c>
      <c r="O368" s="26">
        <f>STAFF_CWS!S545</f>
        <v>58000</v>
      </c>
      <c r="P368" s="26">
        <f>STAFF_CWS!T545</f>
        <v>316000</v>
      </c>
      <c r="Q368" s="26">
        <f>STAFF_CWS!U545</f>
        <v>316000</v>
      </c>
      <c r="R368" s="26">
        <f>STAFF_CWS!V545</f>
        <v>316000</v>
      </c>
      <c r="S368" s="26">
        <f>STAFF_CWS!W545</f>
        <v>316000</v>
      </c>
      <c r="T368" s="26">
        <f>STAFF_CWS!X545</f>
        <v>316000</v>
      </c>
      <c r="U368" s="26">
        <f>STAFF_CWS!Y545</f>
        <v>316000</v>
      </c>
      <c r="V368" s="26">
        <f>STAFF_CWS!Z545</f>
        <v>316000</v>
      </c>
      <c r="W368" s="26">
        <f>STAFF_CWS!AA545</f>
        <v>316000</v>
      </c>
      <c r="X368" s="26">
        <f>STAFF_CWS!AB545</f>
        <v>316000</v>
      </c>
      <c r="Y368" s="26">
        <f>STAFF_CWS!AC545</f>
        <v>316000</v>
      </c>
      <c r="Z368" s="26">
        <f>STAFF_CWS!AD545</f>
        <v>316000</v>
      </c>
      <c r="AA368" s="26">
        <f>STAFF_CWS!AE545</f>
        <v>316000</v>
      </c>
      <c r="AB368" s="26">
        <f>STAFF_CWS!AF545</f>
        <v>632000</v>
      </c>
      <c r="AC368" s="26">
        <f>STAFF_CWS!AG545</f>
        <v>632000</v>
      </c>
      <c r="AD368" s="26">
        <f>STAFF_CWS!AH545</f>
        <v>632000</v>
      </c>
      <c r="AE368" s="26">
        <f>STAFF_CWS!AI545</f>
        <v>632000</v>
      </c>
      <c r="AF368" s="26">
        <f>STAFF_CWS!AJ545</f>
        <v>632000</v>
      </c>
      <c r="AG368" s="26">
        <f>STAFF_CWS!AK545</f>
        <v>632000</v>
      </c>
      <c r="AH368" s="26">
        <f>STAFF_CWS!AL545</f>
        <v>632000</v>
      </c>
      <c r="AI368" s="26">
        <f>STAFF_CWS!AM545</f>
        <v>632000</v>
      </c>
      <c r="AJ368" s="26">
        <f>STAFF_CWS!AN545</f>
        <v>632000</v>
      </c>
      <c r="AK368" s="26">
        <f>STAFF_CWS!AO545</f>
        <v>632000</v>
      </c>
      <c r="AL368" s="26">
        <f>STAFF_CWS!AP545</f>
        <v>632000</v>
      </c>
      <c r="AM368" s="26">
        <f>STAFF_CWS!AQ545</f>
        <v>632000</v>
      </c>
      <c r="AN368" s="26">
        <f>STAFF_CWS!AR545</f>
        <v>632000</v>
      </c>
      <c r="AO368" s="26">
        <f>STAFF_CWS!AS545</f>
        <v>632000</v>
      </c>
      <c r="AP368" s="26">
        <f>STAFF_CWS!AT545</f>
        <v>632000</v>
      </c>
      <c r="AQ368" s="26">
        <f>STAFF_CWS!AU545</f>
        <v>632000</v>
      </c>
      <c r="AR368" s="26">
        <f>STAFF_CWS!AV545</f>
        <v>632000</v>
      </c>
      <c r="AS368" s="26">
        <f>STAFF_CWS!AW545</f>
        <v>632000</v>
      </c>
      <c r="AT368" s="26">
        <f>STAFF_CWS!AX545</f>
        <v>632000</v>
      </c>
      <c r="AU368" s="26">
        <f>STAFF_CWS!AY545</f>
        <v>632000</v>
      </c>
      <c r="AV368" s="26">
        <f>STAFF_CWS!AZ545</f>
        <v>632000</v>
      </c>
      <c r="AW368" s="26">
        <f>STAFF_CWS!BA545</f>
        <v>632000</v>
      </c>
      <c r="AX368" s="26">
        <f>STAFF_CWS!BB545</f>
        <v>632000</v>
      </c>
      <c r="AY368" s="26">
        <f>STAFF_CWS!BC545</f>
        <v>632000</v>
      </c>
      <c r="AZ368" s="26">
        <f>STAFF_CWS!BD545</f>
        <v>632000</v>
      </c>
      <c r="BA368" s="26">
        <f>STAFF_CWS!BE545</f>
        <v>632000</v>
      </c>
      <c r="BB368" s="26">
        <f>STAFF_CWS!BF545</f>
        <v>632000</v>
      </c>
      <c r="BC368" s="26">
        <f>STAFF_CWS!BG545</f>
        <v>632000</v>
      </c>
      <c r="BD368" s="26">
        <f>STAFF_CWS!BH545</f>
        <v>632000</v>
      </c>
      <c r="BE368" s="26">
        <f>STAFF_CWS!BI545</f>
        <v>632000</v>
      </c>
      <c r="BF368" s="26">
        <f>STAFF_CWS!BJ545</f>
        <v>632000</v>
      </c>
      <c r="BG368" s="26">
        <f>STAFF_CWS!BK545</f>
        <v>632000</v>
      </c>
      <c r="BH368" s="26">
        <f>STAFF_CWS!BL545</f>
        <v>632000</v>
      </c>
      <c r="BI368" s="26">
        <f>STAFF_CWS!BM545</f>
        <v>632000</v>
      </c>
      <c r="BJ368" s="26">
        <f>STAFF_CWS!BN545</f>
        <v>632000</v>
      </c>
      <c r="BK368" s="26">
        <f>STAFF_CWS!BO545</f>
        <v>632000</v>
      </c>
      <c r="BL368" s="38">
        <f>SUM(C368:BK368)</f>
        <v>27037000</v>
      </c>
      <c r="BM368" s="65">
        <f>STAFF_CWS!BP545</f>
        <v>27037000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638000</v>
      </c>
      <c r="H376" s="26">
        <f>STAFF_CWS!L553</f>
        <v>319000</v>
      </c>
      <c r="I376" s="26">
        <f>STAFF_CWS!M553</f>
        <v>638000</v>
      </c>
      <c r="J376" s="26">
        <f>STAFF_CWS!N553</f>
        <v>638000</v>
      </c>
      <c r="K376" s="26">
        <f>STAFF_CWS!O553</f>
        <v>638000</v>
      </c>
      <c r="L376" s="26">
        <f>STAFF_CWS!P553</f>
        <v>638000</v>
      </c>
      <c r="M376" s="26">
        <f>STAFF_CWS!Q553</f>
        <v>638000</v>
      </c>
      <c r="N376" s="26">
        <f>STAFF_CWS!R553</f>
        <v>638000</v>
      </c>
      <c r="O376" s="26">
        <f>STAFF_CWS!S553</f>
        <v>638000</v>
      </c>
      <c r="P376" s="26">
        <f>STAFF_CWS!T553</f>
        <v>1896000</v>
      </c>
      <c r="Q376" s="26">
        <f>STAFF_CWS!U553</f>
        <v>1896000</v>
      </c>
      <c r="R376" s="26">
        <f>STAFF_CWS!V553</f>
        <v>1896000</v>
      </c>
      <c r="S376" s="26">
        <f>STAFF_CWS!W553</f>
        <v>1896000</v>
      </c>
      <c r="T376" s="26">
        <f>STAFF_CWS!X553</f>
        <v>1896000</v>
      </c>
      <c r="U376" s="26">
        <f>STAFF_CWS!Y553</f>
        <v>1896000</v>
      </c>
      <c r="V376" s="26">
        <f>STAFF_CWS!Z553</f>
        <v>1896000</v>
      </c>
      <c r="W376" s="26">
        <f>STAFF_CWS!AA553</f>
        <v>1896000</v>
      </c>
      <c r="X376" s="26">
        <f>STAFF_CWS!AB553</f>
        <v>1896000</v>
      </c>
      <c r="Y376" s="26">
        <f>STAFF_CWS!AC553</f>
        <v>1896000</v>
      </c>
      <c r="Z376" s="26">
        <f>STAFF_CWS!AD553</f>
        <v>1896000</v>
      </c>
      <c r="AA376" s="26">
        <f>STAFF_CWS!AE553</f>
        <v>1896000</v>
      </c>
      <c r="AB376" s="26">
        <f>STAFF_CWS!AF553</f>
        <v>3792000</v>
      </c>
      <c r="AC376" s="26">
        <f>STAFF_CWS!AG553</f>
        <v>3792000</v>
      </c>
      <c r="AD376" s="26">
        <f>STAFF_CWS!AH553</f>
        <v>3792000</v>
      </c>
      <c r="AE376" s="26">
        <f>STAFF_CWS!AI553</f>
        <v>3792000</v>
      </c>
      <c r="AF376" s="26">
        <f>STAFF_CWS!AJ553</f>
        <v>3792000</v>
      </c>
      <c r="AG376" s="26">
        <f>STAFF_CWS!AK553</f>
        <v>3792000</v>
      </c>
      <c r="AH376" s="26">
        <f>STAFF_CWS!AL553</f>
        <v>3792000</v>
      </c>
      <c r="AI376" s="26">
        <f>STAFF_CWS!AM553</f>
        <v>3792000</v>
      </c>
      <c r="AJ376" s="26">
        <f>STAFF_CWS!AN553</f>
        <v>3792000</v>
      </c>
      <c r="AK376" s="26">
        <f>STAFF_CWS!AO553</f>
        <v>3792000</v>
      </c>
      <c r="AL376" s="26">
        <f>STAFF_CWS!AP553</f>
        <v>3792000</v>
      </c>
      <c r="AM376" s="26">
        <f>STAFF_CWS!AQ553</f>
        <v>3792000</v>
      </c>
      <c r="AN376" s="26">
        <f>STAFF_CWS!AR553</f>
        <v>3792000</v>
      </c>
      <c r="AO376" s="26">
        <f>STAFF_CWS!AS553</f>
        <v>3792000</v>
      </c>
      <c r="AP376" s="26">
        <f>STAFF_CWS!AT553</f>
        <v>3792000</v>
      </c>
      <c r="AQ376" s="26">
        <f>STAFF_CWS!AU553</f>
        <v>3792000</v>
      </c>
      <c r="AR376" s="26">
        <f>STAFF_CWS!AV553</f>
        <v>3792000</v>
      </c>
      <c r="AS376" s="26">
        <f>STAFF_CWS!AW553</f>
        <v>3792000</v>
      </c>
      <c r="AT376" s="26">
        <f>STAFF_CWS!AX553</f>
        <v>3792000</v>
      </c>
      <c r="AU376" s="26">
        <f>STAFF_CWS!AY553</f>
        <v>3792000</v>
      </c>
      <c r="AV376" s="26">
        <f>STAFF_CWS!AZ553</f>
        <v>3792000</v>
      </c>
      <c r="AW376" s="26">
        <f>STAFF_CWS!BA553</f>
        <v>3792000</v>
      </c>
      <c r="AX376" s="26">
        <f>STAFF_CWS!BB553</f>
        <v>3792000</v>
      </c>
      <c r="AY376" s="26">
        <f>STAFF_CWS!BC553</f>
        <v>3792000</v>
      </c>
      <c r="AZ376" s="26">
        <f>STAFF_CWS!BD553</f>
        <v>3792000</v>
      </c>
      <c r="BA376" s="26">
        <f>STAFF_CWS!BE553</f>
        <v>3792000</v>
      </c>
      <c r="BB376" s="26">
        <f>STAFF_CWS!BF553</f>
        <v>3792000</v>
      </c>
      <c r="BC376" s="26">
        <f>STAFF_CWS!BG553</f>
        <v>3792000</v>
      </c>
      <c r="BD376" s="26">
        <f>STAFF_CWS!BH553</f>
        <v>3792000</v>
      </c>
      <c r="BE376" s="26">
        <f>STAFF_CWS!BI553</f>
        <v>3792000</v>
      </c>
      <c r="BF376" s="26">
        <f>STAFF_CWS!BJ553</f>
        <v>3792000</v>
      </c>
      <c r="BG376" s="26">
        <f>STAFF_CWS!BK553</f>
        <v>3792000</v>
      </c>
      <c r="BH376" s="26">
        <f>STAFF_CWS!BL553</f>
        <v>3792000</v>
      </c>
      <c r="BI376" s="26">
        <f>STAFF_CWS!BM553</f>
        <v>3792000</v>
      </c>
      <c r="BJ376" s="26">
        <f>STAFF_CWS!BN553</f>
        <v>3792000</v>
      </c>
      <c r="BK376" s="26">
        <f>STAFF_CWS!BO553</f>
        <v>3792000</v>
      </c>
      <c r="BL376" s="38">
        <f>SUM(C376:BK376)</f>
        <v>164687000</v>
      </c>
      <c r="BM376" s="65">
        <f>STAFF_CWS!BP553</f>
        <v>164687000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10"/>
  <sheetViews>
    <sheetView topLeftCell="B1" workbookViewId="0">
      <pane xSplit="1" ySplit="2" topLeftCell="C68" activePane="bottomRight" state="frozen"/>
      <selection activeCell="B1" sqref="B1"/>
      <selection pane="topRight" activeCell="C1" sqref="C1"/>
      <selection pane="bottomLeft" activeCell="B3" sqref="B3"/>
      <selection pane="bottomRight" activeCell="B103" sqref="B103"/>
    </sheetView>
    <sheetView topLeftCell="B13" workbookViewId="1">
      <selection activeCell="B57" sqref="B57"/>
    </sheetView>
    <sheetView topLeftCell="B1" workbookViewId="2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761</v>
      </c>
      <c r="D1" s="75"/>
      <c r="E1" s="406" t="s">
        <v>35</v>
      </c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/>
      <c r="Q1" s="406" t="s">
        <v>36</v>
      </c>
      <c r="R1" s="406"/>
      <c r="S1" s="406"/>
      <c r="T1" s="406"/>
      <c r="U1" s="406"/>
      <c r="V1" s="406"/>
      <c r="W1" s="406"/>
      <c r="X1" s="406"/>
      <c r="Y1" s="406"/>
      <c r="Z1" s="406"/>
      <c r="AA1" s="406"/>
      <c r="AB1" s="406"/>
      <c r="AC1" s="406" t="s">
        <v>37</v>
      </c>
      <c r="AD1" s="406"/>
      <c r="AE1" s="406"/>
      <c r="AF1" s="406"/>
      <c r="AG1" s="406"/>
      <c r="AH1" s="406"/>
      <c r="AI1" s="406"/>
      <c r="AJ1" s="406"/>
      <c r="AK1" s="406"/>
      <c r="AL1" s="406"/>
      <c r="AM1" s="406"/>
      <c r="AN1" s="406"/>
      <c r="AO1" s="406" t="s">
        <v>38</v>
      </c>
      <c r="AP1" s="406"/>
      <c r="AQ1" s="406"/>
      <c r="AR1" s="406"/>
      <c r="AS1" s="406"/>
      <c r="AT1" s="406"/>
      <c r="AU1" s="406"/>
      <c r="AV1" s="406"/>
      <c r="AW1" s="406"/>
      <c r="AX1" s="406"/>
      <c r="AY1" s="406"/>
      <c r="AZ1" s="406"/>
      <c r="BA1" s="406" t="s">
        <v>39</v>
      </c>
      <c r="BB1" s="406"/>
      <c r="BC1" s="406"/>
      <c r="BD1" s="406"/>
      <c r="BE1" s="406"/>
      <c r="BF1" s="406"/>
      <c r="BG1" s="406"/>
      <c r="BH1" s="406"/>
      <c r="BI1" s="406"/>
      <c r="BJ1" s="406"/>
      <c r="BK1" s="406"/>
      <c r="BL1" s="406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405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400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406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523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568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569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405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403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371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400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407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401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404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405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403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400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408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1273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outlineLevel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outlineLevel="1" x14ac:dyDescent="0.15">
      <c r="B47" s="47" t="s">
        <v>1244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$C$47*4</f>
        <v>1200000</v>
      </c>
      <c r="I47" s="317">
        <f t="shared" ref="I47:P47" si="3">$C$47*4</f>
        <v>1200000</v>
      </c>
      <c r="J47" s="317">
        <f t="shared" si="3"/>
        <v>1200000</v>
      </c>
      <c r="K47" s="317">
        <f t="shared" si="3"/>
        <v>1200000</v>
      </c>
      <c r="L47" s="317">
        <f t="shared" si="3"/>
        <v>1200000</v>
      </c>
      <c r="M47" s="317">
        <f t="shared" si="3"/>
        <v>1200000</v>
      </c>
      <c r="N47" s="317">
        <f t="shared" si="3"/>
        <v>1200000</v>
      </c>
      <c r="O47" s="317">
        <f t="shared" si="3"/>
        <v>1200000</v>
      </c>
      <c r="P47" s="317">
        <f t="shared" si="3"/>
        <v>1200000</v>
      </c>
      <c r="Q47" s="122">
        <f>$P$47*1.1</f>
        <v>1320000</v>
      </c>
      <c r="R47" s="122">
        <f t="shared" ref="R47:AB47" si="4">$P$47*1.1</f>
        <v>1320000</v>
      </c>
      <c r="S47" s="122">
        <f t="shared" si="4"/>
        <v>1320000</v>
      </c>
      <c r="T47" s="122">
        <f t="shared" si="4"/>
        <v>1320000</v>
      </c>
      <c r="U47" s="122">
        <f t="shared" si="4"/>
        <v>1320000</v>
      </c>
      <c r="V47" s="122">
        <f t="shared" si="4"/>
        <v>1320000</v>
      </c>
      <c r="W47" s="122">
        <f t="shared" si="4"/>
        <v>1320000</v>
      </c>
      <c r="X47" s="122">
        <f t="shared" si="4"/>
        <v>1320000</v>
      </c>
      <c r="Y47" s="122">
        <f t="shared" si="4"/>
        <v>1320000</v>
      </c>
      <c r="Z47" s="122">
        <f t="shared" si="4"/>
        <v>1320000</v>
      </c>
      <c r="AA47" s="122">
        <f t="shared" si="4"/>
        <v>1320000</v>
      </c>
      <c r="AB47" s="122">
        <f t="shared" si="4"/>
        <v>1320000</v>
      </c>
      <c r="AC47" s="122">
        <f>$AB$47*1.07</f>
        <v>1412400</v>
      </c>
      <c r="AD47" s="122">
        <f t="shared" ref="AD47:AN47" si="5">$AB$47*1.07</f>
        <v>1412400</v>
      </c>
      <c r="AE47" s="122">
        <f t="shared" si="5"/>
        <v>1412400</v>
      </c>
      <c r="AF47" s="122">
        <f t="shared" si="5"/>
        <v>1412400</v>
      </c>
      <c r="AG47" s="122">
        <f t="shared" si="5"/>
        <v>1412400</v>
      </c>
      <c r="AH47" s="122">
        <f t="shared" si="5"/>
        <v>1412400</v>
      </c>
      <c r="AI47" s="122">
        <f t="shared" si="5"/>
        <v>1412400</v>
      </c>
      <c r="AJ47" s="122">
        <f t="shared" si="5"/>
        <v>1412400</v>
      </c>
      <c r="AK47" s="122">
        <f t="shared" si="5"/>
        <v>1412400</v>
      </c>
      <c r="AL47" s="122">
        <f t="shared" si="5"/>
        <v>1412400</v>
      </c>
      <c r="AM47" s="122">
        <f t="shared" si="5"/>
        <v>1412400</v>
      </c>
      <c r="AN47" s="122">
        <f t="shared" si="5"/>
        <v>1412400</v>
      </c>
      <c r="AO47" s="122">
        <f>$AN$47*1.07</f>
        <v>1511268</v>
      </c>
      <c r="AP47" s="122">
        <f t="shared" ref="AP47:AZ47" si="6">$AN$47*1.07</f>
        <v>1511268</v>
      </c>
      <c r="AQ47" s="122">
        <f t="shared" si="6"/>
        <v>1511268</v>
      </c>
      <c r="AR47" s="122">
        <f t="shared" si="6"/>
        <v>1511268</v>
      </c>
      <c r="AS47" s="122">
        <f t="shared" si="6"/>
        <v>1511268</v>
      </c>
      <c r="AT47" s="122">
        <f t="shared" si="6"/>
        <v>1511268</v>
      </c>
      <c r="AU47" s="122">
        <f t="shared" si="6"/>
        <v>1511268</v>
      </c>
      <c r="AV47" s="122">
        <f t="shared" si="6"/>
        <v>1511268</v>
      </c>
      <c r="AW47" s="122">
        <f t="shared" si="6"/>
        <v>1511268</v>
      </c>
      <c r="AX47" s="122">
        <f t="shared" si="6"/>
        <v>1511268</v>
      </c>
      <c r="AY47" s="122">
        <f t="shared" si="6"/>
        <v>1511268</v>
      </c>
      <c r="AZ47" s="122">
        <f t="shared" si="6"/>
        <v>1511268</v>
      </c>
      <c r="BA47" s="122">
        <f>$AZ$47*1.07</f>
        <v>1617056.76</v>
      </c>
      <c r="BB47" s="122">
        <f t="shared" ref="BB47:BL47" si="7">$AZ$47*1.07</f>
        <v>1617056.76</v>
      </c>
      <c r="BC47" s="122">
        <f t="shared" si="7"/>
        <v>1617056.76</v>
      </c>
      <c r="BD47" s="122">
        <f t="shared" si="7"/>
        <v>1617056.76</v>
      </c>
      <c r="BE47" s="122">
        <f t="shared" si="7"/>
        <v>1617056.76</v>
      </c>
      <c r="BF47" s="122">
        <f t="shared" si="7"/>
        <v>1617056.76</v>
      </c>
      <c r="BG47" s="122">
        <f t="shared" si="7"/>
        <v>1617056.76</v>
      </c>
      <c r="BH47" s="122">
        <f t="shared" si="7"/>
        <v>1617056.76</v>
      </c>
      <c r="BI47" s="122">
        <f t="shared" si="7"/>
        <v>1617056.76</v>
      </c>
      <c r="BJ47" s="122">
        <f t="shared" si="7"/>
        <v>1617056.76</v>
      </c>
      <c r="BK47" s="122">
        <f t="shared" si="7"/>
        <v>1617056.76</v>
      </c>
      <c r="BL47" s="122">
        <f t="shared" si="7"/>
        <v>1617056.76</v>
      </c>
    </row>
    <row r="48" spans="1:64" customFormat="1" outlineLevel="1" x14ac:dyDescent="0.15">
      <c r="B48" s="47" t="s">
        <v>724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outlineLevel="1" x14ac:dyDescent="0.15">
      <c r="B49" s="47" t="s">
        <v>725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outlineLevel="1" x14ac:dyDescent="0.15">
      <c r="B50" s="47" t="s">
        <v>405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outlineLevel="1" x14ac:dyDescent="0.15">
      <c r="B51" s="47" t="s">
        <v>403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outlineLevel="1" x14ac:dyDescent="0.15">
      <c r="B52" s="47" t="s">
        <v>370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outlineLevel="1" x14ac:dyDescent="0.15">
      <c r="B53" s="47" t="s">
        <v>371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outlineLevel="1" x14ac:dyDescent="0.15">
      <c r="B54" s="47" t="s">
        <v>400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outlineLevel="1" x14ac:dyDescent="0.15">
      <c r="B55" s="47" t="s">
        <v>402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outlineLevel="1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outlineLevel="1" x14ac:dyDescent="0.15">
      <c r="A57" s="74"/>
      <c r="B57" s="73" t="str">
        <f xml:space="preserve"> "Total " &amp; B45</f>
        <v>Total Víveres y Manufactura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1200000</v>
      </c>
      <c r="I57" s="132">
        <f t="shared" si="8"/>
        <v>1200000</v>
      </c>
      <c r="J57" s="132">
        <f t="shared" si="8"/>
        <v>1200000</v>
      </c>
      <c r="K57" s="132">
        <f t="shared" si="8"/>
        <v>1200000</v>
      </c>
      <c r="L57" s="132">
        <f t="shared" si="8"/>
        <v>1200000</v>
      </c>
      <c r="M57" s="132">
        <f t="shared" si="8"/>
        <v>1200000</v>
      </c>
      <c r="N57" s="132">
        <f t="shared" si="8"/>
        <v>1200000</v>
      </c>
      <c r="O57" s="132">
        <f t="shared" si="8"/>
        <v>1200000</v>
      </c>
      <c r="P57" s="132">
        <f t="shared" si="8"/>
        <v>1200000</v>
      </c>
      <c r="Q57" s="132">
        <f t="shared" si="8"/>
        <v>1320000</v>
      </c>
      <c r="R57" s="132">
        <f t="shared" si="8"/>
        <v>1320000</v>
      </c>
      <c r="S57" s="132">
        <f t="shared" si="8"/>
        <v>1320000</v>
      </c>
      <c r="T57" s="132">
        <f t="shared" si="8"/>
        <v>1320000</v>
      </c>
      <c r="U57" s="132">
        <f t="shared" si="8"/>
        <v>1320000</v>
      </c>
      <c r="V57" s="132">
        <f t="shared" si="8"/>
        <v>1320000</v>
      </c>
      <c r="W57" s="132">
        <f t="shared" si="8"/>
        <v>1320000</v>
      </c>
      <c r="X57" s="132">
        <f t="shared" si="8"/>
        <v>1320000</v>
      </c>
      <c r="Y57" s="132">
        <f t="shared" si="8"/>
        <v>1320000</v>
      </c>
      <c r="Z57" s="132">
        <f t="shared" si="8"/>
        <v>1320000</v>
      </c>
      <c r="AA57" s="132">
        <f t="shared" si="8"/>
        <v>1320000</v>
      </c>
      <c r="AB57" s="132">
        <f t="shared" si="8"/>
        <v>1320000</v>
      </c>
      <c r="AC57" s="132">
        <f t="shared" si="8"/>
        <v>1412400</v>
      </c>
      <c r="AD57" s="132">
        <f t="shared" si="8"/>
        <v>1412400</v>
      </c>
      <c r="AE57" s="132">
        <f t="shared" si="8"/>
        <v>1412400</v>
      </c>
      <c r="AF57" s="132">
        <f t="shared" si="8"/>
        <v>1412400</v>
      </c>
      <c r="AG57" s="132">
        <f t="shared" si="8"/>
        <v>1412400</v>
      </c>
      <c r="AH57" s="132">
        <f t="shared" si="8"/>
        <v>1412400</v>
      </c>
      <c r="AI57" s="132">
        <f t="shared" si="8"/>
        <v>1412400</v>
      </c>
      <c r="AJ57" s="132">
        <f t="shared" si="8"/>
        <v>1412400</v>
      </c>
      <c r="AK57" s="132">
        <f t="shared" si="8"/>
        <v>1412400</v>
      </c>
      <c r="AL57" s="132">
        <f t="shared" si="8"/>
        <v>1412400</v>
      </c>
      <c r="AM57" s="132">
        <f t="shared" si="8"/>
        <v>1412400</v>
      </c>
      <c r="AN57" s="132">
        <f t="shared" si="8"/>
        <v>1412400</v>
      </c>
      <c r="AO57" s="132">
        <f t="shared" si="8"/>
        <v>1511268</v>
      </c>
      <c r="AP57" s="132">
        <f t="shared" si="8"/>
        <v>1511268</v>
      </c>
      <c r="AQ57" s="132">
        <f t="shared" si="8"/>
        <v>1511268</v>
      </c>
      <c r="AR57" s="132">
        <f t="shared" si="8"/>
        <v>1511268</v>
      </c>
      <c r="AS57" s="132">
        <f t="shared" si="8"/>
        <v>1511268</v>
      </c>
      <c r="AT57" s="132">
        <f t="shared" si="8"/>
        <v>1511268</v>
      </c>
      <c r="AU57" s="132">
        <f t="shared" si="8"/>
        <v>1511268</v>
      </c>
      <c r="AV57" s="132">
        <f t="shared" si="8"/>
        <v>1511268</v>
      </c>
      <c r="AW57" s="132">
        <f t="shared" si="8"/>
        <v>1511268</v>
      </c>
      <c r="AX57" s="132">
        <f t="shared" si="8"/>
        <v>1511268</v>
      </c>
      <c r="AY57" s="132">
        <f t="shared" si="8"/>
        <v>1511268</v>
      </c>
      <c r="AZ57" s="132">
        <f t="shared" si="8"/>
        <v>1511268</v>
      </c>
      <c r="BA57" s="132">
        <f t="shared" si="8"/>
        <v>1617056.76</v>
      </c>
      <c r="BB57" s="132">
        <f t="shared" si="8"/>
        <v>1617056.76</v>
      </c>
      <c r="BC57" s="132">
        <f t="shared" si="8"/>
        <v>1617056.76</v>
      </c>
      <c r="BD57" s="132">
        <f t="shared" si="8"/>
        <v>1617056.76</v>
      </c>
      <c r="BE57" s="132">
        <f t="shared" si="8"/>
        <v>1617056.76</v>
      </c>
      <c r="BF57" s="132">
        <f t="shared" si="8"/>
        <v>1617056.76</v>
      </c>
      <c r="BG57" s="132">
        <f t="shared" si="8"/>
        <v>1617056.76</v>
      </c>
      <c r="BH57" s="132">
        <f t="shared" si="8"/>
        <v>1617056.76</v>
      </c>
      <c r="BI57" s="132">
        <f t="shared" si="8"/>
        <v>1617056.76</v>
      </c>
      <c r="BJ57" s="132">
        <f t="shared" si="8"/>
        <v>1617056.76</v>
      </c>
      <c r="BK57" s="132">
        <f t="shared" si="8"/>
        <v>1617056.76</v>
      </c>
      <c r="BL57" s="132">
        <f t="shared" si="8"/>
        <v>1617056.76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398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401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404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185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400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411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439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372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1200000</v>
      </c>
      <c r="I75" s="123">
        <f t="shared" si="10"/>
        <v>1200000</v>
      </c>
      <c r="J75" s="123">
        <f t="shared" si="10"/>
        <v>1200000</v>
      </c>
      <c r="K75" s="123">
        <f t="shared" si="10"/>
        <v>1200000</v>
      </c>
      <c r="L75" s="123">
        <f t="shared" si="10"/>
        <v>1200000</v>
      </c>
      <c r="M75" s="123">
        <f t="shared" si="10"/>
        <v>1200000</v>
      </c>
      <c r="N75" s="123">
        <f t="shared" si="10"/>
        <v>1200000</v>
      </c>
      <c r="O75" s="123">
        <f t="shared" si="10"/>
        <v>1200000</v>
      </c>
      <c r="P75" s="123">
        <f t="shared" si="10"/>
        <v>1200000</v>
      </c>
      <c r="Q75" s="123">
        <f t="shared" si="10"/>
        <v>1320000</v>
      </c>
      <c r="R75" s="123">
        <f t="shared" si="10"/>
        <v>1320000</v>
      </c>
      <c r="S75" s="123">
        <f t="shared" si="10"/>
        <v>1320000</v>
      </c>
      <c r="T75" s="123">
        <f t="shared" si="10"/>
        <v>1320000</v>
      </c>
      <c r="U75" s="123">
        <f t="shared" si="10"/>
        <v>1320000</v>
      </c>
      <c r="V75" s="123">
        <f t="shared" si="10"/>
        <v>1320000</v>
      </c>
      <c r="W75" s="123">
        <f t="shared" si="10"/>
        <v>1320000</v>
      </c>
      <c r="X75" s="123">
        <f t="shared" si="10"/>
        <v>1320000</v>
      </c>
      <c r="Y75" s="123">
        <f t="shared" si="10"/>
        <v>1320000</v>
      </c>
      <c r="Z75" s="123">
        <f t="shared" si="10"/>
        <v>1320000</v>
      </c>
      <c r="AA75" s="123">
        <f t="shared" si="10"/>
        <v>1320000</v>
      </c>
      <c r="AB75" s="123">
        <f t="shared" si="10"/>
        <v>1320000</v>
      </c>
      <c r="AC75" s="123">
        <f t="shared" si="10"/>
        <v>1412400</v>
      </c>
      <c r="AD75" s="123">
        <f t="shared" si="10"/>
        <v>1412400</v>
      </c>
      <c r="AE75" s="123">
        <f t="shared" si="10"/>
        <v>1412400</v>
      </c>
      <c r="AF75" s="123">
        <f t="shared" si="10"/>
        <v>1412400</v>
      </c>
      <c r="AG75" s="123">
        <f t="shared" si="10"/>
        <v>1412400</v>
      </c>
      <c r="AH75" s="123">
        <f t="shared" si="10"/>
        <v>1412400</v>
      </c>
      <c r="AI75" s="123">
        <f t="shared" si="10"/>
        <v>1412400</v>
      </c>
      <c r="AJ75" s="123">
        <f t="shared" ref="AJ75:BL75" si="11">AJ71+AJ57+AJ43+AJ30+AJ15+AJ73</f>
        <v>1412400</v>
      </c>
      <c r="AK75" s="123">
        <f t="shared" si="11"/>
        <v>1412400</v>
      </c>
      <c r="AL75" s="123">
        <f t="shared" si="11"/>
        <v>1412400</v>
      </c>
      <c r="AM75" s="123">
        <f t="shared" si="11"/>
        <v>1412400</v>
      </c>
      <c r="AN75" s="123">
        <f t="shared" si="11"/>
        <v>1412400</v>
      </c>
      <c r="AO75" s="123">
        <f t="shared" si="11"/>
        <v>1511268</v>
      </c>
      <c r="AP75" s="123">
        <f t="shared" si="11"/>
        <v>1511268</v>
      </c>
      <c r="AQ75" s="123">
        <f t="shared" si="11"/>
        <v>1511268</v>
      </c>
      <c r="AR75" s="123">
        <f t="shared" si="11"/>
        <v>1511268</v>
      </c>
      <c r="AS75" s="123">
        <f t="shared" si="11"/>
        <v>1511268</v>
      </c>
      <c r="AT75" s="123">
        <f t="shared" si="11"/>
        <v>1511268</v>
      </c>
      <c r="AU75" s="123">
        <f t="shared" si="11"/>
        <v>1511268</v>
      </c>
      <c r="AV75" s="123">
        <f t="shared" si="11"/>
        <v>1511268</v>
      </c>
      <c r="AW75" s="123">
        <f t="shared" si="11"/>
        <v>1511268</v>
      </c>
      <c r="AX75" s="123">
        <f t="shared" si="11"/>
        <v>1511268</v>
      </c>
      <c r="AY75" s="123">
        <f t="shared" si="11"/>
        <v>1511268</v>
      </c>
      <c r="AZ75" s="123">
        <f t="shared" si="11"/>
        <v>1511268</v>
      </c>
      <c r="BA75" s="123">
        <f t="shared" si="11"/>
        <v>1617056.76</v>
      </c>
      <c r="BB75" s="123">
        <f t="shared" si="11"/>
        <v>1617056.76</v>
      </c>
      <c r="BC75" s="123">
        <f t="shared" si="11"/>
        <v>1617056.76</v>
      </c>
      <c r="BD75" s="123">
        <f t="shared" si="11"/>
        <v>1617056.76</v>
      </c>
      <c r="BE75" s="123">
        <f t="shared" si="11"/>
        <v>1617056.76</v>
      </c>
      <c r="BF75" s="123">
        <f t="shared" si="11"/>
        <v>1617056.76</v>
      </c>
      <c r="BG75" s="123">
        <f t="shared" si="11"/>
        <v>1617056.76</v>
      </c>
      <c r="BH75" s="123">
        <f t="shared" si="11"/>
        <v>1617056.76</v>
      </c>
      <c r="BI75" s="123">
        <f t="shared" si="11"/>
        <v>1617056.76</v>
      </c>
      <c r="BJ75" s="123">
        <f t="shared" si="11"/>
        <v>1617056.76</v>
      </c>
      <c r="BK75" s="123">
        <f t="shared" si="11"/>
        <v>1617056.76</v>
      </c>
      <c r="BL75" s="123">
        <f t="shared" si="11"/>
        <v>1617056.76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393</v>
      </c>
    </row>
    <row r="78" spans="1:64" x14ac:dyDescent="0.15">
      <c r="B78" s="50"/>
    </row>
    <row r="79" spans="1:64" x14ac:dyDescent="0.15">
      <c r="B79" s="14" t="s">
        <v>394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1274</v>
      </c>
      <c r="D80" s="286"/>
      <c r="E80" s="286"/>
      <c r="F80" s="286"/>
      <c r="G80" s="286"/>
      <c r="H80" s="286">
        <v>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184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1275</v>
      </c>
      <c r="D82" s="267"/>
      <c r="E82" s="286"/>
      <c r="F82" s="286"/>
      <c r="G82" s="286"/>
      <c r="H82" s="286"/>
      <c r="I82" s="286">
        <v>400000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186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187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188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412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413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1239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1230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1231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1232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1233</v>
      </c>
      <c r="D98" s="267"/>
      <c r="E98" s="286"/>
      <c r="F98" s="286"/>
      <c r="G98" s="286"/>
      <c r="H98" s="286"/>
      <c r="I98" s="286">
        <v>340000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1234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1235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1236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1237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1277</v>
      </c>
      <c r="D103" s="267"/>
      <c r="E103" s="286"/>
      <c r="F103" s="286"/>
      <c r="G103" s="286"/>
      <c r="H103" s="286">
        <v>40000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1276</v>
      </c>
      <c r="D104" s="267"/>
      <c r="E104" s="286"/>
      <c r="F104" s="286"/>
      <c r="G104" s="286"/>
      <c r="H104" s="286">
        <v>750000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1238</v>
      </c>
      <c r="D105" s="267"/>
      <c r="E105" s="286"/>
      <c r="F105" s="286"/>
      <c r="G105" s="286"/>
      <c r="H105" s="286">
        <v>1100000</v>
      </c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 t="s">
        <v>185</v>
      </c>
      <c r="D106" s="267"/>
      <c r="E106" s="286"/>
      <c r="F106" s="286"/>
      <c r="G106" s="286"/>
      <c r="H106" s="286"/>
      <c r="I106" s="286"/>
      <c r="J106" s="267"/>
      <c r="K106" s="286"/>
      <c r="L106" s="286"/>
      <c r="M106" s="286"/>
      <c r="N106" s="286"/>
      <c r="O106" s="267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47"/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 t="s">
        <v>398</v>
      </c>
      <c r="D108" s="267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  <c r="AE108" s="286"/>
      <c r="AF108" s="286"/>
      <c r="AG108" s="286"/>
      <c r="AH108" s="286"/>
      <c r="AI108" s="286"/>
      <c r="AJ108" s="286"/>
      <c r="AK108" s="286"/>
      <c r="AL108" s="286"/>
      <c r="AM108" s="286"/>
      <c r="AN108" s="286"/>
      <c r="AO108" s="286"/>
      <c r="AP108" s="286"/>
      <c r="AQ108" s="286"/>
      <c r="AR108" s="286"/>
      <c r="AS108" s="286"/>
      <c r="AT108" s="286"/>
      <c r="AU108" s="286"/>
      <c r="AV108" s="286"/>
      <c r="AW108" s="286"/>
      <c r="AX108" s="286"/>
      <c r="AY108" s="286"/>
      <c r="AZ108" s="286"/>
      <c r="BA108" s="286"/>
      <c r="BB108" s="286"/>
      <c r="BC108" s="286"/>
      <c r="BD108" s="286"/>
      <c r="BE108" s="286"/>
      <c r="BF108" s="286"/>
      <c r="BG108" s="286"/>
      <c r="BH108" s="286"/>
      <c r="BI108" s="286"/>
      <c r="BJ108" s="286"/>
      <c r="BK108" s="286"/>
      <c r="BL108" s="286"/>
    </row>
    <row r="109" spans="1:64" x14ac:dyDescent="0.15">
      <c r="B109" s="14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</row>
    <row r="110" spans="1:64" s="50" customFormat="1" x14ac:dyDescent="0.15">
      <c r="A110" s="74"/>
      <c r="B110" s="50" t="s">
        <v>415</v>
      </c>
      <c r="D110" s="123">
        <f>SUM(D80:D109)</f>
        <v>0</v>
      </c>
      <c r="E110" s="123">
        <f>SUM(E80:E109)</f>
        <v>0</v>
      </c>
      <c r="F110" s="123">
        <f t="shared" ref="F110:BL110" si="12">SUM(F80:F109)</f>
        <v>0</v>
      </c>
      <c r="G110" s="123">
        <f t="shared" si="12"/>
        <v>0</v>
      </c>
      <c r="H110" s="123">
        <f t="shared" si="12"/>
        <v>7745000</v>
      </c>
      <c r="I110" s="123">
        <f t="shared" si="12"/>
        <v>740000</v>
      </c>
      <c r="J110" s="123">
        <f t="shared" si="12"/>
        <v>0</v>
      </c>
      <c r="K110" s="123">
        <f t="shared" si="12"/>
        <v>0</v>
      </c>
      <c r="L110" s="123">
        <f t="shared" si="12"/>
        <v>0</v>
      </c>
      <c r="M110" s="123">
        <f t="shared" si="12"/>
        <v>0</v>
      </c>
      <c r="N110" s="123">
        <f t="shared" si="12"/>
        <v>0</v>
      </c>
      <c r="O110" s="123">
        <f t="shared" si="12"/>
        <v>0</v>
      </c>
      <c r="P110" s="123">
        <f t="shared" si="12"/>
        <v>0</v>
      </c>
      <c r="Q110" s="123">
        <f t="shared" si="12"/>
        <v>0</v>
      </c>
      <c r="R110" s="123">
        <f t="shared" si="12"/>
        <v>0</v>
      </c>
      <c r="S110" s="123">
        <f t="shared" si="12"/>
        <v>0</v>
      </c>
      <c r="T110" s="123">
        <f t="shared" si="12"/>
        <v>0</v>
      </c>
      <c r="U110" s="123">
        <f t="shared" si="12"/>
        <v>0</v>
      </c>
      <c r="V110" s="123">
        <f t="shared" si="12"/>
        <v>0</v>
      </c>
      <c r="W110" s="123">
        <f t="shared" si="12"/>
        <v>0</v>
      </c>
      <c r="X110" s="123">
        <f t="shared" si="12"/>
        <v>0</v>
      </c>
      <c r="Y110" s="123">
        <f t="shared" si="12"/>
        <v>0</v>
      </c>
      <c r="Z110" s="123">
        <f t="shared" si="12"/>
        <v>0</v>
      </c>
      <c r="AA110" s="123">
        <f t="shared" si="12"/>
        <v>0</v>
      </c>
      <c r="AB110" s="123">
        <f t="shared" si="12"/>
        <v>0</v>
      </c>
      <c r="AC110" s="123">
        <f t="shared" si="12"/>
        <v>0</v>
      </c>
      <c r="AD110" s="123">
        <f t="shared" si="12"/>
        <v>0</v>
      </c>
      <c r="AE110" s="123">
        <f t="shared" si="12"/>
        <v>0</v>
      </c>
      <c r="AF110" s="123">
        <f t="shared" si="12"/>
        <v>0</v>
      </c>
      <c r="AG110" s="123">
        <f t="shared" si="12"/>
        <v>0</v>
      </c>
      <c r="AH110" s="123">
        <f t="shared" si="12"/>
        <v>0</v>
      </c>
      <c r="AI110" s="123">
        <f t="shared" si="12"/>
        <v>0</v>
      </c>
      <c r="AJ110" s="123">
        <f t="shared" si="12"/>
        <v>0</v>
      </c>
      <c r="AK110" s="123">
        <f t="shared" si="12"/>
        <v>0</v>
      </c>
      <c r="AL110" s="123">
        <f t="shared" si="12"/>
        <v>0</v>
      </c>
      <c r="AM110" s="123">
        <f t="shared" si="12"/>
        <v>0</v>
      </c>
      <c r="AN110" s="123">
        <f t="shared" si="12"/>
        <v>0</v>
      </c>
      <c r="AO110" s="123">
        <f t="shared" si="12"/>
        <v>0</v>
      </c>
      <c r="AP110" s="123">
        <f t="shared" si="12"/>
        <v>0</v>
      </c>
      <c r="AQ110" s="123">
        <f t="shared" si="12"/>
        <v>0</v>
      </c>
      <c r="AR110" s="123">
        <f t="shared" si="12"/>
        <v>0</v>
      </c>
      <c r="AS110" s="123">
        <f t="shared" si="12"/>
        <v>0</v>
      </c>
      <c r="AT110" s="123">
        <f t="shared" si="12"/>
        <v>0</v>
      </c>
      <c r="AU110" s="123">
        <f t="shared" si="12"/>
        <v>0</v>
      </c>
      <c r="AV110" s="123">
        <f t="shared" si="12"/>
        <v>0</v>
      </c>
      <c r="AW110" s="123">
        <f t="shared" si="12"/>
        <v>0</v>
      </c>
      <c r="AX110" s="123">
        <f t="shared" si="12"/>
        <v>0</v>
      </c>
      <c r="AY110" s="123">
        <f t="shared" si="12"/>
        <v>0</v>
      </c>
      <c r="AZ110" s="123">
        <f t="shared" si="12"/>
        <v>0</v>
      </c>
      <c r="BA110" s="123">
        <f t="shared" si="12"/>
        <v>0</v>
      </c>
      <c r="BB110" s="123">
        <f t="shared" si="12"/>
        <v>0</v>
      </c>
      <c r="BC110" s="123">
        <f t="shared" si="12"/>
        <v>0</v>
      </c>
      <c r="BD110" s="123">
        <f t="shared" si="12"/>
        <v>0</v>
      </c>
      <c r="BE110" s="123">
        <f t="shared" si="12"/>
        <v>0</v>
      </c>
      <c r="BF110" s="123">
        <f t="shared" si="12"/>
        <v>0</v>
      </c>
      <c r="BG110" s="123">
        <f t="shared" si="12"/>
        <v>0</v>
      </c>
      <c r="BH110" s="123">
        <f t="shared" si="12"/>
        <v>0</v>
      </c>
      <c r="BI110" s="123">
        <f t="shared" si="12"/>
        <v>0</v>
      </c>
      <c r="BJ110" s="123">
        <f t="shared" si="12"/>
        <v>0</v>
      </c>
      <c r="BK110" s="123">
        <f t="shared" si="12"/>
        <v>0</v>
      </c>
      <c r="BL110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406" t="s">
        <v>308</v>
      </c>
      <c r="B2" s="406"/>
      <c r="C2" s="197"/>
    </row>
    <row r="3" spans="1:63" x14ac:dyDescent="0.15">
      <c r="A3" s="10"/>
      <c r="B3" s="10" t="s">
        <v>683</v>
      </c>
      <c r="C3" s="197"/>
    </row>
    <row r="4" spans="1:63" x14ac:dyDescent="0.15">
      <c r="C4" s="198"/>
      <c r="D4" s="406" t="s">
        <v>35</v>
      </c>
      <c r="E4" s="406"/>
      <c r="F4" s="406"/>
      <c r="G4" s="406"/>
      <c r="H4" s="406"/>
      <c r="I4" s="406"/>
      <c r="J4" s="406"/>
      <c r="K4" s="406"/>
      <c r="L4" s="406"/>
      <c r="M4" s="406"/>
      <c r="N4" s="406"/>
      <c r="O4" s="406"/>
      <c r="P4" s="406" t="s">
        <v>36</v>
      </c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 t="s">
        <v>37</v>
      </c>
      <c r="AC4" s="406"/>
      <c r="AD4" s="406"/>
      <c r="AE4" s="406"/>
      <c r="AF4" s="406"/>
      <c r="AG4" s="406"/>
      <c r="AH4" s="406"/>
      <c r="AI4" s="406"/>
      <c r="AJ4" s="406"/>
      <c r="AK4" s="406"/>
      <c r="AL4" s="406"/>
      <c r="AM4" s="406"/>
      <c r="AN4" s="406" t="s">
        <v>38</v>
      </c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/>
      <c r="AZ4" s="406" t="s">
        <v>39</v>
      </c>
      <c r="BA4" s="406"/>
      <c r="BB4" s="406"/>
      <c r="BC4" s="406"/>
      <c r="BD4" s="406"/>
      <c r="BE4" s="406"/>
      <c r="BF4" s="406"/>
      <c r="BG4" s="406"/>
      <c r="BH4" s="406"/>
      <c r="BI4" s="406"/>
      <c r="BJ4" s="406"/>
      <c r="BK4" s="406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349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351000</v>
      </c>
      <c r="H7" s="9">
        <f>'FIN-P&amp;L_CWS'!I129</f>
        <v>481500</v>
      </c>
      <c r="I7" s="9">
        <f>'FIN-P&amp;L_CWS'!J129</f>
        <v>1586700</v>
      </c>
      <c r="J7" s="9">
        <f>'FIN-P&amp;L_CWS'!K129</f>
        <v>1983300</v>
      </c>
      <c r="K7" s="9">
        <f>'FIN-P&amp;L_CWS'!L129</f>
        <v>2376900</v>
      </c>
      <c r="L7" s="9">
        <f>'FIN-P&amp;L_CWS'!M129</f>
        <v>2773500</v>
      </c>
      <c r="M7" s="9">
        <f>'FIN-P&amp;L_CWS'!N129</f>
        <v>3167100</v>
      </c>
      <c r="N7" s="9">
        <f>'FIN-P&amp;L_CWS'!O129</f>
        <v>3563700</v>
      </c>
      <c r="O7" s="9">
        <f>'FIN-P&amp;L_CWS'!P129</f>
        <v>3167100</v>
      </c>
      <c r="P7" s="9">
        <f>'FIN-P&amp;L_CWS'!Q129</f>
        <v>6213285</v>
      </c>
      <c r="Q7" s="9">
        <f>'FIN-P&amp;L_CWS'!R129</f>
        <v>9943020</v>
      </c>
      <c r="R7" s="9">
        <f>'FIN-P&amp;L_CWS'!S129</f>
        <v>11182785</v>
      </c>
      <c r="S7" s="9">
        <f>'FIN-P&amp;L_CWS'!T129</f>
        <v>11182785</v>
      </c>
      <c r="T7" s="9">
        <f>'FIN-P&amp;L_CWS'!U129</f>
        <v>11182785</v>
      </c>
      <c r="U7" s="9">
        <f>'FIN-P&amp;L_CWS'!V129</f>
        <v>11182785</v>
      </c>
      <c r="V7" s="9">
        <f>'FIN-P&amp;L_CWS'!W129</f>
        <v>11182785</v>
      </c>
      <c r="W7" s="9">
        <f>'FIN-P&amp;L_CWS'!X129</f>
        <v>11182785</v>
      </c>
      <c r="X7" s="9">
        <f>'FIN-P&amp;L_CWS'!Y129</f>
        <v>11182785</v>
      </c>
      <c r="Y7" s="9">
        <f>'FIN-P&amp;L_CWS'!Z129</f>
        <v>11182785</v>
      </c>
      <c r="Z7" s="9">
        <f>'FIN-P&amp;L_CWS'!AA129</f>
        <v>11182785</v>
      </c>
      <c r="AA7" s="9">
        <f>'FIN-P&amp;L_CWS'!AB129</f>
        <v>7457865</v>
      </c>
      <c r="AB7" s="9">
        <f>'FIN-P&amp;L_CWS'!AC129</f>
        <v>14097363.9</v>
      </c>
      <c r="AC7" s="9">
        <f>'FIN-P&amp;L_CWS'!AD129</f>
        <v>22554817.950000007</v>
      </c>
      <c r="AD7" s="9">
        <f>'FIN-P&amp;L_CWS'!AE129</f>
        <v>25371679.500000007</v>
      </c>
      <c r="AE7" s="9">
        <f>'FIN-P&amp;L_CWS'!AF129</f>
        <v>25371679.500000007</v>
      </c>
      <c r="AF7" s="9">
        <f>'FIN-P&amp;L_CWS'!AG129</f>
        <v>25371679.500000007</v>
      </c>
      <c r="AG7" s="9">
        <f>'FIN-P&amp;L_CWS'!AH129</f>
        <v>25371679.500000007</v>
      </c>
      <c r="AH7" s="9">
        <f>'FIN-P&amp;L_CWS'!AI129</f>
        <v>25371679.500000007</v>
      </c>
      <c r="AI7" s="9">
        <f>'FIN-P&amp;L_CWS'!AJ129</f>
        <v>25371679.500000007</v>
      </c>
      <c r="AJ7" s="9">
        <f>'FIN-P&amp;L_CWS'!AK129</f>
        <v>25371679.500000007</v>
      </c>
      <c r="AK7" s="9">
        <f>'FIN-P&amp;L_CWS'!AL129</f>
        <v>25371679.500000007</v>
      </c>
      <c r="AL7" s="9">
        <f>'FIN-P&amp;L_CWS'!AM129</f>
        <v>25371679.500000007</v>
      </c>
      <c r="AM7" s="9">
        <f>'FIN-P&amp;L_CWS'!AN129</f>
        <v>16914225.449999999</v>
      </c>
      <c r="AN7" s="9">
        <f>'FIN-P&amp;L_CWS'!AO129</f>
        <v>26096802.279500004</v>
      </c>
      <c r="AO7" s="9">
        <f>'FIN-P&amp;L_CWS'!AP129</f>
        <v>41756976.237500012</v>
      </c>
      <c r="AP7" s="9">
        <f>'FIN-P&amp;L_CWS'!AQ129</f>
        <v>46976209.180500016</v>
      </c>
      <c r="AQ7" s="9">
        <f>'FIN-P&amp;L_CWS'!AR129</f>
        <v>46976209.180500016</v>
      </c>
      <c r="AR7" s="9">
        <f>'FIN-P&amp;L_CWS'!AS129</f>
        <v>46976209.180500016</v>
      </c>
      <c r="AS7" s="9">
        <f>'FIN-P&amp;L_CWS'!AT129</f>
        <v>46976209.180500016</v>
      </c>
      <c r="AT7" s="9">
        <f>'FIN-P&amp;L_CWS'!AU129</f>
        <v>46976209.180500016</v>
      </c>
      <c r="AU7" s="9">
        <f>'FIN-P&amp;L_CWS'!AV129</f>
        <v>46976209.180500016</v>
      </c>
      <c r="AV7" s="9">
        <f>'FIN-P&amp;L_CWS'!AW129</f>
        <v>46976209.180500016</v>
      </c>
      <c r="AW7" s="9">
        <f>'FIN-P&amp;L_CWS'!AX129</f>
        <v>46976209.180500016</v>
      </c>
      <c r="AX7" s="9">
        <f>'FIN-P&amp;L_CWS'!AY129</f>
        <v>46976209.180500016</v>
      </c>
      <c r="AY7" s="9">
        <f>'FIN-P&amp;L_CWS'!AZ129</f>
        <v>31316035.222500008</v>
      </c>
      <c r="AZ7" s="9">
        <f>'FIN-P&amp;L_CWS'!BA129</f>
        <v>25373638.168635003</v>
      </c>
      <c r="BA7" s="9">
        <f>'FIN-P&amp;L_CWS'!BB129</f>
        <v>40608973.036285013</v>
      </c>
      <c r="BB7" s="9">
        <f>'FIN-P&amp;L_CWS'!BC129</f>
        <v>45671872.904770017</v>
      </c>
      <c r="BC7" s="9">
        <f>'FIN-P&amp;L_CWS'!BD129</f>
        <v>45671872.904770017</v>
      </c>
      <c r="BD7" s="9">
        <f>'FIN-P&amp;L_CWS'!BE129</f>
        <v>45671872.904770017</v>
      </c>
      <c r="BE7" s="9">
        <f>'FIN-P&amp;L_CWS'!BF129</f>
        <v>45671872.904770017</v>
      </c>
      <c r="BF7" s="9">
        <f>'FIN-P&amp;L_CWS'!BG129</f>
        <v>45671872.904770017</v>
      </c>
      <c r="BG7" s="9">
        <f>'FIN-P&amp;L_CWS'!BH129</f>
        <v>45671872.904770017</v>
      </c>
      <c r="BH7" s="9">
        <f>'FIN-P&amp;L_CWS'!BI129</f>
        <v>45671872.904770017</v>
      </c>
      <c r="BI7" s="9">
        <f>'FIN-P&amp;L_CWS'!BJ129</f>
        <v>45671872.904770017</v>
      </c>
      <c r="BJ7" s="9">
        <f>'FIN-P&amp;L_CWS'!BK129</f>
        <v>45671872.904770017</v>
      </c>
      <c r="BK7" s="9">
        <f>'FIN-P&amp;L_CWS'!BL129</f>
        <v>30460838.765225008</v>
      </c>
    </row>
    <row r="8" spans="1:63" x14ac:dyDescent="0.15">
      <c r="B8" s="44" t="s">
        <v>630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13840916.666666666</v>
      </c>
      <c r="H8" s="9">
        <f>'FIN-P&amp;L_CWS'!I206</f>
        <v>8536750</v>
      </c>
      <c r="I8" s="9">
        <f>'FIN-P&amp;L_CWS'!J206</f>
        <v>9216583.3333333321</v>
      </c>
      <c r="J8" s="9">
        <f>'FIN-P&amp;L_CWS'!K206</f>
        <v>9716583.3333333321</v>
      </c>
      <c r="K8" s="9">
        <f>'FIN-P&amp;L_CWS'!L206</f>
        <v>9716583.3333333321</v>
      </c>
      <c r="L8" s="9">
        <f>'FIN-P&amp;L_CWS'!M206</f>
        <v>9716583.3333333321</v>
      </c>
      <c r="M8" s="9">
        <f>'FIN-P&amp;L_CWS'!N206</f>
        <v>9716583.3333333321</v>
      </c>
      <c r="N8" s="9">
        <f>'FIN-P&amp;L_CWS'!O206</f>
        <v>9716583.3333333321</v>
      </c>
      <c r="O8" s="9">
        <f>'FIN-P&amp;L_CWS'!P206</f>
        <v>9945583.3333333321</v>
      </c>
      <c r="P8" s="9">
        <f>'FIN-P&amp;L_CWS'!Q206</f>
        <v>12854916.666666668</v>
      </c>
      <c r="Q8" s="9">
        <f>'FIN-P&amp;L_CWS'!R206</f>
        <v>12854916.666666668</v>
      </c>
      <c r="R8" s="9">
        <f>'FIN-P&amp;L_CWS'!S206</f>
        <v>12854916.666666668</v>
      </c>
      <c r="S8" s="9">
        <f>'FIN-P&amp;L_CWS'!T206</f>
        <v>11854916.666666668</v>
      </c>
      <c r="T8" s="9">
        <f>'FIN-P&amp;L_CWS'!U206</f>
        <v>11854916.666666668</v>
      </c>
      <c r="U8" s="9">
        <f>'FIN-P&amp;L_CWS'!V206</f>
        <v>11854916.666666668</v>
      </c>
      <c r="V8" s="9">
        <f>'FIN-P&amp;L_CWS'!W206</f>
        <v>11854916.666666668</v>
      </c>
      <c r="W8" s="9">
        <f>'FIN-P&amp;L_CWS'!X206</f>
        <v>11854916.666666668</v>
      </c>
      <c r="X8" s="9">
        <f>'FIN-P&amp;L_CWS'!Y206</f>
        <v>11854916.666666668</v>
      </c>
      <c r="Y8" s="9">
        <f>'FIN-P&amp;L_CWS'!Z206</f>
        <v>11854916.666666668</v>
      </c>
      <c r="Z8" s="9">
        <f>'FIN-P&amp;L_CWS'!AA206</f>
        <v>11854916.666666668</v>
      </c>
      <c r="AA8" s="9">
        <f>'FIN-P&amp;L_CWS'!AB206</f>
        <v>11854916.666666668</v>
      </c>
      <c r="AB8" s="9">
        <f>'FIN-P&amp;L_CWS'!AC206</f>
        <v>14741316.666666668</v>
      </c>
      <c r="AC8" s="9">
        <f>'FIN-P&amp;L_CWS'!AD206</f>
        <v>14741316.666666668</v>
      </c>
      <c r="AD8" s="9">
        <f>'FIN-P&amp;L_CWS'!AE206</f>
        <v>14741316.666666668</v>
      </c>
      <c r="AE8" s="9">
        <f>'FIN-P&amp;L_CWS'!AF206</f>
        <v>14741316.666666668</v>
      </c>
      <c r="AF8" s="9">
        <f>'FIN-P&amp;L_CWS'!AG206</f>
        <v>14741316.666666668</v>
      </c>
      <c r="AG8" s="9">
        <f>'FIN-P&amp;L_CWS'!AH206</f>
        <v>14741316.666666668</v>
      </c>
      <c r="AH8" s="9">
        <f>'FIN-P&amp;L_CWS'!AI206</f>
        <v>14741316.666666668</v>
      </c>
      <c r="AI8" s="9">
        <f>'FIN-P&amp;L_CWS'!AJ206</f>
        <v>14741316.666666668</v>
      </c>
      <c r="AJ8" s="9">
        <f>'FIN-P&amp;L_CWS'!AK206</f>
        <v>14741316.666666668</v>
      </c>
      <c r="AK8" s="9">
        <f>'FIN-P&amp;L_CWS'!AL206</f>
        <v>14741316.666666668</v>
      </c>
      <c r="AL8" s="9">
        <f>'FIN-P&amp;L_CWS'!AM206</f>
        <v>14741316.666666668</v>
      </c>
      <c r="AM8" s="9">
        <f>'FIN-P&amp;L_CWS'!AN206</f>
        <v>14741316.666666668</v>
      </c>
      <c r="AN8" s="9">
        <f>'FIN-P&amp;L_CWS'!AO206</f>
        <v>15445184.666666668</v>
      </c>
      <c r="AO8" s="9">
        <f>'FIN-P&amp;L_CWS'!AP206</f>
        <v>15445184.666666668</v>
      </c>
      <c r="AP8" s="9">
        <f>'FIN-P&amp;L_CWS'!AQ206</f>
        <v>15445184.666666668</v>
      </c>
      <c r="AQ8" s="9">
        <f>'FIN-P&amp;L_CWS'!AR206</f>
        <v>15445184.666666668</v>
      </c>
      <c r="AR8" s="9">
        <f>'FIN-P&amp;L_CWS'!AS206</f>
        <v>15445184.666666668</v>
      </c>
      <c r="AS8" s="9">
        <f>'FIN-P&amp;L_CWS'!AT206</f>
        <v>15445184.666666668</v>
      </c>
      <c r="AT8" s="9">
        <f>'FIN-P&amp;L_CWS'!AU206</f>
        <v>15445184.666666668</v>
      </c>
      <c r="AU8" s="9">
        <f>'FIN-P&amp;L_CWS'!AV206</f>
        <v>15445184.666666668</v>
      </c>
      <c r="AV8" s="9">
        <f>'FIN-P&amp;L_CWS'!AW206</f>
        <v>15445184.666666668</v>
      </c>
      <c r="AW8" s="9">
        <f>'FIN-P&amp;L_CWS'!AX206</f>
        <v>15445184.666666668</v>
      </c>
      <c r="AX8" s="9">
        <f>'FIN-P&amp;L_CWS'!AY206</f>
        <v>15445184.666666668</v>
      </c>
      <c r="AY8" s="9">
        <f>'FIN-P&amp;L_CWS'!AZ206</f>
        <v>15445184.666666668</v>
      </c>
      <c r="AZ8" s="9">
        <f>'FIN-P&amp;L_CWS'!BA206</f>
        <v>16216473.42666667</v>
      </c>
      <c r="BA8" s="9">
        <f>'FIN-P&amp;L_CWS'!BB206</f>
        <v>16216473.42666667</v>
      </c>
      <c r="BB8" s="9">
        <f>'FIN-P&amp;L_CWS'!BC206</f>
        <v>16216473.42666667</v>
      </c>
      <c r="BC8" s="9">
        <f>'FIN-P&amp;L_CWS'!BD206</f>
        <v>16216473.42666667</v>
      </c>
      <c r="BD8" s="9">
        <f>'FIN-P&amp;L_CWS'!BE206</f>
        <v>16216473.42666667</v>
      </c>
      <c r="BE8" s="9">
        <f>'FIN-P&amp;L_CWS'!BF206</f>
        <v>16216473.42666667</v>
      </c>
      <c r="BF8" s="9">
        <f>'FIN-P&amp;L_CWS'!BG206</f>
        <v>16216473.42666667</v>
      </c>
      <c r="BG8" s="9">
        <f>'FIN-P&amp;L_CWS'!BH206</f>
        <v>16216473.42666667</v>
      </c>
      <c r="BH8" s="9">
        <f>'FIN-P&amp;L_CWS'!BI206</f>
        <v>16216473.42666667</v>
      </c>
      <c r="BI8" s="9">
        <f>'FIN-P&amp;L_CWS'!BJ206</f>
        <v>16216473.42666667</v>
      </c>
      <c r="BJ8" s="9">
        <f>'FIN-P&amp;L_CWS'!BK206</f>
        <v>16216473.42666667</v>
      </c>
      <c r="BK8" s="9">
        <f>'FIN-P&amp;L_CWS'!BL206</f>
        <v>16216473.42666667</v>
      </c>
    </row>
    <row r="9" spans="1:63" x14ac:dyDescent="0.15">
      <c r="B9" s="44" t="s">
        <v>349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-13489916.666666666</v>
      </c>
      <c r="H9" s="9">
        <f>'FIN-P&amp;L_CWS'!I208</f>
        <v>-8055250</v>
      </c>
      <c r="I9" s="9">
        <f>'FIN-P&amp;L_CWS'!J208</f>
        <v>-7629883.3333333321</v>
      </c>
      <c r="J9" s="9">
        <f>'FIN-P&amp;L_CWS'!K208</f>
        <v>-7733283.3333333321</v>
      </c>
      <c r="K9" s="9">
        <f>'FIN-P&amp;L_CWS'!L208</f>
        <v>-7339683.3333333321</v>
      </c>
      <c r="L9" s="9">
        <f>'FIN-P&amp;L_CWS'!M208</f>
        <v>-6943083.3333333321</v>
      </c>
      <c r="M9" s="9">
        <f>'FIN-P&amp;L_CWS'!N208</f>
        <v>-6549483.3333333321</v>
      </c>
      <c r="N9" s="9">
        <f>'FIN-P&amp;L_CWS'!O208</f>
        <v>-6152883.3333333321</v>
      </c>
      <c r="O9" s="9">
        <f>'FIN-P&amp;L_CWS'!P208</f>
        <v>-6778483.3333333321</v>
      </c>
      <c r="P9" s="9">
        <f>'FIN-P&amp;L_CWS'!Q208</f>
        <v>-6641631.6666666679</v>
      </c>
      <c r="Q9" s="9">
        <f>'FIN-P&amp;L_CWS'!R208</f>
        <v>-2911896.6666666679</v>
      </c>
      <c r="R9" s="9">
        <f>'FIN-P&amp;L_CWS'!S208</f>
        <v>-1672131.6666666679</v>
      </c>
      <c r="S9" s="9">
        <f>'FIN-P&amp;L_CWS'!T208</f>
        <v>-672131.66666666791</v>
      </c>
      <c r="T9" s="9">
        <f>'FIN-P&amp;L_CWS'!U208</f>
        <v>-672131.66666666791</v>
      </c>
      <c r="U9" s="9">
        <f>'FIN-P&amp;L_CWS'!V208</f>
        <v>-672131.66666666791</v>
      </c>
      <c r="V9" s="9">
        <f>'FIN-P&amp;L_CWS'!W208</f>
        <v>-672131.66666666791</v>
      </c>
      <c r="W9" s="9">
        <f>'FIN-P&amp;L_CWS'!X208</f>
        <v>-672131.66666666791</v>
      </c>
      <c r="X9" s="9">
        <f>'FIN-P&amp;L_CWS'!Y208</f>
        <v>-672131.66666666791</v>
      </c>
      <c r="Y9" s="9">
        <f>'FIN-P&amp;L_CWS'!Z208</f>
        <v>-672131.66666666791</v>
      </c>
      <c r="Z9" s="9">
        <f>'FIN-P&amp;L_CWS'!AA208</f>
        <v>-672131.66666666791</v>
      </c>
      <c r="AA9" s="9">
        <f>'FIN-P&amp;L_CWS'!AB208</f>
        <v>-4397051.6666666679</v>
      </c>
      <c r="AB9" s="9">
        <f>'FIN-P&amp;L_CWS'!AC208</f>
        <v>-643952.76666666754</v>
      </c>
      <c r="AC9" s="9">
        <f>'FIN-P&amp;L_CWS'!AD208</f>
        <v>7813501.2833333388</v>
      </c>
      <c r="AD9" s="9">
        <f>'FIN-P&amp;L_CWS'!AE208</f>
        <v>10630362.83333334</v>
      </c>
      <c r="AE9" s="9">
        <f>'FIN-P&amp;L_CWS'!AF208</f>
        <v>10630362.83333334</v>
      </c>
      <c r="AF9" s="9">
        <f>'FIN-P&amp;L_CWS'!AG208</f>
        <v>10630362.83333334</v>
      </c>
      <c r="AG9" s="9">
        <f>'FIN-P&amp;L_CWS'!AH208</f>
        <v>10630362.83333334</v>
      </c>
      <c r="AH9" s="9">
        <f>'FIN-P&amp;L_CWS'!AI208</f>
        <v>10630362.83333334</v>
      </c>
      <c r="AI9" s="9">
        <f>'FIN-P&amp;L_CWS'!AJ208</f>
        <v>10630362.83333334</v>
      </c>
      <c r="AJ9" s="9">
        <f>'FIN-P&amp;L_CWS'!AK208</f>
        <v>10630362.83333334</v>
      </c>
      <c r="AK9" s="9">
        <f>'FIN-P&amp;L_CWS'!AL208</f>
        <v>10630362.83333334</v>
      </c>
      <c r="AL9" s="9">
        <f>'FIN-P&amp;L_CWS'!AM208</f>
        <v>10630362.83333334</v>
      </c>
      <c r="AM9" s="9">
        <f>'FIN-P&amp;L_CWS'!AN208</f>
        <v>2172908.7833333313</v>
      </c>
      <c r="AN9" s="9">
        <f>'FIN-P&amp;L_CWS'!AO208</f>
        <v>10651617.612833336</v>
      </c>
      <c r="AO9" s="9">
        <f>'FIN-P&amp;L_CWS'!AP208</f>
        <v>26311791.570833344</v>
      </c>
      <c r="AP9" s="9">
        <f>'FIN-P&amp;L_CWS'!AQ208</f>
        <v>31531024.513833348</v>
      </c>
      <c r="AQ9" s="9">
        <f>'FIN-P&amp;L_CWS'!AR208</f>
        <v>31531024.513833348</v>
      </c>
      <c r="AR9" s="9">
        <f>'FIN-P&amp;L_CWS'!AS208</f>
        <v>31531024.513833348</v>
      </c>
      <c r="AS9" s="9">
        <f>'FIN-P&amp;L_CWS'!AT208</f>
        <v>31531024.513833348</v>
      </c>
      <c r="AT9" s="9">
        <f>'FIN-P&amp;L_CWS'!AU208</f>
        <v>31531024.513833348</v>
      </c>
      <c r="AU9" s="9">
        <f>'FIN-P&amp;L_CWS'!AV208</f>
        <v>31531024.513833348</v>
      </c>
      <c r="AV9" s="9">
        <f>'FIN-P&amp;L_CWS'!AW208</f>
        <v>31531024.513833348</v>
      </c>
      <c r="AW9" s="9">
        <f>'FIN-P&amp;L_CWS'!AX208</f>
        <v>31531024.513833348</v>
      </c>
      <c r="AX9" s="9">
        <f>'FIN-P&amp;L_CWS'!AY208</f>
        <v>31531024.513833348</v>
      </c>
      <c r="AY9" s="9">
        <f>'FIN-P&amp;L_CWS'!AZ208</f>
        <v>15870850.55583334</v>
      </c>
      <c r="AZ9" s="9">
        <f>'FIN-P&amp;L_CWS'!BA208</f>
        <v>9157164.7419683337</v>
      </c>
      <c r="BA9" s="9">
        <f>'FIN-P&amp;L_CWS'!BB208</f>
        <v>24392499.609618343</v>
      </c>
      <c r="BB9" s="9">
        <f>'FIN-P&amp;L_CWS'!BC208</f>
        <v>29455399.478103347</v>
      </c>
      <c r="BC9" s="9">
        <f>'FIN-P&amp;L_CWS'!BD208</f>
        <v>29455399.478103347</v>
      </c>
      <c r="BD9" s="9">
        <f>'FIN-P&amp;L_CWS'!BE208</f>
        <v>29455399.478103347</v>
      </c>
      <c r="BE9" s="9">
        <f>'FIN-P&amp;L_CWS'!BF208</f>
        <v>29455399.478103347</v>
      </c>
      <c r="BF9" s="9">
        <f>'FIN-P&amp;L_CWS'!BG208</f>
        <v>29455399.478103347</v>
      </c>
      <c r="BG9" s="9">
        <f>'FIN-P&amp;L_CWS'!BH208</f>
        <v>29455399.478103347</v>
      </c>
      <c r="BH9" s="9">
        <f>'FIN-P&amp;L_CWS'!BI208</f>
        <v>29455399.478103347</v>
      </c>
      <c r="BI9" s="9">
        <f>'FIN-P&amp;L_CWS'!BJ208</f>
        <v>29455399.478103347</v>
      </c>
      <c r="BJ9" s="9">
        <f>'FIN-P&amp;L_CWS'!BK208</f>
        <v>29455399.478103347</v>
      </c>
      <c r="BK9" s="9">
        <f>'FIN-P&amp;L_CWS'!BL208</f>
        <v>14244365.338558339</v>
      </c>
    </row>
    <row r="10" spans="1:63" x14ac:dyDescent="0.15">
      <c r="B10" s="44" t="s">
        <v>354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-13489916.666666666</v>
      </c>
      <c r="H10" s="9">
        <f>'FIN-P&amp;L_CWS'!I209</f>
        <v>-21545166.666666664</v>
      </c>
      <c r="I10" s="9">
        <f>'FIN-P&amp;L_CWS'!J209</f>
        <v>-29175049.999999996</v>
      </c>
      <c r="J10" s="9">
        <f>'FIN-P&amp;L_CWS'!K209</f>
        <v>-36908333.333333328</v>
      </c>
      <c r="K10" s="9">
        <f>'FIN-P&amp;L_CWS'!L209</f>
        <v>-44248016.666666657</v>
      </c>
      <c r="L10" s="9">
        <f>'FIN-P&amp;L_CWS'!M209</f>
        <v>-51191099.999999985</v>
      </c>
      <c r="M10" s="9">
        <f>'FIN-P&amp;L_CWS'!N209</f>
        <v>-57740583.333333313</v>
      </c>
      <c r="N10" s="9">
        <f>'FIN-P&amp;L_CWS'!O209</f>
        <v>-63893466.666666642</v>
      </c>
      <c r="O10" s="9">
        <f>'FIN-P&amp;L_CWS'!P209</f>
        <v>-70671949.99999997</v>
      </c>
      <c r="P10" s="9">
        <f>'FIN-P&amp;L_CWS'!Q209</f>
        <v>-77313581.666666642</v>
      </c>
      <c r="Q10" s="9">
        <f>'FIN-P&amp;L_CWS'!R209</f>
        <v>-80225478.333333313</v>
      </c>
      <c r="R10" s="9">
        <f>'FIN-P&amp;L_CWS'!S209</f>
        <v>-81897609.999999985</v>
      </c>
      <c r="S10" s="9">
        <f>'FIN-P&amp;L_CWS'!T209</f>
        <v>-82569741.666666657</v>
      </c>
      <c r="T10" s="9">
        <f>'FIN-P&amp;L_CWS'!U209</f>
        <v>-83241873.333333328</v>
      </c>
      <c r="U10" s="9">
        <f>'FIN-P&amp;L_CWS'!V209</f>
        <v>-83914005</v>
      </c>
      <c r="V10" s="9">
        <f>'FIN-P&amp;L_CWS'!W209</f>
        <v>-84586136.666666672</v>
      </c>
      <c r="W10" s="9">
        <f>'FIN-P&amp;L_CWS'!X209</f>
        <v>-85258268.333333343</v>
      </c>
      <c r="X10" s="9">
        <f>'FIN-P&amp;L_CWS'!Y209</f>
        <v>-85930400.000000015</v>
      </c>
      <c r="Y10" s="9">
        <f>'FIN-P&amp;L_CWS'!Z209</f>
        <v>-86602531.666666687</v>
      </c>
      <c r="Z10" s="9">
        <f>'FIN-P&amp;L_CWS'!AA209</f>
        <v>-87274663.333333358</v>
      </c>
      <c r="AA10" s="9">
        <f>'FIN-P&amp;L_CWS'!AB209</f>
        <v>-91671715.00000003</v>
      </c>
      <c r="AB10" s="9">
        <f>'FIN-P&amp;L_CWS'!AC209</f>
        <v>-92315667.766666695</v>
      </c>
      <c r="AC10" s="9">
        <f>'FIN-P&amp;L_CWS'!AD209</f>
        <v>-84502166.483333349</v>
      </c>
      <c r="AD10" s="9">
        <f>'FIN-P&amp;L_CWS'!AE209</f>
        <v>-73871803.650000006</v>
      </c>
      <c r="AE10" s="9">
        <f>'FIN-P&amp;L_CWS'!AF209</f>
        <v>-63241440.816666663</v>
      </c>
      <c r="AF10" s="9">
        <f>'FIN-P&amp;L_CWS'!AG209</f>
        <v>-52611077.983333319</v>
      </c>
      <c r="AG10" s="9">
        <f>'FIN-P&amp;L_CWS'!AH209</f>
        <v>-41980715.149999976</v>
      </c>
      <c r="AH10" s="9">
        <f>'FIN-P&amp;L_CWS'!AI209</f>
        <v>-31350352.316666637</v>
      </c>
      <c r="AI10" s="9">
        <f>'FIN-P&amp;L_CWS'!AJ209</f>
        <v>-20719989.483333297</v>
      </c>
      <c r="AJ10" s="9">
        <f>'FIN-P&amp;L_CWS'!AK209</f>
        <v>-10089626.649999958</v>
      </c>
      <c r="AK10" s="9">
        <f>'FIN-P&amp;L_CWS'!AL209</f>
        <v>540736.18333338201</v>
      </c>
      <c r="AL10" s="9">
        <f>'FIN-P&amp;L_CWS'!AM209</f>
        <v>11171099.016666722</v>
      </c>
      <c r="AM10" s="9">
        <f>'FIN-P&amp;L_CWS'!AN209</f>
        <v>13344007.800000053</v>
      </c>
      <c r="AN10" s="9">
        <f>'FIN-P&amp;L_CWS'!AO209</f>
        <v>23995625.412833389</v>
      </c>
      <c r="AO10" s="9">
        <f>'FIN-P&amp;L_CWS'!AP209</f>
        <v>50307416.983666733</v>
      </c>
      <c r="AP10" s="9">
        <f>'FIN-P&amp;L_CWS'!AQ209</f>
        <v>81838441.497500077</v>
      </c>
      <c r="AQ10" s="9">
        <f>'FIN-P&amp;L_CWS'!AR209</f>
        <v>113369466.01133342</v>
      </c>
      <c r="AR10" s="9">
        <f>'FIN-P&amp;L_CWS'!AS209</f>
        <v>144900490.52516678</v>
      </c>
      <c r="AS10" s="9">
        <f>'FIN-P&amp;L_CWS'!AT209</f>
        <v>176431515.03900012</v>
      </c>
      <c r="AT10" s="9">
        <f>'FIN-P&amp;L_CWS'!AU209</f>
        <v>207962539.55283347</v>
      </c>
      <c r="AU10" s="9">
        <f>'FIN-P&amp;L_CWS'!AV209</f>
        <v>239493564.06666681</v>
      </c>
      <c r="AV10" s="9">
        <f>'FIN-P&amp;L_CWS'!AW209</f>
        <v>271024588.58050019</v>
      </c>
      <c r="AW10" s="9">
        <f>'FIN-P&amp;L_CWS'!AX209</f>
        <v>302555613.09433353</v>
      </c>
      <c r="AX10" s="9">
        <f>'FIN-P&amp;L_CWS'!AY209</f>
        <v>334086637.60816687</v>
      </c>
      <c r="AY10" s="9">
        <f>'FIN-P&amp;L_CWS'!AZ209</f>
        <v>349957488.16400021</v>
      </c>
      <c r="AZ10" s="9">
        <f>'FIN-P&amp;L_CWS'!BA209</f>
        <v>359114652.90596855</v>
      </c>
      <c r="BA10" s="9">
        <f>'FIN-P&amp;L_CWS'!BB209</f>
        <v>383507152.51558691</v>
      </c>
      <c r="BB10" s="9">
        <f>'FIN-P&amp;L_CWS'!BC209</f>
        <v>412962551.99369025</v>
      </c>
      <c r="BC10" s="9">
        <f>'FIN-P&amp;L_CWS'!BD209</f>
        <v>442417951.47179359</v>
      </c>
      <c r="BD10" s="9">
        <f>'FIN-P&amp;L_CWS'!BE209</f>
        <v>471873350.94989693</v>
      </c>
      <c r="BE10" s="9">
        <f>'FIN-P&amp;L_CWS'!BF209</f>
        <v>501328750.42800027</v>
      </c>
      <c r="BF10" s="9">
        <f>'FIN-P&amp;L_CWS'!BG209</f>
        <v>530784149.90610361</v>
      </c>
      <c r="BG10" s="9">
        <f>'FIN-P&amp;L_CWS'!BH209</f>
        <v>560239549.38420701</v>
      </c>
      <c r="BH10" s="9">
        <f>'FIN-P&amp;L_CWS'!BI209</f>
        <v>589694948.86231041</v>
      </c>
      <c r="BI10" s="9">
        <f>'FIN-P&amp;L_CWS'!BJ209</f>
        <v>619150348.34041381</v>
      </c>
      <c r="BJ10" s="9">
        <f>'FIN-P&amp;L_CWS'!BK209</f>
        <v>648605747.81851721</v>
      </c>
      <c r="BK10" s="9">
        <f>'FIN-P&amp;L_CWS'!BL209</f>
        <v>662850113.15707552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406" t="s">
        <v>35</v>
      </c>
      <c r="E13" s="406"/>
      <c r="F13" s="406"/>
      <c r="G13" s="406"/>
      <c r="H13" s="406"/>
      <c r="I13" s="406"/>
      <c r="J13" s="406"/>
      <c r="K13" s="406"/>
      <c r="L13" s="406"/>
      <c r="M13" s="406"/>
      <c r="N13" s="406"/>
      <c r="O13" s="406"/>
      <c r="P13" s="406" t="s">
        <v>36</v>
      </c>
      <c r="Q13" s="406"/>
      <c r="R13" s="406"/>
      <c r="S13" s="406"/>
      <c r="T13" s="406"/>
      <c r="U13" s="406"/>
      <c r="V13" s="406"/>
      <c r="W13" s="406"/>
      <c r="X13" s="406"/>
      <c r="Y13" s="406"/>
      <c r="Z13" s="406"/>
      <c r="AA13" s="406"/>
      <c r="AB13" s="406" t="s">
        <v>37</v>
      </c>
      <c r="AC13" s="406"/>
      <c r="AD13" s="406"/>
      <c r="AE13" s="406"/>
      <c r="AF13" s="406"/>
      <c r="AG13" s="406"/>
      <c r="AH13" s="406"/>
      <c r="AI13" s="406"/>
      <c r="AJ13" s="406"/>
      <c r="AK13" s="406"/>
      <c r="AL13" s="406"/>
      <c r="AM13" s="406"/>
      <c r="AN13" s="406" t="s">
        <v>38</v>
      </c>
      <c r="AO13" s="406"/>
      <c r="AP13" s="406"/>
      <c r="AQ13" s="406"/>
      <c r="AR13" s="406"/>
      <c r="AS13" s="406"/>
      <c r="AT13" s="406"/>
      <c r="AU13" s="406"/>
      <c r="AV13" s="406"/>
      <c r="AW13" s="406"/>
      <c r="AX13" s="406"/>
      <c r="AY13" s="406"/>
      <c r="AZ13" s="406" t="s">
        <v>39</v>
      </c>
      <c r="BA13" s="406"/>
      <c r="BB13" s="406"/>
      <c r="BC13" s="406"/>
      <c r="BD13" s="406"/>
      <c r="BE13" s="406"/>
      <c r="BF13" s="406"/>
      <c r="BG13" s="406"/>
      <c r="BH13" s="406"/>
      <c r="BI13" s="406"/>
      <c r="BJ13" s="406"/>
      <c r="BK13" s="406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686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78</v>
      </c>
      <c r="H15" s="206">
        <f>'REV-REVCALC_CWS'!G13</f>
        <v>107</v>
      </c>
      <c r="I15" s="206">
        <f>'REV-REVCALC_CWS'!H13</f>
        <v>159</v>
      </c>
      <c r="J15" s="206">
        <f>'REV-REVCALC_CWS'!I13</f>
        <v>199</v>
      </c>
      <c r="K15" s="206">
        <f>'REV-REVCALC_CWS'!J13</f>
        <v>239</v>
      </c>
      <c r="L15" s="206">
        <f>'REV-REVCALC_CWS'!K13</f>
        <v>279</v>
      </c>
      <c r="M15" s="206">
        <f>'REV-REVCALC_CWS'!L13</f>
        <v>319</v>
      </c>
      <c r="N15" s="206">
        <f>'REV-REVCALC_CWS'!M13</f>
        <v>359</v>
      </c>
      <c r="O15" s="206">
        <f>'REV-REVCALC_CWS'!N13</f>
        <v>319</v>
      </c>
      <c r="P15" s="206">
        <f>'REV-REVCALC_CWS'!O13</f>
        <v>567</v>
      </c>
      <c r="Q15" s="206">
        <f>'REV-REVCALC_CWS'!P13</f>
        <v>908</v>
      </c>
      <c r="R15" s="206">
        <f>'REV-REVCALC_CWS'!Q13</f>
        <v>1021</v>
      </c>
      <c r="S15" s="206">
        <f>'REV-REVCALC_CWS'!R13</f>
        <v>1021</v>
      </c>
      <c r="T15" s="206">
        <f>'REV-REVCALC_CWS'!S13</f>
        <v>1021</v>
      </c>
      <c r="U15" s="206">
        <f>'REV-REVCALC_CWS'!T13</f>
        <v>1021</v>
      </c>
      <c r="V15" s="206">
        <f>'REV-REVCALC_CWS'!U13</f>
        <v>1021</v>
      </c>
      <c r="W15" s="206">
        <f>'REV-REVCALC_CWS'!V13</f>
        <v>1021</v>
      </c>
      <c r="X15" s="206">
        <f>'REV-REVCALC_CWS'!W13</f>
        <v>1021</v>
      </c>
      <c r="Y15" s="206">
        <f>'REV-REVCALC_CWS'!X13</f>
        <v>1021</v>
      </c>
      <c r="Z15" s="206">
        <f>'REV-REVCALC_CWS'!Y13</f>
        <v>1021</v>
      </c>
      <c r="AA15" s="206">
        <f>'REV-REVCALC_CWS'!Z13</f>
        <v>681</v>
      </c>
      <c r="AB15" s="206">
        <f>'REV-REVCALC_CWS'!AA13</f>
        <v>726</v>
      </c>
      <c r="AC15" s="206">
        <f>'REV-REVCALC_CWS'!AB13</f>
        <v>1161</v>
      </c>
      <c r="AD15" s="206">
        <f>'REV-REVCALC_CWS'!AC13</f>
        <v>1306</v>
      </c>
      <c r="AE15" s="206">
        <f>'REV-REVCALC_CWS'!AD13</f>
        <v>1306</v>
      </c>
      <c r="AF15" s="206">
        <f>'REV-REVCALC_CWS'!AE13</f>
        <v>1306</v>
      </c>
      <c r="AG15" s="206">
        <f>'REV-REVCALC_CWS'!AF13</f>
        <v>1306</v>
      </c>
      <c r="AH15" s="206">
        <f>'REV-REVCALC_CWS'!AG13</f>
        <v>1306</v>
      </c>
      <c r="AI15" s="206">
        <f>'REV-REVCALC_CWS'!AH13</f>
        <v>1306</v>
      </c>
      <c r="AJ15" s="206">
        <f>'REV-REVCALC_CWS'!AI13</f>
        <v>1306</v>
      </c>
      <c r="AK15" s="206">
        <f>'REV-REVCALC_CWS'!AJ13</f>
        <v>1306</v>
      </c>
      <c r="AL15" s="206">
        <f>'REV-REVCALC_CWS'!AK13</f>
        <v>1306</v>
      </c>
      <c r="AM15" s="206">
        <f>'REV-REVCALC_CWS'!AL13</f>
        <v>871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679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669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349</v>
      </c>
      <c r="D19" s="9">
        <f>'REV-REVCALC_CWS'!C94</f>
        <v>0</v>
      </c>
      <c r="E19" s="9">
        <f>'REV-REVCALC_CWS'!D94</f>
        <v>0</v>
      </c>
      <c r="F19" s="9">
        <f>'REV-REVCALC_CWS'!E94</f>
        <v>0</v>
      </c>
      <c r="G19" s="9">
        <f>'REV-REVCALC_CWS'!F94</f>
        <v>1092000</v>
      </c>
      <c r="H19" s="9">
        <f>'REV-REVCALC_CWS'!G94</f>
        <v>1498000</v>
      </c>
      <c r="I19" s="9">
        <f>'REV-REVCALC_CWS'!H94</f>
        <v>3918000</v>
      </c>
      <c r="J19" s="9">
        <f>'REV-REVCALC_CWS'!I94</f>
        <v>4897000</v>
      </c>
      <c r="K19" s="9">
        <f>'REV-REVCALC_CWS'!J94</f>
        <v>5873000</v>
      </c>
      <c r="L19" s="9">
        <f>'REV-REVCALC_CWS'!K94</f>
        <v>6852000</v>
      </c>
      <c r="M19" s="9">
        <f>'REV-REVCALC_CWS'!L94</f>
        <v>7828000</v>
      </c>
      <c r="N19" s="9">
        <f>'REV-REVCALC_CWS'!M94</f>
        <v>8807000</v>
      </c>
      <c r="O19" s="9">
        <f>'REV-REVCALC_CWS'!N94</f>
        <v>7828000</v>
      </c>
      <c r="P19" s="9">
        <f>'REV-REVCALC_CWS'!O94</f>
        <v>15196140</v>
      </c>
      <c r="Q19" s="9">
        <f>'REV-REVCALC_CWS'!P94</f>
        <v>24323240</v>
      </c>
      <c r="R19" s="9">
        <f>'REV-REVCALC_CWS'!Q94</f>
        <v>27354550</v>
      </c>
      <c r="S19" s="9">
        <f>'REV-REVCALC_CWS'!R94</f>
        <v>27354550</v>
      </c>
      <c r="T19" s="9">
        <f>'REV-REVCALC_CWS'!S94</f>
        <v>27354550</v>
      </c>
      <c r="U19" s="9">
        <f>'REV-REVCALC_CWS'!T94</f>
        <v>27354550</v>
      </c>
      <c r="V19" s="9">
        <f>'REV-REVCALC_CWS'!U94</f>
        <v>27354550</v>
      </c>
      <c r="W19" s="9">
        <f>'REV-REVCALC_CWS'!V94</f>
        <v>27354550</v>
      </c>
      <c r="X19" s="9">
        <f>'REV-REVCALC_CWS'!W94</f>
        <v>27354550</v>
      </c>
      <c r="Y19" s="9">
        <f>'REV-REVCALC_CWS'!X94</f>
        <v>27354550</v>
      </c>
      <c r="Z19" s="9">
        <f>'REV-REVCALC_CWS'!Y94</f>
        <v>27354550</v>
      </c>
      <c r="AA19" s="9">
        <f>'REV-REVCALC_CWS'!Z94</f>
        <v>18242430</v>
      </c>
      <c r="AB19" s="9">
        <f>'REV-REVCALC_CWS'!AA94</f>
        <v>31448113.200000003</v>
      </c>
      <c r="AC19" s="9">
        <f>'REV-REVCALC_CWS'!AB94</f>
        <v>50312630.5</v>
      </c>
      <c r="AD19" s="9">
        <f>'REV-REVCALC_CWS'!AC94</f>
        <v>56594696.800000004</v>
      </c>
      <c r="AE19" s="9">
        <f>'REV-REVCALC_CWS'!AD94</f>
        <v>56594696.800000004</v>
      </c>
      <c r="AF19" s="9">
        <f>'REV-REVCALC_CWS'!AE94</f>
        <v>56594696.800000004</v>
      </c>
      <c r="AG19" s="9">
        <f>'REV-REVCALC_CWS'!AF94</f>
        <v>56594696.800000004</v>
      </c>
      <c r="AH19" s="9">
        <f>'REV-REVCALC_CWS'!AG94</f>
        <v>56594696.800000004</v>
      </c>
      <c r="AI19" s="9">
        <f>'REV-REVCALC_CWS'!AH94</f>
        <v>56594696.800000004</v>
      </c>
      <c r="AJ19" s="9">
        <f>'REV-REVCALC_CWS'!AI94</f>
        <v>56594696.800000004</v>
      </c>
      <c r="AK19" s="9">
        <f>'REV-REVCALC_CWS'!AJ94</f>
        <v>56594696.800000004</v>
      </c>
      <c r="AL19" s="9">
        <f>'REV-REVCALC_CWS'!AK94</f>
        <v>56594696.800000004</v>
      </c>
      <c r="AM19" s="9">
        <f>'REV-REVCALC_CWS'!AL94</f>
        <v>37730179.5</v>
      </c>
      <c r="AN19" s="9">
        <f>'REV-REVCALC_CWS'!AM94</f>
        <v>60348068.266000003</v>
      </c>
      <c r="AO19" s="9">
        <f>'REV-REVCALC_CWS'!AN94</f>
        <v>96566464.561000019</v>
      </c>
      <c r="AP19" s="9">
        <f>'REV-REVCALC_CWS'!AO94</f>
        <v>108638038.28300001</v>
      </c>
      <c r="AQ19" s="9">
        <f>'REV-REVCALC_CWS'!AP94</f>
        <v>108638038.28300001</v>
      </c>
      <c r="AR19" s="9">
        <f>'REV-REVCALC_CWS'!AQ94</f>
        <v>108638038.28300001</v>
      </c>
      <c r="AS19" s="9">
        <f>'REV-REVCALC_CWS'!AR94</f>
        <v>108638038.28300001</v>
      </c>
      <c r="AT19" s="9">
        <f>'REV-REVCALC_CWS'!AS94</f>
        <v>108638038.28300001</v>
      </c>
      <c r="AU19" s="9">
        <f>'REV-REVCALC_CWS'!AT94</f>
        <v>108638038.28300001</v>
      </c>
      <c r="AV19" s="9">
        <f>'REV-REVCALC_CWS'!AU94</f>
        <v>108638038.28300001</v>
      </c>
      <c r="AW19" s="9">
        <f>'REV-REVCALC_CWS'!AV94</f>
        <v>108638038.28300001</v>
      </c>
      <c r="AX19" s="9">
        <f>'REV-REVCALC_CWS'!AW94</f>
        <v>108638038.28300001</v>
      </c>
      <c r="AY19" s="9">
        <f>'REV-REVCALC_CWS'!AX94</f>
        <v>72419641.98800002</v>
      </c>
      <c r="AZ19" s="9">
        <f>'REV-REVCALC_CWS'!AY94</f>
        <v>62991184.291510016</v>
      </c>
      <c r="BA19" s="9">
        <f>'REV-REVCALC_CWS'!AZ94</f>
        <v>100812429.48098002</v>
      </c>
      <c r="BB19" s="9">
        <f>'REV-REVCALC_CWS'!BA94</f>
        <v>113390048.31604002</v>
      </c>
      <c r="BC19" s="9">
        <f>'REV-REVCALC_CWS'!BB94</f>
        <v>113390048.31604002</v>
      </c>
      <c r="BD19" s="9">
        <f>'REV-REVCALC_CWS'!BC94</f>
        <v>113390048.31604002</v>
      </c>
      <c r="BE19" s="9">
        <f>'REV-REVCALC_CWS'!BD94</f>
        <v>113390048.31604002</v>
      </c>
      <c r="BF19" s="9">
        <f>'REV-REVCALC_CWS'!BE94</f>
        <v>113390048.31604002</v>
      </c>
      <c r="BG19" s="9">
        <f>'REV-REVCALC_CWS'!BF94</f>
        <v>113390048.31604002</v>
      </c>
      <c r="BH19" s="9">
        <f>'REV-REVCALC_CWS'!BG94</f>
        <v>113390048.31604002</v>
      </c>
      <c r="BI19" s="9">
        <f>'REV-REVCALC_CWS'!BH94</f>
        <v>113390048.31604002</v>
      </c>
      <c r="BJ19" s="9">
        <f>'REV-REVCALC_CWS'!BI94</f>
        <v>113390048.31604002</v>
      </c>
      <c r="BK19" s="9">
        <f>'REV-REVCALC_CWS'!BJ94</f>
        <v>75620206.846770018</v>
      </c>
    </row>
    <row r="20" spans="2:63" x14ac:dyDescent="0.15">
      <c r="B20" s="33" t="s">
        <v>354</v>
      </c>
      <c r="C20" s="197"/>
      <c r="D20" s="9">
        <f>'REV-REVCALC_CWS'!C95</f>
        <v>0</v>
      </c>
      <c r="E20" s="9">
        <f>'REV-REVCALC_CWS'!D95</f>
        <v>0</v>
      </c>
      <c r="F20" s="9">
        <f>'REV-REVCALC_CWS'!E95</f>
        <v>0</v>
      </c>
      <c r="G20" s="9">
        <f>'REV-REVCALC_CWS'!F95</f>
        <v>351000</v>
      </c>
      <c r="H20" s="9">
        <f>'REV-REVCALC_CWS'!G95</f>
        <v>481500</v>
      </c>
      <c r="I20" s="9">
        <f>'REV-REVCALC_CWS'!H95</f>
        <v>1586700</v>
      </c>
      <c r="J20" s="9">
        <f>'REV-REVCALC_CWS'!I95</f>
        <v>1983300</v>
      </c>
      <c r="K20" s="9">
        <f>'REV-REVCALC_CWS'!J95</f>
        <v>2376900</v>
      </c>
      <c r="L20" s="9">
        <f>'REV-REVCALC_CWS'!K95</f>
        <v>2773500</v>
      </c>
      <c r="M20" s="9">
        <f>'REV-REVCALC_CWS'!L95</f>
        <v>3167100</v>
      </c>
      <c r="N20" s="9">
        <f>'REV-REVCALC_CWS'!M95</f>
        <v>3563700</v>
      </c>
      <c r="O20" s="9">
        <f>'REV-REVCALC_CWS'!N95</f>
        <v>3167100</v>
      </c>
      <c r="P20" s="9">
        <f>'REV-REVCALC_CWS'!O95</f>
        <v>6213285</v>
      </c>
      <c r="Q20" s="9">
        <f>'REV-REVCALC_CWS'!P95</f>
        <v>9943020</v>
      </c>
      <c r="R20" s="9">
        <f>'REV-REVCALC_CWS'!Q95</f>
        <v>11182785</v>
      </c>
      <c r="S20" s="9">
        <f>'REV-REVCALC_CWS'!R95</f>
        <v>11182785</v>
      </c>
      <c r="T20" s="9">
        <f>'REV-REVCALC_CWS'!S95</f>
        <v>11182785</v>
      </c>
      <c r="U20" s="9">
        <f>'REV-REVCALC_CWS'!T95</f>
        <v>11182785</v>
      </c>
      <c r="V20" s="9">
        <f>'REV-REVCALC_CWS'!U95</f>
        <v>11182785</v>
      </c>
      <c r="W20" s="9">
        <f>'REV-REVCALC_CWS'!V95</f>
        <v>11182785</v>
      </c>
      <c r="X20" s="9">
        <f>'REV-REVCALC_CWS'!W95</f>
        <v>11182785</v>
      </c>
      <c r="Y20" s="9">
        <f>'REV-REVCALC_CWS'!X95</f>
        <v>11182785</v>
      </c>
      <c r="Z20" s="9">
        <f>'REV-REVCALC_CWS'!Y95</f>
        <v>11182785</v>
      </c>
      <c r="AA20" s="9">
        <f>'REV-REVCALC_CWS'!Z95</f>
        <v>7457865</v>
      </c>
      <c r="AB20" s="9">
        <f>'REV-REVCALC_CWS'!AA95</f>
        <v>14097363.9</v>
      </c>
      <c r="AC20" s="9">
        <f>'REV-REVCALC_CWS'!AB95</f>
        <v>22554817.950000007</v>
      </c>
      <c r="AD20" s="9">
        <f>'REV-REVCALC_CWS'!AC95</f>
        <v>25371679.500000007</v>
      </c>
      <c r="AE20" s="9">
        <f>'REV-REVCALC_CWS'!AD95</f>
        <v>25371679.500000007</v>
      </c>
      <c r="AF20" s="9">
        <f>'REV-REVCALC_CWS'!AE95</f>
        <v>25371679.500000007</v>
      </c>
      <c r="AG20" s="9">
        <f>'REV-REVCALC_CWS'!AF95</f>
        <v>25371679.500000007</v>
      </c>
      <c r="AH20" s="9">
        <f>'REV-REVCALC_CWS'!AG95</f>
        <v>25371679.500000007</v>
      </c>
      <c r="AI20" s="9">
        <f>'REV-REVCALC_CWS'!AH95</f>
        <v>25371679.500000007</v>
      </c>
      <c r="AJ20" s="9">
        <f>'REV-REVCALC_CWS'!AI95</f>
        <v>25371679.500000007</v>
      </c>
      <c r="AK20" s="9">
        <f>'REV-REVCALC_CWS'!AJ95</f>
        <v>25371679.500000007</v>
      </c>
      <c r="AL20" s="9">
        <f>'REV-REVCALC_CWS'!AK95</f>
        <v>25371679.500000007</v>
      </c>
      <c r="AM20" s="9">
        <f>'REV-REVCALC_CWS'!AL95</f>
        <v>16914225.449999999</v>
      </c>
      <c r="AN20" s="9">
        <f>'REV-REVCALC_CWS'!AM95</f>
        <v>26096802.279500004</v>
      </c>
      <c r="AO20" s="9">
        <f>'REV-REVCALC_CWS'!AN95</f>
        <v>41756976.237500012</v>
      </c>
      <c r="AP20" s="9">
        <f>'REV-REVCALC_CWS'!AO95</f>
        <v>46976209.180500016</v>
      </c>
      <c r="AQ20" s="9">
        <f>'REV-REVCALC_CWS'!AP95</f>
        <v>46976209.180500016</v>
      </c>
      <c r="AR20" s="9">
        <f>'REV-REVCALC_CWS'!AQ95</f>
        <v>46976209.180500016</v>
      </c>
      <c r="AS20" s="9">
        <f>'REV-REVCALC_CWS'!AR95</f>
        <v>46976209.180500016</v>
      </c>
      <c r="AT20" s="9">
        <f>'REV-REVCALC_CWS'!AS95</f>
        <v>46976209.180500016</v>
      </c>
      <c r="AU20" s="9">
        <f>'REV-REVCALC_CWS'!AT95</f>
        <v>46976209.180500016</v>
      </c>
      <c r="AV20" s="9">
        <f>'REV-REVCALC_CWS'!AU95</f>
        <v>46976209.180500016</v>
      </c>
      <c r="AW20" s="9">
        <f>'REV-REVCALC_CWS'!AV95</f>
        <v>46976209.180500016</v>
      </c>
      <c r="AX20" s="9">
        <f>'REV-REVCALC_CWS'!AW95</f>
        <v>46976209.180500016</v>
      </c>
      <c r="AY20" s="9">
        <f>'REV-REVCALC_CWS'!AX95</f>
        <v>31316035.222500008</v>
      </c>
      <c r="AZ20" s="9">
        <f>'REV-REVCALC_CWS'!AY95</f>
        <v>25373638.168635003</v>
      </c>
      <c r="BA20" s="9">
        <f>'REV-REVCALC_CWS'!AZ95</f>
        <v>40608973.036285006</v>
      </c>
      <c r="BB20" s="9">
        <f>'REV-REVCALC_CWS'!BA95</f>
        <v>45671872.904770017</v>
      </c>
      <c r="BC20" s="9">
        <f>'REV-REVCALC_CWS'!BB95</f>
        <v>45671872.904770017</v>
      </c>
      <c r="BD20" s="9">
        <f>'REV-REVCALC_CWS'!BC95</f>
        <v>45671872.904770017</v>
      </c>
      <c r="BE20" s="9">
        <f>'REV-REVCALC_CWS'!BD95</f>
        <v>45671872.904770017</v>
      </c>
      <c r="BF20" s="9">
        <f>'REV-REVCALC_CWS'!BE95</f>
        <v>45671872.904770017</v>
      </c>
      <c r="BG20" s="9">
        <f>'REV-REVCALC_CWS'!BF95</f>
        <v>45671872.904770017</v>
      </c>
      <c r="BH20" s="9">
        <f>'REV-REVCALC_CWS'!BG95</f>
        <v>45671872.904770017</v>
      </c>
      <c r="BI20" s="9">
        <f>'REV-REVCALC_CWS'!BH95</f>
        <v>45671872.904770017</v>
      </c>
      <c r="BJ20" s="9">
        <f>'REV-REVCALC_CWS'!BI95</f>
        <v>45671872.904770017</v>
      </c>
      <c r="BK20" s="9">
        <f>'REV-REVCALC_CWS'!BJ95</f>
        <v>30460838.765225008</v>
      </c>
    </row>
    <row r="21" spans="2:63" x14ac:dyDescent="0.15">
      <c r="B21" s="190" t="s">
        <v>680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406" t="s">
        <v>35</v>
      </c>
      <c r="E24" s="406"/>
      <c r="F24" s="406"/>
      <c r="G24" s="406"/>
      <c r="H24" s="406"/>
      <c r="I24" s="406"/>
      <c r="J24" s="406"/>
      <c r="K24" s="406"/>
      <c r="L24" s="406"/>
      <c r="M24" s="406"/>
      <c r="N24" s="406"/>
      <c r="O24" s="406"/>
      <c r="P24" s="406" t="s">
        <v>36</v>
      </c>
      <c r="Q24" s="406"/>
      <c r="R24" s="406"/>
      <c r="S24" s="406"/>
      <c r="T24" s="406"/>
      <c r="U24" s="406"/>
      <c r="V24" s="406"/>
      <c r="W24" s="406"/>
      <c r="X24" s="406"/>
      <c r="Y24" s="406"/>
      <c r="Z24" s="406"/>
      <c r="AA24" s="406"/>
      <c r="AB24" s="406" t="s">
        <v>37</v>
      </c>
      <c r="AC24" s="406"/>
      <c r="AD24" s="406"/>
      <c r="AE24" s="406"/>
      <c r="AF24" s="406"/>
      <c r="AG24" s="406"/>
      <c r="AH24" s="406"/>
      <c r="AI24" s="406"/>
      <c r="AJ24" s="406"/>
      <c r="AK24" s="406"/>
      <c r="AL24" s="406"/>
      <c r="AM24" s="406"/>
      <c r="AN24" s="406" t="s">
        <v>38</v>
      </c>
      <c r="AO24" s="406"/>
      <c r="AP24" s="406"/>
      <c r="AQ24" s="406"/>
      <c r="AR24" s="406"/>
      <c r="AS24" s="406"/>
      <c r="AT24" s="406"/>
      <c r="AU24" s="406"/>
      <c r="AV24" s="406"/>
      <c r="AW24" s="406"/>
      <c r="AX24" s="406"/>
      <c r="AY24" s="406"/>
      <c r="AZ24" s="406" t="s">
        <v>39</v>
      </c>
      <c r="BA24" s="406"/>
      <c r="BB24" s="406"/>
      <c r="BC24" s="406"/>
      <c r="BD24" s="406"/>
      <c r="BE24" s="406"/>
      <c r="BF24" s="406"/>
      <c r="BG24" s="406"/>
      <c r="BH24" s="406"/>
      <c r="BI24" s="406"/>
      <c r="BJ24" s="406"/>
      <c r="BK24" s="406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354</v>
      </c>
      <c r="C26" s="197"/>
      <c r="D26" s="9">
        <f>'REV-REVCALC_CWS'!C95</f>
        <v>0</v>
      </c>
      <c r="E26" s="9">
        <f>'REV-REVCALC_CWS'!D95</f>
        <v>0</v>
      </c>
      <c r="F26" s="9">
        <f>'REV-REVCALC_CWS'!E95</f>
        <v>0</v>
      </c>
      <c r="G26" s="9">
        <f>'REV-REVCALC_CWS'!F95</f>
        <v>351000</v>
      </c>
      <c r="H26" s="9">
        <f>'REV-REVCALC_CWS'!G95</f>
        <v>481500</v>
      </c>
      <c r="I26" s="9">
        <f>'REV-REVCALC_CWS'!H95</f>
        <v>1586700</v>
      </c>
      <c r="J26" s="9">
        <f>'REV-REVCALC_CWS'!I95</f>
        <v>1983300</v>
      </c>
      <c r="K26" s="9">
        <f>'REV-REVCALC_CWS'!J95</f>
        <v>2376900</v>
      </c>
      <c r="L26" s="9">
        <f>'REV-REVCALC_CWS'!K95</f>
        <v>2773500</v>
      </c>
      <c r="M26" s="9">
        <f>'REV-REVCALC_CWS'!L95</f>
        <v>3167100</v>
      </c>
      <c r="N26" s="9">
        <f>'REV-REVCALC_CWS'!M95</f>
        <v>3563700</v>
      </c>
      <c r="O26" s="9">
        <f>'REV-REVCALC_CWS'!N95</f>
        <v>3167100</v>
      </c>
      <c r="P26" s="9">
        <f>'REV-REVCALC_CWS'!O95</f>
        <v>6213285</v>
      </c>
      <c r="Q26" s="9">
        <f>'REV-REVCALC_CWS'!P95</f>
        <v>9943020</v>
      </c>
      <c r="R26" s="9">
        <f>'REV-REVCALC_CWS'!Q95</f>
        <v>11182785</v>
      </c>
      <c r="S26" s="9">
        <f>'REV-REVCALC_CWS'!R95</f>
        <v>11182785</v>
      </c>
      <c r="T26" s="9">
        <f>'REV-REVCALC_CWS'!S95</f>
        <v>11182785</v>
      </c>
      <c r="U26" s="9">
        <f>'REV-REVCALC_CWS'!T95</f>
        <v>11182785</v>
      </c>
      <c r="V26" s="9">
        <f>'REV-REVCALC_CWS'!U95</f>
        <v>11182785</v>
      </c>
      <c r="W26" s="9">
        <f>'REV-REVCALC_CWS'!V95</f>
        <v>11182785</v>
      </c>
      <c r="X26" s="9">
        <f>'REV-REVCALC_CWS'!W95</f>
        <v>11182785</v>
      </c>
      <c r="Y26" s="9">
        <f>'REV-REVCALC_CWS'!X95</f>
        <v>11182785</v>
      </c>
      <c r="Z26" s="9">
        <f>'REV-REVCALC_CWS'!Y95</f>
        <v>11182785</v>
      </c>
      <c r="AA26" s="9">
        <f>'REV-REVCALC_CWS'!Z95</f>
        <v>7457865</v>
      </c>
      <c r="AB26" s="9">
        <f>'REV-REVCALC_CWS'!AA95</f>
        <v>14097363.9</v>
      </c>
      <c r="AC26" s="9">
        <f>'REV-REVCALC_CWS'!AB95</f>
        <v>22554817.950000007</v>
      </c>
      <c r="AD26" s="9">
        <f>'REV-REVCALC_CWS'!AC95</f>
        <v>25371679.500000007</v>
      </c>
      <c r="AE26" s="9">
        <f>'REV-REVCALC_CWS'!AD95</f>
        <v>25371679.500000007</v>
      </c>
      <c r="AF26" s="9">
        <f>'REV-REVCALC_CWS'!AE95</f>
        <v>25371679.500000007</v>
      </c>
      <c r="AG26" s="9">
        <f>'REV-REVCALC_CWS'!AF95</f>
        <v>25371679.500000007</v>
      </c>
      <c r="AH26" s="9">
        <f>'REV-REVCALC_CWS'!AG95</f>
        <v>25371679.500000007</v>
      </c>
      <c r="AI26" s="9">
        <f>'REV-REVCALC_CWS'!AH95</f>
        <v>25371679.500000007</v>
      </c>
      <c r="AJ26" s="9">
        <f>'REV-REVCALC_CWS'!AI95</f>
        <v>25371679.500000007</v>
      </c>
      <c r="AK26" s="9">
        <f>'REV-REVCALC_CWS'!AJ95</f>
        <v>25371679.500000007</v>
      </c>
      <c r="AL26" s="9">
        <f>'REV-REVCALC_CWS'!AK95</f>
        <v>25371679.500000007</v>
      </c>
      <c r="AM26" s="9">
        <f>'REV-REVCALC_CWS'!AL95</f>
        <v>16914225.449999999</v>
      </c>
      <c r="AN26" s="9">
        <f>'REV-REVCALC_CWS'!AM95</f>
        <v>26096802.279500004</v>
      </c>
      <c r="AO26" s="9">
        <f>'REV-REVCALC_CWS'!AN95</f>
        <v>41756976.237500012</v>
      </c>
      <c r="AP26" s="9">
        <f>'REV-REVCALC_CWS'!AO95</f>
        <v>46976209.180500016</v>
      </c>
      <c r="AQ26" s="9">
        <f>'REV-REVCALC_CWS'!AP95</f>
        <v>46976209.180500016</v>
      </c>
      <c r="AR26" s="9">
        <f>'REV-REVCALC_CWS'!AQ95</f>
        <v>46976209.180500016</v>
      </c>
      <c r="AS26" s="9">
        <f>'REV-REVCALC_CWS'!AR95</f>
        <v>46976209.180500016</v>
      </c>
      <c r="AT26" s="9">
        <f>'REV-REVCALC_CWS'!AS95</f>
        <v>46976209.180500016</v>
      </c>
      <c r="AU26" s="9">
        <f>'REV-REVCALC_CWS'!AT95</f>
        <v>46976209.180500016</v>
      </c>
      <c r="AV26" s="9">
        <f>'REV-REVCALC_CWS'!AU95</f>
        <v>46976209.180500016</v>
      </c>
      <c r="AW26" s="9">
        <f>'REV-REVCALC_CWS'!AV95</f>
        <v>46976209.180500016</v>
      </c>
      <c r="AX26" s="9">
        <f>'REV-REVCALC_CWS'!AW95</f>
        <v>46976209.180500016</v>
      </c>
      <c r="AY26" s="9">
        <f>'REV-REVCALC_CWS'!AX95</f>
        <v>31316035.222500008</v>
      </c>
      <c r="AZ26" s="9">
        <f>'REV-REVCALC_CWS'!AY95</f>
        <v>25373638.168635003</v>
      </c>
      <c r="BA26" s="9">
        <f>'REV-REVCALC_CWS'!AZ95</f>
        <v>40608973.036285006</v>
      </c>
      <c r="BB26" s="9">
        <f>'REV-REVCALC_CWS'!BA95</f>
        <v>45671872.904770017</v>
      </c>
      <c r="BC26" s="9">
        <f>'REV-REVCALC_CWS'!BB95</f>
        <v>45671872.904770017</v>
      </c>
      <c r="BD26" s="9">
        <f>'REV-REVCALC_CWS'!BC95</f>
        <v>45671872.904770017</v>
      </c>
      <c r="BE26" s="9">
        <f>'REV-REVCALC_CWS'!BD95</f>
        <v>45671872.904770017</v>
      </c>
      <c r="BF26" s="9">
        <f>'REV-REVCALC_CWS'!BE95</f>
        <v>45671872.904770017</v>
      </c>
      <c r="BG26" s="9">
        <f>'REV-REVCALC_CWS'!BF95</f>
        <v>45671872.904770017</v>
      </c>
      <c r="BH26" s="9">
        <f>'REV-REVCALC_CWS'!BG95</f>
        <v>45671872.904770017</v>
      </c>
      <c r="BI26" s="9">
        <f>'REV-REVCALC_CWS'!BH95</f>
        <v>45671872.904770017</v>
      </c>
      <c r="BJ26" s="9">
        <f>'REV-REVCALC_CWS'!BI95</f>
        <v>45671872.904770017</v>
      </c>
      <c r="BK26" s="9">
        <f>'REV-REVCALC_CWS'!BJ95</f>
        <v>30460838.765225008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687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701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406" t="s">
        <v>35</v>
      </c>
      <c r="E31" s="406"/>
      <c r="F31" s="406"/>
      <c r="G31" s="406"/>
      <c r="H31" s="406"/>
      <c r="I31" s="406"/>
      <c r="J31" s="406"/>
      <c r="K31" s="406"/>
      <c r="L31" s="406"/>
      <c r="M31" s="406"/>
      <c r="N31" s="406"/>
      <c r="O31" s="406"/>
      <c r="P31" s="406" t="s">
        <v>36</v>
      </c>
      <c r="Q31" s="406"/>
      <c r="R31" s="406"/>
      <c r="S31" s="406"/>
      <c r="T31" s="406"/>
      <c r="U31" s="406"/>
      <c r="V31" s="406"/>
      <c r="W31" s="406"/>
      <c r="X31" s="406"/>
      <c r="Y31" s="406"/>
      <c r="Z31" s="406"/>
      <c r="AA31" s="406"/>
      <c r="AB31" s="406" t="s">
        <v>37</v>
      </c>
      <c r="AC31" s="406"/>
      <c r="AD31" s="406"/>
      <c r="AE31" s="406"/>
      <c r="AF31" s="406"/>
      <c r="AG31" s="406"/>
      <c r="AH31" s="406"/>
      <c r="AI31" s="406"/>
      <c r="AJ31" s="406"/>
      <c r="AK31" s="406"/>
      <c r="AL31" s="406"/>
      <c r="AM31" s="406"/>
      <c r="AN31" s="406" t="s">
        <v>38</v>
      </c>
      <c r="AO31" s="406"/>
      <c r="AP31" s="406"/>
      <c r="AQ31" s="406"/>
      <c r="AR31" s="406"/>
      <c r="AS31" s="406"/>
      <c r="AT31" s="406"/>
      <c r="AU31" s="406"/>
      <c r="AV31" s="406"/>
      <c r="AW31" s="406"/>
      <c r="AX31" s="406"/>
      <c r="AY31" s="406"/>
      <c r="AZ31" s="406" t="s">
        <v>39</v>
      </c>
      <c r="BA31" s="406"/>
      <c r="BB31" s="406"/>
      <c r="BC31" s="406"/>
      <c r="BD31" s="406"/>
      <c r="BE31" s="406"/>
      <c r="BF31" s="406"/>
      <c r="BG31" s="406"/>
      <c r="BH31" s="406"/>
      <c r="BI31" s="406"/>
      <c r="BJ31" s="406"/>
      <c r="BK31" s="406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670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668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673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662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685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684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406" t="s">
        <v>35</v>
      </c>
      <c r="E40" s="406"/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 t="s">
        <v>36</v>
      </c>
      <c r="Q40" s="406"/>
      <c r="R40" s="406"/>
      <c r="S40" s="406"/>
      <c r="T40" s="406"/>
      <c r="U40" s="406"/>
      <c r="V40" s="406"/>
      <c r="W40" s="406"/>
      <c r="X40" s="406"/>
      <c r="Y40" s="406"/>
      <c r="Z40" s="406"/>
      <c r="AA40" s="406"/>
      <c r="AB40" s="406" t="s">
        <v>37</v>
      </c>
      <c r="AC40" s="406"/>
      <c r="AD40" s="406"/>
      <c r="AE40" s="406"/>
      <c r="AF40" s="406"/>
      <c r="AG40" s="406"/>
      <c r="AH40" s="406"/>
      <c r="AI40" s="406"/>
      <c r="AJ40" s="406"/>
      <c r="AK40" s="406"/>
      <c r="AL40" s="406"/>
      <c r="AM40" s="406"/>
      <c r="AN40" s="406" t="s">
        <v>38</v>
      </c>
      <c r="AO40" s="406"/>
      <c r="AP40" s="406"/>
      <c r="AQ40" s="406"/>
      <c r="AR40" s="406"/>
      <c r="AS40" s="406"/>
      <c r="AT40" s="406"/>
      <c r="AU40" s="406"/>
      <c r="AV40" s="406"/>
      <c r="AW40" s="406"/>
      <c r="AX40" s="406"/>
      <c r="AY40" s="406"/>
      <c r="AZ40" s="406" t="s">
        <v>39</v>
      </c>
      <c r="BA40" s="406"/>
      <c r="BB40" s="406"/>
      <c r="BC40" s="406"/>
      <c r="BD40" s="406"/>
      <c r="BE40" s="406"/>
      <c r="BF40" s="406"/>
      <c r="BG40" s="406"/>
      <c r="BH40" s="406"/>
      <c r="BI40" s="406"/>
      <c r="BJ40" s="406"/>
      <c r="BK40" s="406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374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391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438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663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675</v>
      </c>
      <c r="C49" s="200"/>
    </row>
    <row r="50" spans="2:3" x14ac:dyDescent="0.15">
      <c r="B50" s="14"/>
      <c r="C50" s="200"/>
    </row>
    <row r="51" spans="2:3" x14ac:dyDescent="0.15">
      <c r="B51" s="14" t="s">
        <v>676</v>
      </c>
      <c r="C51" s="200"/>
    </row>
    <row r="52" spans="2:3" x14ac:dyDescent="0.15">
      <c r="B52" s="14" t="s">
        <v>682</v>
      </c>
      <c r="C52" s="200"/>
    </row>
    <row r="53" spans="2:3" x14ac:dyDescent="0.15">
      <c r="B53" s="14" t="s">
        <v>681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486</v>
      </c>
    </row>
    <row r="4" spans="2:66" hidden="1" x14ac:dyDescent="0.15"/>
    <row r="5" spans="2:66" x14ac:dyDescent="0.15">
      <c r="B5" s="44" t="s">
        <v>487</v>
      </c>
      <c r="E5" s="9">
        <f>SUM(E49)</f>
        <v>0</v>
      </c>
      <c r="F5" s="9">
        <f>SUM(F49:Q49)</f>
        <v>19450800</v>
      </c>
      <c r="G5" s="9">
        <f>SUM(R49:AC49)</f>
        <v>124259235</v>
      </c>
      <c r="H5" s="9">
        <f>SUM(AD49:AO49)</f>
        <v>281911522.80000001</v>
      </c>
      <c r="I5" s="9">
        <f>SUM(AP49:BA49)</f>
        <v>521955696.36400026</v>
      </c>
      <c r="J5" s="9">
        <f>SUM(BB49:BM49)</f>
        <v>507490306.11307514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488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489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0.29166666666666669</v>
      </c>
      <c r="G11" s="102">
        <f t="shared" si="2"/>
        <v>0.29166666666666669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490</v>
      </c>
      <c r="E20" s="102">
        <f>SUM(E10:E15)</f>
        <v>0</v>
      </c>
      <c r="F20" s="102">
        <f>SUM(F10:F19)</f>
        <v>0.66666666666666674</v>
      </c>
      <c r="G20" s="102">
        <f>SUM(G10:G19)</f>
        <v>0.66666666666666674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495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677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678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406" t="s">
        <v>35</v>
      </c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 t="s">
        <v>36</v>
      </c>
      <c r="S44" s="406"/>
      <c r="T44" s="406"/>
      <c r="U44" s="406"/>
      <c r="V44" s="406"/>
      <c r="W44" s="406"/>
      <c r="X44" s="406"/>
      <c r="Y44" s="406"/>
      <c r="Z44" s="406"/>
      <c r="AA44" s="406"/>
      <c r="AB44" s="406"/>
      <c r="AC44" s="406"/>
      <c r="AD44" s="406" t="s">
        <v>37</v>
      </c>
      <c r="AE44" s="406"/>
      <c r="AF44" s="406"/>
      <c r="AG44" s="406"/>
      <c r="AH44" s="406"/>
      <c r="AI44" s="406"/>
      <c r="AJ44" s="406"/>
      <c r="AK44" s="406"/>
      <c r="AL44" s="406"/>
      <c r="AM44" s="406"/>
      <c r="AN44" s="406"/>
      <c r="AO44" s="406"/>
      <c r="AP44" s="406" t="s">
        <v>38</v>
      </c>
      <c r="AQ44" s="406"/>
      <c r="AR44" s="406"/>
      <c r="AS44" s="406"/>
      <c r="AT44" s="406"/>
      <c r="AU44" s="406"/>
      <c r="AV44" s="406"/>
      <c r="AW44" s="406"/>
      <c r="AX44" s="406"/>
      <c r="AY44" s="406"/>
      <c r="AZ44" s="406"/>
      <c r="BA44" s="406"/>
      <c r="BB44" s="406" t="s">
        <v>39</v>
      </c>
      <c r="BC44" s="406"/>
      <c r="BD44" s="406"/>
      <c r="BE44" s="406"/>
      <c r="BF44" s="406"/>
      <c r="BG44" s="406"/>
      <c r="BH44" s="406"/>
      <c r="BI44" s="406"/>
      <c r="BJ44" s="406"/>
      <c r="BK44" s="406"/>
      <c r="BL44" s="406"/>
      <c r="BM44" s="406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486</v>
      </c>
    </row>
    <row r="49" spans="2:66" x14ac:dyDescent="0.15">
      <c r="B49" s="44" t="s">
        <v>487</v>
      </c>
      <c r="E49" s="9">
        <f>'REV-REVCALC_CWS'!B95</f>
        <v>0</v>
      </c>
      <c r="F49" s="9">
        <f>'REV-REVCALC_CWS'!C95</f>
        <v>0</v>
      </c>
      <c r="G49" s="9">
        <f>'REV-REVCALC_CWS'!D95</f>
        <v>0</v>
      </c>
      <c r="H49" s="9">
        <f>'REV-REVCALC_CWS'!E95</f>
        <v>0</v>
      </c>
      <c r="I49" s="9">
        <f>'REV-REVCALC_CWS'!F95</f>
        <v>351000</v>
      </c>
      <c r="J49" s="9">
        <f>'REV-REVCALC_CWS'!G95</f>
        <v>481500</v>
      </c>
      <c r="K49" s="9">
        <f>'REV-REVCALC_CWS'!H95</f>
        <v>1586700</v>
      </c>
      <c r="L49" s="9">
        <f>'REV-REVCALC_CWS'!I95</f>
        <v>1983300</v>
      </c>
      <c r="M49" s="9">
        <f>'REV-REVCALC_CWS'!J95</f>
        <v>2376900</v>
      </c>
      <c r="N49" s="9">
        <f>'REV-REVCALC_CWS'!K95</f>
        <v>2773500</v>
      </c>
      <c r="O49" s="9">
        <f>'REV-REVCALC_CWS'!L95</f>
        <v>3167100</v>
      </c>
      <c r="P49" s="9">
        <f>'REV-REVCALC_CWS'!M95</f>
        <v>3563700</v>
      </c>
      <c r="Q49" s="9">
        <f>'REV-REVCALC_CWS'!N95</f>
        <v>3167100</v>
      </c>
      <c r="R49" s="9">
        <f>'REV-REVCALC_CWS'!O95</f>
        <v>6213285</v>
      </c>
      <c r="S49" s="9">
        <f>'REV-REVCALC_CWS'!P95</f>
        <v>9943020</v>
      </c>
      <c r="T49" s="9">
        <f>'REV-REVCALC_CWS'!Q95</f>
        <v>11182785</v>
      </c>
      <c r="U49" s="9">
        <f>'REV-REVCALC_CWS'!R95</f>
        <v>11182785</v>
      </c>
      <c r="V49" s="9">
        <f>'REV-REVCALC_CWS'!S95</f>
        <v>11182785</v>
      </c>
      <c r="W49" s="9">
        <f>'REV-REVCALC_CWS'!T95</f>
        <v>11182785</v>
      </c>
      <c r="X49" s="9">
        <f>'REV-REVCALC_CWS'!U95</f>
        <v>11182785</v>
      </c>
      <c r="Y49" s="9">
        <f>'REV-REVCALC_CWS'!V95</f>
        <v>11182785</v>
      </c>
      <c r="Z49" s="9">
        <f>'REV-REVCALC_CWS'!W95</f>
        <v>11182785</v>
      </c>
      <c r="AA49" s="9">
        <f>'REV-REVCALC_CWS'!X95</f>
        <v>11182785</v>
      </c>
      <c r="AB49" s="9">
        <f>'REV-REVCALC_CWS'!Y95</f>
        <v>11182785</v>
      </c>
      <c r="AC49" s="9">
        <f>'REV-REVCALC_CWS'!Z95</f>
        <v>7457865</v>
      </c>
      <c r="AD49" s="9">
        <f>'REV-REVCALC_CWS'!AA95</f>
        <v>14097363.9</v>
      </c>
      <c r="AE49" s="9">
        <f>'REV-REVCALC_CWS'!AB95</f>
        <v>22554817.950000007</v>
      </c>
      <c r="AF49" s="9">
        <f>'REV-REVCALC_CWS'!AC95</f>
        <v>25371679.500000007</v>
      </c>
      <c r="AG49" s="9">
        <f>'REV-REVCALC_CWS'!AD95</f>
        <v>25371679.500000007</v>
      </c>
      <c r="AH49" s="9">
        <f>'REV-REVCALC_CWS'!AE95</f>
        <v>25371679.500000007</v>
      </c>
      <c r="AI49" s="9">
        <f>'REV-REVCALC_CWS'!AF95</f>
        <v>25371679.500000007</v>
      </c>
      <c r="AJ49" s="9">
        <f>'REV-REVCALC_CWS'!AG95</f>
        <v>25371679.500000007</v>
      </c>
      <c r="AK49" s="9">
        <f>'REV-REVCALC_CWS'!AH95</f>
        <v>25371679.500000007</v>
      </c>
      <c r="AL49" s="9">
        <f>'REV-REVCALC_CWS'!AI95</f>
        <v>25371679.500000007</v>
      </c>
      <c r="AM49" s="9">
        <f>'REV-REVCALC_CWS'!AJ95</f>
        <v>25371679.500000007</v>
      </c>
      <c r="AN49" s="9">
        <f>'REV-REVCALC_CWS'!AK95</f>
        <v>25371679.500000007</v>
      </c>
      <c r="AO49" s="9">
        <f>'REV-REVCALC_CWS'!AL95</f>
        <v>16914225.449999999</v>
      </c>
      <c r="AP49" s="9">
        <f>'REV-REVCALC_CWS'!AM95</f>
        <v>26096802.279500004</v>
      </c>
      <c r="AQ49" s="9">
        <f>'REV-REVCALC_CWS'!AN95</f>
        <v>41756976.237500012</v>
      </c>
      <c r="AR49" s="9">
        <f>'REV-REVCALC_CWS'!AO95</f>
        <v>46976209.180500016</v>
      </c>
      <c r="AS49" s="9">
        <f>'REV-REVCALC_CWS'!AP95</f>
        <v>46976209.180500016</v>
      </c>
      <c r="AT49" s="9">
        <f>'REV-REVCALC_CWS'!AQ95</f>
        <v>46976209.180500016</v>
      </c>
      <c r="AU49" s="9">
        <f>'REV-REVCALC_CWS'!AR95</f>
        <v>46976209.180500016</v>
      </c>
      <c r="AV49" s="9">
        <f>'REV-REVCALC_CWS'!AS95</f>
        <v>46976209.180500016</v>
      </c>
      <c r="AW49" s="9">
        <f>'REV-REVCALC_CWS'!AT95</f>
        <v>46976209.180500016</v>
      </c>
      <c r="AX49" s="9">
        <f>'REV-REVCALC_CWS'!AU95</f>
        <v>46976209.180500016</v>
      </c>
      <c r="AY49" s="9">
        <f>'REV-REVCALC_CWS'!AV95</f>
        <v>46976209.180500016</v>
      </c>
      <c r="AZ49" s="9">
        <f>'REV-REVCALC_CWS'!AW95</f>
        <v>46976209.180500016</v>
      </c>
      <c r="BA49" s="9">
        <f>'REV-REVCALC_CWS'!AX95</f>
        <v>31316035.222500008</v>
      </c>
      <c r="BB49" s="9">
        <f>'REV-REVCALC_CWS'!AY95</f>
        <v>25373638.168635003</v>
      </c>
      <c r="BC49" s="9">
        <f>'REV-REVCALC_CWS'!AZ95</f>
        <v>40608973.036285006</v>
      </c>
      <c r="BD49" s="9">
        <f>'REV-REVCALC_CWS'!BA95</f>
        <v>45671872.904770017</v>
      </c>
      <c r="BE49" s="9">
        <f>'REV-REVCALC_CWS'!BB95</f>
        <v>45671872.904770017</v>
      </c>
      <c r="BF49" s="9">
        <f>'REV-REVCALC_CWS'!BC95</f>
        <v>45671872.904770017</v>
      </c>
      <c r="BG49" s="9">
        <f>'REV-REVCALC_CWS'!BD95</f>
        <v>45671872.904770017</v>
      </c>
      <c r="BH49" s="9">
        <f>'REV-REVCALC_CWS'!BE95</f>
        <v>45671872.904770017</v>
      </c>
      <c r="BI49" s="9">
        <f>'REV-REVCALC_CWS'!BF95</f>
        <v>45671872.904770017</v>
      </c>
      <c r="BJ49" s="9">
        <f>'REV-REVCALC_CWS'!BG95</f>
        <v>45671872.904770017</v>
      </c>
      <c r="BK49" s="9">
        <f>'REV-REVCALC_CWS'!BH95</f>
        <v>45671872.904770017</v>
      </c>
      <c r="BL49" s="9">
        <f>'REV-REVCALC_CWS'!BI95</f>
        <v>45671872.904770017</v>
      </c>
      <c r="BM49" s="9">
        <f>'REV-REVCALC_CWS'!BJ95</f>
        <v>30460838.765225008</v>
      </c>
    </row>
    <row r="50" spans="2:66" x14ac:dyDescent="0.15">
      <c r="B50" s="44" t="s">
        <v>488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489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490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0.5</v>
      </c>
      <c r="J67" s="12">
        <f t="shared" si="19"/>
        <v>0.5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495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492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496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2864</v>
      </c>
      <c r="E3" s="184">
        <f>REV_DB!F20</f>
        <v>16445</v>
      </c>
      <c r="F3" s="184">
        <f>REV_DB!G20</f>
        <v>29034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46544000</v>
      </c>
      <c r="E4" s="63">
        <f>REV_DB!F24</f>
        <v>290002100</v>
      </c>
      <c r="F4" s="63">
        <f>REV_DB!G24</f>
        <v>598384274.80000007</v>
      </c>
      <c r="G4" s="63">
        <f>REV_DB!H24</f>
        <v>1145209397.7760003</v>
      </c>
      <c r="H4" s="63">
        <f>REV_DB!I24</f>
        <v>1191762376.5755403</v>
      </c>
      <c r="I4" s="181">
        <f>SUM(D4:H4)</f>
        <v>3271902149.1515408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18811800</v>
      </c>
      <c r="E5" s="63">
        <f>REV_DB!F17</f>
        <v>180846855</v>
      </c>
      <c r="F5" s="63">
        <f>REV_DB!G17</f>
        <v>450604400.60000002</v>
      </c>
      <c r="G5" s="63">
        <f>REV_DB!H17</f>
        <v>737867172.41600013</v>
      </c>
      <c r="H5" s="63">
        <f>REV_DB!I17</f>
        <v>743779966.19770515</v>
      </c>
      <c r="I5" s="181">
        <f>SUM(D5:H5)</f>
        <v>2131910194.2137055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693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694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695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679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669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680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659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670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668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671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672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673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700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699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681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662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698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374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391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417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437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438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684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406" t="s">
        <v>36</v>
      </c>
      <c r="Q34" s="406"/>
      <c r="R34" s="406"/>
      <c r="S34" s="406"/>
      <c r="T34" s="406"/>
      <c r="U34" s="406"/>
      <c r="V34" s="406"/>
      <c r="W34" s="406"/>
      <c r="X34" s="406"/>
      <c r="Y34" s="406"/>
      <c r="Z34" s="406"/>
      <c r="AA34" s="406"/>
      <c r="AB34" s="406" t="s">
        <v>37</v>
      </c>
      <c r="AC34" s="406"/>
      <c r="AD34" s="406"/>
      <c r="AE34" s="406"/>
      <c r="AF34" s="406"/>
      <c r="AG34" s="406"/>
      <c r="AH34" s="406"/>
      <c r="AI34" s="406"/>
      <c r="AJ34" s="406"/>
      <c r="AK34" s="406"/>
      <c r="AL34" s="406"/>
      <c r="AM34" s="406"/>
      <c r="AN34" s="406" t="s">
        <v>38</v>
      </c>
      <c r="AO34" s="406"/>
      <c r="AP34" s="406"/>
      <c r="AQ34" s="406"/>
      <c r="AR34" s="406"/>
      <c r="AS34" s="406"/>
      <c r="AT34" s="406"/>
      <c r="AU34" s="406"/>
      <c r="AV34" s="406"/>
      <c r="AW34" s="406"/>
      <c r="AX34" s="406"/>
      <c r="AY34" s="406"/>
      <c r="AZ34" s="406" t="s">
        <v>39</v>
      </c>
      <c r="BA34" s="406"/>
      <c r="BB34" s="406"/>
      <c r="BC34" s="406"/>
      <c r="BD34" s="406"/>
      <c r="BE34" s="406"/>
      <c r="BF34" s="406"/>
      <c r="BG34" s="406"/>
      <c r="BH34" s="406"/>
      <c r="BI34" s="406"/>
      <c r="BJ34" s="406"/>
      <c r="BK34" s="406"/>
      <c r="BL34" s="35"/>
    </row>
    <row r="35" spans="1:75" s="14" customFormat="1" x14ac:dyDescent="0.15">
      <c r="B35" s="47" t="s">
        <v>675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410" t="s">
        <v>35</v>
      </c>
      <c r="E38" s="410"/>
      <c r="F38" s="410"/>
      <c r="G38" s="410"/>
      <c r="H38" s="410"/>
      <c r="I38" s="410"/>
      <c r="J38" s="410"/>
      <c r="K38" s="410"/>
      <c r="L38" s="410"/>
      <c r="M38" s="410"/>
      <c r="N38" s="410"/>
      <c r="O38" s="4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664</v>
      </c>
      <c r="BM39" s="36" t="s">
        <v>597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667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375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376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389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387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382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386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390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388</v>
      </c>
    </row>
    <row r="61" spans="1:63" x14ac:dyDescent="0.15">
      <c r="A61" s="75"/>
      <c r="B61" s="50"/>
    </row>
    <row r="62" spans="1:63" x14ac:dyDescent="0.15">
      <c r="A62" s="75"/>
      <c r="B62" s="128" t="s">
        <v>387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382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386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391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416</v>
      </c>
    </row>
    <row r="73" spans="1:63" x14ac:dyDescent="0.15">
      <c r="A73" s="75"/>
      <c r="B73" s="124" t="s">
        <v>399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183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438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393</v>
      </c>
    </row>
    <row r="84" spans="1:64" x14ac:dyDescent="0.15">
      <c r="A84" s="75"/>
      <c r="B84" s="48"/>
    </row>
    <row r="85" spans="1:64" x14ac:dyDescent="0.15">
      <c r="A85" s="75"/>
      <c r="B85" s="47" t="s">
        <v>183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80000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418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70000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415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150000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665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666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659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660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661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662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659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660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661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662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659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660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661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662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659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660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661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662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659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660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661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662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659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660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661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662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660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662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663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>
      <selection activeCell="B47" sqref="B47"/>
    </sheetView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756</v>
      </c>
      <c r="C1" s="75"/>
      <c r="D1" s="406" t="s">
        <v>35</v>
      </c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 t="s">
        <v>36</v>
      </c>
      <c r="Q1" s="406"/>
      <c r="R1" s="406"/>
      <c r="S1" s="406"/>
      <c r="T1" s="406"/>
      <c r="U1" s="406"/>
      <c r="V1" s="406"/>
      <c r="W1" s="406"/>
      <c r="X1" s="406"/>
      <c r="Y1" s="406"/>
      <c r="Z1" s="406"/>
      <c r="AA1" s="406"/>
      <c r="AB1" s="406" t="s">
        <v>37</v>
      </c>
      <c r="AC1" s="406"/>
      <c r="AD1" s="406"/>
      <c r="AE1" s="406"/>
      <c r="AF1" s="406"/>
      <c r="AG1" s="406"/>
      <c r="AH1" s="406"/>
      <c r="AI1" s="406"/>
      <c r="AJ1" s="406"/>
      <c r="AK1" s="406"/>
      <c r="AL1" s="406"/>
      <c r="AM1" s="406"/>
      <c r="AN1" s="406" t="s">
        <v>38</v>
      </c>
      <c r="AO1" s="406"/>
      <c r="AP1" s="406"/>
      <c r="AQ1" s="406"/>
      <c r="AR1" s="406"/>
      <c r="AS1" s="406"/>
      <c r="AT1" s="406"/>
      <c r="AU1" s="406"/>
      <c r="AV1" s="406"/>
      <c r="AW1" s="406"/>
      <c r="AX1" s="406"/>
      <c r="AY1" s="406"/>
      <c r="AZ1" s="406" t="s">
        <v>39</v>
      </c>
      <c r="BA1" s="406"/>
      <c r="BB1" s="406"/>
      <c r="BC1" s="406"/>
      <c r="BD1" s="406"/>
      <c r="BE1" s="406"/>
      <c r="BF1" s="406"/>
      <c r="BG1" s="406"/>
      <c r="BH1" s="406"/>
      <c r="BI1" s="406"/>
      <c r="BJ1" s="406"/>
      <c r="BK1" s="406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375</v>
      </c>
      <c r="C6" s="369">
        <v>0</v>
      </c>
      <c r="D6" s="369">
        <v>0</v>
      </c>
      <c r="E6" s="369">
        <v>0</v>
      </c>
      <c r="F6" s="369">
        <v>0</v>
      </c>
      <c r="G6" s="369">
        <v>0</v>
      </c>
      <c r="H6" s="369">
        <v>0</v>
      </c>
      <c r="I6" s="369">
        <v>0</v>
      </c>
      <c r="J6" s="369">
        <v>0</v>
      </c>
      <c r="K6" s="369">
        <v>0</v>
      </c>
      <c r="L6" s="369">
        <v>0</v>
      </c>
      <c r="M6" s="369">
        <v>0</v>
      </c>
      <c r="N6" s="369">
        <v>0</v>
      </c>
      <c r="O6" s="369">
        <v>0</v>
      </c>
      <c r="P6" s="369">
        <v>0</v>
      </c>
      <c r="Q6" s="369">
        <v>0</v>
      </c>
      <c r="R6" s="369">
        <v>0</v>
      </c>
      <c r="S6" s="369">
        <v>0</v>
      </c>
      <c r="T6" s="369">
        <v>0</v>
      </c>
      <c r="U6" s="369">
        <v>0</v>
      </c>
      <c r="V6" s="369">
        <v>0</v>
      </c>
      <c r="W6" s="369">
        <v>0</v>
      </c>
      <c r="X6" s="369">
        <v>0</v>
      </c>
      <c r="Y6" s="369">
        <v>0</v>
      </c>
      <c r="Z6" s="369">
        <v>0</v>
      </c>
      <c r="AA6" s="369">
        <v>0</v>
      </c>
      <c r="AB6" s="369">
        <v>0</v>
      </c>
      <c r="AC6" s="369">
        <v>0</v>
      </c>
      <c r="AD6" s="369">
        <v>0</v>
      </c>
      <c r="AE6" s="369">
        <v>0</v>
      </c>
      <c r="AF6" s="369">
        <v>0</v>
      </c>
      <c r="AG6" s="369">
        <v>0</v>
      </c>
      <c r="AH6" s="369">
        <v>0</v>
      </c>
      <c r="AI6" s="369">
        <v>0</v>
      </c>
      <c r="AJ6" s="369">
        <v>0</v>
      </c>
      <c r="AK6" s="369">
        <v>0</v>
      </c>
      <c r="AL6" s="369">
        <v>0</v>
      </c>
      <c r="AM6" s="369">
        <v>0</v>
      </c>
      <c r="AN6" s="369">
        <v>0</v>
      </c>
      <c r="AO6" s="369">
        <v>0</v>
      </c>
      <c r="AP6" s="369">
        <v>0</v>
      </c>
      <c r="AQ6" s="369">
        <v>0</v>
      </c>
      <c r="AR6" s="369">
        <v>0</v>
      </c>
      <c r="AS6" s="369">
        <v>0</v>
      </c>
      <c r="AT6" s="369">
        <v>0</v>
      </c>
      <c r="AU6" s="369">
        <v>0</v>
      </c>
      <c r="AV6" s="369">
        <v>0</v>
      </c>
      <c r="AW6" s="369">
        <v>0</v>
      </c>
      <c r="AX6" s="369">
        <v>0</v>
      </c>
      <c r="AY6" s="369">
        <v>0</v>
      </c>
      <c r="AZ6" s="369">
        <v>0</v>
      </c>
      <c r="BA6" s="369">
        <v>0</v>
      </c>
      <c r="BB6" s="369">
        <v>0</v>
      </c>
      <c r="BC6" s="369">
        <v>0</v>
      </c>
      <c r="BD6" s="369">
        <v>0</v>
      </c>
      <c r="BE6" s="369">
        <v>0</v>
      </c>
      <c r="BF6" s="369">
        <v>0</v>
      </c>
      <c r="BG6" s="369">
        <v>0</v>
      </c>
      <c r="BH6" s="369">
        <v>0</v>
      </c>
      <c r="BI6" s="369">
        <v>0</v>
      </c>
      <c r="BJ6" s="369">
        <v>0</v>
      </c>
      <c r="BK6" s="369">
        <v>0</v>
      </c>
    </row>
    <row r="7" spans="2:63" x14ac:dyDescent="0.15">
      <c r="B7" s="127" t="s">
        <v>376</v>
      </c>
      <c r="C7" s="369"/>
      <c r="D7" s="369">
        <v>0</v>
      </c>
      <c r="E7" s="369">
        <v>0</v>
      </c>
      <c r="F7" s="369">
        <v>0</v>
      </c>
      <c r="G7" s="369">
        <v>0</v>
      </c>
      <c r="H7" s="369">
        <v>0</v>
      </c>
      <c r="I7" s="369">
        <v>0</v>
      </c>
      <c r="J7" s="369">
        <v>0</v>
      </c>
      <c r="K7" s="369">
        <v>0</v>
      </c>
      <c r="L7" s="369">
        <v>0</v>
      </c>
      <c r="M7" s="369">
        <v>0</v>
      </c>
      <c r="N7" s="369">
        <v>0</v>
      </c>
      <c r="O7" s="369">
        <v>0</v>
      </c>
      <c r="P7" s="369">
        <v>0</v>
      </c>
      <c r="Q7" s="369">
        <v>0</v>
      </c>
      <c r="R7" s="369">
        <v>0</v>
      </c>
      <c r="S7" s="369">
        <v>0</v>
      </c>
      <c r="T7" s="369">
        <v>0</v>
      </c>
      <c r="U7" s="369">
        <v>0</v>
      </c>
      <c r="V7" s="369">
        <v>0</v>
      </c>
      <c r="W7" s="369">
        <v>0</v>
      </c>
      <c r="X7" s="369">
        <v>0</v>
      </c>
      <c r="Y7" s="369">
        <v>0</v>
      </c>
      <c r="Z7" s="369">
        <v>0</v>
      </c>
      <c r="AA7" s="369">
        <v>0</v>
      </c>
      <c r="AB7" s="369">
        <v>0</v>
      </c>
      <c r="AC7" s="369">
        <v>0</v>
      </c>
      <c r="AD7" s="369">
        <v>0</v>
      </c>
      <c r="AE7" s="369">
        <v>0</v>
      </c>
      <c r="AF7" s="369">
        <v>0</v>
      </c>
      <c r="AG7" s="369">
        <v>0</v>
      </c>
      <c r="AH7" s="369">
        <v>0</v>
      </c>
      <c r="AI7" s="369">
        <v>0</v>
      </c>
      <c r="AJ7" s="369">
        <v>0</v>
      </c>
      <c r="AK7" s="369">
        <v>0</v>
      </c>
      <c r="AL7" s="369">
        <v>0</v>
      </c>
      <c r="AM7" s="369">
        <v>0</v>
      </c>
      <c r="AN7" s="369">
        <v>0</v>
      </c>
      <c r="AO7" s="369">
        <v>0</v>
      </c>
      <c r="AP7" s="369">
        <v>0</v>
      </c>
      <c r="AQ7" s="369">
        <v>0</v>
      </c>
      <c r="AR7" s="369">
        <v>0</v>
      </c>
      <c r="AS7" s="369">
        <v>0</v>
      </c>
      <c r="AT7" s="369">
        <v>0</v>
      </c>
      <c r="AU7" s="369">
        <v>0</v>
      </c>
      <c r="AV7" s="369">
        <v>0</v>
      </c>
      <c r="AW7" s="369">
        <v>0</v>
      </c>
      <c r="AX7" s="369">
        <v>0</v>
      </c>
      <c r="AY7" s="369">
        <v>0</v>
      </c>
      <c r="AZ7" s="369">
        <v>0</v>
      </c>
      <c r="BA7" s="369">
        <v>0</v>
      </c>
      <c r="BB7" s="369">
        <v>0</v>
      </c>
      <c r="BC7" s="369">
        <v>0</v>
      </c>
      <c r="BD7" s="369">
        <v>0</v>
      </c>
      <c r="BE7" s="369">
        <v>0</v>
      </c>
      <c r="BF7" s="369">
        <v>0</v>
      </c>
      <c r="BG7" s="369">
        <v>0</v>
      </c>
      <c r="BH7" s="369">
        <v>0</v>
      </c>
      <c r="BI7" s="369">
        <v>0</v>
      </c>
      <c r="BJ7" s="369">
        <v>0</v>
      </c>
      <c r="BK7" s="369">
        <v>0</v>
      </c>
    </row>
    <row r="8" spans="2:63" x14ac:dyDescent="0.15">
      <c r="B8" s="127" t="s">
        <v>381</v>
      </c>
      <c r="C8" s="369"/>
      <c r="D8" s="369">
        <v>0</v>
      </c>
      <c r="E8" s="369">
        <v>0</v>
      </c>
      <c r="F8" s="369">
        <v>0</v>
      </c>
      <c r="G8" s="369">
        <v>0</v>
      </c>
      <c r="H8" s="369">
        <v>0</v>
      </c>
      <c r="I8" s="369">
        <v>0</v>
      </c>
      <c r="J8" s="369">
        <v>0</v>
      </c>
      <c r="K8" s="369">
        <v>0</v>
      </c>
      <c r="L8" s="369">
        <v>0</v>
      </c>
      <c r="M8" s="369">
        <v>0</v>
      </c>
      <c r="N8" s="369">
        <v>0</v>
      </c>
      <c r="O8" s="369">
        <v>0</v>
      </c>
      <c r="P8" s="369">
        <v>0</v>
      </c>
      <c r="Q8" s="369">
        <v>0</v>
      </c>
      <c r="R8" s="369">
        <v>0</v>
      </c>
      <c r="S8" s="369">
        <v>0</v>
      </c>
      <c r="T8" s="369">
        <v>0</v>
      </c>
      <c r="U8" s="369">
        <v>0</v>
      </c>
      <c r="V8" s="369">
        <v>0</v>
      </c>
      <c r="W8" s="369">
        <v>0</v>
      </c>
      <c r="X8" s="369">
        <v>0</v>
      </c>
      <c r="Y8" s="369">
        <v>0</v>
      </c>
      <c r="Z8" s="369">
        <v>0</v>
      </c>
      <c r="AA8" s="369">
        <v>0</v>
      </c>
      <c r="AB8" s="369">
        <v>0</v>
      </c>
      <c r="AC8" s="369">
        <v>0</v>
      </c>
      <c r="AD8" s="369">
        <v>0</v>
      </c>
      <c r="AE8" s="369">
        <v>0</v>
      </c>
      <c r="AF8" s="369">
        <v>0</v>
      </c>
      <c r="AG8" s="369">
        <v>0</v>
      </c>
      <c r="AH8" s="369">
        <v>0</v>
      </c>
      <c r="AI8" s="369">
        <v>0</v>
      </c>
      <c r="AJ8" s="369">
        <v>0</v>
      </c>
      <c r="AK8" s="369">
        <v>0</v>
      </c>
      <c r="AL8" s="369">
        <v>0</v>
      </c>
      <c r="AM8" s="369">
        <v>0</v>
      </c>
      <c r="AN8" s="369">
        <v>0</v>
      </c>
      <c r="AO8" s="369">
        <v>0</v>
      </c>
      <c r="AP8" s="369">
        <v>0</v>
      </c>
      <c r="AQ8" s="369">
        <v>0</v>
      </c>
      <c r="AR8" s="369">
        <v>0</v>
      </c>
      <c r="AS8" s="369">
        <v>0</v>
      </c>
      <c r="AT8" s="369">
        <v>0</v>
      </c>
      <c r="AU8" s="369">
        <v>0</v>
      </c>
      <c r="AV8" s="369">
        <v>0</v>
      </c>
      <c r="AW8" s="369">
        <v>0</v>
      </c>
      <c r="AX8" s="369">
        <v>0</v>
      </c>
      <c r="AY8" s="369">
        <v>0</v>
      </c>
      <c r="AZ8" s="369">
        <v>0</v>
      </c>
      <c r="BA8" s="369">
        <v>0</v>
      </c>
      <c r="BB8" s="369">
        <v>0</v>
      </c>
      <c r="BC8" s="369">
        <v>0</v>
      </c>
      <c r="BD8" s="369">
        <v>0</v>
      </c>
      <c r="BE8" s="369">
        <v>0</v>
      </c>
      <c r="BF8" s="369">
        <v>0</v>
      </c>
      <c r="BG8" s="369">
        <v>0</v>
      </c>
      <c r="BH8" s="369">
        <v>0</v>
      </c>
      <c r="BI8" s="369">
        <v>0</v>
      </c>
      <c r="BJ8" s="369">
        <v>0</v>
      </c>
      <c r="BK8" s="369">
        <v>0</v>
      </c>
    </row>
    <row r="9" spans="2:63" x14ac:dyDescent="0.15">
      <c r="B9" s="127" t="s">
        <v>1219</v>
      </c>
      <c r="C9" s="369">
        <v>0</v>
      </c>
      <c r="D9" s="369">
        <v>0</v>
      </c>
      <c r="E9" s="369">
        <v>0</v>
      </c>
      <c r="F9" s="369">
        <v>0</v>
      </c>
      <c r="G9" s="369">
        <v>0</v>
      </c>
      <c r="H9" s="369">
        <v>0</v>
      </c>
      <c r="I9" s="369">
        <v>0</v>
      </c>
      <c r="J9" s="369">
        <v>0</v>
      </c>
      <c r="K9" s="369">
        <v>0</v>
      </c>
      <c r="L9" s="369">
        <v>0</v>
      </c>
      <c r="M9" s="369">
        <v>0</v>
      </c>
      <c r="N9" s="369">
        <v>0</v>
      </c>
      <c r="O9" s="369">
        <v>0</v>
      </c>
      <c r="P9" s="369">
        <v>0</v>
      </c>
      <c r="Q9" s="369">
        <v>0</v>
      </c>
      <c r="R9" s="369">
        <v>0</v>
      </c>
      <c r="S9" s="369">
        <v>0</v>
      </c>
      <c r="T9" s="369">
        <v>0</v>
      </c>
      <c r="U9" s="369">
        <v>0</v>
      </c>
      <c r="V9" s="369">
        <v>0</v>
      </c>
      <c r="W9" s="369">
        <v>0</v>
      </c>
      <c r="X9" s="369">
        <v>0</v>
      </c>
      <c r="Y9" s="369">
        <v>0</v>
      </c>
      <c r="Z9" s="369">
        <v>0</v>
      </c>
      <c r="AA9" s="369">
        <v>0</v>
      </c>
      <c r="AB9" s="369">
        <v>0</v>
      </c>
      <c r="AC9" s="369">
        <v>0</v>
      </c>
      <c r="AD9" s="369">
        <v>0</v>
      </c>
      <c r="AE9" s="369">
        <v>0</v>
      </c>
      <c r="AF9" s="369">
        <v>0</v>
      </c>
      <c r="AG9" s="369">
        <v>0</v>
      </c>
      <c r="AH9" s="369">
        <v>0</v>
      </c>
      <c r="AI9" s="369">
        <v>0</v>
      </c>
      <c r="AJ9" s="369">
        <v>0</v>
      </c>
      <c r="AK9" s="369">
        <v>0</v>
      </c>
      <c r="AL9" s="369">
        <v>0</v>
      </c>
      <c r="AM9" s="369">
        <v>0</v>
      </c>
      <c r="AN9" s="369">
        <v>0</v>
      </c>
      <c r="AO9" s="369">
        <v>0</v>
      </c>
      <c r="AP9" s="369">
        <v>0</v>
      </c>
      <c r="AQ9" s="369">
        <v>0</v>
      </c>
      <c r="AR9" s="369">
        <v>0</v>
      </c>
      <c r="AS9" s="369">
        <v>0</v>
      </c>
      <c r="AT9" s="369">
        <v>0</v>
      </c>
      <c r="AU9" s="369">
        <v>0</v>
      </c>
      <c r="AV9" s="369">
        <v>0</v>
      </c>
      <c r="AW9" s="369">
        <v>0</v>
      </c>
      <c r="AX9" s="369">
        <v>0</v>
      </c>
      <c r="AY9" s="369">
        <v>0</v>
      </c>
      <c r="AZ9" s="369">
        <v>0</v>
      </c>
      <c r="BA9" s="369">
        <v>0</v>
      </c>
      <c r="BB9" s="369">
        <v>0</v>
      </c>
      <c r="BC9" s="369">
        <v>0</v>
      </c>
      <c r="BD9" s="369">
        <v>0</v>
      </c>
      <c r="BE9" s="369">
        <v>0</v>
      </c>
      <c r="BF9" s="369">
        <v>0</v>
      </c>
      <c r="BG9" s="369">
        <v>0</v>
      </c>
      <c r="BH9" s="369">
        <v>0</v>
      </c>
      <c r="BI9" s="369">
        <v>0</v>
      </c>
      <c r="BJ9" s="369">
        <v>0</v>
      </c>
      <c r="BK9" s="369">
        <v>0</v>
      </c>
    </row>
    <row r="10" spans="2:63" x14ac:dyDescent="0.15">
      <c r="B10" s="127" t="s">
        <v>377</v>
      </c>
      <c r="C10" s="369"/>
      <c r="D10" s="369">
        <v>0</v>
      </c>
      <c r="E10" s="369">
        <v>0</v>
      </c>
      <c r="F10" s="369">
        <v>0</v>
      </c>
      <c r="G10" s="369">
        <v>0</v>
      </c>
      <c r="H10" s="369">
        <v>0</v>
      </c>
      <c r="I10" s="369">
        <v>0</v>
      </c>
      <c r="J10" s="369">
        <v>0</v>
      </c>
      <c r="K10" s="369">
        <v>0</v>
      </c>
      <c r="L10" s="369">
        <v>0</v>
      </c>
      <c r="M10" s="369">
        <v>0</v>
      </c>
      <c r="N10" s="369">
        <v>0</v>
      </c>
      <c r="O10" s="369">
        <v>0</v>
      </c>
      <c r="P10" s="369">
        <v>0</v>
      </c>
      <c r="Q10" s="369">
        <v>0</v>
      </c>
      <c r="R10" s="369">
        <v>0</v>
      </c>
      <c r="S10" s="369">
        <v>0</v>
      </c>
      <c r="T10" s="369">
        <v>0</v>
      </c>
      <c r="U10" s="369">
        <v>0</v>
      </c>
      <c r="V10" s="369">
        <v>0</v>
      </c>
      <c r="W10" s="369">
        <v>0</v>
      </c>
      <c r="X10" s="369">
        <v>0</v>
      </c>
      <c r="Y10" s="369">
        <v>0</v>
      </c>
      <c r="Z10" s="369">
        <v>0</v>
      </c>
      <c r="AA10" s="369">
        <v>0</v>
      </c>
      <c r="AB10" s="369">
        <v>0</v>
      </c>
      <c r="AC10" s="369">
        <v>0</v>
      </c>
      <c r="AD10" s="369">
        <v>0</v>
      </c>
      <c r="AE10" s="369">
        <v>0</v>
      </c>
      <c r="AF10" s="369">
        <v>0</v>
      </c>
      <c r="AG10" s="369">
        <v>0</v>
      </c>
      <c r="AH10" s="369">
        <v>0</v>
      </c>
      <c r="AI10" s="369">
        <v>0</v>
      </c>
      <c r="AJ10" s="369">
        <v>0</v>
      </c>
      <c r="AK10" s="369">
        <v>0</v>
      </c>
      <c r="AL10" s="369">
        <v>0</v>
      </c>
      <c r="AM10" s="369">
        <v>0</v>
      </c>
      <c r="AN10" s="369">
        <v>0</v>
      </c>
      <c r="AO10" s="369">
        <v>0</v>
      </c>
      <c r="AP10" s="369">
        <v>0</v>
      </c>
      <c r="AQ10" s="369">
        <v>0</v>
      </c>
      <c r="AR10" s="369">
        <v>0</v>
      </c>
      <c r="AS10" s="369">
        <v>0</v>
      </c>
      <c r="AT10" s="369">
        <v>0</v>
      </c>
      <c r="AU10" s="369">
        <v>0</v>
      </c>
      <c r="AV10" s="369">
        <v>0</v>
      </c>
      <c r="AW10" s="369">
        <v>0</v>
      </c>
      <c r="AX10" s="369">
        <v>0</v>
      </c>
      <c r="AY10" s="369">
        <v>0</v>
      </c>
      <c r="AZ10" s="369">
        <v>0</v>
      </c>
      <c r="BA10" s="369">
        <v>0</v>
      </c>
      <c r="BB10" s="369">
        <v>0</v>
      </c>
      <c r="BC10" s="369">
        <v>0</v>
      </c>
      <c r="BD10" s="369">
        <v>0</v>
      </c>
      <c r="BE10" s="369">
        <v>0</v>
      </c>
      <c r="BF10" s="369">
        <v>0</v>
      </c>
      <c r="BG10" s="369">
        <v>0</v>
      </c>
      <c r="BH10" s="369">
        <v>0</v>
      </c>
      <c r="BI10" s="369">
        <v>0</v>
      </c>
      <c r="BJ10" s="369">
        <v>0</v>
      </c>
      <c r="BK10" s="369">
        <v>0</v>
      </c>
    </row>
    <row r="11" spans="2:63" x14ac:dyDescent="0.15">
      <c r="B11" s="128" t="s">
        <v>380</v>
      </c>
      <c r="C11" s="369"/>
      <c r="D11" s="369">
        <v>0</v>
      </c>
      <c r="E11" s="369">
        <v>0</v>
      </c>
      <c r="F11" s="369">
        <v>0</v>
      </c>
      <c r="G11" s="369">
        <v>0</v>
      </c>
      <c r="H11" s="369">
        <v>0</v>
      </c>
      <c r="I11" s="369">
        <v>0</v>
      </c>
      <c r="J11" s="369">
        <v>0</v>
      </c>
      <c r="K11" s="369">
        <v>0</v>
      </c>
      <c r="L11" s="369">
        <v>0</v>
      </c>
      <c r="M11" s="369">
        <v>0</v>
      </c>
      <c r="N11" s="369">
        <v>0</v>
      </c>
      <c r="O11" s="369">
        <v>0</v>
      </c>
      <c r="P11" s="369">
        <v>0</v>
      </c>
      <c r="Q11" s="369">
        <v>0</v>
      </c>
      <c r="R11" s="369">
        <v>0</v>
      </c>
      <c r="S11" s="369">
        <v>0</v>
      </c>
      <c r="T11" s="369">
        <v>0</v>
      </c>
      <c r="U11" s="369">
        <v>0</v>
      </c>
      <c r="V11" s="369">
        <v>0</v>
      </c>
      <c r="W11" s="369">
        <v>0</v>
      </c>
      <c r="X11" s="369">
        <v>0</v>
      </c>
      <c r="Y11" s="369">
        <v>0</v>
      </c>
      <c r="Z11" s="369">
        <v>0</v>
      </c>
      <c r="AA11" s="369">
        <v>0</v>
      </c>
      <c r="AB11" s="369">
        <v>0</v>
      </c>
      <c r="AC11" s="369">
        <v>0</v>
      </c>
      <c r="AD11" s="369">
        <v>0</v>
      </c>
      <c r="AE11" s="369">
        <v>0</v>
      </c>
      <c r="AF11" s="369">
        <v>0</v>
      </c>
      <c r="AG11" s="369">
        <v>0</v>
      </c>
      <c r="AH11" s="369">
        <v>0</v>
      </c>
      <c r="AI11" s="369">
        <v>0</v>
      </c>
      <c r="AJ11" s="369">
        <v>0</v>
      </c>
      <c r="AK11" s="369">
        <v>0</v>
      </c>
      <c r="AL11" s="369">
        <v>0</v>
      </c>
      <c r="AM11" s="369">
        <v>0</v>
      </c>
      <c r="AN11" s="369">
        <v>0</v>
      </c>
      <c r="AO11" s="369">
        <v>0</v>
      </c>
      <c r="AP11" s="369">
        <v>0</v>
      </c>
      <c r="AQ11" s="369">
        <v>0</v>
      </c>
      <c r="AR11" s="369">
        <v>0</v>
      </c>
      <c r="AS11" s="369">
        <v>0</v>
      </c>
      <c r="AT11" s="369">
        <v>0</v>
      </c>
      <c r="AU11" s="369">
        <v>0</v>
      </c>
      <c r="AV11" s="369">
        <v>0</v>
      </c>
      <c r="AW11" s="369">
        <v>0</v>
      </c>
      <c r="AX11" s="369">
        <v>0</v>
      </c>
      <c r="AY11" s="369">
        <v>0</v>
      </c>
      <c r="AZ11" s="369">
        <v>0</v>
      </c>
      <c r="BA11" s="369">
        <v>0</v>
      </c>
      <c r="BB11" s="369">
        <v>0</v>
      </c>
      <c r="BC11" s="369">
        <v>0</v>
      </c>
      <c r="BD11" s="369">
        <v>0</v>
      </c>
      <c r="BE11" s="369">
        <v>0</v>
      </c>
      <c r="BF11" s="369">
        <v>0</v>
      </c>
      <c r="BG11" s="369">
        <v>0</v>
      </c>
      <c r="BH11" s="369">
        <v>0</v>
      </c>
      <c r="BI11" s="369">
        <v>0</v>
      </c>
      <c r="BJ11" s="369">
        <v>0</v>
      </c>
      <c r="BK11" s="369">
        <v>0</v>
      </c>
    </row>
    <row r="12" spans="2:63" x14ac:dyDescent="0.15">
      <c r="B12" s="128" t="s">
        <v>387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0</v>
      </c>
      <c r="I12" s="369">
        <v>0</v>
      </c>
      <c r="J12" s="369">
        <v>0</v>
      </c>
      <c r="K12" s="369">
        <v>0</v>
      </c>
      <c r="L12" s="369">
        <v>0</v>
      </c>
      <c r="M12" s="369">
        <v>0</v>
      </c>
      <c r="N12" s="369">
        <v>0</v>
      </c>
      <c r="O12" s="369">
        <v>0</v>
      </c>
      <c r="P12" s="369">
        <v>0</v>
      </c>
      <c r="Q12" s="369">
        <v>0</v>
      </c>
      <c r="R12" s="369">
        <v>0</v>
      </c>
      <c r="S12" s="369">
        <v>0</v>
      </c>
      <c r="T12" s="369">
        <v>0</v>
      </c>
      <c r="U12" s="369">
        <v>0</v>
      </c>
      <c r="V12" s="369">
        <v>0</v>
      </c>
      <c r="W12" s="369">
        <v>0</v>
      </c>
      <c r="X12" s="369">
        <v>0</v>
      </c>
      <c r="Y12" s="369">
        <v>0</v>
      </c>
      <c r="Z12" s="369">
        <v>0</v>
      </c>
      <c r="AA12" s="369">
        <v>0</v>
      </c>
      <c r="AB12" s="369">
        <v>0</v>
      </c>
      <c r="AC12" s="369">
        <v>0</v>
      </c>
      <c r="AD12" s="369">
        <v>0</v>
      </c>
      <c r="AE12" s="369">
        <v>0</v>
      </c>
      <c r="AF12" s="369">
        <v>0</v>
      </c>
      <c r="AG12" s="369">
        <v>0</v>
      </c>
      <c r="AH12" s="369">
        <v>0</v>
      </c>
      <c r="AI12" s="369">
        <v>0</v>
      </c>
      <c r="AJ12" s="369">
        <v>0</v>
      </c>
      <c r="AK12" s="369">
        <v>0</v>
      </c>
      <c r="AL12" s="369">
        <v>0</v>
      </c>
      <c r="AM12" s="369">
        <v>0</v>
      </c>
      <c r="AN12" s="369">
        <v>0</v>
      </c>
      <c r="AO12" s="369">
        <v>0</v>
      </c>
      <c r="AP12" s="369">
        <v>0</v>
      </c>
      <c r="AQ12" s="369">
        <v>0</v>
      </c>
      <c r="AR12" s="369">
        <v>0</v>
      </c>
      <c r="AS12" s="369">
        <v>0</v>
      </c>
      <c r="AT12" s="369">
        <v>0</v>
      </c>
      <c r="AU12" s="369">
        <v>0</v>
      </c>
      <c r="AV12" s="369">
        <v>0</v>
      </c>
      <c r="AW12" s="369">
        <v>0</v>
      </c>
      <c r="AX12" s="369">
        <v>0</v>
      </c>
      <c r="AY12" s="369">
        <v>0</v>
      </c>
      <c r="AZ12" s="369">
        <v>0</v>
      </c>
      <c r="BA12" s="369">
        <v>0</v>
      </c>
      <c r="BB12" s="369">
        <v>0</v>
      </c>
      <c r="BC12" s="369">
        <v>0</v>
      </c>
      <c r="BD12" s="369">
        <v>0</v>
      </c>
      <c r="BE12" s="369">
        <v>0</v>
      </c>
      <c r="BF12" s="369">
        <v>0</v>
      </c>
      <c r="BG12" s="369">
        <v>0</v>
      </c>
      <c r="BH12" s="369">
        <v>0</v>
      </c>
      <c r="BI12" s="369">
        <v>0</v>
      </c>
      <c r="BJ12" s="369">
        <v>0</v>
      </c>
      <c r="BK12" s="369">
        <v>0</v>
      </c>
    </row>
    <row r="13" spans="2:63" x14ac:dyDescent="0.15">
      <c r="B13" s="128" t="s">
        <v>382</v>
      </c>
      <c r="C13" s="369"/>
      <c r="D13" s="369">
        <v>0</v>
      </c>
      <c r="E13" s="369">
        <v>0</v>
      </c>
      <c r="F13" s="369">
        <v>0</v>
      </c>
      <c r="G13" s="369">
        <v>0</v>
      </c>
      <c r="H13" s="369">
        <v>0</v>
      </c>
      <c r="I13" s="369">
        <v>0</v>
      </c>
      <c r="J13" s="369">
        <v>0</v>
      </c>
      <c r="K13" s="369">
        <v>0</v>
      </c>
      <c r="L13" s="369">
        <v>0</v>
      </c>
      <c r="M13" s="369">
        <v>0</v>
      </c>
      <c r="N13" s="369">
        <v>0</v>
      </c>
      <c r="O13" s="369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0</v>
      </c>
      <c r="U13" s="369">
        <v>0</v>
      </c>
      <c r="V13" s="369">
        <v>0</v>
      </c>
      <c r="W13" s="369">
        <v>0</v>
      </c>
      <c r="X13" s="369">
        <v>0</v>
      </c>
      <c r="Y13" s="369">
        <v>0</v>
      </c>
      <c r="Z13" s="369">
        <v>0</v>
      </c>
      <c r="AA13" s="369">
        <v>0</v>
      </c>
      <c r="AB13" s="369">
        <v>0</v>
      </c>
      <c r="AC13" s="369">
        <v>0</v>
      </c>
      <c r="AD13" s="369">
        <v>0</v>
      </c>
      <c r="AE13" s="369">
        <v>0</v>
      </c>
      <c r="AF13" s="369">
        <v>0</v>
      </c>
      <c r="AG13" s="369">
        <v>0</v>
      </c>
      <c r="AH13" s="369">
        <v>0</v>
      </c>
      <c r="AI13" s="369">
        <v>0</v>
      </c>
      <c r="AJ13" s="369">
        <v>0</v>
      </c>
      <c r="AK13" s="369">
        <v>0</v>
      </c>
      <c r="AL13" s="369">
        <v>0</v>
      </c>
      <c r="AM13" s="369">
        <v>0</v>
      </c>
      <c r="AN13" s="369">
        <v>0</v>
      </c>
      <c r="AO13" s="369">
        <v>0</v>
      </c>
      <c r="AP13" s="369">
        <v>0</v>
      </c>
      <c r="AQ13" s="369">
        <v>0</v>
      </c>
      <c r="AR13" s="369">
        <v>0</v>
      </c>
      <c r="AS13" s="369">
        <v>0</v>
      </c>
      <c r="AT13" s="369">
        <v>0</v>
      </c>
      <c r="AU13" s="369">
        <v>0</v>
      </c>
      <c r="AV13" s="369">
        <v>0</v>
      </c>
      <c r="AW13" s="369">
        <v>0</v>
      </c>
      <c r="AX13" s="369">
        <v>0</v>
      </c>
      <c r="AY13" s="369">
        <v>0</v>
      </c>
      <c r="AZ13" s="369">
        <v>0</v>
      </c>
      <c r="BA13" s="369">
        <v>0</v>
      </c>
      <c r="BB13" s="369">
        <v>0</v>
      </c>
      <c r="BC13" s="369">
        <v>0</v>
      </c>
      <c r="BD13" s="369">
        <v>0</v>
      </c>
      <c r="BE13" s="369">
        <v>0</v>
      </c>
      <c r="BF13" s="369">
        <v>0</v>
      </c>
      <c r="BG13" s="369">
        <v>0</v>
      </c>
      <c r="BH13" s="369">
        <v>0</v>
      </c>
      <c r="BI13" s="369">
        <v>0</v>
      </c>
      <c r="BJ13" s="369">
        <v>0</v>
      </c>
      <c r="BK13" s="369">
        <v>0</v>
      </c>
    </row>
    <row r="14" spans="2:63" x14ac:dyDescent="0.15">
      <c r="B14" s="128" t="s">
        <v>373</v>
      </c>
      <c r="C14" s="369"/>
      <c r="D14" s="369">
        <v>0</v>
      </c>
      <c r="E14" s="369">
        <v>0</v>
      </c>
      <c r="F14" s="369">
        <v>0</v>
      </c>
      <c r="G14" s="369">
        <v>0</v>
      </c>
      <c r="H14" s="369">
        <v>0</v>
      </c>
      <c r="I14" s="369">
        <v>0</v>
      </c>
      <c r="J14" s="369">
        <v>0</v>
      </c>
      <c r="K14" s="369">
        <v>0</v>
      </c>
      <c r="L14" s="369">
        <v>0</v>
      </c>
      <c r="M14" s="369">
        <v>0</v>
      </c>
      <c r="N14" s="369">
        <v>0</v>
      </c>
      <c r="O14" s="369">
        <v>0</v>
      </c>
      <c r="P14" s="369">
        <v>0</v>
      </c>
      <c r="Q14" s="369">
        <v>0</v>
      </c>
      <c r="R14" s="369">
        <v>0</v>
      </c>
      <c r="S14" s="369">
        <v>0</v>
      </c>
      <c r="T14" s="369">
        <v>0</v>
      </c>
      <c r="U14" s="369">
        <v>0</v>
      </c>
      <c r="V14" s="369">
        <v>0</v>
      </c>
      <c r="W14" s="369">
        <v>0</v>
      </c>
      <c r="X14" s="369">
        <v>0</v>
      </c>
      <c r="Y14" s="369">
        <v>0</v>
      </c>
      <c r="Z14" s="369">
        <v>0</v>
      </c>
      <c r="AA14" s="369">
        <v>0</v>
      </c>
      <c r="AB14" s="369">
        <v>0</v>
      </c>
      <c r="AC14" s="369">
        <v>0</v>
      </c>
      <c r="AD14" s="369">
        <v>0</v>
      </c>
      <c r="AE14" s="369">
        <v>0</v>
      </c>
      <c r="AF14" s="369">
        <v>0</v>
      </c>
      <c r="AG14" s="369">
        <v>0</v>
      </c>
      <c r="AH14" s="369">
        <v>0</v>
      </c>
      <c r="AI14" s="369">
        <v>0</v>
      </c>
      <c r="AJ14" s="369">
        <v>0</v>
      </c>
      <c r="AK14" s="369">
        <v>0</v>
      </c>
      <c r="AL14" s="369">
        <v>0</v>
      </c>
      <c r="AM14" s="369">
        <v>0</v>
      </c>
      <c r="AN14" s="369">
        <v>0</v>
      </c>
      <c r="AO14" s="369">
        <v>0</v>
      </c>
      <c r="AP14" s="369">
        <v>0</v>
      </c>
      <c r="AQ14" s="369">
        <v>0</v>
      </c>
      <c r="AR14" s="369">
        <v>0</v>
      </c>
      <c r="AS14" s="369">
        <v>0</v>
      </c>
      <c r="AT14" s="369">
        <v>0</v>
      </c>
      <c r="AU14" s="369">
        <v>0</v>
      </c>
      <c r="AV14" s="369">
        <v>0</v>
      </c>
      <c r="AW14" s="369">
        <v>0</v>
      </c>
      <c r="AX14" s="369">
        <v>0</v>
      </c>
      <c r="AY14" s="369">
        <v>0</v>
      </c>
      <c r="AZ14" s="369">
        <v>0</v>
      </c>
      <c r="BA14" s="369">
        <v>0</v>
      </c>
      <c r="BB14" s="369">
        <v>0</v>
      </c>
      <c r="BC14" s="369">
        <v>0</v>
      </c>
      <c r="BD14" s="369">
        <v>0</v>
      </c>
      <c r="BE14" s="369">
        <v>0</v>
      </c>
      <c r="BF14" s="369">
        <v>0</v>
      </c>
      <c r="BG14" s="369">
        <v>0</v>
      </c>
      <c r="BH14" s="369">
        <v>0</v>
      </c>
      <c r="BI14" s="369">
        <v>0</v>
      </c>
      <c r="BJ14" s="369">
        <v>0</v>
      </c>
      <c r="BK14" s="369">
        <v>0</v>
      </c>
    </row>
    <row r="15" spans="2:63" x14ac:dyDescent="0.15">
      <c r="B15" s="128" t="s">
        <v>384</v>
      </c>
      <c r="C15" s="369"/>
      <c r="D15" s="369">
        <v>0</v>
      </c>
      <c r="E15" s="369">
        <v>0</v>
      </c>
      <c r="F15" s="369">
        <v>0</v>
      </c>
      <c r="G15" s="369">
        <v>0</v>
      </c>
      <c r="H15" s="369">
        <v>0</v>
      </c>
      <c r="I15" s="369">
        <v>0</v>
      </c>
      <c r="J15" s="369">
        <v>0</v>
      </c>
      <c r="K15" s="369">
        <v>0</v>
      </c>
      <c r="L15" s="369">
        <v>0</v>
      </c>
      <c r="M15" s="369">
        <v>0</v>
      </c>
      <c r="N15" s="369">
        <v>0</v>
      </c>
      <c r="O15" s="369">
        <v>0</v>
      </c>
      <c r="P15" s="369">
        <v>0</v>
      </c>
      <c r="Q15" s="369">
        <v>0</v>
      </c>
      <c r="R15" s="369">
        <v>0</v>
      </c>
      <c r="S15" s="369">
        <v>0</v>
      </c>
      <c r="T15" s="369">
        <v>0</v>
      </c>
      <c r="U15" s="369">
        <v>0</v>
      </c>
      <c r="V15" s="369">
        <v>0</v>
      </c>
      <c r="W15" s="369">
        <v>0</v>
      </c>
      <c r="X15" s="369">
        <v>0</v>
      </c>
      <c r="Y15" s="369">
        <v>0</v>
      </c>
      <c r="Z15" s="369">
        <v>0</v>
      </c>
      <c r="AA15" s="369">
        <v>0</v>
      </c>
      <c r="AB15" s="369">
        <v>0</v>
      </c>
      <c r="AC15" s="369">
        <v>0</v>
      </c>
      <c r="AD15" s="369">
        <v>0</v>
      </c>
      <c r="AE15" s="369">
        <v>0</v>
      </c>
      <c r="AF15" s="369">
        <v>0</v>
      </c>
      <c r="AG15" s="369">
        <v>0</v>
      </c>
      <c r="AH15" s="369">
        <v>0</v>
      </c>
      <c r="AI15" s="369">
        <v>0</v>
      </c>
      <c r="AJ15" s="369">
        <v>0</v>
      </c>
      <c r="AK15" s="369">
        <v>0</v>
      </c>
      <c r="AL15" s="369">
        <v>0</v>
      </c>
      <c r="AM15" s="369">
        <v>0</v>
      </c>
      <c r="AN15" s="369">
        <v>0</v>
      </c>
      <c r="AO15" s="369">
        <v>0</v>
      </c>
      <c r="AP15" s="369">
        <v>0</v>
      </c>
      <c r="AQ15" s="369">
        <v>0</v>
      </c>
      <c r="AR15" s="369">
        <v>0</v>
      </c>
      <c r="AS15" s="369">
        <v>0</v>
      </c>
      <c r="AT15" s="369">
        <v>0</v>
      </c>
      <c r="AU15" s="369">
        <v>0</v>
      </c>
      <c r="AV15" s="369">
        <v>0</v>
      </c>
      <c r="AW15" s="369">
        <v>0</v>
      </c>
      <c r="AX15" s="369">
        <v>0</v>
      </c>
      <c r="AY15" s="369">
        <v>0</v>
      </c>
      <c r="AZ15" s="369">
        <v>0</v>
      </c>
      <c r="BA15" s="369">
        <v>0</v>
      </c>
      <c r="BB15" s="369">
        <v>0</v>
      </c>
      <c r="BC15" s="369">
        <v>0</v>
      </c>
      <c r="BD15" s="369">
        <v>0</v>
      </c>
      <c r="BE15" s="369">
        <v>0</v>
      </c>
      <c r="BF15" s="369">
        <v>0</v>
      </c>
      <c r="BG15" s="369">
        <v>0</v>
      </c>
      <c r="BH15" s="369">
        <v>0</v>
      </c>
      <c r="BI15" s="369">
        <v>0</v>
      </c>
      <c r="BJ15" s="369">
        <v>0</v>
      </c>
      <c r="BK15" s="369">
        <v>0</v>
      </c>
    </row>
    <row r="16" spans="2:63" x14ac:dyDescent="0.15">
      <c r="B16" s="128" t="s">
        <v>385</v>
      </c>
      <c r="C16" s="369"/>
      <c r="D16" s="369">
        <v>0</v>
      </c>
      <c r="E16" s="369">
        <v>0</v>
      </c>
      <c r="F16" s="369">
        <v>0</v>
      </c>
      <c r="G16" s="369">
        <v>0</v>
      </c>
      <c r="H16" s="369">
        <v>0</v>
      </c>
      <c r="I16" s="369">
        <v>0</v>
      </c>
      <c r="J16" s="369">
        <v>0</v>
      </c>
      <c r="K16" s="369">
        <v>0</v>
      </c>
      <c r="L16" s="369">
        <v>0</v>
      </c>
      <c r="M16" s="369">
        <v>0</v>
      </c>
      <c r="N16" s="369">
        <v>0</v>
      </c>
      <c r="O16" s="369">
        <v>0</v>
      </c>
      <c r="P16" s="369">
        <v>0</v>
      </c>
      <c r="Q16" s="369">
        <v>0</v>
      </c>
      <c r="R16" s="369">
        <v>0</v>
      </c>
      <c r="S16" s="369">
        <v>0</v>
      </c>
      <c r="T16" s="369">
        <v>0</v>
      </c>
      <c r="U16" s="369">
        <v>0</v>
      </c>
      <c r="V16" s="369">
        <v>0</v>
      </c>
      <c r="W16" s="369">
        <v>0</v>
      </c>
      <c r="X16" s="369">
        <v>0</v>
      </c>
      <c r="Y16" s="369">
        <v>0</v>
      </c>
      <c r="Z16" s="369">
        <v>0</v>
      </c>
      <c r="AA16" s="369">
        <v>0</v>
      </c>
      <c r="AB16" s="369">
        <v>0</v>
      </c>
      <c r="AC16" s="369">
        <v>0</v>
      </c>
      <c r="AD16" s="369">
        <v>0</v>
      </c>
      <c r="AE16" s="369">
        <v>0</v>
      </c>
      <c r="AF16" s="369">
        <v>0</v>
      </c>
      <c r="AG16" s="369">
        <v>0</v>
      </c>
      <c r="AH16" s="369">
        <v>0</v>
      </c>
      <c r="AI16" s="369">
        <v>0</v>
      </c>
      <c r="AJ16" s="369">
        <v>0</v>
      </c>
      <c r="AK16" s="369">
        <v>0</v>
      </c>
      <c r="AL16" s="369">
        <v>0</v>
      </c>
      <c r="AM16" s="369">
        <v>0</v>
      </c>
      <c r="AN16" s="369">
        <v>0</v>
      </c>
      <c r="AO16" s="369">
        <v>0</v>
      </c>
      <c r="AP16" s="369">
        <v>0</v>
      </c>
      <c r="AQ16" s="369">
        <v>0</v>
      </c>
      <c r="AR16" s="369">
        <v>0</v>
      </c>
      <c r="AS16" s="369">
        <v>0</v>
      </c>
      <c r="AT16" s="369">
        <v>0</v>
      </c>
      <c r="AU16" s="369">
        <v>0</v>
      </c>
      <c r="AV16" s="369">
        <v>0</v>
      </c>
      <c r="AW16" s="369">
        <v>0</v>
      </c>
      <c r="AX16" s="369">
        <v>0</v>
      </c>
      <c r="AY16" s="369">
        <v>0</v>
      </c>
      <c r="AZ16" s="369">
        <v>0</v>
      </c>
      <c r="BA16" s="369">
        <v>0</v>
      </c>
      <c r="BB16" s="369">
        <v>0</v>
      </c>
      <c r="BC16" s="369">
        <v>0</v>
      </c>
      <c r="BD16" s="369">
        <v>0</v>
      </c>
      <c r="BE16" s="369">
        <v>0</v>
      </c>
      <c r="BF16" s="369">
        <v>0</v>
      </c>
      <c r="BG16" s="369">
        <v>0</v>
      </c>
      <c r="BH16" s="369">
        <v>0</v>
      </c>
      <c r="BI16" s="369">
        <v>0</v>
      </c>
      <c r="BJ16" s="369">
        <v>0</v>
      </c>
      <c r="BK16" s="369">
        <v>0</v>
      </c>
    </row>
    <row r="17" spans="1:63" x14ac:dyDescent="0.15">
      <c r="B17" s="128" t="s">
        <v>386</v>
      </c>
      <c r="C17" s="369">
        <v>0</v>
      </c>
      <c r="D17" s="369">
        <v>0</v>
      </c>
      <c r="E17" s="369">
        <v>0</v>
      </c>
      <c r="F17" s="369">
        <v>0</v>
      </c>
      <c r="G17" s="369">
        <v>0</v>
      </c>
      <c r="H17" s="369">
        <v>0</v>
      </c>
      <c r="I17" s="369">
        <v>0</v>
      </c>
      <c r="J17" s="369">
        <v>0</v>
      </c>
      <c r="K17" s="369">
        <v>0</v>
      </c>
      <c r="L17" s="369">
        <v>0</v>
      </c>
      <c r="M17" s="369">
        <v>0</v>
      </c>
      <c r="N17" s="369">
        <v>0</v>
      </c>
      <c r="O17" s="369">
        <v>0</v>
      </c>
      <c r="P17" s="369">
        <v>0</v>
      </c>
      <c r="Q17" s="369">
        <v>0</v>
      </c>
      <c r="R17" s="369">
        <v>0</v>
      </c>
      <c r="S17" s="369">
        <v>0</v>
      </c>
      <c r="T17" s="369">
        <v>0</v>
      </c>
      <c r="U17" s="369">
        <v>0</v>
      </c>
      <c r="V17" s="369">
        <v>0</v>
      </c>
      <c r="W17" s="369">
        <v>0</v>
      </c>
      <c r="X17" s="369">
        <v>0</v>
      </c>
      <c r="Y17" s="369">
        <v>0</v>
      </c>
      <c r="Z17" s="369">
        <v>0</v>
      </c>
      <c r="AA17" s="369">
        <v>0</v>
      </c>
      <c r="AB17" s="369">
        <v>0</v>
      </c>
      <c r="AC17" s="369">
        <v>0</v>
      </c>
      <c r="AD17" s="369">
        <v>0</v>
      </c>
      <c r="AE17" s="369">
        <v>0</v>
      </c>
      <c r="AF17" s="369">
        <v>0</v>
      </c>
      <c r="AG17" s="369">
        <v>0</v>
      </c>
      <c r="AH17" s="369">
        <v>0</v>
      </c>
      <c r="AI17" s="369">
        <v>0</v>
      </c>
      <c r="AJ17" s="369">
        <v>0</v>
      </c>
      <c r="AK17" s="369">
        <v>0</v>
      </c>
      <c r="AL17" s="369">
        <v>0</v>
      </c>
      <c r="AM17" s="369">
        <v>0</v>
      </c>
      <c r="AN17" s="369">
        <v>0</v>
      </c>
      <c r="AO17" s="369">
        <v>0</v>
      </c>
      <c r="AP17" s="369">
        <v>0</v>
      </c>
      <c r="AQ17" s="369">
        <v>0</v>
      </c>
      <c r="AR17" s="369">
        <v>0</v>
      </c>
      <c r="AS17" s="369">
        <v>0</v>
      </c>
      <c r="AT17" s="369">
        <v>0</v>
      </c>
      <c r="AU17" s="369">
        <v>0</v>
      </c>
      <c r="AV17" s="369">
        <v>0</v>
      </c>
      <c r="AW17" s="369">
        <v>0</v>
      </c>
      <c r="AX17" s="369">
        <v>0</v>
      </c>
      <c r="AY17" s="369">
        <v>0</v>
      </c>
      <c r="AZ17" s="369">
        <v>0</v>
      </c>
      <c r="BA17" s="369">
        <v>0</v>
      </c>
      <c r="BB17" s="369">
        <v>0</v>
      </c>
      <c r="BC17" s="369">
        <v>0</v>
      </c>
      <c r="BD17" s="369">
        <v>0</v>
      </c>
      <c r="BE17" s="369">
        <v>0</v>
      </c>
      <c r="BF17" s="369">
        <v>0</v>
      </c>
      <c r="BG17" s="369">
        <v>0</v>
      </c>
      <c r="BH17" s="369">
        <v>0</v>
      </c>
      <c r="BI17" s="369">
        <v>0</v>
      </c>
      <c r="BJ17" s="369">
        <v>0</v>
      </c>
      <c r="BK17" s="369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390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388</v>
      </c>
    </row>
    <row r="22" spans="1:63" x14ac:dyDescent="0.15">
      <c r="B22" s="50"/>
    </row>
    <row r="23" spans="1:63" x14ac:dyDescent="0.15">
      <c r="B23" s="128" t="s">
        <v>387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382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373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384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385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383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386</v>
      </c>
      <c r="C29" s="369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391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399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183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392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438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393</v>
      </c>
    </row>
    <row r="46" spans="2:63" x14ac:dyDescent="0.15">
      <c r="B46" s="47" t="s">
        <v>1271</v>
      </c>
      <c r="C46" s="370"/>
      <c r="D46" s="370"/>
      <c r="E46" s="370"/>
      <c r="F46" s="370"/>
      <c r="G46" s="370">
        <f>600000+100000</f>
        <v>700000</v>
      </c>
      <c r="H46" s="370">
        <v>80000</v>
      </c>
      <c r="I46" s="370"/>
      <c r="J46" s="370"/>
      <c r="K46" s="370"/>
      <c r="L46" s="370"/>
      <c r="M46" s="370"/>
      <c r="N46" s="370"/>
      <c r="O46" s="267"/>
      <c r="P46" s="370"/>
      <c r="Q46" s="370"/>
      <c r="R46" s="370"/>
      <c r="S46" s="370"/>
      <c r="T46" s="370"/>
      <c r="U46" s="37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1272</v>
      </c>
      <c r="C47" s="370"/>
      <c r="D47" s="370">
        <v>0</v>
      </c>
      <c r="E47" s="370"/>
      <c r="F47" s="370"/>
      <c r="G47" s="370">
        <v>160000</v>
      </c>
      <c r="H47" s="370">
        <v>70000</v>
      </c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415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150000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tabSelected="1" topLeftCell="A18" workbookViewId="2">
      <selection activeCell="C53" sqref="C53:O53"/>
    </sheetView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406" t="s">
        <v>615</v>
      </c>
      <c r="C2" s="406"/>
      <c r="D2" s="406"/>
      <c r="E2" s="406"/>
      <c r="F2" s="406"/>
      <c r="G2" s="406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208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1188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1183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1248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1247</v>
      </c>
      <c r="B9" s="361">
        <v>0.1</v>
      </c>
      <c r="C9" s="361">
        <v>0.4</v>
      </c>
      <c r="D9" s="361">
        <v>0.4</v>
      </c>
      <c r="E9" s="361">
        <v>0.5</v>
      </c>
      <c r="F9" s="361">
        <v>0.5</v>
      </c>
      <c r="G9" s="361"/>
      <c r="H9"/>
      <c r="I9"/>
      <c r="J9"/>
      <c r="K9"/>
      <c r="L9"/>
      <c r="M9"/>
    </row>
    <row r="10" spans="1:14" x14ac:dyDescent="0.15">
      <c r="A10" s="33" t="s">
        <v>1246</v>
      </c>
      <c r="B10" s="169">
        <f>B9*B8</f>
        <v>5702.4000000000005</v>
      </c>
      <c r="C10" s="169">
        <f>C9*C8</f>
        <v>23493.888000000006</v>
      </c>
      <c r="D10" s="169">
        <f>D9*D8</f>
        <v>29038.445568000003</v>
      </c>
      <c r="E10" s="169">
        <f>E9*E8</f>
        <v>37386.998668799999</v>
      </c>
      <c r="F10" s="169">
        <f>F9*F8</f>
        <v>38508.608628864</v>
      </c>
      <c r="G10" s="169">
        <f>SUM(B10:F10)</f>
        <v>134130.34086566401</v>
      </c>
      <c r="H10"/>
      <c r="I10"/>
      <c r="J10"/>
      <c r="K10"/>
      <c r="L10"/>
      <c r="M10"/>
    </row>
    <row r="11" spans="1:14" x14ac:dyDescent="0.15">
      <c r="A11" s="33" t="s">
        <v>1280</v>
      </c>
      <c r="B11" s="421">
        <f>B10/360</f>
        <v>15.840000000000002</v>
      </c>
      <c r="C11" s="421">
        <f>C10/360</f>
        <v>65.260800000000017</v>
      </c>
      <c r="D11" s="421">
        <f>D10/360</f>
        <v>80.662348800000004</v>
      </c>
      <c r="E11" s="421">
        <f>E10/360</f>
        <v>103.85277408</v>
      </c>
      <c r="F11" s="421">
        <f>F10/360</f>
        <v>106.96835730239999</v>
      </c>
      <c r="G11" s="422"/>
    </row>
    <row r="12" spans="1:14" x14ac:dyDescent="0.15">
      <c r="A12"/>
      <c r="C12" s="296"/>
      <c r="D12"/>
      <c r="E12"/>
      <c r="F12"/>
      <c r="G12" s="169"/>
      <c r="H12"/>
      <c r="I12"/>
      <c r="J12"/>
      <c r="K12"/>
      <c r="L12"/>
      <c r="M12"/>
    </row>
    <row r="13" spans="1:14" x14ac:dyDescent="0.15">
      <c r="A13"/>
      <c r="B13" s="406" t="s">
        <v>1242</v>
      </c>
      <c r="C13" s="406"/>
      <c r="D13" s="406"/>
      <c r="E13" s="406"/>
      <c r="F13" s="406"/>
      <c r="G13" s="406"/>
      <c r="H13" s="10"/>
      <c r="I13" s="10"/>
      <c r="J13" s="10"/>
      <c r="K13" s="10"/>
      <c r="L13" s="10"/>
      <c r="M13" s="10"/>
    </row>
    <row r="14" spans="1:14" x14ac:dyDescent="0.15">
      <c r="A14"/>
      <c r="B14" s="377" t="s">
        <v>616</v>
      </c>
      <c r="C14" s="377"/>
      <c r="D14" s="377"/>
      <c r="E14" s="377"/>
      <c r="F14" s="377"/>
      <c r="G14" s="377"/>
      <c r="H14" s="10"/>
      <c r="I14" s="10"/>
      <c r="J14" s="10"/>
      <c r="K14" s="10"/>
      <c r="L14" s="10"/>
      <c r="M14" s="10"/>
    </row>
    <row r="15" spans="1:14" x14ac:dyDescent="0.15">
      <c r="A15"/>
      <c r="C15" s="34" t="s">
        <v>40</v>
      </c>
      <c r="D15" s="34" t="s">
        <v>41</v>
      </c>
      <c r="E15" s="34" t="s">
        <v>42</v>
      </c>
      <c r="F15" s="34" t="s">
        <v>43</v>
      </c>
      <c r="G15" s="34" t="s">
        <v>44</v>
      </c>
      <c r="H15" s="34" t="s">
        <v>45</v>
      </c>
      <c r="I15" s="34" t="s">
        <v>46</v>
      </c>
      <c r="J15" s="34" t="s">
        <v>47</v>
      </c>
      <c r="K15" s="34" t="s">
        <v>48</v>
      </c>
      <c r="L15" s="34" t="s">
        <v>49</v>
      </c>
      <c r="M15" s="34" t="s">
        <v>50</v>
      </c>
      <c r="N15" s="34" t="s">
        <v>51</v>
      </c>
    </row>
    <row r="16" spans="1:14" x14ac:dyDescent="0.15">
      <c r="A16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</row>
    <row r="17" spans="1:20" x14ac:dyDescent="0.15">
      <c r="A17" s="44" t="s">
        <v>1184</v>
      </c>
      <c r="B17" s="34"/>
      <c r="C17" s="361">
        <v>0.05</v>
      </c>
      <c r="D17" s="361">
        <v>0.08</v>
      </c>
      <c r="E17" s="361">
        <v>0.09</v>
      </c>
      <c r="F17" s="361">
        <v>0.09</v>
      </c>
      <c r="G17" s="361">
        <v>0.09</v>
      </c>
      <c r="H17" s="361">
        <v>0.09</v>
      </c>
      <c r="I17" s="361">
        <v>0.09</v>
      </c>
      <c r="J17" s="361">
        <v>0.09</v>
      </c>
      <c r="K17" s="361">
        <v>0.09</v>
      </c>
      <c r="L17" s="361">
        <v>0.09</v>
      </c>
      <c r="M17" s="361">
        <v>0.09</v>
      </c>
      <c r="N17" s="361">
        <v>0.06</v>
      </c>
    </row>
    <row r="18" spans="1:20" ht="13.5" customHeight="1" x14ac:dyDescent="0.15">
      <c r="A18" s="44" t="s">
        <v>1185</v>
      </c>
      <c r="C18" s="98">
        <f>C17</f>
        <v>0.05</v>
      </c>
      <c r="D18" s="98">
        <f t="shared" ref="D18:N18" si="1">D17+C18</f>
        <v>0.13</v>
      </c>
      <c r="E18" s="98">
        <f t="shared" si="1"/>
        <v>0.22</v>
      </c>
      <c r="F18" s="98">
        <f t="shared" si="1"/>
        <v>0.31</v>
      </c>
      <c r="G18" s="98">
        <f t="shared" si="1"/>
        <v>0.4</v>
      </c>
      <c r="H18" s="98">
        <f t="shared" si="1"/>
        <v>0.49</v>
      </c>
      <c r="I18" s="98">
        <f t="shared" si="1"/>
        <v>0.57999999999999996</v>
      </c>
      <c r="J18" s="98">
        <f t="shared" si="1"/>
        <v>0.66999999999999993</v>
      </c>
      <c r="K18" s="98">
        <f t="shared" si="1"/>
        <v>0.7599999999999999</v>
      </c>
      <c r="L18" s="98">
        <f t="shared" si="1"/>
        <v>0.84999999999999987</v>
      </c>
      <c r="M18" s="98">
        <f t="shared" si="1"/>
        <v>0.93999999999999984</v>
      </c>
      <c r="N18" s="98">
        <f t="shared" si="1"/>
        <v>0.99999999999999978</v>
      </c>
    </row>
    <row r="19" spans="1:20" ht="13.5" customHeight="1" x14ac:dyDescent="0.15">
      <c r="A19"/>
      <c r="B19" s="98"/>
      <c r="C19" s="98"/>
      <c r="D19" s="98"/>
      <c r="E19" s="98"/>
      <c r="F19" s="98"/>
      <c r="G19" s="395"/>
      <c r="H19" s="396"/>
      <c r="I19" s="98"/>
      <c r="J19" s="98"/>
      <c r="K19" s="98"/>
      <c r="L19" s="98"/>
      <c r="M19" s="98"/>
    </row>
    <row r="21" spans="1:20" x14ac:dyDescent="0.15">
      <c r="C21" s="406" t="s">
        <v>617</v>
      </c>
      <c r="D21" s="406"/>
      <c r="E21" s="406"/>
      <c r="F21" s="406"/>
    </row>
    <row r="23" spans="1:20" x14ac:dyDescent="0.15">
      <c r="C23" s="34" t="s">
        <v>319</v>
      </c>
      <c r="D23" s="34" t="s">
        <v>618</v>
      </c>
      <c r="E23" s="34" t="s">
        <v>613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5702.4000000000005</v>
      </c>
      <c r="D25" s="359">
        <f>C25/$B$11</f>
        <v>360</v>
      </c>
      <c r="E25" s="180">
        <f>O38</f>
        <v>2864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23493.888000000006</v>
      </c>
      <c r="D26" s="359">
        <f>(+C26+C25)/$B$11</f>
        <v>1843.2000000000003</v>
      </c>
      <c r="E26" s="171">
        <f>O42</f>
        <v>16445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29038.445568000003</v>
      </c>
      <c r="D27" s="359">
        <f>(+C27+C26+C25)/$B$11</f>
        <v>3676.4352000000003</v>
      </c>
      <c r="E27" s="171">
        <f>O46</f>
        <v>29034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(+C28+C27+C26+C25)/$B$11</f>
        <v>6036.72552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(+C29+C28+C27+C26)/$B$11</f>
        <v>8107.8245496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208</v>
      </c>
      <c r="C30" s="171">
        <f>SUM(C25:C29)</f>
        <v>134130.34086566401</v>
      </c>
      <c r="E30" s="171">
        <f>SUM(E25:E29)</f>
        <v>124242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406" t="s">
        <v>619</v>
      </c>
      <c r="C32" s="406"/>
      <c r="D32" s="406"/>
      <c r="E32" s="406"/>
      <c r="F32" s="406"/>
      <c r="G32" s="406"/>
      <c r="H32" s="406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208</v>
      </c>
    </row>
    <row r="35" spans="2:15" x14ac:dyDescent="0.15">
      <c r="B35" s="362" t="s">
        <v>1186</v>
      </c>
      <c r="C35" s="363"/>
      <c r="D35" s="363"/>
      <c r="E35" s="363"/>
      <c r="F35" s="363">
        <f>F$17</f>
        <v>0.09</v>
      </c>
      <c r="G35" s="363">
        <f t="shared" ref="G35:N35" si="2">G$17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1187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513</v>
      </c>
      <c r="G36" s="364">
        <f t="shared" si="3"/>
        <v>513</v>
      </c>
      <c r="H36" s="364">
        <f t="shared" si="3"/>
        <v>513</v>
      </c>
      <c r="I36" s="364">
        <f t="shared" si="3"/>
        <v>513</v>
      </c>
      <c r="J36" s="364">
        <f t="shared" si="3"/>
        <v>513</v>
      </c>
      <c r="K36" s="364">
        <f t="shared" si="3"/>
        <v>513</v>
      </c>
      <c r="L36" s="364">
        <f t="shared" si="3"/>
        <v>513</v>
      </c>
      <c r="M36" s="364">
        <f t="shared" si="3"/>
        <v>513</v>
      </c>
      <c r="N36" s="364">
        <f t="shared" si="3"/>
        <v>342</v>
      </c>
      <c r="O36" s="364">
        <f>SUM(C36:N36)</f>
        <v>4446</v>
      </c>
    </row>
    <row r="37" spans="2:15" x14ac:dyDescent="0.15">
      <c r="B37" s="33" t="s">
        <v>320</v>
      </c>
      <c r="C37" s="361"/>
      <c r="D37" s="361"/>
      <c r="E37" s="361"/>
      <c r="F37" s="361">
        <v>3.5999999999999997E-2</v>
      </c>
      <c r="G37" s="361">
        <v>0.05</v>
      </c>
      <c r="H37" s="361">
        <v>0.04</v>
      </c>
      <c r="I37" s="361">
        <v>0.05</v>
      </c>
      <c r="J37" s="361">
        <v>0.06</v>
      </c>
      <c r="K37" s="361">
        <v>7.0000000000000007E-2</v>
      </c>
      <c r="L37" s="361">
        <v>0.08</v>
      </c>
      <c r="M37" s="361">
        <v>0.09</v>
      </c>
      <c r="N37" s="361">
        <v>0.08</v>
      </c>
      <c r="O37" s="46">
        <f>SUM(C37:N37)</f>
        <v>0.55599999999999994</v>
      </c>
    </row>
    <row r="38" spans="2:15" x14ac:dyDescent="0.15">
      <c r="B38" s="33" t="s">
        <v>206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v>78</v>
      </c>
      <c r="G38" s="171">
        <v>107</v>
      </c>
      <c r="H38" s="171">
        <f t="shared" ref="H38:N38" si="4">ROUND(($B$10*H37),0)</f>
        <v>228</v>
      </c>
      <c r="I38" s="171">
        <f t="shared" si="4"/>
        <v>285</v>
      </c>
      <c r="J38" s="171">
        <f t="shared" si="4"/>
        <v>342</v>
      </c>
      <c r="K38" s="171">
        <f t="shared" si="4"/>
        <v>399</v>
      </c>
      <c r="L38" s="171">
        <f t="shared" si="4"/>
        <v>456</v>
      </c>
      <c r="M38" s="171">
        <f t="shared" si="4"/>
        <v>513</v>
      </c>
      <c r="N38" s="171">
        <f t="shared" si="4"/>
        <v>456</v>
      </c>
      <c r="O38" s="171">
        <f>SUM(C38:N38)</f>
        <v>2864</v>
      </c>
    </row>
    <row r="40" spans="2:15" x14ac:dyDescent="0.15">
      <c r="B40" s="14" t="s">
        <v>321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208</v>
      </c>
    </row>
    <row r="41" spans="2:15" x14ac:dyDescent="0.15">
      <c r="B41" s="33" t="s">
        <v>320</v>
      </c>
      <c r="C41" s="361">
        <f>C$17*0.7</f>
        <v>3.4999999999999996E-2</v>
      </c>
      <c r="D41" s="361">
        <f t="shared" ref="D41:N41" si="5">D$17*0.7</f>
        <v>5.5999999999999994E-2</v>
      </c>
      <c r="E41" s="361">
        <f t="shared" si="5"/>
        <v>6.3E-2</v>
      </c>
      <c r="F41" s="361">
        <f t="shared" si="5"/>
        <v>6.3E-2</v>
      </c>
      <c r="G41" s="361">
        <f t="shared" si="5"/>
        <v>6.3E-2</v>
      </c>
      <c r="H41" s="361">
        <f t="shared" si="5"/>
        <v>6.3E-2</v>
      </c>
      <c r="I41" s="361">
        <f t="shared" si="5"/>
        <v>6.3E-2</v>
      </c>
      <c r="J41" s="361">
        <f t="shared" si="5"/>
        <v>6.3E-2</v>
      </c>
      <c r="K41" s="361">
        <f t="shared" si="5"/>
        <v>6.3E-2</v>
      </c>
      <c r="L41" s="361">
        <f t="shared" si="5"/>
        <v>6.3E-2</v>
      </c>
      <c r="M41" s="361">
        <f t="shared" si="5"/>
        <v>6.3E-2</v>
      </c>
      <c r="N41" s="361">
        <f t="shared" si="5"/>
        <v>4.1999999999999996E-2</v>
      </c>
      <c r="O41" s="46">
        <f>SUM(C41:N41)</f>
        <v>0.7</v>
      </c>
    </row>
    <row r="42" spans="2:15" x14ac:dyDescent="0.15">
      <c r="B42" s="33" t="s">
        <v>206</v>
      </c>
      <c r="C42" s="171">
        <f>ROUND(($C$10*C41),0)</f>
        <v>822</v>
      </c>
      <c r="D42" s="171">
        <f t="shared" ref="D42:N42" si="6">ROUND(($C$10*D41),0)</f>
        <v>1316</v>
      </c>
      <c r="E42" s="171">
        <f t="shared" si="6"/>
        <v>1480</v>
      </c>
      <c r="F42" s="171">
        <f t="shared" si="6"/>
        <v>1480</v>
      </c>
      <c r="G42" s="171">
        <f t="shared" si="6"/>
        <v>1480</v>
      </c>
      <c r="H42" s="171">
        <f t="shared" si="6"/>
        <v>1480</v>
      </c>
      <c r="I42" s="171">
        <f t="shared" si="6"/>
        <v>1480</v>
      </c>
      <c r="J42" s="171">
        <f t="shared" si="6"/>
        <v>1480</v>
      </c>
      <c r="K42" s="171">
        <f t="shared" si="6"/>
        <v>1480</v>
      </c>
      <c r="L42" s="171">
        <f t="shared" si="6"/>
        <v>1480</v>
      </c>
      <c r="M42" s="171">
        <f t="shared" si="6"/>
        <v>1480</v>
      </c>
      <c r="N42" s="171">
        <f t="shared" si="6"/>
        <v>987</v>
      </c>
      <c r="O42" s="171">
        <f>SUM(C42:N42)</f>
        <v>16445</v>
      </c>
    </row>
    <row r="44" spans="2:15" x14ac:dyDescent="0.15">
      <c r="B44" s="14" t="s">
        <v>322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208</v>
      </c>
    </row>
    <row r="45" spans="2:15" x14ac:dyDescent="0.15">
      <c r="B45" s="33" t="s">
        <v>320</v>
      </c>
      <c r="C45" s="361">
        <f>C$17</f>
        <v>0.05</v>
      </c>
      <c r="D45" s="361">
        <f t="shared" ref="D45:N45" si="7">D$17</f>
        <v>0.08</v>
      </c>
      <c r="E45" s="361">
        <f t="shared" si="7"/>
        <v>0.09</v>
      </c>
      <c r="F45" s="361">
        <f t="shared" si="7"/>
        <v>0.09</v>
      </c>
      <c r="G45" s="361">
        <f t="shared" si="7"/>
        <v>0.09</v>
      </c>
      <c r="H45" s="361">
        <f t="shared" si="7"/>
        <v>0.09</v>
      </c>
      <c r="I45" s="361">
        <f t="shared" si="7"/>
        <v>0.09</v>
      </c>
      <c r="J45" s="361">
        <f t="shared" si="7"/>
        <v>0.09</v>
      </c>
      <c r="K45" s="361">
        <f t="shared" si="7"/>
        <v>0.09</v>
      </c>
      <c r="L45" s="361">
        <f t="shared" si="7"/>
        <v>0.09</v>
      </c>
      <c r="M45" s="361">
        <f t="shared" si="7"/>
        <v>0.09</v>
      </c>
      <c r="N45" s="361">
        <f t="shared" si="7"/>
        <v>0.06</v>
      </c>
      <c r="O45" s="46">
        <f>SUM(C45:N45)</f>
        <v>0.99999999999999978</v>
      </c>
    </row>
    <row r="46" spans="2:15" x14ac:dyDescent="0.15">
      <c r="B46" s="33" t="s">
        <v>206</v>
      </c>
      <c r="C46" s="171">
        <f>ROUND(($D$10*C45),0)</f>
        <v>1452</v>
      </c>
      <c r="D46" s="171">
        <f t="shared" ref="D46:N46" si="8">ROUND(($D$10*D45),0)</f>
        <v>2323</v>
      </c>
      <c r="E46" s="171">
        <f t="shared" si="8"/>
        <v>2613</v>
      </c>
      <c r="F46" s="171">
        <f t="shared" si="8"/>
        <v>2613</v>
      </c>
      <c r="G46" s="171">
        <f t="shared" si="8"/>
        <v>2613</v>
      </c>
      <c r="H46" s="171">
        <f t="shared" si="8"/>
        <v>2613</v>
      </c>
      <c r="I46" s="171">
        <f t="shared" si="8"/>
        <v>2613</v>
      </c>
      <c r="J46" s="171">
        <f t="shared" si="8"/>
        <v>2613</v>
      </c>
      <c r="K46" s="171">
        <f t="shared" si="8"/>
        <v>2613</v>
      </c>
      <c r="L46" s="171">
        <f t="shared" si="8"/>
        <v>2613</v>
      </c>
      <c r="M46" s="171">
        <f t="shared" si="8"/>
        <v>2613</v>
      </c>
      <c r="N46" s="171">
        <f t="shared" si="8"/>
        <v>1742</v>
      </c>
      <c r="O46" s="171">
        <f>SUM(C46:N46)</f>
        <v>29034</v>
      </c>
    </row>
    <row r="48" spans="2:15" x14ac:dyDescent="0.15">
      <c r="B48" s="14" t="s">
        <v>323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208</v>
      </c>
    </row>
    <row r="49" spans="2:19" x14ac:dyDescent="0.15">
      <c r="B49" s="33" t="s">
        <v>320</v>
      </c>
      <c r="C49" s="361">
        <f>C$17</f>
        <v>0.05</v>
      </c>
      <c r="D49" s="361">
        <f t="shared" ref="D49:N49" si="9">D$17</f>
        <v>0.08</v>
      </c>
      <c r="E49" s="361">
        <f t="shared" si="9"/>
        <v>0.09</v>
      </c>
      <c r="F49" s="361">
        <f t="shared" si="9"/>
        <v>0.09</v>
      </c>
      <c r="G49" s="361">
        <f t="shared" si="9"/>
        <v>0.09</v>
      </c>
      <c r="H49" s="361">
        <f t="shared" si="9"/>
        <v>0.09</v>
      </c>
      <c r="I49" s="361">
        <f t="shared" si="9"/>
        <v>0.09</v>
      </c>
      <c r="J49" s="361">
        <f t="shared" si="9"/>
        <v>0.09</v>
      </c>
      <c r="K49" s="361">
        <f t="shared" si="9"/>
        <v>0.09</v>
      </c>
      <c r="L49" s="361">
        <f t="shared" si="9"/>
        <v>0.09</v>
      </c>
      <c r="M49" s="361">
        <f t="shared" si="9"/>
        <v>0.09</v>
      </c>
      <c r="N49" s="361">
        <f t="shared" si="9"/>
        <v>0.06</v>
      </c>
      <c r="O49" s="46">
        <f>SUM(C49:N49)</f>
        <v>0.99999999999999978</v>
      </c>
    </row>
    <row r="50" spans="2:19" x14ac:dyDescent="0.15">
      <c r="B50" s="33" t="s">
        <v>206</v>
      </c>
      <c r="C50" s="171">
        <f>ROUND(($E$10*C49),0)</f>
        <v>1869</v>
      </c>
      <c r="D50" s="171">
        <f t="shared" ref="D50:N50" si="10">ROUND(($E$10*D49),0)</f>
        <v>2991</v>
      </c>
      <c r="E50" s="171">
        <f t="shared" si="10"/>
        <v>3365</v>
      </c>
      <c r="F50" s="171">
        <f t="shared" si="10"/>
        <v>3365</v>
      </c>
      <c r="G50" s="171">
        <f t="shared" si="10"/>
        <v>3365</v>
      </c>
      <c r="H50" s="171">
        <f t="shared" si="10"/>
        <v>3365</v>
      </c>
      <c r="I50" s="171">
        <f t="shared" si="10"/>
        <v>3365</v>
      </c>
      <c r="J50" s="171">
        <f t="shared" si="10"/>
        <v>3365</v>
      </c>
      <c r="K50" s="171">
        <f t="shared" si="10"/>
        <v>3365</v>
      </c>
      <c r="L50" s="171">
        <f t="shared" si="10"/>
        <v>3365</v>
      </c>
      <c r="M50" s="171">
        <f t="shared" si="10"/>
        <v>3365</v>
      </c>
      <c r="N50" s="171">
        <f t="shared" si="10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208</v>
      </c>
    </row>
    <row r="53" spans="2:19" x14ac:dyDescent="0.15">
      <c r="B53" s="33" t="s">
        <v>320</v>
      </c>
      <c r="C53" s="361">
        <f>C$17</f>
        <v>0.05</v>
      </c>
      <c r="D53" s="361">
        <f t="shared" ref="D53:N53" si="11">D$17</f>
        <v>0.08</v>
      </c>
      <c r="E53" s="361">
        <f t="shared" si="11"/>
        <v>0.09</v>
      </c>
      <c r="F53" s="361">
        <f t="shared" si="11"/>
        <v>0.09</v>
      </c>
      <c r="G53" s="361">
        <f t="shared" si="11"/>
        <v>0.09</v>
      </c>
      <c r="H53" s="361">
        <f t="shared" si="11"/>
        <v>0.09</v>
      </c>
      <c r="I53" s="361">
        <f t="shared" si="11"/>
        <v>0.09</v>
      </c>
      <c r="J53" s="361">
        <f t="shared" si="11"/>
        <v>0.09</v>
      </c>
      <c r="K53" s="361">
        <f t="shared" si="11"/>
        <v>0.09</v>
      </c>
      <c r="L53" s="361">
        <f t="shared" si="11"/>
        <v>0.09</v>
      </c>
      <c r="M53" s="361">
        <f t="shared" si="11"/>
        <v>0.09</v>
      </c>
      <c r="N53" s="361">
        <f t="shared" si="11"/>
        <v>0.06</v>
      </c>
      <c r="O53" s="46">
        <f>SUM(C53:N53)</f>
        <v>0.99999999999999978</v>
      </c>
    </row>
    <row r="54" spans="2:19" x14ac:dyDescent="0.15">
      <c r="B54" s="33" t="s">
        <v>206</v>
      </c>
      <c r="C54" s="171">
        <f>ROUND(($F$10*C53),0)</f>
        <v>1925</v>
      </c>
      <c r="D54" s="171">
        <f t="shared" ref="D54:N54" si="12">ROUND(($F$10*D53),0)</f>
        <v>3081</v>
      </c>
      <c r="E54" s="171">
        <f t="shared" si="12"/>
        <v>3466</v>
      </c>
      <c r="F54" s="171">
        <f t="shared" si="12"/>
        <v>3466</v>
      </c>
      <c r="G54" s="171">
        <f t="shared" si="12"/>
        <v>3466</v>
      </c>
      <c r="H54" s="171">
        <f t="shared" si="12"/>
        <v>3466</v>
      </c>
      <c r="I54" s="171">
        <f t="shared" si="12"/>
        <v>3466</v>
      </c>
      <c r="J54" s="171">
        <f t="shared" si="12"/>
        <v>3466</v>
      </c>
      <c r="K54" s="171">
        <f t="shared" si="12"/>
        <v>3466</v>
      </c>
      <c r="L54" s="171">
        <f t="shared" si="12"/>
        <v>3466</v>
      </c>
      <c r="M54" s="171">
        <f t="shared" si="12"/>
        <v>3466</v>
      </c>
      <c r="N54" s="171">
        <f t="shared" si="12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3:G13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 C41:M41 C45:M45 B11:G11 C49:O49 C53:O53" unlockedFormula="1"/>
    <ignoredError sqref="I36:N36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50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299</v>
      </c>
    </row>
    <row r="3" spans="2:11" x14ac:dyDescent="0.15">
      <c r="B3" s="33" t="s">
        <v>1204</v>
      </c>
      <c r="E3" s="66">
        <f>E24</f>
        <v>46544000</v>
      </c>
      <c r="F3" s="66">
        <f>F24</f>
        <v>290002100</v>
      </c>
      <c r="G3" s="66">
        <f>G24</f>
        <v>598384274.80000007</v>
      </c>
      <c r="H3" s="66">
        <f>H24</f>
        <v>1145209397.7760003</v>
      </c>
      <c r="I3" s="66">
        <f>I24</f>
        <v>1191762376.5755403</v>
      </c>
      <c r="J3" s="118">
        <f>SUM(E3:I3)</f>
        <v>3271902149.1515408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302</v>
      </c>
      <c r="E5" s="66">
        <f>E33</f>
        <v>29142200</v>
      </c>
      <c r="F5" s="66">
        <f>F33</f>
        <v>119003525</v>
      </c>
      <c r="G5" s="66">
        <f>G33</f>
        <v>163242893.60000002</v>
      </c>
      <c r="H5" s="66">
        <f>H33</f>
        <v>448584522.9980002</v>
      </c>
      <c r="I5" s="66">
        <f>I33</f>
        <v>493429018.84054524</v>
      </c>
      <c r="J5" s="118">
        <f>SUM(E5:I5)</f>
        <v>1253402160.4385455</v>
      </c>
    </row>
    <row r="6" spans="2:11" x14ac:dyDescent="0.15">
      <c r="B6" s="33" t="s">
        <v>328</v>
      </c>
      <c r="E6" s="66">
        <f>E3-E5</f>
        <v>17401800</v>
      </c>
      <c r="F6" s="66">
        <f>F3-F5</f>
        <v>170998575</v>
      </c>
      <c r="G6" s="66">
        <f>G3-G5</f>
        <v>435141381.20000005</v>
      </c>
      <c r="H6" s="66">
        <f>H3-H5</f>
        <v>696624874.77800012</v>
      </c>
      <c r="I6" s="66">
        <f>I3-I5</f>
        <v>698333357.73499513</v>
      </c>
      <c r="J6" s="118">
        <f>SUM(E6:I6)</f>
        <v>2018499988.7129953</v>
      </c>
    </row>
    <row r="7" spans="2:11" x14ac:dyDescent="0.15">
      <c r="B7" s="33" t="s">
        <v>316</v>
      </c>
      <c r="E7" s="116">
        <f>E6/E3</f>
        <v>0.37387848057751805</v>
      </c>
      <c r="F7" s="116">
        <f>F6/F3</f>
        <v>0.58964598877042618</v>
      </c>
      <c r="G7" s="116">
        <f>G6/G3</f>
        <v>0.72719387778938338</v>
      </c>
      <c r="H7" s="116">
        <f>H6/H3</f>
        <v>0.60829475913387321</v>
      </c>
      <c r="I7" s="116">
        <f>I6/I3</f>
        <v>0.58596694396547011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1203</v>
      </c>
      <c r="E9" s="66">
        <f>E46</f>
        <v>0</v>
      </c>
      <c r="F9" s="66">
        <f t="shared" ref="E9:I10" si="0">F46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348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1205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1207</v>
      </c>
      <c r="E13" s="66">
        <f t="shared" ref="E13:I14" si="2">E49</f>
        <v>1410000</v>
      </c>
      <c r="F13" s="66">
        <f t="shared" si="2"/>
        <v>9848280</v>
      </c>
      <c r="G13" s="66">
        <f t="shared" si="2"/>
        <v>15463019.399999999</v>
      </c>
      <c r="H13" s="66">
        <f t="shared" si="2"/>
        <v>41242297.638000004</v>
      </c>
      <c r="I13" s="66">
        <f t="shared" si="2"/>
        <v>45446608.462710015</v>
      </c>
      <c r="J13" s="118">
        <f t="shared" si="1"/>
        <v>113410205.50071001</v>
      </c>
    </row>
    <row r="14" spans="2:11" outlineLevel="1" x14ac:dyDescent="0.15">
      <c r="B14" s="33" t="s">
        <v>350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1206</v>
      </c>
      <c r="E15" s="66">
        <f>SUM(E13:E14)</f>
        <v>1410000</v>
      </c>
      <c r="F15" s="66">
        <f>SUM(F13:F14)</f>
        <v>9848280</v>
      </c>
      <c r="G15" s="66">
        <f>SUM(G13:G14)</f>
        <v>15463019.399999999</v>
      </c>
      <c r="H15" s="66">
        <f>SUM(H13:H14)</f>
        <v>41242297.638000004</v>
      </c>
      <c r="I15" s="66">
        <f>SUM(I13:I14)</f>
        <v>45446608.462710015</v>
      </c>
      <c r="J15" s="118">
        <f t="shared" si="1"/>
        <v>113410205.50071001</v>
      </c>
      <c r="K15" s="120">
        <f>J15+J14+J13+J11+J6</f>
        <v>2245320399.7144156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354</v>
      </c>
      <c r="E17" s="66">
        <f>E6+E11+E15</f>
        <v>18811800</v>
      </c>
      <c r="F17" s="66">
        <f>F6+F11+F15</f>
        <v>180846855</v>
      </c>
      <c r="G17" s="66">
        <f>G6+G11+G15</f>
        <v>450604400.60000002</v>
      </c>
      <c r="H17" s="66">
        <f>H6+H11+H15</f>
        <v>737867172.41600013</v>
      </c>
      <c r="I17" s="66">
        <f>I6+I11+I15</f>
        <v>743779966.19770515</v>
      </c>
      <c r="J17" s="118">
        <f t="shared" si="1"/>
        <v>2131910194.2137055</v>
      </c>
      <c r="K17" s="120">
        <f>J15+J11+J3</f>
        <v>3385312354.6522508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1208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206</v>
      </c>
      <c r="C20" s="47"/>
      <c r="E20">
        <f>SUM('REV-REVCALC_CWS'!C13:N13, 'REV-REVCALC_CWS'!C52:N52)</f>
        <v>2864</v>
      </c>
      <c r="F20">
        <f>SUM('REV-REVCALC_CWS'!O13:Z13,'REV-REVCALC_CWS'!O52:Z52)</f>
        <v>16445</v>
      </c>
      <c r="G20">
        <f>SUM('REV-REVCALC_CWS'!AA13:AL13, 'REV-REVCALC_CWS'!AA52:AL52)</f>
        <v>29034</v>
      </c>
      <c r="H20">
        <f>SUM('REV-REVCALC_CWS'!AM13:AX13, 'REV-REVCALC_CWS'!AM53:AX53)</f>
        <v>504020078.20000017</v>
      </c>
      <c r="I20">
        <f>SUM('REV-REVCALC_CWS'!AY13:BJ13, 'REV-REVCALC_CWS'!AY53:BJ53)</f>
        <v>485079975.59999996</v>
      </c>
      <c r="J20" s="118">
        <f>SUM(E20:I20)</f>
        <v>989148396.80000019</v>
      </c>
      <c r="K20" s="120">
        <f>J20-'REV-REVCALC_CWS'!BK13</f>
        <v>989044582.80000019</v>
      </c>
    </row>
    <row r="21" spans="2:11" outlineLevel="1" x14ac:dyDescent="0.15">
      <c r="B21" s="47" t="s">
        <v>312</v>
      </c>
      <c r="C21" s="47"/>
      <c r="E21" s="66">
        <f>SUM('REV-REVCALC_CWS'!C14:N14, 'REV-REVCALC_CWS'!C53:N53)</f>
        <v>46544000</v>
      </c>
      <c r="F21" s="66">
        <f>SUM('REV-REVCALC_CWS'!O14:Z14, 'REV-REVCALC_CWS'!O53:Z53)</f>
        <v>290002100</v>
      </c>
      <c r="G21" s="66">
        <f>SUM('REV-REVCALC_CWS'!AA14:AL14, 'REV-REVCALC_CWS'!AA53:AL53)</f>
        <v>598384274.80000007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2282877994.3515406</v>
      </c>
      <c r="K21" s="120">
        <f>J21-'REV-REVCALC_CWS'!BK14</f>
        <v>503563231.59999943</v>
      </c>
    </row>
    <row r="22" spans="2:11" outlineLevel="1" x14ac:dyDescent="0.15">
      <c r="B22" s="47" t="s">
        <v>332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333</v>
      </c>
      <c r="C24" s="73"/>
      <c r="E24" s="66">
        <f>SUM(IngresoPDiarioAN1, IngresoPFusionAN1)</f>
        <v>46544000</v>
      </c>
      <c r="F24" s="66">
        <f>SUM('REV-REVCALC_CWS'!O17:Z17, 'REV-REVCALC_CWS'!O56:Z56)</f>
        <v>290002100</v>
      </c>
      <c r="G24" s="66">
        <f>SUM('REV-REVCALC_CWS'!AA17:AL17, 'REV-REVCALC_CWS'!AA56:AL56)</f>
        <v>598384274.80000007</v>
      </c>
      <c r="H24" s="66">
        <f>SUM('REV-REVCALC_CWS'!AM17:AX17, 'REV-REVCALC_CWS'!AM56:AX56)</f>
        <v>1145209397.7760003</v>
      </c>
      <c r="I24" s="66">
        <f>SUM('REV-REVCALC_CWS'!AY17:BJ17, 'REV-REVCALC_CWS'!AY56:BJ56)</f>
        <v>1191762376.5755403</v>
      </c>
      <c r="J24" s="118">
        <f>SUM(E24:I24)</f>
        <v>3271902149.1515408</v>
      </c>
      <c r="K24" s="120">
        <f>J24 - ('REV-REVCALC_CWS'!BK17+'REV-REVCALC_CWS'!BK56)</f>
        <v>0</v>
      </c>
    </row>
    <row r="25" spans="2:11" outlineLevel="1" x14ac:dyDescent="0.15">
      <c r="B25" s="33"/>
      <c r="C25" s="33"/>
    </row>
    <row r="26" spans="2:11" outlineLevel="1" x14ac:dyDescent="0.15">
      <c r="B26" s="16" t="s">
        <v>302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SUM('REV-REVCALC_CWS'!C21:N21,'REV-REVCALC_CWS'!C60:N60)</f>
        <v>27611000</v>
      </c>
      <c r="F27" s="66">
        <f>SUM('REV-REVCALC_CWS'!O21:Z21)</f>
        <v>115321925</v>
      </c>
      <c r="G27" s="66">
        <f>SUM('REV-REVCALC_CWS'!AA21:AL21)</f>
        <v>157840493.59999999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1215452160.4385455</v>
      </c>
      <c r="K27" s="120">
        <f>J27-'REV-REVCALC_CWS'!BK21</f>
        <v>8060000.0000004768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SUM('REV-REVCALC_CWS'!C22:N22,'REV-REVCALC_CWS'!C62:N62)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317</v>
      </c>
      <c r="C29" s="17"/>
      <c r="E29" s="66">
        <f>SUM('REV-REVCALC_CWS'!C23:N23, 'REV-REVCALC_CWS'!C63:N63)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47" t="s">
        <v>176</v>
      </c>
      <c r="C30" s="17"/>
      <c r="E30" s="66">
        <f>SUM('REV-REVCALC_CWS'!C25:N25, 'REV-REVCALC_CWS'!C64:N64)</f>
        <v>0</v>
      </c>
      <c r="F30" s="66"/>
      <c r="G30" s="66"/>
      <c r="H30" s="66"/>
      <c r="I30" s="66"/>
      <c r="K30" s="120"/>
    </row>
    <row r="31" spans="2:11" outlineLevel="1" x14ac:dyDescent="0.15">
      <c r="B31" s="47" t="s">
        <v>1268</v>
      </c>
      <c r="C31" s="17"/>
      <c r="E31" s="66">
        <f>SUM('REV-REVCALC_CWS'!C26:N26, 'REV-REVCALC_CWS'!C65:N65)</f>
        <v>1531200</v>
      </c>
      <c r="F31" s="66"/>
      <c r="G31" s="66"/>
      <c r="H31" s="66"/>
      <c r="I31" s="66"/>
      <c r="K31" s="120"/>
    </row>
    <row r="32" spans="2:11" outlineLevel="1" x14ac:dyDescent="0.15">
      <c r="B32" s="17" t="s">
        <v>315</v>
      </c>
      <c r="C32" s="17"/>
      <c r="E32" s="66">
        <f>SUM('REV-REVCALC_CWS'!C24:N24, 'REV-REVCALC_CWS'!C64:N64)</f>
        <v>0</v>
      </c>
      <c r="F32" s="66">
        <f>SUM('REV-REVCALC_CWS'!O24:Z24)</f>
        <v>0</v>
      </c>
      <c r="G32" s="66">
        <f>SUM('REV-REVCALC_CWS'!AA24:AL24)</f>
        <v>0</v>
      </c>
      <c r="H32" s="66">
        <f>SUM('REV-REVCALC_CWS'!AM24:AX24)</f>
        <v>0</v>
      </c>
      <c r="I32" s="66">
        <f>SUM('REV-REVCALC_CWS'!AY24:BJ24)</f>
        <v>0</v>
      </c>
      <c r="J32" s="118">
        <f>SUM(E32:I32)</f>
        <v>0</v>
      </c>
      <c r="K32" s="120">
        <f>J32-'REV-REVCALC_CWS'!BK24</f>
        <v>0</v>
      </c>
    </row>
    <row r="33" spans="2:11" s="14" customFormat="1" outlineLevel="1" x14ac:dyDescent="0.15">
      <c r="B33" s="16" t="s">
        <v>331</v>
      </c>
      <c r="C33" s="73"/>
      <c r="E33" s="66">
        <f>SUM('REV-REVCALC_CWS'!C28:N28, 'REV-REVCALC_CWS'!C67:N67)</f>
        <v>29142200</v>
      </c>
      <c r="F33" s="66">
        <f>SUM('REV-REVCALC_CWS'!O28:Z28)</f>
        <v>119003525</v>
      </c>
      <c r="G33" s="66">
        <f>SUM('REV-REVCALC_CWS'!AA28:AL28)</f>
        <v>163242893.60000002</v>
      </c>
      <c r="H33" s="66">
        <f>SUM('REV-REVCALC_CWS'!AM28:AX28)</f>
        <v>448584522.9980002</v>
      </c>
      <c r="I33" s="66">
        <f>SUM('REV-REVCALC_CWS'!AY28:BJ28)</f>
        <v>493429018.84054524</v>
      </c>
      <c r="J33" s="118">
        <f>SUM(E33:I33)</f>
        <v>1253402160.4385455</v>
      </c>
      <c r="K33" s="120">
        <f>J33-'REV-REVCALC_CWS'!BK28</f>
        <v>9027200.0000002384</v>
      </c>
    </row>
    <row r="34" spans="2:11" s="14" customFormat="1" outlineLevel="1" x14ac:dyDescent="0.15">
      <c r="B34" s="73"/>
      <c r="C34" s="73"/>
      <c r="E34" s="66"/>
      <c r="F34" s="66"/>
      <c r="G34" s="66"/>
      <c r="H34" s="66"/>
      <c r="I34" s="66"/>
      <c r="J34" s="119"/>
      <c r="K34" s="35"/>
    </row>
    <row r="35" spans="2:11" s="14" customFormat="1" outlineLevel="1" x14ac:dyDescent="0.15">
      <c r="B35" s="73" t="s">
        <v>328</v>
      </c>
      <c r="C35" s="73"/>
      <c r="E35" s="66">
        <f>SUM('REV-REVCALC_CWS'!C30:N30)</f>
        <v>8697000</v>
      </c>
      <c r="F35" s="66">
        <f>SUM('REV-REVCALC_CWS'!O30:Z30)</f>
        <v>50944575</v>
      </c>
      <c r="G35" s="66">
        <f>SUM('REV-REVCALC_CWS'!AA30:AL30)</f>
        <v>69364149.599999994</v>
      </c>
      <c r="H35" s="66">
        <f>SUM('REV-REVCALC_CWS'!AM30:AX30)</f>
        <v>192642184.57800001</v>
      </c>
      <c r="I35" s="66">
        <f>SUM('REV-REVCALC_CWS'!AY30:BJ30)</f>
        <v>213291893.13499498</v>
      </c>
      <c r="J35" s="118">
        <f>SUM(E35:I35)</f>
        <v>534939802.31299496</v>
      </c>
      <c r="K35" s="120">
        <f>J35-'REV-REVCALC_CWS'!BK30</f>
        <v>0</v>
      </c>
    </row>
    <row r="36" spans="2:11" s="14" customFormat="1" outlineLevel="1" x14ac:dyDescent="0.15">
      <c r="B36" s="73" t="s">
        <v>316</v>
      </c>
      <c r="C36" s="73"/>
      <c r="E36" s="116">
        <f>E35/E24</f>
        <v>0.18685544860776898</v>
      </c>
      <c r="F36" s="116">
        <f>F35/F24</f>
        <v>0.17566967618510348</v>
      </c>
      <c r="G36" s="116">
        <f>G35/G24</f>
        <v>0.11591907160859767</v>
      </c>
      <c r="H36" s="116">
        <f>H35/H24</f>
        <v>0.16821568610256923</v>
      </c>
      <c r="I36" s="116">
        <f>I35/I24</f>
        <v>0.1789718297265574</v>
      </c>
      <c r="J36" s="119"/>
      <c r="K36" s="35"/>
    </row>
    <row r="37" spans="2:11" outlineLevel="1" x14ac:dyDescent="0.15"/>
    <row r="38" spans="2:11" outlineLevel="1" x14ac:dyDescent="0.15">
      <c r="B38" s="16" t="str">
        <f>'REV-REVCALC_CWS'!A33</f>
        <v>Service Options</v>
      </c>
      <c r="C38" s="16"/>
    </row>
    <row r="39" spans="2:11" outlineLevel="1" x14ac:dyDescent="0.15">
      <c r="B39" s="47" t="s">
        <v>329</v>
      </c>
      <c r="C39" s="47"/>
      <c r="E39" s="98">
        <f>'REV-REVCALC_CWS'!N35</f>
        <v>0.25</v>
      </c>
      <c r="F39" s="98">
        <f>'REV-REVCALC_CWS'!Z35</f>
        <v>0.27</v>
      </c>
      <c r="G39" s="98">
        <f>'REV-REVCALC_CWS'!AL35</f>
        <v>0.31</v>
      </c>
      <c r="H39" s="98">
        <f>'REV-REVCALC_CWS'!AX35</f>
        <v>0.3</v>
      </c>
      <c r="I39" s="98">
        <f>'REV-REVCALC_CWS'!BJ35</f>
        <v>0.3</v>
      </c>
    </row>
    <row r="40" spans="2:11" outlineLevel="1" x14ac:dyDescent="0.15">
      <c r="B40" s="47" t="str">
        <f>'REV-REVCALC_CWS'!A36</f>
        <v>Local Services Units</v>
      </c>
      <c r="C40" s="47"/>
      <c r="E40">
        <f>SUM('REV-REVCALC_CWS'!C36:N36)</f>
        <v>1588</v>
      </c>
      <c r="F40">
        <f>SUM('REV-REVCALC_CWS'!O36:Z36)</f>
        <v>8277</v>
      </c>
      <c r="G40">
        <f>SUM('REV-REVCALC_CWS'!AA36:AL36)</f>
        <v>10010</v>
      </c>
      <c r="H40">
        <f>SUM('REV-REVCALC_CWS'!AM36:AX36)</f>
        <v>26166</v>
      </c>
      <c r="I40">
        <f>SUM('REV-REVCALC_CWS'!AY36:BJ36)</f>
        <v>26954</v>
      </c>
      <c r="J40" s="118">
        <f>SUM(E40:I40)</f>
        <v>72995</v>
      </c>
      <c r="K40" s="120">
        <f>J40-'REV-REVCALC_CWS'!BK36</f>
        <v>0</v>
      </c>
    </row>
    <row r="41" spans="2:11" outlineLevel="1" x14ac:dyDescent="0.15">
      <c r="B41" s="47" t="str">
        <f>'REV-REVCALC_CWS'!A37</f>
        <v>Domicilio Services Units</v>
      </c>
      <c r="C41" s="47"/>
      <c r="E41">
        <f>SUM('REV-REVCALC_CWS'!C37:N37)</f>
        <v>470</v>
      </c>
      <c r="F41">
        <f>SUM('REV-REVCALC_CWS'!O37:Z37)</f>
        <v>3068</v>
      </c>
      <c r="G41">
        <f>SUM('REV-REVCALC_CWS'!AA37:AL37)</f>
        <v>4502</v>
      </c>
      <c r="H41">
        <f>SUM('REV-REVCALC_CWS'!AM37:AX37)</f>
        <v>11222</v>
      </c>
      <c r="I41">
        <f>SUM('REV-REVCALC_CWS'!AY37:BJ37)</f>
        <v>11557</v>
      </c>
      <c r="J41" s="118">
        <f>SUM(E41:I41)</f>
        <v>30819</v>
      </c>
      <c r="K41" s="120">
        <f>J41-'REV-REVCALC_CWS'!BK37</f>
        <v>0</v>
      </c>
    </row>
    <row r="42" spans="2:11" outlineLevel="1" x14ac:dyDescent="0.15">
      <c r="B42" s="47"/>
      <c r="C42" s="47"/>
    </row>
    <row r="43" spans="2:11" outlineLevel="1" x14ac:dyDescent="0.15">
      <c r="B43" s="14" t="str">
        <f>'REV-REVCALC_CWS'!A39</f>
        <v>Ingreso Local Services Units</v>
      </c>
      <c r="C43" s="14"/>
    </row>
    <row r="44" spans="2:11" outlineLevel="1" x14ac:dyDescent="0.15">
      <c r="B44" s="47" t="str">
        <f>'REV-REVCALC_CWS'!A40</f>
        <v>Servicio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330</v>
      </c>
      <c r="C45" s="47"/>
      <c r="E45" s="98">
        <f>'REV-REVCALC_CWS'!N41</f>
        <v>0</v>
      </c>
      <c r="F45" s="98">
        <f>'REV-REVCALC_CWS'!Z41</f>
        <v>0</v>
      </c>
      <c r="G45" s="98">
        <f>'REV-REVCALC_CWS'!AL41</f>
        <v>0</v>
      </c>
      <c r="H45" s="98">
        <f>'REV-REVCALC_CWS'!AX41</f>
        <v>0</v>
      </c>
      <c r="I45" s="98">
        <f>'REV-REVCALC_CWS'!BJ41</f>
        <v>0</v>
      </c>
    </row>
    <row r="46" spans="2:11" outlineLevel="1" x14ac:dyDescent="0.15">
      <c r="B46" s="47" t="str">
        <f>'REV-REVCALC_CWS'!A42</f>
        <v>Servicio Ingreso</v>
      </c>
      <c r="C46" s="47"/>
      <c r="E46" s="66">
        <f>SUM('REV-REVCALC_CWS'!C42:N42)</f>
        <v>0</v>
      </c>
      <c r="F46" s="66">
        <f>SUM('REV-REVCALC_CWS'!O42:Z42)</f>
        <v>0</v>
      </c>
      <c r="G46" s="66">
        <f>SUM('REV-REVCALC_CWS'!AA42:AL42)</f>
        <v>0</v>
      </c>
      <c r="H46" s="66">
        <f>SUM('REV-REVCALC_CWS'!AM42:AX42)</f>
        <v>0</v>
      </c>
      <c r="I46" s="66">
        <f>SUM('REV-REVCALC_CWS'!AY42:BJ42)</f>
        <v>0</v>
      </c>
      <c r="J46" s="118">
        <f>SUM(E46:I46)</f>
        <v>0</v>
      </c>
      <c r="K46" s="120">
        <f>J46-'REV-REVCALC_CWS'!BK42</f>
        <v>0</v>
      </c>
    </row>
    <row r="47" spans="2:11" outlineLevel="1" x14ac:dyDescent="0.15">
      <c r="B47" s="47" t="s">
        <v>343</v>
      </c>
      <c r="C47" s="47"/>
      <c r="E47" s="66">
        <f>SUM('REV-REVCALC_CWS'!C43:N43)</f>
        <v>0</v>
      </c>
      <c r="F47" s="66">
        <f>SUM('REV-REVCALC_CWS'!O43:Z43)</f>
        <v>0</v>
      </c>
      <c r="G47" s="66">
        <f>SUM('REV-REVCALC_CWS'!AA43:AL43)</f>
        <v>0</v>
      </c>
      <c r="H47" s="66">
        <f>SUM('REV-REVCALC_CWS'!AM43:AX43)</f>
        <v>0</v>
      </c>
      <c r="I47" s="66">
        <f>SUM('REV-REVCALC_CWS'!AY43:BJ43)</f>
        <v>0</v>
      </c>
      <c r="J47" s="118">
        <f>SUM(E47:I47)</f>
        <v>0</v>
      </c>
      <c r="K47" s="120">
        <f>J47-'REV-REVCALC_CWS'!BK43</f>
        <v>0</v>
      </c>
    </row>
    <row r="48" spans="2:11" outlineLevel="1" x14ac:dyDescent="0.15">
      <c r="B48" s="16" t="str">
        <f>'REV-REVCALC_CWS'!A45</f>
        <v>Ingreso Domicilio Services Units</v>
      </c>
      <c r="E48" s="66"/>
      <c r="F48" s="66"/>
      <c r="G48" s="66"/>
      <c r="H48" s="66"/>
      <c r="I48" s="66"/>
    </row>
    <row r="49" spans="2:11" x14ac:dyDescent="0.15">
      <c r="B49" s="47" t="str">
        <f>'REV-REVCALC_CWS'!A46</f>
        <v>Envío</v>
      </c>
      <c r="E49" s="66">
        <f>SUM('REV-REVCALC_CWS'!C46:N46)</f>
        <v>1410000</v>
      </c>
      <c r="F49" s="66">
        <f>SUM('REV-REVCALC_CWS'!O46:Z46)</f>
        <v>9848280</v>
      </c>
      <c r="G49" s="66">
        <f>SUM('REV-REVCALC_CWS'!AA46:AL46)</f>
        <v>15463019.399999999</v>
      </c>
      <c r="H49" s="66">
        <f>SUM('REV-REVCALC_CWS'!AM46:AX46)</f>
        <v>41242297.638000004</v>
      </c>
      <c r="I49" s="66">
        <f>SUM('REV-REVCALC_CWS'!AY46:BJ46)</f>
        <v>45446608.462710015</v>
      </c>
      <c r="J49" s="118">
        <f>SUM(E49:I49)</f>
        <v>113410205.50071001</v>
      </c>
      <c r="K49" s="120">
        <f>J49-'REV-REVCALC_CWS'!BK46</f>
        <v>0</v>
      </c>
    </row>
    <row r="50" spans="2:11" x14ac:dyDescent="0.15">
      <c r="B50" s="47" t="s">
        <v>342</v>
      </c>
      <c r="E50" s="66">
        <f>SUM('REV-REVCALC_CWS'!C47:N47)</f>
        <v>0</v>
      </c>
      <c r="F50" s="66">
        <f>SUM('REV-REVCALC_CWS'!O47:Z47)</f>
        <v>0</v>
      </c>
      <c r="G50" s="66">
        <f>SUM('REV-REVCALC_CWS'!AA47:AL47)</f>
        <v>0</v>
      </c>
      <c r="H50" s="66">
        <f>SUM('REV-REVCALC_CWS'!AM47:AX47)</f>
        <v>0</v>
      </c>
      <c r="I50" s="66">
        <f>SUM('REV-REVCALC_CWS'!AY47:BJ47)</f>
        <v>0</v>
      </c>
      <c r="J50" s="118">
        <f>SUM(E50:I50)</f>
        <v>0</v>
      </c>
      <c r="K50" s="120">
        <f>J50-'REV-REVCALC_CWS'!BK47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406" t="s">
        <v>688</v>
      </c>
      <c r="C2" s="406"/>
      <c r="D2" s="406"/>
    </row>
    <row r="3" spans="2:4" x14ac:dyDescent="0.15">
      <c r="C3" s="10" t="s">
        <v>362</v>
      </c>
      <c r="D3" s="10" t="s">
        <v>363</v>
      </c>
    </row>
    <row r="4" spans="2:4" x14ac:dyDescent="0.15">
      <c r="B4" s="14" t="s">
        <v>420</v>
      </c>
      <c r="C4" s="375">
        <v>3</v>
      </c>
      <c r="D4" s="375">
        <v>2</v>
      </c>
    </row>
    <row r="5" spans="2:4" x14ac:dyDescent="0.15">
      <c r="B5" s="17" t="s">
        <v>364</v>
      </c>
      <c r="C5" s="93"/>
      <c r="D5" s="374">
        <v>0</v>
      </c>
    </row>
    <row r="6" spans="2:4" x14ac:dyDescent="0.15">
      <c r="B6" s="17" t="s">
        <v>365</v>
      </c>
      <c r="C6" s="280">
        <v>0</v>
      </c>
      <c r="D6" s="90">
        <f>C6*$D$4</f>
        <v>0</v>
      </c>
    </row>
    <row r="7" spans="2:4" x14ac:dyDescent="0.15">
      <c r="B7" s="17" t="s">
        <v>366</v>
      </c>
      <c r="C7" s="280">
        <v>0</v>
      </c>
      <c r="D7" s="90">
        <f>C7*$C$4</f>
        <v>0</v>
      </c>
    </row>
    <row r="8" spans="2:4" x14ac:dyDescent="0.15">
      <c r="B8" s="17" t="s">
        <v>367</v>
      </c>
      <c r="C8" s="280">
        <v>0</v>
      </c>
      <c r="D8" s="90">
        <f>C8*$C$4</f>
        <v>0</v>
      </c>
    </row>
    <row r="9" spans="2:4" x14ac:dyDescent="0.15">
      <c r="B9" s="73" t="s">
        <v>368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369</v>
      </c>
      <c r="C11" s="375">
        <v>2</v>
      </c>
      <c r="D11" s="375">
        <v>2</v>
      </c>
    </row>
    <row r="12" spans="2:4" x14ac:dyDescent="0.15">
      <c r="B12" s="17" t="s">
        <v>364</v>
      </c>
      <c r="C12" s="93"/>
      <c r="D12" s="374">
        <v>0</v>
      </c>
    </row>
    <row r="13" spans="2:4" x14ac:dyDescent="0.15">
      <c r="B13" s="17" t="s">
        <v>365</v>
      </c>
      <c r="C13" s="280">
        <v>0</v>
      </c>
      <c r="D13" s="90">
        <f>C13*$D$11</f>
        <v>0</v>
      </c>
    </row>
    <row r="14" spans="2:4" x14ac:dyDescent="0.15">
      <c r="B14" s="17" t="s">
        <v>366</v>
      </c>
      <c r="C14" s="280">
        <v>0</v>
      </c>
      <c r="D14" s="90">
        <f>C14*$C$11</f>
        <v>0</v>
      </c>
    </row>
    <row r="15" spans="2:4" x14ac:dyDescent="0.15">
      <c r="B15" s="17" t="s">
        <v>367</v>
      </c>
      <c r="C15" s="280">
        <v>0</v>
      </c>
      <c r="D15" s="90">
        <f>C15*$C$11</f>
        <v>0</v>
      </c>
    </row>
    <row r="16" spans="2:4" x14ac:dyDescent="0.15">
      <c r="B16" s="73" t="s">
        <v>368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421</v>
      </c>
      <c r="C18" s="375">
        <v>4</v>
      </c>
      <c r="D18" s="375">
        <v>3</v>
      </c>
    </row>
    <row r="19" spans="2:4" x14ac:dyDescent="0.15">
      <c r="B19" s="17" t="s">
        <v>364</v>
      </c>
      <c r="C19" s="93"/>
      <c r="D19" s="374">
        <v>0</v>
      </c>
    </row>
    <row r="20" spans="2:4" x14ac:dyDescent="0.15">
      <c r="B20" s="17" t="s">
        <v>365</v>
      </c>
      <c r="C20" s="280">
        <v>0</v>
      </c>
      <c r="D20" s="90">
        <f>C20*$D$18</f>
        <v>0</v>
      </c>
    </row>
    <row r="21" spans="2:4" x14ac:dyDescent="0.15">
      <c r="B21" s="17" t="s">
        <v>366</v>
      </c>
      <c r="C21" s="280">
        <v>0</v>
      </c>
      <c r="D21" s="90">
        <f>C21*$C$18</f>
        <v>0</v>
      </c>
    </row>
    <row r="22" spans="2:4" x14ac:dyDescent="0.15">
      <c r="B22" s="17" t="s">
        <v>367</v>
      </c>
      <c r="C22" s="280">
        <v>0</v>
      </c>
      <c r="D22" s="90">
        <f>C22*$C$18</f>
        <v>0</v>
      </c>
    </row>
    <row r="23" spans="2:4" x14ac:dyDescent="0.15">
      <c r="B23" s="73" t="s">
        <v>368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419</v>
      </c>
      <c r="C25" s="375">
        <v>3</v>
      </c>
      <c r="D25" s="375">
        <v>2</v>
      </c>
    </row>
    <row r="26" spans="2:4" x14ac:dyDescent="0.15">
      <c r="B26" s="17" t="s">
        <v>364</v>
      </c>
      <c r="C26" s="93"/>
      <c r="D26" s="374">
        <v>0</v>
      </c>
    </row>
    <row r="27" spans="2:4" x14ac:dyDescent="0.15">
      <c r="B27" s="47" t="s">
        <v>365</v>
      </c>
      <c r="C27" s="280">
        <v>0</v>
      </c>
      <c r="D27" s="90">
        <f>C27*$D$25</f>
        <v>0</v>
      </c>
    </row>
    <row r="28" spans="2:4" x14ac:dyDescent="0.15">
      <c r="B28" s="17" t="s">
        <v>366</v>
      </c>
      <c r="C28" s="280">
        <v>0</v>
      </c>
      <c r="D28" s="90">
        <f>C28*$C$25</f>
        <v>0</v>
      </c>
    </row>
    <row r="29" spans="2:4" x14ac:dyDescent="0.15">
      <c r="B29" s="17" t="s">
        <v>367</v>
      </c>
      <c r="C29" s="280">
        <v>0</v>
      </c>
      <c r="D29" s="90">
        <f>C29*$C$25</f>
        <v>0</v>
      </c>
    </row>
    <row r="30" spans="2:4" x14ac:dyDescent="0.15">
      <c r="B30" s="73" t="s">
        <v>368</v>
      </c>
      <c r="C30" s="27"/>
      <c r="D30" s="117">
        <f>SUM(D26:D29)</f>
        <v>0</v>
      </c>
    </row>
    <row r="32" spans="2:4" x14ac:dyDescent="0.15">
      <c r="B32" s="73" t="s">
        <v>422</v>
      </c>
      <c r="C32" s="375">
        <v>3</v>
      </c>
      <c r="D32" s="375">
        <v>2</v>
      </c>
    </row>
    <row r="33" spans="2:4" x14ac:dyDescent="0.15">
      <c r="B33" s="17" t="s">
        <v>364</v>
      </c>
      <c r="C33" s="93"/>
      <c r="D33" s="374">
        <v>0</v>
      </c>
    </row>
    <row r="34" spans="2:4" x14ac:dyDescent="0.15">
      <c r="B34" s="47" t="s">
        <v>1068</v>
      </c>
      <c r="C34" s="280">
        <v>0</v>
      </c>
      <c r="D34" s="90">
        <f>C34*$D$25</f>
        <v>0</v>
      </c>
    </row>
    <row r="35" spans="2:4" x14ac:dyDescent="0.15">
      <c r="B35" s="17" t="s">
        <v>366</v>
      </c>
      <c r="C35" s="280">
        <v>0</v>
      </c>
      <c r="D35" s="90">
        <f>C35*$C$25</f>
        <v>0</v>
      </c>
    </row>
    <row r="36" spans="2:4" x14ac:dyDescent="0.15">
      <c r="B36" s="17" t="s">
        <v>367</v>
      </c>
      <c r="C36" s="280">
        <v>0</v>
      </c>
      <c r="D36" s="90">
        <f>C36*$C$25</f>
        <v>0</v>
      </c>
    </row>
    <row r="37" spans="2:4" x14ac:dyDescent="0.15">
      <c r="B37" s="73" t="s">
        <v>368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406" t="s">
        <v>35</v>
      </c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/>
      <c r="Q1" s="406" t="s">
        <v>36</v>
      </c>
      <c r="R1" s="406"/>
      <c r="S1" s="406"/>
      <c r="T1" s="406"/>
      <c r="U1" s="406"/>
      <c r="V1" s="406"/>
      <c r="W1" s="406"/>
      <c r="X1" s="406"/>
      <c r="Y1" s="406"/>
      <c r="Z1" s="406"/>
      <c r="AA1" s="406"/>
      <c r="AB1" s="406"/>
      <c r="AC1" s="406" t="s">
        <v>37</v>
      </c>
      <c r="AD1" s="406"/>
      <c r="AE1" s="406"/>
      <c r="AF1" s="406"/>
      <c r="AG1" s="406"/>
      <c r="AH1" s="406"/>
      <c r="AI1" s="406"/>
      <c r="AJ1" s="406"/>
      <c r="AK1" s="406"/>
      <c r="AL1" s="406"/>
      <c r="AM1" s="406"/>
      <c r="AN1" s="406"/>
      <c r="AO1" s="406" t="s">
        <v>38</v>
      </c>
      <c r="AP1" s="406"/>
      <c r="AQ1" s="406"/>
      <c r="AR1" s="406"/>
      <c r="AS1" s="406"/>
      <c r="AT1" s="406"/>
      <c r="AU1" s="406"/>
      <c r="AV1" s="406"/>
      <c r="AW1" s="406"/>
      <c r="AX1" s="406"/>
      <c r="AY1" s="406"/>
      <c r="AZ1" s="406"/>
      <c r="BA1" s="406" t="s">
        <v>39</v>
      </c>
      <c r="BB1" s="406"/>
      <c r="BC1" s="406"/>
      <c r="BD1" s="406"/>
      <c r="BE1" s="406"/>
      <c r="BF1" s="406"/>
      <c r="BG1" s="406"/>
      <c r="BH1" s="406"/>
      <c r="BI1" s="406"/>
      <c r="BJ1" s="406"/>
      <c r="BK1" s="406"/>
      <c r="BL1" s="406"/>
      <c r="BM1" s="35"/>
    </row>
    <row r="2" spans="1:76" s="14" customFormat="1" x14ac:dyDescent="0.15">
      <c r="A2" s="10"/>
      <c r="B2" s="14" t="s">
        <v>721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1.5</v>
      </c>
      <c r="I20" s="12">
        <f>STAFF_CWS!L25</f>
        <v>1.5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1.5</v>
      </c>
      <c r="I22" s="12">
        <f>STAFF_CWS!L27</f>
        <v>1.5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424</v>
      </c>
    </row>
    <row r="25" spans="2:64" x14ac:dyDescent="0.15">
      <c r="B25" s="14"/>
    </row>
    <row r="26" spans="2:64" s="102" customFormat="1" x14ac:dyDescent="0.15">
      <c r="B26" s="298" t="s">
        <v>420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369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419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425</v>
      </c>
    </row>
    <row r="35" spans="2:64" x14ac:dyDescent="0.15">
      <c r="B35" s="14"/>
    </row>
    <row r="36" spans="2:64" x14ac:dyDescent="0.15">
      <c r="B36" s="47" t="s">
        <v>420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369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419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426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499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0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0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427</v>
      </c>
    </row>
    <row r="63" spans="2:64" x14ac:dyDescent="0.15">
      <c r="B63" s="14"/>
    </row>
    <row r="64" spans="2:64" s="102" customFormat="1" x14ac:dyDescent="0.15">
      <c r="B64" s="298" t="s">
        <v>420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369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419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428</v>
      </c>
    </row>
    <row r="73" spans="2:64" x14ac:dyDescent="0.15">
      <c r="B73" s="14"/>
    </row>
    <row r="74" spans="2:64" x14ac:dyDescent="0.15">
      <c r="B74" s="47" t="s">
        <v>420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369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419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429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945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944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430</v>
      </c>
    </row>
    <row r="107" spans="2:64" x14ac:dyDescent="0.15">
      <c r="B107" s="14"/>
    </row>
    <row r="108" spans="2:64" s="102" customFormat="1" x14ac:dyDescent="0.15">
      <c r="B108" s="298" t="s">
        <v>420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369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419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431</v>
      </c>
    </row>
    <row r="117" spans="2:64" x14ac:dyDescent="0.15">
      <c r="B117" s="14"/>
    </row>
    <row r="118" spans="2:64" x14ac:dyDescent="0.15">
      <c r="B118" s="47" t="s">
        <v>420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369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419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0.5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0</v>
      </c>
      <c r="L152" s="12">
        <f>STAFF_CWS!O109</f>
        <v>0</v>
      </c>
      <c r="M152" s="12">
        <f>STAFF_CWS!P109</f>
        <v>0</v>
      </c>
      <c r="N152" s="12">
        <f>STAFF_CWS!Q109</f>
        <v>0</v>
      </c>
      <c r="O152" s="12">
        <f>STAFF_CWS!R109</f>
        <v>0</v>
      </c>
      <c r="P152" s="12">
        <f>STAFF_CWS!S109</f>
        <v>0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0.5</v>
      </c>
      <c r="J176" s="12">
        <f>STAFF_CWS!M133</f>
        <v>1</v>
      </c>
      <c r="K176" s="12">
        <f>STAFF_CWS!N133</f>
        <v>1</v>
      </c>
      <c r="L176" s="12">
        <f>STAFF_CWS!O133</f>
        <v>1</v>
      </c>
      <c r="M176" s="12">
        <f>STAFF_CWS!P133</f>
        <v>1</v>
      </c>
      <c r="N176" s="12">
        <f>STAFF_CWS!Q133</f>
        <v>1</v>
      </c>
      <c r="O176" s="12">
        <f>STAFF_CWS!R133</f>
        <v>1</v>
      </c>
      <c r="P176" s="12">
        <f>STAFF_CWS!S133</f>
        <v>1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435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0.5</v>
      </c>
      <c r="J178" s="12">
        <f>STAFF_CWS!M135</f>
        <v>1</v>
      </c>
      <c r="K178" s="12">
        <f>STAFF_CWS!N135</f>
        <v>1</v>
      </c>
      <c r="L178" s="12">
        <f>STAFF_CWS!O135</f>
        <v>1</v>
      </c>
      <c r="M178" s="12">
        <f>STAFF_CWS!P135</f>
        <v>1</v>
      </c>
      <c r="N178" s="12">
        <f>STAFF_CWS!Q135</f>
        <v>1</v>
      </c>
      <c r="O178" s="12">
        <f>STAFF_CWS!R135</f>
        <v>1</v>
      </c>
      <c r="P178" s="12">
        <f>STAFF_CWS!S135</f>
        <v>1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436</v>
      </c>
    </row>
    <row r="182" spans="2:64" hidden="1" x14ac:dyDescent="0.15">
      <c r="B182" s="14"/>
    </row>
    <row r="183" spans="2:64" s="102" customFormat="1" x14ac:dyDescent="0.15">
      <c r="B183" s="298" t="s">
        <v>420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369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419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433</v>
      </c>
    </row>
    <row r="192" spans="2:64" x14ac:dyDescent="0.15">
      <c r="B192" s="14"/>
    </row>
    <row r="193" spans="2:64" x14ac:dyDescent="0.15">
      <c r="B193" s="47" t="s">
        <v>420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369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419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434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" customWidth="1"/>
    <col min="2" max="2" width="30.1640625" customWidth="1"/>
    <col min="3" max="3" width="11.6640625" customWidth="1"/>
    <col min="4" max="4" width="12.1640625" bestFit="1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649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356</v>
      </c>
      <c r="C3" s="169">
        <f>C25</f>
        <v>0</v>
      </c>
      <c r="D3" s="169">
        <f>SUM(D25:O25)</f>
        <v>2058</v>
      </c>
      <c r="E3" s="169">
        <f>SUM(P25:AA25)</f>
        <v>11345</v>
      </c>
      <c r="F3" s="169">
        <f>SUM(AB25:AM25)</f>
        <v>14512</v>
      </c>
      <c r="G3" s="169">
        <f>SUM(AN25:AY25)</f>
        <v>37388</v>
      </c>
      <c r="H3" s="169">
        <f>SUM(AZ25:BK25)</f>
        <v>38511</v>
      </c>
      <c r="I3" s="169">
        <f>SUM(C3:H3)</f>
        <v>103814</v>
      </c>
    </row>
    <row r="5" spans="2:63" x14ac:dyDescent="0.15">
      <c r="B5" s="16" t="s">
        <v>337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1051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1052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1057</v>
      </c>
    </row>
    <row r="9" spans="2:63" s="169" customFormat="1" x14ac:dyDescent="0.15">
      <c r="B9" s="314" t="s">
        <v>1051</v>
      </c>
      <c r="C9" s="169">
        <f>C34</f>
        <v>0</v>
      </c>
      <c r="D9" s="169">
        <f>SUM(D34:O34)</f>
        <v>2058</v>
      </c>
      <c r="E9" s="169">
        <f>SUM(P34:AA34)</f>
        <v>11345</v>
      </c>
      <c r="F9" s="169">
        <f>SUM(AB34:AM34)</f>
        <v>14512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1053</v>
      </c>
      <c r="C10" s="9">
        <f>C35</f>
        <v>0</v>
      </c>
      <c r="D10" s="9">
        <f>SUM(D35:O35)</f>
        <v>19551000</v>
      </c>
      <c r="E10" s="9">
        <f>SUM(P35:AA35)</f>
        <v>115321925</v>
      </c>
      <c r="F10" s="9">
        <f>SUM(AB35:AM35)</f>
        <v>166147888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336</v>
      </c>
      <c r="C11" s="107"/>
    </row>
    <row r="12" spans="2:63" s="169" customFormat="1" x14ac:dyDescent="0.15">
      <c r="B12" s="314" t="s">
        <v>1051</v>
      </c>
      <c r="C12" s="169">
        <v>0</v>
      </c>
      <c r="D12" s="169">
        <f>SUM(D38:O38)</f>
        <v>2058</v>
      </c>
      <c r="E12" s="169">
        <f>SUM(P38:AA38)</f>
        <v>11345</v>
      </c>
      <c r="F12" s="169">
        <f>SUM(AB38:AM38)</f>
        <v>14512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1054</v>
      </c>
      <c r="C13" s="9">
        <v>0</v>
      </c>
      <c r="D13" s="9">
        <f>SUM(D39:O39)</f>
        <v>19551000</v>
      </c>
      <c r="E13" s="9">
        <f>SUM(P39:AA39)</f>
        <v>115321925</v>
      </c>
      <c r="F13" s="9">
        <f>SUM(AB39:AM39)</f>
        <v>166147888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338</v>
      </c>
      <c r="C14" s="97"/>
    </row>
    <row r="15" spans="2:63" s="169" customFormat="1" ht="16.5" customHeight="1" x14ac:dyDescent="0.15">
      <c r="B15" s="314" t="s">
        <v>1051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1054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339</v>
      </c>
    </row>
    <row r="18" spans="2:69" x14ac:dyDescent="0.15">
      <c r="B18" s="106" t="s">
        <v>1051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1053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406" t="s">
        <v>35</v>
      </c>
      <c r="E21" s="406"/>
      <c r="F21" s="406"/>
      <c r="G21" s="406"/>
      <c r="H21" s="406"/>
      <c r="I21" s="406"/>
      <c r="J21" s="406"/>
      <c r="K21" s="406"/>
      <c r="L21" s="406"/>
      <c r="M21" s="406"/>
      <c r="N21" s="406"/>
      <c r="O21" s="406"/>
      <c r="P21" s="406" t="s">
        <v>36</v>
      </c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06"/>
      <c r="AB21" s="406" t="s">
        <v>37</v>
      </c>
      <c r="AC21" s="406"/>
      <c r="AD21" s="406"/>
      <c r="AE21" s="406"/>
      <c r="AF21" s="406"/>
      <c r="AG21" s="406"/>
      <c r="AH21" s="406"/>
      <c r="AI21" s="406"/>
      <c r="AJ21" s="406"/>
      <c r="AK21" s="406"/>
      <c r="AL21" s="406"/>
      <c r="AM21" s="406"/>
      <c r="AN21" s="406" t="s">
        <v>38</v>
      </c>
      <c r="AO21" s="406"/>
      <c r="AP21" s="406"/>
      <c r="AQ21" s="406"/>
      <c r="AR21" s="406"/>
      <c r="AS21" s="406"/>
      <c r="AT21" s="406"/>
      <c r="AU21" s="406"/>
      <c r="AV21" s="406"/>
      <c r="AW21" s="406"/>
      <c r="AX21" s="406"/>
      <c r="AY21" s="406"/>
      <c r="AZ21" s="406" t="s">
        <v>39</v>
      </c>
      <c r="BA21" s="406"/>
      <c r="BB21" s="406"/>
      <c r="BC21" s="406"/>
      <c r="BD21" s="406"/>
      <c r="BE21" s="406"/>
      <c r="BF21" s="406"/>
      <c r="BG21" s="406"/>
      <c r="BH21" s="406"/>
      <c r="BI21" s="406"/>
      <c r="BJ21" s="406"/>
      <c r="BK21" s="406"/>
      <c r="BM21" s="10" t="s">
        <v>628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648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78</v>
      </c>
      <c r="H25" s="313">
        <f>'REV-REVCALC_CWS'!G13</f>
        <v>107</v>
      </c>
      <c r="I25" s="313">
        <f>'REV-REVCALC_CWS'!H13</f>
        <v>159</v>
      </c>
      <c r="J25" s="313">
        <f>'REV-REVCALC_CWS'!I13</f>
        <v>199</v>
      </c>
      <c r="K25" s="313">
        <f>'REV-REVCALC_CWS'!J13</f>
        <v>239</v>
      </c>
      <c r="L25" s="313">
        <f>'REV-REVCALC_CWS'!K13</f>
        <v>279</v>
      </c>
      <c r="M25" s="313">
        <f>'REV-REVCALC_CWS'!L13</f>
        <v>319</v>
      </c>
      <c r="N25" s="313">
        <f>'REV-REVCALC_CWS'!M13</f>
        <v>359</v>
      </c>
      <c r="O25" s="313">
        <f>'REV-REVCALC_CWS'!N13</f>
        <v>319</v>
      </c>
      <c r="P25" s="313">
        <f>'REV-REVCALC_CWS'!O13</f>
        <v>567</v>
      </c>
      <c r="Q25" s="313">
        <f>'REV-REVCALC_CWS'!P13</f>
        <v>908</v>
      </c>
      <c r="R25" s="313">
        <f>'REV-REVCALC_CWS'!Q13</f>
        <v>1021</v>
      </c>
      <c r="S25" s="313">
        <f>'REV-REVCALC_CWS'!R13</f>
        <v>1021</v>
      </c>
      <c r="T25" s="313">
        <f>'REV-REVCALC_CWS'!S13</f>
        <v>1021</v>
      </c>
      <c r="U25" s="313">
        <f>'REV-REVCALC_CWS'!T13</f>
        <v>1021</v>
      </c>
      <c r="V25" s="313">
        <f>'REV-REVCALC_CWS'!U13</f>
        <v>1021</v>
      </c>
      <c r="W25" s="313">
        <f>'REV-REVCALC_CWS'!V13</f>
        <v>1021</v>
      </c>
      <c r="X25" s="313">
        <f>'REV-REVCALC_CWS'!W13</f>
        <v>1021</v>
      </c>
      <c r="Y25" s="313">
        <f>'REV-REVCALC_CWS'!X13</f>
        <v>1021</v>
      </c>
      <c r="Z25" s="313">
        <f>'REV-REVCALC_CWS'!Y13</f>
        <v>1021</v>
      </c>
      <c r="AA25" s="313">
        <f>'REV-REVCALC_CWS'!Z13</f>
        <v>681</v>
      </c>
      <c r="AB25" s="313">
        <f>'REV-REVCALC_CWS'!AA13</f>
        <v>726</v>
      </c>
      <c r="AC25" s="313">
        <f>'REV-REVCALC_CWS'!AB13</f>
        <v>1161</v>
      </c>
      <c r="AD25" s="313">
        <f>'REV-REVCALC_CWS'!AC13</f>
        <v>1306</v>
      </c>
      <c r="AE25" s="313">
        <f>'REV-REVCALC_CWS'!AD13</f>
        <v>1306</v>
      </c>
      <c r="AF25" s="313">
        <f>'REV-REVCALC_CWS'!AE13</f>
        <v>1306</v>
      </c>
      <c r="AG25" s="313">
        <f>'REV-REVCALC_CWS'!AF13</f>
        <v>1306</v>
      </c>
      <c r="AH25" s="313">
        <f>'REV-REVCALC_CWS'!AG13</f>
        <v>1306</v>
      </c>
      <c r="AI25" s="313">
        <f>'REV-REVCALC_CWS'!AH13</f>
        <v>1306</v>
      </c>
      <c r="AJ25" s="313">
        <f>'REV-REVCALC_CWS'!AI13</f>
        <v>1306</v>
      </c>
      <c r="AK25" s="313">
        <f>'REV-REVCALC_CWS'!AJ13</f>
        <v>1306</v>
      </c>
      <c r="AL25" s="313">
        <f>'REV-REVCALC_CWS'!AK13</f>
        <v>1306</v>
      </c>
      <c r="AM25" s="313">
        <f>'REV-REVCALC_CWS'!AL13</f>
        <v>871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340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1051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1052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1057</v>
      </c>
    </row>
    <row r="34" spans="2:66" s="169" customFormat="1" x14ac:dyDescent="0.15">
      <c r="B34" s="314" t="s">
        <v>1051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78</v>
      </c>
      <c r="H34" s="169">
        <f t="shared" si="7"/>
        <v>107</v>
      </c>
      <c r="I34" s="169">
        <f t="shared" si="7"/>
        <v>159</v>
      </c>
      <c r="J34" s="169">
        <f t="shared" si="7"/>
        <v>199</v>
      </c>
      <c r="K34" s="169">
        <f t="shared" si="7"/>
        <v>239</v>
      </c>
      <c r="L34" s="169">
        <f t="shared" si="7"/>
        <v>279</v>
      </c>
      <c r="M34" s="169">
        <f t="shared" si="7"/>
        <v>319</v>
      </c>
      <c r="N34" s="169">
        <f t="shared" si="7"/>
        <v>359</v>
      </c>
      <c r="O34" s="169">
        <f t="shared" si="7"/>
        <v>319</v>
      </c>
      <c r="P34" s="169">
        <f t="shared" si="7"/>
        <v>567</v>
      </c>
      <c r="Q34" s="169">
        <f t="shared" si="7"/>
        <v>908</v>
      </c>
      <c r="R34" s="169">
        <f t="shared" si="7"/>
        <v>1021</v>
      </c>
      <c r="S34" s="169">
        <f t="shared" si="7"/>
        <v>1021</v>
      </c>
      <c r="T34" s="169">
        <f t="shared" si="7"/>
        <v>1021</v>
      </c>
      <c r="U34" s="169">
        <f t="shared" si="7"/>
        <v>1021</v>
      </c>
      <c r="V34" s="169">
        <f t="shared" si="7"/>
        <v>1021</v>
      </c>
      <c r="W34" s="169">
        <f t="shared" si="7"/>
        <v>1021</v>
      </c>
      <c r="X34" s="169">
        <f t="shared" si="7"/>
        <v>1021</v>
      </c>
      <c r="Y34" s="169">
        <f t="shared" si="7"/>
        <v>1021</v>
      </c>
      <c r="Z34" s="169">
        <f t="shared" si="7"/>
        <v>1021</v>
      </c>
      <c r="AA34" s="169">
        <f t="shared" si="7"/>
        <v>681</v>
      </c>
      <c r="AB34" s="169">
        <f t="shared" si="7"/>
        <v>726</v>
      </c>
      <c r="AC34" s="169">
        <f t="shared" si="7"/>
        <v>1161</v>
      </c>
      <c r="AD34" s="169">
        <f t="shared" si="7"/>
        <v>1306</v>
      </c>
      <c r="AE34" s="169">
        <f t="shared" si="7"/>
        <v>1306</v>
      </c>
      <c r="AF34" s="169">
        <f t="shared" si="7"/>
        <v>1306</v>
      </c>
      <c r="AG34" s="169">
        <f t="shared" si="7"/>
        <v>1306</v>
      </c>
      <c r="AH34" s="169">
        <f t="shared" si="7"/>
        <v>1306</v>
      </c>
      <c r="AI34" s="169">
        <f t="shared" ref="AI34:BN34" si="8">AI47-(AI30-AI38)</f>
        <v>1306</v>
      </c>
      <c r="AJ34" s="169">
        <f t="shared" si="8"/>
        <v>1306</v>
      </c>
      <c r="AK34" s="169">
        <f t="shared" si="8"/>
        <v>1306</v>
      </c>
      <c r="AL34" s="169">
        <f t="shared" si="8"/>
        <v>1306</v>
      </c>
      <c r="AM34" s="169">
        <f t="shared" si="8"/>
        <v>871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103814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1054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741000</v>
      </c>
      <c r="H35" s="145">
        <f t="shared" si="9"/>
        <v>1016500</v>
      </c>
      <c r="I35" s="145">
        <f t="shared" si="9"/>
        <v>1510500</v>
      </c>
      <c r="J35" s="145">
        <f t="shared" si="9"/>
        <v>1890500</v>
      </c>
      <c r="K35" s="145">
        <f t="shared" si="9"/>
        <v>2270500</v>
      </c>
      <c r="L35" s="145">
        <f t="shared" si="9"/>
        <v>2650500</v>
      </c>
      <c r="M35" s="145">
        <f t="shared" si="9"/>
        <v>3030500</v>
      </c>
      <c r="N35" s="145">
        <f t="shared" si="9"/>
        <v>3410500</v>
      </c>
      <c r="O35" s="145">
        <f t="shared" si="9"/>
        <v>3030500</v>
      </c>
      <c r="P35" s="145">
        <f t="shared" si="9"/>
        <v>5763555</v>
      </c>
      <c r="Q35" s="145">
        <f t="shared" si="9"/>
        <v>9229820</v>
      </c>
      <c r="R35" s="145">
        <f t="shared" si="9"/>
        <v>10378465</v>
      </c>
      <c r="S35" s="145">
        <f t="shared" si="9"/>
        <v>10378465</v>
      </c>
      <c r="T35" s="145">
        <f t="shared" si="9"/>
        <v>10378465</v>
      </c>
      <c r="U35" s="145">
        <f t="shared" si="9"/>
        <v>10378465</v>
      </c>
      <c r="V35" s="145">
        <f t="shared" si="9"/>
        <v>10378465</v>
      </c>
      <c r="W35" s="145">
        <f t="shared" si="9"/>
        <v>10378465</v>
      </c>
      <c r="X35" s="145">
        <f t="shared" si="9"/>
        <v>10378465</v>
      </c>
      <c r="Y35" s="145">
        <f t="shared" si="9"/>
        <v>10378465</v>
      </c>
      <c r="Z35" s="145">
        <f t="shared" si="9"/>
        <v>10378465</v>
      </c>
      <c r="AA35" s="145">
        <f t="shared" si="9"/>
        <v>6922365</v>
      </c>
      <c r="AB35" s="145">
        <f t="shared" si="9"/>
        <v>8311974</v>
      </c>
      <c r="AC35" s="145">
        <f t="shared" si="9"/>
        <v>13292289</v>
      </c>
      <c r="AD35" s="145">
        <f t="shared" si="9"/>
        <v>14952394</v>
      </c>
      <c r="AE35" s="145">
        <f t="shared" si="9"/>
        <v>14952394</v>
      </c>
      <c r="AF35" s="145">
        <f t="shared" si="9"/>
        <v>14952394</v>
      </c>
      <c r="AG35" s="145">
        <f t="shared" si="9"/>
        <v>14952394</v>
      </c>
      <c r="AH35" s="145">
        <f t="shared" si="9"/>
        <v>14952394</v>
      </c>
      <c r="AI35" s="145">
        <f t="shared" ref="AI35:BN35" si="10">AI34*AI27</f>
        <v>14952394</v>
      </c>
      <c r="AJ35" s="145">
        <f t="shared" si="10"/>
        <v>14952394</v>
      </c>
      <c r="AK35" s="145">
        <f t="shared" si="10"/>
        <v>14952394</v>
      </c>
      <c r="AL35" s="145">
        <f t="shared" si="10"/>
        <v>14952394</v>
      </c>
      <c r="AM35" s="145">
        <f t="shared" si="10"/>
        <v>9972079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1129138161.7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336</v>
      </c>
      <c r="C37" s="107"/>
    </row>
    <row r="38" spans="2:66" s="169" customFormat="1" x14ac:dyDescent="0.15">
      <c r="B38" s="314" t="s">
        <v>1051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78</v>
      </c>
      <c r="H38" s="169">
        <f>'REV-REVCALC_CWS'!G13</f>
        <v>107</v>
      </c>
      <c r="I38" s="169">
        <f>'REV-REVCALC_CWS'!H13</f>
        <v>159</v>
      </c>
      <c r="J38" s="169">
        <f>'REV-REVCALC_CWS'!I13</f>
        <v>199</v>
      </c>
      <c r="K38" s="169">
        <f>'REV-REVCALC_CWS'!J13</f>
        <v>239</v>
      </c>
      <c r="L38" s="169">
        <f>'REV-REVCALC_CWS'!K13</f>
        <v>279</v>
      </c>
      <c r="M38" s="169">
        <f>'REV-REVCALC_CWS'!L13</f>
        <v>319</v>
      </c>
      <c r="N38" s="169">
        <f>'REV-REVCALC_CWS'!M13</f>
        <v>359</v>
      </c>
      <c r="O38" s="169">
        <f>'REV-REVCALC_CWS'!N13</f>
        <v>319</v>
      </c>
      <c r="P38" s="169">
        <f>'REV-REVCALC_CWS'!O13</f>
        <v>567</v>
      </c>
      <c r="Q38" s="169">
        <f>'REV-REVCALC_CWS'!P13</f>
        <v>908</v>
      </c>
      <c r="R38" s="169">
        <f>'REV-REVCALC_CWS'!Q13</f>
        <v>1021</v>
      </c>
      <c r="S38" s="169">
        <f>'REV-REVCALC_CWS'!R13</f>
        <v>1021</v>
      </c>
      <c r="T38" s="169">
        <f>'REV-REVCALC_CWS'!S13</f>
        <v>1021</v>
      </c>
      <c r="U38" s="169">
        <f>'REV-REVCALC_CWS'!T13</f>
        <v>1021</v>
      </c>
      <c r="V38" s="169">
        <f>'REV-REVCALC_CWS'!U13</f>
        <v>1021</v>
      </c>
      <c r="W38" s="169">
        <f>'REV-REVCALC_CWS'!V13</f>
        <v>1021</v>
      </c>
      <c r="X38" s="169">
        <f>'REV-REVCALC_CWS'!W13</f>
        <v>1021</v>
      </c>
      <c r="Y38" s="169">
        <f>'REV-REVCALC_CWS'!X13</f>
        <v>1021</v>
      </c>
      <c r="Z38" s="169">
        <f>'REV-REVCALC_CWS'!Y13</f>
        <v>1021</v>
      </c>
      <c r="AA38" s="169">
        <f>'REV-REVCALC_CWS'!Z13</f>
        <v>681</v>
      </c>
      <c r="AB38" s="169">
        <f>'REV-REVCALC_CWS'!AA13</f>
        <v>726</v>
      </c>
      <c r="AC38" s="169">
        <f>'REV-REVCALC_CWS'!AB13</f>
        <v>1161</v>
      </c>
      <c r="AD38" s="169">
        <f>'REV-REVCALC_CWS'!AC13</f>
        <v>1306</v>
      </c>
      <c r="AE38" s="169">
        <f>'REV-REVCALC_CWS'!AD13</f>
        <v>1306</v>
      </c>
      <c r="AF38" s="169">
        <f>'REV-REVCALC_CWS'!AE13</f>
        <v>1306</v>
      </c>
      <c r="AG38" s="169">
        <f>'REV-REVCALC_CWS'!AF13</f>
        <v>1306</v>
      </c>
      <c r="AH38" s="169">
        <f>'REV-REVCALC_CWS'!AG13</f>
        <v>1306</v>
      </c>
      <c r="AI38" s="169">
        <f>'REV-REVCALC_CWS'!AH13</f>
        <v>1306</v>
      </c>
      <c r="AJ38" s="169">
        <f>'REV-REVCALC_CWS'!AI13</f>
        <v>1306</v>
      </c>
      <c r="AK38" s="169">
        <f>'REV-REVCALC_CWS'!AJ13</f>
        <v>1306</v>
      </c>
      <c r="AL38" s="169">
        <f>'REV-REVCALC_CWS'!AK13</f>
        <v>1306</v>
      </c>
      <c r="AM38" s="169">
        <f>'REV-REVCALC_CWS'!AL13</f>
        <v>871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103814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1053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741000</v>
      </c>
      <c r="H39" s="145">
        <f t="shared" si="11"/>
        <v>1016500</v>
      </c>
      <c r="I39" s="145">
        <f t="shared" si="11"/>
        <v>1510500</v>
      </c>
      <c r="J39" s="145">
        <f t="shared" si="11"/>
        <v>1890500</v>
      </c>
      <c r="K39" s="145">
        <f t="shared" si="11"/>
        <v>2270500</v>
      </c>
      <c r="L39" s="145">
        <f t="shared" si="11"/>
        <v>2650500</v>
      </c>
      <c r="M39" s="145">
        <f t="shared" si="11"/>
        <v>3030500</v>
      </c>
      <c r="N39" s="145">
        <f t="shared" si="11"/>
        <v>3410500</v>
      </c>
      <c r="O39" s="145">
        <f t="shared" si="11"/>
        <v>3030500</v>
      </c>
      <c r="P39" s="145">
        <f t="shared" si="11"/>
        <v>5763555</v>
      </c>
      <c r="Q39" s="145">
        <f t="shared" si="11"/>
        <v>9229820</v>
      </c>
      <c r="R39" s="145">
        <f t="shared" si="11"/>
        <v>10378465</v>
      </c>
      <c r="S39" s="145">
        <f t="shared" si="11"/>
        <v>10378465</v>
      </c>
      <c r="T39" s="145">
        <f t="shared" si="11"/>
        <v>10378465</v>
      </c>
      <c r="U39" s="145">
        <f t="shared" si="11"/>
        <v>10378465</v>
      </c>
      <c r="V39" s="145">
        <f t="shared" si="11"/>
        <v>10378465</v>
      </c>
      <c r="W39" s="145">
        <f t="shared" si="11"/>
        <v>10378465</v>
      </c>
      <c r="X39" s="145">
        <f t="shared" si="11"/>
        <v>10378465</v>
      </c>
      <c r="Y39" s="145">
        <f t="shared" si="11"/>
        <v>10378465</v>
      </c>
      <c r="Z39" s="145">
        <f t="shared" si="11"/>
        <v>10378465</v>
      </c>
      <c r="AA39" s="145">
        <f t="shared" si="11"/>
        <v>6922365</v>
      </c>
      <c r="AB39" s="145">
        <f t="shared" si="11"/>
        <v>8311974</v>
      </c>
      <c r="AC39" s="145">
        <f t="shared" si="11"/>
        <v>13292289</v>
      </c>
      <c r="AD39" s="145">
        <f t="shared" si="11"/>
        <v>14952394</v>
      </c>
      <c r="AE39" s="145">
        <f t="shared" si="11"/>
        <v>14952394</v>
      </c>
      <c r="AF39" s="145">
        <f t="shared" si="11"/>
        <v>14952394</v>
      </c>
      <c r="AG39" s="145">
        <f t="shared" si="11"/>
        <v>14952394</v>
      </c>
      <c r="AH39" s="145">
        <f t="shared" si="11"/>
        <v>14952394</v>
      </c>
      <c r="AI39" s="145">
        <f t="shared" si="11"/>
        <v>14952394</v>
      </c>
      <c r="AJ39" s="145">
        <f t="shared" ref="AJ39:BN39" si="12">AJ38*AJ27</f>
        <v>14952394</v>
      </c>
      <c r="AK39" s="145">
        <f t="shared" si="12"/>
        <v>14952394</v>
      </c>
      <c r="AL39" s="145">
        <f t="shared" si="12"/>
        <v>14952394</v>
      </c>
      <c r="AM39" s="145">
        <f t="shared" si="12"/>
        <v>9972079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1129138161.7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338</v>
      </c>
      <c r="C41" s="97"/>
    </row>
    <row r="42" spans="2:66" s="169" customFormat="1" ht="16.5" customHeight="1" x14ac:dyDescent="0.15">
      <c r="B42" s="314" t="s">
        <v>1055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1056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339</v>
      </c>
    </row>
    <row r="47" spans="2:66" s="169" customFormat="1" x14ac:dyDescent="0.15">
      <c r="B47" s="314" t="s">
        <v>1051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1053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650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361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357</v>
      </c>
      <c r="C54" s="9">
        <f t="shared" si="19"/>
        <v>0</v>
      </c>
      <c r="D54" s="66">
        <f>SUM(D66:O66)</f>
        <v>19551000</v>
      </c>
      <c r="E54" s="66">
        <f>SUM(P66:AA66)</f>
        <v>115321925</v>
      </c>
      <c r="F54" s="66">
        <f>SUM(AB66:AM66)</f>
        <v>166147888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358</v>
      </c>
      <c r="C55" s="9">
        <f t="shared" si="19"/>
        <v>0</v>
      </c>
      <c r="D55" s="9">
        <f>D53+D54</f>
        <v>19551000</v>
      </c>
      <c r="E55" s="9">
        <f>E53+E54</f>
        <v>115321925</v>
      </c>
      <c r="F55" s="9">
        <f>F53+F54</f>
        <v>166147888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359</v>
      </c>
      <c r="C56" s="9">
        <f t="shared" si="19"/>
        <v>0</v>
      </c>
      <c r="D56" s="66">
        <f>SUM(D68:O68)</f>
        <v>19551000</v>
      </c>
      <c r="E56" s="66">
        <f>SUM(P68:AA68)</f>
        <v>115321925</v>
      </c>
      <c r="F56" s="66">
        <f>SUM(AB68:AM68)</f>
        <v>166147888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360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527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406" t="s">
        <v>35</v>
      </c>
      <c r="E60" s="406"/>
      <c r="F60" s="406"/>
      <c r="G60" s="406"/>
      <c r="H60" s="406"/>
      <c r="I60" s="406"/>
      <c r="J60" s="406"/>
      <c r="K60" s="406"/>
      <c r="L60" s="406"/>
      <c r="M60" s="406"/>
      <c r="N60" s="406"/>
      <c r="O60" s="406"/>
      <c r="P60" s="406" t="s">
        <v>36</v>
      </c>
      <c r="Q60" s="406"/>
      <c r="R60" s="406"/>
      <c r="S60" s="406"/>
      <c r="T60" s="406"/>
      <c r="U60" s="406"/>
      <c r="V60" s="406"/>
      <c r="W60" s="406"/>
      <c r="X60" s="406"/>
      <c r="Y60" s="406"/>
      <c r="Z60" s="406"/>
      <c r="AA60" s="406"/>
      <c r="AB60" s="406" t="s">
        <v>37</v>
      </c>
      <c r="AC60" s="406"/>
      <c r="AD60" s="406"/>
      <c r="AE60" s="406"/>
      <c r="AF60" s="406"/>
      <c r="AG60" s="406"/>
      <c r="AH60" s="406"/>
      <c r="AI60" s="406"/>
      <c r="AJ60" s="406"/>
      <c r="AK60" s="406"/>
      <c r="AL60" s="406"/>
      <c r="AM60" s="406"/>
      <c r="AN60" s="406" t="s">
        <v>38</v>
      </c>
      <c r="AO60" s="406"/>
      <c r="AP60" s="406"/>
      <c r="AQ60" s="406"/>
      <c r="AR60" s="406"/>
      <c r="AS60" s="406"/>
      <c r="AT60" s="406"/>
      <c r="AU60" s="406"/>
      <c r="AV60" s="406"/>
      <c r="AW60" s="406"/>
      <c r="AX60" s="406"/>
      <c r="AY60" s="406"/>
      <c r="AZ60" s="406" t="s">
        <v>39</v>
      </c>
      <c r="BA60" s="406"/>
      <c r="BB60" s="406"/>
      <c r="BC60" s="406"/>
      <c r="BD60" s="406"/>
      <c r="BE60" s="406"/>
      <c r="BF60" s="406"/>
      <c r="BG60" s="406"/>
      <c r="BH60" s="406"/>
      <c r="BI60" s="406"/>
      <c r="BJ60" s="406"/>
      <c r="BK60" s="406"/>
      <c r="BM60" s="10" t="s">
        <v>628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833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361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357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741000</v>
      </c>
      <c r="H66" s="9">
        <f t="shared" si="22"/>
        <v>1016500</v>
      </c>
      <c r="I66" s="9">
        <f t="shared" si="22"/>
        <v>1510500</v>
      </c>
      <c r="J66" s="9">
        <f t="shared" si="22"/>
        <v>1890500</v>
      </c>
      <c r="K66" s="9">
        <f t="shared" si="22"/>
        <v>2270500</v>
      </c>
      <c r="L66" s="9">
        <f t="shared" si="22"/>
        <v>2650500</v>
      </c>
      <c r="M66" s="9">
        <f t="shared" si="22"/>
        <v>3030500</v>
      </c>
      <c r="N66" s="9">
        <f t="shared" si="22"/>
        <v>3410500</v>
      </c>
      <c r="O66" s="9">
        <f t="shared" si="22"/>
        <v>3030500</v>
      </c>
      <c r="P66" s="9">
        <f t="shared" si="22"/>
        <v>5763555</v>
      </c>
      <c r="Q66" s="9">
        <f t="shared" si="22"/>
        <v>9229820</v>
      </c>
      <c r="R66" s="9">
        <f t="shared" si="22"/>
        <v>10378465</v>
      </c>
      <c r="S66" s="9">
        <f t="shared" si="22"/>
        <v>10378465</v>
      </c>
      <c r="T66" s="9">
        <f t="shared" si="22"/>
        <v>10378465</v>
      </c>
      <c r="U66" s="9">
        <f t="shared" si="22"/>
        <v>10378465</v>
      </c>
      <c r="V66" s="9">
        <f t="shared" si="22"/>
        <v>10378465</v>
      </c>
      <c r="W66" s="9">
        <f t="shared" si="22"/>
        <v>10378465</v>
      </c>
      <c r="X66" s="9">
        <f t="shared" si="22"/>
        <v>10378465</v>
      </c>
      <c r="Y66" s="9">
        <f t="shared" si="22"/>
        <v>10378465</v>
      </c>
      <c r="Z66" s="9">
        <f t="shared" si="22"/>
        <v>10378465</v>
      </c>
      <c r="AA66" s="9">
        <f t="shared" si="22"/>
        <v>6922365</v>
      </c>
      <c r="AB66" s="9">
        <f t="shared" si="22"/>
        <v>8311974</v>
      </c>
      <c r="AC66" s="9">
        <f t="shared" si="22"/>
        <v>13292289</v>
      </c>
      <c r="AD66" s="9">
        <f t="shared" si="22"/>
        <v>14952394</v>
      </c>
      <c r="AE66" s="9">
        <f t="shared" si="22"/>
        <v>14952394</v>
      </c>
      <c r="AF66" s="9">
        <f t="shared" si="22"/>
        <v>14952394</v>
      </c>
      <c r="AG66" s="9">
        <f t="shared" si="22"/>
        <v>14952394</v>
      </c>
      <c r="AH66" s="9">
        <f t="shared" si="22"/>
        <v>14952394</v>
      </c>
      <c r="AI66" s="9">
        <f t="shared" ref="AI66:BN66" si="23">AI35</f>
        <v>14952394</v>
      </c>
      <c r="AJ66" s="9">
        <f t="shared" si="23"/>
        <v>14952394</v>
      </c>
      <c r="AK66" s="9">
        <f t="shared" si="23"/>
        <v>14952394</v>
      </c>
      <c r="AL66" s="9">
        <f t="shared" si="23"/>
        <v>14952394</v>
      </c>
      <c r="AM66" s="9">
        <f t="shared" si="23"/>
        <v>9972079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1129138161.7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358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741000</v>
      </c>
      <c r="H67" s="9">
        <f t="shared" si="24"/>
        <v>1016500</v>
      </c>
      <c r="I67" s="9">
        <f t="shared" si="24"/>
        <v>1510500</v>
      </c>
      <c r="J67" s="9">
        <f t="shared" si="24"/>
        <v>1890500</v>
      </c>
      <c r="K67" s="9">
        <f t="shared" si="24"/>
        <v>2270500</v>
      </c>
      <c r="L67" s="9">
        <f t="shared" si="24"/>
        <v>2650500</v>
      </c>
      <c r="M67" s="9">
        <f t="shared" si="24"/>
        <v>3030500</v>
      </c>
      <c r="N67" s="9">
        <f t="shared" si="24"/>
        <v>3410500</v>
      </c>
      <c r="O67" s="9">
        <f t="shared" si="24"/>
        <v>3030500</v>
      </c>
      <c r="P67" s="9">
        <f t="shared" si="24"/>
        <v>5763555</v>
      </c>
      <c r="Q67" s="9">
        <f t="shared" si="24"/>
        <v>9229820</v>
      </c>
      <c r="R67" s="9">
        <f t="shared" si="24"/>
        <v>10378465</v>
      </c>
      <c r="S67" s="9">
        <f t="shared" si="24"/>
        <v>10378465</v>
      </c>
      <c r="T67" s="9">
        <f t="shared" si="24"/>
        <v>10378465</v>
      </c>
      <c r="U67" s="9">
        <f t="shared" si="24"/>
        <v>10378465</v>
      </c>
      <c r="V67" s="9">
        <f t="shared" si="24"/>
        <v>10378465</v>
      </c>
      <c r="W67" s="9">
        <f t="shared" si="24"/>
        <v>10378465</v>
      </c>
      <c r="X67" s="9">
        <f t="shared" si="24"/>
        <v>10378465</v>
      </c>
      <c r="Y67" s="9">
        <f t="shared" si="24"/>
        <v>10378465</v>
      </c>
      <c r="Z67" s="9">
        <f t="shared" si="24"/>
        <v>10378465</v>
      </c>
      <c r="AA67" s="9">
        <f t="shared" si="24"/>
        <v>6922365</v>
      </c>
      <c r="AB67" s="9">
        <f t="shared" si="24"/>
        <v>8311974</v>
      </c>
      <c r="AC67" s="9">
        <f t="shared" si="24"/>
        <v>13292289</v>
      </c>
      <c r="AD67" s="9">
        <f t="shared" si="24"/>
        <v>14952394</v>
      </c>
      <c r="AE67" s="9">
        <f t="shared" si="24"/>
        <v>14952394</v>
      </c>
      <c r="AF67" s="9">
        <f t="shared" si="24"/>
        <v>14952394</v>
      </c>
      <c r="AG67" s="9">
        <f t="shared" si="24"/>
        <v>14952394</v>
      </c>
      <c r="AH67" s="9">
        <f t="shared" si="24"/>
        <v>14952394</v>
      </c>
      <c r="AI67" s="9">
        <f t="shared" si="24"/>
        <v>14952394</v>
      </c>
      <c r="AJ67" s="9">
        <f t="shared" ref="AJ67:BN67" si="25">AJ65+AJ66</f>
        <v>14952394</v>
      </c>
      <c r="AK67" s="9">
        <f t="shared" si="25"/>
        <v>14952394</v>
      </c>
      <c r="AL67" s="9">
        <f t="shared" si="25"/>
        <v>14952394</v>
      </c>
      <c r="AM67" s="9">
        <f t="shared" si="25"/>
        <v>9972079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1129138161.7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359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741000</v>
      </c>
      <c r="H68" s="9">
        <f t="shared" ref="H68:BN68" si="27">H67</f>
        <v>1016500</v>
      </c>
      <c r="I68" s="9">
        <f t="shared" si="27"/>
        <v>1510500</v>
      </c>
      <c r="J68" s="9">
        <f t="shared" si="27"/>
        <v>1890500</v>
      </c>
      <c r="K68" s="9">
        <f t="shared" si="27"/>
        <v>2270500</v>
      </c>
      <c r="L68" s="9">
        <f t="shared" si="27"/>
        <v>2650500</v>
      </c>
      <c r="M68" s="9">
        <f t="shared" si="27"/>
        <v>3030500</v>
      </c>
      <c r="N68" s="9">
        <f t="shared" si="27"/>
        <v>3410500</v>
      </c>
      <c r="O68" s="9">
        <f t="shared" si="27"/>
        <v>3030500</v>
      </c>
      <c r="P68" s="9">
        <f t="shared" si="27"/>
        <v>5763555</v>
      </c>
      <c r="Q68" s="9">
        <f t="shared" si="27"/>
        <v>9229820</v>
      </c>
      <c r="R68" s="9">
        <f t="shared" si="27"/>
        <v>10378465</v>
      </c>
      <c r="S68" s="9">
        <f t="shared" si="27"/>
        <v>10378465</v>
      </c>
      <c r="T68" s="9">
        <f t="shared" si="27"/>
        <v>10378465</v>
      </c>
      <c r="U68" s="9">
        <f t="shared" si="27"/>
        <v>10378465</v>
      </c>
      <c r="V68" s="9">
        <f t="shared" si="27"/>
        <v>10378465</v>
      </c>
      <c r="W68" s="9">
        <f t="shared" si="27"/>
        <v>10378465</v>
      </c>
      <c r="X68" s="9">
        <f t="shared" si="27"/>
        <v>10378465</v>
      </c>
      <c r="Y68" s="9">
        <f t="shared" si="27"/>
        <v>10378465</v>
      </c>
      <c r="Z68" s="9">
        <f t="shared" si="27"/>
        <v>10378465</v>
      </c>
      <c r="AA68" s="9">
        <f t="shared" si="27"/>
        <v>6922365</v>
      </c>
      <c r="AB68" s="9">
        <f t="shared" si="27"/>
        <v>8311974</v>
      </c>
      <c r="AC68" s="9">
        <f t="shared" si="27"/>
        <v>13292289</v>
      </c>
      <c r="AD68" s="9">
        <f t="shared" si="27"/>
        <v>14952394</v>
      </c>
      <c r="AE68" s="9">
        <f t="shared" si="27"/>
        <v>14952394</v>
      </c>
      <c r="AF68" s="9">
        <f t="shared" si="27"/>
        <v>14952394</v>
      </c>
      <c r="AG68" s="9">
        <f t="shared" si="27"/>
        <v>14952394</v>
      </c>
      <c r="AH68" s="9">
        <f t="shared" si="27"/>
        <v>14952394</v>
      </c>
      <c r="AI68" s="9">
        <f t="shared" si="27"/>
        <v>14952394</v>
      </c>
      <c r="AJ68" s="9">
        <f t="shared" si="27"/>
        <v>14952394</v>
      </c>
      <c r="AK68" s="9">
        <f t="shared" si="27"/>
        <v>14952394</v>
      </c>
      <c r="AL68" s="9">
        <f t="shared" si="27"/>
        <v>14952394</v>
      </c>
      <c r="AM68" s="9">
        <f t="shared" si="27"/>
        <v>9972079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1129138161.7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360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527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3"/>
  <sheetViews>
    <sheetView workbookViewId="0">
      <selection activeCell="A12" sqref="A12"/>
    </sheetView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1241</v>
      </c>
    </row>
    <row r="2" spans="1:7" x14ac:dyDescent="0.15">
      <c r="B2" s="10" t="s">
        <v>312</v>
      </c>
      <c r="C2" s="10" t="s">
        <v>313</v>
      </c>
      <c r="D2" s="10" t="s">
        <v>620</v>
      </c>
      <c r="E2" s="10" t="s">
        <v>327</v>
      </c>
      <c r="F2" s="10" t="s">
        <v>328</v>
      </c>
      <c r="G2" s="10" t="s">
        <v>316</v>
      </c>
    </row>
    <row r="3" spans="1:7" x14ac:dyDescent="0.15">
      <c r="A3" s="10" t="s">
        <v>35</v>
      </c>
    </row>
    <row r="4" spans="1:7" outlineLevel="1" x14ac:dyDescent="0.15">
      <c r="A4" s="14" t="s">
        <v>1194</v>
      </c>
    </row>
    <row r="5" spans="1:7" outlineLevel="1" x14ac:dyDescent="0.15">
      <c r="A5" s="47" t="s">
        <v>1193</v>
      </c>
      <c r="B5" s="397">
        <v>14000</v>
      </c>
      <c r="C5" s="312">
        <v>0</v>
      </c>
      <c r="D5" s="399">
        <f>B5*(1-C5)</f>
        <v>14000</v>
      </c>
      <c r="E5" s="397">
        <v>9500</v>
      </c>
      <c r="F5" s="399">
        <f>D5-E5</f>
        <v>4500</v>
      </c>
      <c r="G5" s="4">
        <f>F5/D5</f>
        <v>0.32142857142857145</v>
      </c>
    </row>
    <row r="6" spans="1:7" outlineLevel="1" x14ac:dyDescent="0.15">
      <c r="A6" s="47" t="s">
        <v>1265</v>
      </c>
      <c r="B6" s="397" t="s">
        <v>318</v>
      </c>
      <c r="C6" s="4"/>
      <c r="D6" s="399"/>
      <c r="E6" s="397">
        <v>0</v>
      </c>
      <c r="F6" s="399">
        <f>D6-E6</f>
        <v>0</v>
      </c>
      <c r="G6" s="4"/>
    </row>
    <row r="7" spans="1:7" outlineLevel="1" x14ac:dyDescent="0.15">
      <c r="A7" s="17" t="s">
        <v>317</v>
      </c>
      <c r="B7" s="397" t="s">
        <v>318</v>
      </c>
      <c r="C7" s="4"/>
      <c r="D7" s="399"/>
      <c r="E7" s="397">
        <v>0</v>
      </c>
      <c r="F7" s="399">
        <f>D7-E7</f>
        <v>0</v>
      </c>
      <c r="G7" s="4"/>
    </row>
    <row r="8" spans="1:7" outlineLevel="1" x14ac:dyDescent="0.15">
      <c r="A8" s="17" t="s">
        <v>315</v>
      </c>
      <c r="B8" s="397" t="s">
        <v>318</v>
      </c>
      <c r="C8" s="4"/>
      <c r="D8" s="399"/>
      <c r="E8" s="397">
        <v>0</v>
      </c>
      <c r="F8" s="399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400">
        <f>SUM(B5:B8)</f>
        <v>14000</v>
      </c>
      <c r="C9" s="400"/>
      <c r="D9" s="400">
        <f>SUM(D5:D8)</f>
        <v>14000</v>
      </c>
      <c r="E9" s="400">
        <f>SUM(E5:E8)</f>
        <v>9500</v>
      </c>
      <c r="F9" s="399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1195</v>
      </c>
      <c r="B11" s="91"/>
      <c r="D11" s="91"/>
      <c r="E11" s="91"/>
      <c r="F11" s="3"/>
      <c r="G11" s="94"/>
    </row>
    <row r="12" spans="1:7" outlineLevel="1" x14ac:dyDescent="0.15">
      <c r="A12" s="47" t="s">
        <v>1198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1192</v>
      </c>
      <c r="B13" s="280" t="s">
        <v>318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326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9500</v>
      </c>
      <c r="F17" s="27">
        <f>F15+F9</f>
        <v>4500</v>
      </c>
      <c r="G17" s="179">
        <f>F17/D17</f>
        <v>0.32142857142857145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1196</v>
      </c>
      <c r="B19" s="91"/>
      <c r="D19" s="91"/>
      <c r="E19" s="91"/>
      <c r="F19" s="3"/>
      <c r="G19" s="94"/>
    </row>
    <row r="20" spans="1:7" outlineLevel="1" x14ac:dyDescent="0.15">
      <c r="A20" s="47" t="s">
        <v>1191</v>
      </c>
      <c r="B20" s="397">
        <v>3000</v>
      </c>
      <c r="C20" s="312">
        <v>0</v>
      </c>
      <c r="D20" s="93">
        <f>B20*(1-C20)</f>
        <v>3000</v>
      </c>
      <c r="E20" s="397">
        <v>0</v>
      </c>
      <c r="F20" s="93">
        <f>D20-E20</f>
        <v>3000</v>
      </c>
      <c r="G20" s="4">
        <f>IFERROR(F20/D20, 0)</f>
        <v>1</v>
      </c>
    </row>
    <row r="21" spans="1:7" outlineLevel="1" x14ac:dyDescent="0.15">
      <c r="A21" s="47" t="s">
        <v>1189</v>
      </c>
      <c r="B21" s="397" t="s">
        <v>318</v>
      </c>
      <c r="C21" s="312"/>
      <c r="D21" s="93"/>
      <c r="E21" s="397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1190</v>
      </c>
      <c r="B22" s="397" t="s">
        <v>318</v>
      </c>
      <c r="C22" s="312"/>
      <c r="D22" s="93"/>
      <c r="E22" s="397">
        <v>200</v>
      </c>
      <c r="F22" s="93">
        <f>D22-E22</f>
        <v>-200</v>
      </c>
      <c r="G22" s="4"/>
    </row>
    <row r="23" spans="1:7" outlineLevel="1" x14ac:dyDescent="0.15">
      <c r="A23" s="47" t="s">
        <v>1211</v>
      </c>
      <c r="B23" s="312">
        <v>0.25</v>
      </c>
      <c r="C23" s="4"/>
      <c r="D23" s="93"/>
      <c r="E23" s="400"/>
      <c r="F23" s="93"/>
      <c r="G23" s="4"/>
    </row>
    <row r="24" spans="1:7" outlineLevel="1" x14ac:dyDescent="0.15">
      <c r="A24" s="14" t="str">
        <f>"Total " &amp; A19</f>
        <v>Total Domicilio Services</v>
      </c>
      <c r="B24" s="400">
        <f>SUM(B20:B22)</f>
        <v>3000</v>
      </c>
      <c r="C24" s="400"/>
      <c r="D24" s="400">
        <f>SUM(D20:D22)</f>
        <v>3000</v>
      </c>
      <c r="E24" s="400">
        <f>SUM(E20:E22)</f>
        <v>1200</v>
      </c>
      <c r="F24" s="399">
        <f>SUM(F20:F22)</f>
        <v>1800</v>
      </c>
      <c r="G24" s="4">
        <f>F24/D24</f>
        <v>0.6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401">
        <f>B24+B9</f>
        <v>17000</v>
      </c>
      <c r="C26" s="401"/>
      <c r="D26" s="401">
        <f>D24+D9</f>
        <v>17000</v>
      </c>
      <c r="E26" s="401">
        <f>E24+E9</f>
        <v>10700</v>
      </c>
      <c r="F26" s="401">
        <f>F24+F9</f>
        <v>6300</v>
      </c>
      <c r="G26" s="179">
        <f>F26/D26</f>
        <v>0.37058823529411766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371" t="s">
        <v>1199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1193</v>
      </c>
      <c r="B29" s="397">
        <v>22000</v>
      </c>
      <c r="C29" s="312">
        <v>0</v>
      </c>
      <c r="D29" s="399">
        <f>B29*(1-C29)</f>
        <v>22000</v>
      </c>
      <c r="E29" s="397">
        <v>10000</v>
      </c>
      <c r="F29" s="399">
        <f>D29-E29</f>
        <v>12000</v>
      </c>
      <c r="G29" s="4">
        <f>F29/D29</f>
        <v>0.54545454545454541</v>
      </c>
    </row>
    <row r="30" spans="1:7" s="14" customFormat="1" outlineLevel="1" x14ac:dyDescent="0.15">
      <c r="A30" s="47" t="s">
        <v>1265</v>
      </c>
      <c r="B30" s="397" t="s">
        <v>318</v>
      </c>
      <c r="C30" s="4"/>
      <c r="D30" s="399"/>
      <c r="E30" s="397">
        <v>0</v>
      </c>
      <c r="F30" s="399">
        <f>D30-E30</f>
        <v>0</v>
      </c>
      <c r="G30" s="4"/>
    </row>
    <row r="31" spans="1:7" s="14" customFormat="1" outlineLevel="1" x14ac:dyDescent="0.15">
      <c r="A31" s="17" t="s">
        <v>317</v>
      </c>
      <c r="B31" s="397" t="s">
        <v>318</v>
      </c>
      <c r="C31" s="4"/>
      <c r="D31" s="399"/>
      <c r="E31" s="397">
        <v>0</v>
      </c>
      <c r="F31" s="399">
        <f>D31-E31</f>
        <v>0</v>
      </c>
      <c r="G31" s="4"/>
    </row>
    <row r="32" spans="1:7" s="14" customFormat="1" outlineLevel="1" x14ac:dyDescent="0.15">
      <c r="A32" s="17" t="s">
        <v>315</v>
      </c>
      <c r="B32" s="397" t="s">
        <v>318</v>
      </c>
      <c r="C32" s="4"/>
      <c r="D32" s="399"/>
      <c r="E32" s="397">
        <v>0</v>
      </c>
      <c r="F32" s="399">
        <f>D32-E32</f>
        <v>0</v>
      </c>
      <c r="G32" s="4"/>
    </row>
    <row r="33" spans="1:7" s="14" customFormat="1" outlineLevel="1" x14ac:dyDescent="0.15">
      <c r="A33" s="47" t="s">
        <v>1210</v>
      </c>
      <c r="B33" s="398">
        <v>0.3</v>
      </c>
      <c r="C33" s="4"/>
      <c r="D33" s="399"/>
      <c r="E33" s="400"/>
      <c r="F33" s="399"/>
      <c r="G33" s="4"/>
    </row>
    <row r="34" spans="1:7" s="14" customFormat="1" outlineLevel="1" x14ac:dyDescent="0.15">
      <c r="A34" s="14" t="str">
        <f>"Total " &amp; A28</f>
        <v>Total Producto Fusión</v>
      </c>
      <c r="B34" s="400">
        <f>SUM(B29:B32)</f>
        <v>22000</v>
      </c>
      <c r="C34" s="400"/>
      <c r="D34" s="400">
        <f>SUM(D29:D32)</f>
        <v>22000</v>
      </c>
      <c r="E34" s="400">
        <f>SUM(E29:E32)</f>
        <v>10000</v>
      </c>
      <c r="F34" s="399">
        <f>SUM(F29:F32)</f>
        <v>12000</v>
      </c>
      <c r="G34" s="4">
        <f>F34/D34</f>
        <v>0.54545454545454541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1195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1198</v>
      </c>
      <c r="B37" s="280">
        <v>0</v>
      </c>
      <c r="C37" s="312">
        <v>0</v>
      </c>
      <c r="D37" s="93">
        <f>B37*(1-C37)</f>
        <v>0</v>
      </c>
      <c r="E37" s="280">
        <v>0</v>
      </c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1192</v>
      </c>
      <c r="B38" s="280" t="s">
        <v>318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326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401">
        <f>B40+B34</f>
        <v>22000</v>
      </c>
      <c r="C42" s="401"/>
      <c r="D42" s="401">
        <f>D40+D34</f>
        <v>22000</v>
      </c>
      <c r="E42" s="401">
        <f>E40+E34</f>
        <v>10000</v>
      </c>
      <c r="F42" s="401">
        <f>F40+F34</f>
        <v>12000</v>
      </c>
      <c r="G42" s="179">
        <f>F42/D42</f>
        <v>0.54545454545454541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1196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1191</v>
      </c>
      <c r="B45" s="397">
        <v>3000</v>
      </c>
      <c r="C45" s="312">
        <v>0</v>
      </c>
      <c r="D45" s="399">
        <f>B45*(1-C45)</f>
        <v>3000</v>
      </c>
      <c r="E45" s="397">
        <v>0</v>
      </c>
      <c r="F45" s="399">
        <f>D45-E45</f>
        <v>3000</v>
      </c>
      <c r="G45" s="4">
        <f>IFERROR(F45/D45, 0)</f>
        <v>1</v>
      </c>
    </row>
    <row r="46" spans="1:7" s="14" customFormat="1" outlineLevel="1" x14ac:dyDescent="0.15">
      <c r="A46" s="47" t="s">
        <v>1189</v>
      </c>
      <c r="B46" s="397" t="s">
        <v>318</v>
      </c>
      <c r="C46" s="312"/>
      <c r="D46" s="399"/>
      <c r="E46" s="397">
        <v>1000</v>
      </c>
      <c r="F46" s="399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1190</v>
      </c>
      <c r="B47" s="397" t="s">
        <v>318</v>
      </c>
      <c r="C47" s="312"/>
      <c r="D47" s="399"/>
      <c r="E47" s="397">
        <v>200</v>
      </c>
      <c r="F47" s="399">
        <f>D47-E47</f>
        <v>-200</v>
      </c>
      <c r="G47" s="4"/>
    </row>
    <row r="48" spans="1:7" s="14" customFormat="1" outlineLevel="1" x14ac:dyDescent="0.15">
      <c r="A48" s="47" t="s">
        <v>1211</v>
      </c>
      <c r="B48" s="398">
        <v>0.26</v>
      </c>
      <c r="C48" s="4"/>
      <c r="D48" s="399"/>
      <c r="E48" s="400"/>
      <c r="F48" s="399"/>
      <c r="G48" s="4"/>
    </row>
    <row r="49" spans="1:7" s="14" customFormat="1" outlineLevel="1" x14ac:dyDescent="0.15">
      <c r="A49" s="14" t="str">
        <f>"Total " &amp; A44</f>
        <v>Total Domicilio Services</v>
      </c>
      <c r="B49" s="400">
        <f>SUM(B45:B47)</f>
        <v>3000</v>
      </c>
      <c r="C49" s="92"/>
      <c r="D49" s="400">
        <f>SUM(D45:D47)</f>
        <v>3000</v>
      </c>
      <c r="E49" s="400">
        <f>SUM(E45:E47)</f>
        <v>1200</v>
      </c>
      <c r="F49" s="399">
        <f>SUM(F45:F47)</f>
        <v>1800</v>
      </c>
      <c r="G49" s="4">
        <f>F49/D49</f>
        <v>0.6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401">
        <f>B49+B34</f>
        <v>25000</v>
      </c>
      <c r="C51" s="401"/>
      <c r="D51" s="401">
        <f>D49+D34</f>
        <v>25000</v>
      </c>
      <c r="E51" s="401">
        <f>E49+E34</f>
        <v>11200</v>
      </c>
      <c r="F51" s="401">
        <f>F49+F34</f>
        <v>13800</v>
      </c>
      <c r="G51" s="179">
        <f>F51/D51</f>
        <v>0.55200000000000005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hidden="1" outlineLevel="1" x14ac:dyDescent="0.15">
      <c r="A54" s="14" t="s">
        <v>1194</v>
      </c>
    </row>
    <row r="55" spans="1:7" hidden="1" outlineLevel="2" x14ac:dyDescent="0.15">
      <c r="A55" s="47" t="s">
        <v>1193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hidden="1" outlineLevel="2" x14ac:dyDescent="0.15">
      <c r="A56" s="47" t="s">
        <v>1265</v>
      </c>
      <c r="B56" s="280" t="s">
        <v>318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317</v>
      </c>
      <c r="B57" s="280" t="s">
        <v>318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7" t="s">
        <v>315</v>
      </c>
      <c r="B58" s="280" t="s">
        <v>318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hidden="1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hidden="1" outlineLevel="2" x14ac:dyDescent="0.15"/>
    <row r="61" spans="1:7" hidden="1" outlineLevel="2" x14ac:dyDescent="0.15">
      <c r="A61" s="14" t="s">
        <v>1195</v>
      </c>
      <c r="B61" s="91"/>
      <c r="D61" s="91"/>
      <c r="E61" s="91"/>
      <c r="F61" s="3"/>
      <c r="G61" s="94"/>
    </row>
    <row r="62" spans="1:7" hidden="1" outlineLevel="2" x14ac:dyDescent="0.15">
      <c r="A62" s="47" t="s">
        <v>1198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hidden="1" outlineLevel="2" x14ac:dyDescent="0.15">
      <c r="A63" s="47" t="s">
        <v>1192</v>
      </c>
      <c r="B63" s="280" t="s">
        <v>318</v>
      </c>
      <c r="C63" s="93"/>
      <c r="D63" s="93"/>
      <c r="E63" s="280">
        <v>0</v>
      </c>
      <c r="F63" s="93">
        <f>D63-E63</f>
        <v>0</v>
      </c>
      <c r="G63" s="4"/>
    </row>
    <row r="64" spans="1:7" hidden="1" outlineLevel="2" x14ac:dyDescent="0.15">
      <c r="A64" s="47" t="s">
        <v>326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hidden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hidden="1" outlineLevel="2" x14ac:dyDescent="0.15">
      <c r="A66" s="47"/>
      <c r="B66" s="96"/>
      <c r="C66" s="4"/>
      <c r="D66" s="93"/>
      <c r="F66" s="93"/>
      <c r="G66" s="4"/>
    </row>
    <row r="67" spans="1:7" hidden="1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hidden="1" outlineLevel="2" x14ac:dyDescent="0.15">
      <c r="A68" s="47"/>
      <c r="B68" s="96"/>
      <c r="C68" s="4"/>
      <c r="D68" s="93"/>
      <c r="F68" s="93"/>
      <c r="G68" s="4"/>
    </row>
    <row r="69" spans="1:7" hidden="1" outlineLevel="2" x14ac:dyDescent="0.15">
      <c r="A69" s="14" t="s">
        <v>1196</v>
      </c>
      <c r="B69" s="91"/>
      <c r="D69" s="91"/>
      <c r="E69" s="91"/>
      <c r="F69" s="3"/>
      <c r="G69" s="94"/>
    </row>
    <row r="70" spans="1:7" hidden="1" outlineLevel="2" x14ac:dyDescent="0.15">
      <c r="A70" s="47" t="s">
        <v>1191</v>
      </c>
      <c r="B70" s="280">
        <f>$B20*(1.07)</f>
        <v>3210</v>
      </c>
      <c r="C70" s="312">
        <v>0</v>
      </c>
      <c r="D70" s="93">
        <f>B70*(1-C70)</f>
        <v>3210</v>
      </c>
      <c r="E70" s="280">
        <f>$E20*(1.07)</f>
        <v>0</v>
      </c>
      <c r="F70" s="93">
        <f>D70-E70</f>
        <v>3210</v>
      </c>
      <c r="G70" s="4">
        <f>IFERROR(F70/D70, 0)</f>
        <v>1</v>
      </c>
    </row>
    <row r="71" spans="1:7" hidden="1" outlineLevel="2" x14ac:dyDescent="0.15">
      <c r="A71" s="47" t="s">
        <v>1189</v>
      </c>
      <c r="B71" s="280" t="s">
        <v>318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hidden="1" outlineLevel="2" x14ac:dyDescent="0.15">
      <c r="A72" s="47" t="s">
        <v>1190</v>
      </c>
      <c r="B72" s="280" t="s">
        <v>318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hidden="1" outlineLevel="2" x14ac:dyDescent="0.15">
      <c r="A73" s="47" t="s">
        <v>1211</v>
      </c>
      <c r="B73" s="312">
        <v>0.27</v>
      </c>
      <c r="C73" s="4"/>
      <c r="D73" s="93"/>
      <c r="F73" s="93"/>
      <c r="G73" s="4"/>
    </row>
    <row r="74" spans="1:7" hidden="1" outlineLevel="2" x14ac:dyDescent="0.15">
      <c r="A74" s="14" t="str">
        <f>"Total " &amp; A69</f>
        <v>Total Domicilio Services</v>
      </c>
      <c r="B74" s="92">
        <f>SUM(B70:B72)</f>
        <v>3210</v>
      </c>
      <c r="C74" s="92"/>
      <c r="D74" s="92">
        <f>SUM(D70:D72)</f>
        <v>3210</v>
      </c>
      <c r="E74" s="92">
        <f>SUM(E70:E72)</f>
        <v>1284</v>
      </c>
      <c r="F74" s="93">
        <f>SUM(F70:F72)</f>
        <v>1926</v>
      </c>
      <c r="G74" s="4">
        <f>F74/D74</f>
        <v>0.6</v>
      </c>
    </row>
    <row r="75" spans="1:7" hidden="1" outlineLevel="2" x14ac:dyDescent="0.15">
      <c r="A75" s="47"/>
      <c r="B75" s="312"/>
      <c r="C75" s="4"/>
      <c r="D75" s="93"/>
      <c r="F75" s="93"/>
      <c r="G75" s="4"/>
    </row>
    <row r="76" spans="1:7" hidden="1" outlineLevel="2" x14ac:dyDescent="0.15">
      <c r="A76" s="14" t="str">
        <f>A54 &amp; " + " &amp; A69</f>
        <v>Producto Diario + Domicilio Services</v>
      </c>
      <c r="B76" s="27">
        <f>B74+B59</f>
        <v>18190</v>
      </c>
      <c r="C76" s="64"/>
      <c r="D76" s="27">
        <f>D74+D59</f>
        <v>18190</v>
      </c>
      <c r="E76" s="27">
        <f>E74+E59</f>
        <v>11449</v>
      </c>
      <c r="F76" s="27">
        <f>F74+F59</f>
        <v>6741</v>
      </c>
      <c r="G76" s="179">
        <f>F76/D76</f>
        <v>0.37058823529411766</v>
      </c>
    </row>
    <row r="77" spans="1:7" hidden="1" outlineLevel="2" x14ac:dyDescent="0.15">
      <c r="A77" s="14"/>
      <c r="B77" s="27"/>
      <c r="C77" s="64"/>
      <c r="D77" s="27"/>
      <c r="E77" s="27"/>
      <c r="F77" s="27"/>
      <c r="G77" s="179"/>
    </row>
    <row r="78" spans="1:7" hidden="1" outlineLevel="1" x14ac:dyDescent="0.15">
      <c r="A78" s="14" t="s">
        <v>1199</v>
      </c>
    </row>
    <row r="79" spans="1:7" hidden="1" outlineLevel="2" x14ac:dyDescent="0.15">
      <c r="A79" s="47" t="s">
        <v>1193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10700</v>
      </c>
      <c r="F79" s="93">
        <f>D79-E79</f>
        <v>12840</v>
      </c>
      <c r="G79" s="4">
        <f>F79/D79</f>
        <v>0.54545454545454541</v>
      </c>
    </row>
    <row r="80" spans="1:7" hidden="1" outlineLevel="2" x14ac:dyDescent="0.15">
      <c r="A80" s="47" t="s">
        <v>1192</v>
      </c>
      <c r="B80" s="280" t="s">
        <v>318</v>
      </c>
      <c r="C80" s="93"/>
      <c r="D80" s="93"/>
      <c r="E80" s="280">
        <f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317</v>
      </c>
      <c r="B81" s="280" t="s">
        <v>318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hidden="1" outlineLevel="2" x14ac:dyDescent="0.15">
      <c r="A82" s="17" t="s">
        <v>315</v>
      </c>
      <c r="B82" s="280" t="s">
        <v>318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hidden="1" outlineLevel="2" x14ac:dyDescent="0.15">
      <c r="A83" s="47" t="s">
        <v>1210</v>
      </c>
      <c r="B83" s="312">
        <v>0.31</v>
      </c>
      <c r="C83" s="4"/>
      <c r="D83" s="93"/>
      <c r="F83" s="93"/>
      <c r="G83" s="4"/>
    </row>
    <row r="84" spans="1:7" hidden="1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10700</v>
      </c>
      <c r="F84" s="93">
        <f>SUM(F79:F82)</f>
        <v>12840</v>
      </c>
      <c r="G84" s="4">
        <f>F84/D84</f>
        <v>0.54545454545454541</v>
      </c>
    </row>
    <row r="85" spans="1:7" hidden="1" outlineLevel="2" x14ac:dyDescent="0.15"/>
    <row r="86" spans="1:7" s="14" customFormat="1" hidden="1" outlineLevel="2" x14ac:dyDescent="0.15">
      <c r="A86" s="14" t="s">
        <v>1195</v>
      </c>
      <c r="B86" s="91"/>
      <c r="C86" s="6"/>
      <c r="D86" s="91"/>
      <c r="E86" s="91"/>
      <c r="F86" s="3"/>
      <c r="G86" s="94"/>
    </row>
    <row r="87" spans="1:7" hidden="1" outlineLevel="2" x14ac:dyDescent="0.15">
      <c r="A87" s="47" t="s">
        <v>1198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hidden="1" outlineLevel="2" x14ac:dyDescent="0.15">
      <c r="A88" s="47" t="s">
        <v>1192</v>
      </c>
      <c r="B88" s="280" t="s">
        <v>318</v>
      </c>
      <c r="C88" s="93"/>
      <c r="D88" s="93"/>
      <c r="E88" s="280">
        <v>0</v>
      </c>
      <c r="F88" s="93">
        <f>D88-E88</f>
        <v>0</v>
      </c>
      <c r="G88" s="4"/>
    </row>
    <row r="89" spans="1:7" hidden="1" outlineLevel="2" x14ac:dyDescent="0.15">
      <c r="A89" s="47" t="s">
        <v>326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hidden="1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hidden="1" outlineLevel="2" x14ac:dyDescent="0.15">
      <c r="A91" s="47"/>
      <c r="B91" s="96"/>
      <c r="C91" s="4"/>
      <c r="D91" s="93"/>
      <c r="F91" s="93"/>
      <c r="G91" s="4"/>
    </row>
    <row r="92" spans="1:7" hidden="1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10700</v>
      </c>
      <c r="F92" s="27">
        <f>F90+F84</f>
        <v>12840</v>
      </c>
      <c r="G92" s="179">
        <f>F92/D92</f>
        <v>0.54545454545454541</v>
      </c>
    </row>
    <row r="93" spans="1:7" s="14" customFormat="1" hidden="1" outlineLevel="2" x14ac:dyDescent="0.15">
      <c r="A93" s="47"/>
      <c r="B93" s="96"/>
      <c r="C93" s="4"/>
      <c r="D93" s="93"/>
      <c r="E93" s="6"/>
      <c r="F93" s="93"/>
      <c r="G93" s="4"/>
    </row>
    <row r="94" spans="1:7" hidden="1" outlineLevel="2" x14ac:dyDescent="0.15">
      <c r="A94" s="14" t="s">
        <v>1196</v>
      </c>
      <c r="B94" s="91"/>
      <c r="D94" s="91"/>
      <c r="E94" s="91"/>
      <c r="F94" s="3"/>
      <c r="G94" s="94"/>
    </row>
    <row r="95" spans="1:7" hidden="1" outlineLevel="2" x14ac:dyDescent="0.15">
      <c r="A95" s="47" t="s">
        <v>1191</v>
      </c>
      <c r="B95" s="280">
        <f>$B45*(1.07)</f>
        <v>3210</v>
      </c>
      <c r="C95" s="312">
        <v>0</v>
      </c>
      <c r="D95" s="93">
        <f>B95*(1-C95)</f>
        <v>3210</v>
      </c>
      <c r="E95" s="280">
        <f t="shared" ref="E95:E97" si="3">$E45*(1.07)</f>
        <v>0</v>
      </c>
      <c r="F95" s="93">
        <f>D95-E95</f>
        <v>3210</v>
      </c>
      <c r="G95" s="4">
        <f>IFERROR(F95/D95, 0)</f>
        <v>1</v>
      </c>
    </row>
    <row r="96" spans="1:7" hidden="1" outlineLevel="2" x14ac:dyDescent="0.15">
      <c r="A96" s="47" t="s">
        <v>1189</v>
      </c>
      <c r="B96" s="280" t="s">
        <v>318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hidden="1" outlineLevel="2" x14ac:dyDescent="0.15">
      <c r="A97" s="47" t="s">
        <v>1190</v>
      </c>
      <c r="B97" s="280" t="s">
        <v>318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hidden="1" outlineLevel="2" x14ac:dyDescent="0.15">
      <c r="A98" s="47" t="s">
        <v>1211</v>
      </c>
      <c r="B98" s="312">
        <v>0.25</v>
      </c>
      <c r="C98" s="4"/>
      <c r="D98" s="93"/>
      <c r="F98" s="93"/>
      <c r="G98" s="4"/>
    </row>
    <row r="99" spans="1:7" hidden="1" outlineLevel="2" x14ac:dyDescent="0.15">
      <c r="A99" s="14" t="str">
        <f>"Total " &amp; A94</f>
        <v>Total Domicilio Services</v>
      </c>
      <c r="B99" s="92">
        <f>SUM(B95:B97)</f>
        <v>3210</v>
      </c>
      <c r="C99" s="92"/>
      <c r="D99" s="92">
        <f>SUM(D95:D97)</f>
        <v>3210</v>
      </c>
      <c r="E99" s="92">
        <f>SUM(E95:E97)</f>
        <v>1284</v>
      </c>
      <c r="F99" s="93">
        <f>SUM(F95:F97)</f>
        <v>1926</v>
      </c>
      <c r="G99" s="4">
        <f>F99/D99</f>
        <v>0.6</v>
      </c>
    </row>
    <row r="100" spans="1:7" hidden="1" outlineLevel="2" x14ac:dyDescent="0.15">
      <c r="A100" s="47"/>
      <c r="B100" s="312"/>
      <c r="C100" s="4"/>
      <c r="D100" s="93"/>
      <c r="F100" s="93"/>
      <c r="G100" s="4"/>
    </row>
    <row r="101" spans="1:7" hidden="1" outlineLevel="2" x14ac:dyDescent="0.15">
      <c r="A101" s="14" t="str">
        <f>A78 &amp; " + " &amp; A94</f>
        <v>Producto Fusión + Domicilio Services</v>
      </c>
      <c r="B101" s="27">
        <f>B99+B84</f>
        <v>26750</v>
      </c>
      <c r="C101" s="64"/>
      <c r="D101" s="27">
        <f>D99+D84</f>
        <v>26750</v>
      </c>
      <c r="E101" s="27">
        <f>E99+E84</f>
        <v>11984</v>
      </c>
      <c r="F101" s="27">
        <f>F99+F84</f>
        <v>14766</v>
      </c>
      <c r="G101" s="179">
        <f>F101/D101</f>
        <v>0.55200000000000005</v>
      </c>
    </row>
    <row r="102" spans="1:7" hidden="1" outlineLevel="1" x14ac:dyDescent="0.15">
      <c r="A102" s="14"/>
      <c r="B102" s="27"/>
      <c r="C102" s="64"/>
      <c r="D102" s="27"/>
      <c r="E102" s="27"/>
      <c r="F102" s="27"/>
      <c r="G102" s="179"/>
    </row>
    <row r="103" spans="1:7" collapsed="1" x14ac:dyDescent="0.15">
      <c r="A103" s="10" t="s">
        <v>37</v>
      </c>
    </row>
    <row r="104" spans="1:7" hidden="1" outlineLevel="1" x14ac:dyDescent="0.15">
      <c r="A104" s="14" t="s">
        <v>1194</v>
      </c>
    </row>
    <row r="105" spans="1:7" hidden="1" outlineLevel="2" x14ac:dyDescent="0.15">
      <c r="A105" s="47" t="s">
        <v>1193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hidden="1" outlineLevel="2" x14ac:dyDescent="0.15">
      <c r="A106" s="47" t="s">
        <v>1192</v>
      </c>
      <c r="B106" s="280" t="s">
        <v>318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hidden="1" outlineLevel="2" x14ac:dyDescent="0.15">
      <c r="A107" s="17" t="s">
        <v>317</v>
      </c>
      <c r="B107" s="280" t="s">
        <v>318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hidden="1" outlineLevel="2" x14ac:dyDescent="0.15">
      <c r="A108" s="17" t="s">
        <v>315</v>
      </c>
      <c r="B108" s="280" t="s">
        <v>318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hidden="1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hidden="1" outlineLevel="2" x14ac:dyDescent="0.15"/>
    <row r="111" spans="1:7" hidden="1" outlineLevel="2" x14ac:dyDescent="0.15">
      <c r="A111" s="14" t="s">
        <v>1195</v>
      </c>
      <c r="B111" s="91"/>
      <c r="D111" s="91"/>
      <c r="E111" s="91"/>
      <c r="F111" s="3"/>
      <c r="G111" s="94"/>
    </row>
    <row r="112" spans="1:7" hidden="1" outlineLevel="2" x14ac:dyDescent="0.15">
      <c r="A112" s="47" t="s">
        <v>1198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hidden="1" outlineLevel="2" x14ac:dyDescent="0.15">
      <c r="A113" s="47" t="s">
        <v>1192</v>
      </c>
      <c r="B113" s="280" t="s">
        <v>318</v>
      </c>
      <c r="C113" s="93"/>
      <c r="D113" s="93"/>
      <c r="E113" s="280">
        <v>0</v>
      </c>
      <c r="F113" s="93">
        <f>D113-E113</f>
        <v>0</v>
      </c>
      <c r="G113" s="4"/>
    </row>
    <row r="114" spans="1:7" hidden="1" outlineLevel="2" x14ac:dyDescent="0.15">
      <c r="A114" s="47" t="s">
        <v>326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hidden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hidden="1" outlineLevel="2" x14ac:dyDescent="0.15">
      <c r="A116" s="47"/>
      <c r="B116" s="96"/>
      <c r="C116" s="4"/>
      <c r="D116" s="93"/>
      <c r="F116" s="93"/>
      <c r="G116" s="4"/>
    </row>
    <row r="117" spans="1:7" hidden="1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hidden="1" outlineLevel="2" x14ac:dyDescent="0.15">
      <c r="A118" s="47"/>
      <c r="B118" s="96"/>
      <c r="C118" s="4"/>
      <c r="D118" s="93"/>
      <c r="F118" s="93"/>
      <c r="G118" s="4"/>
    </row>
    <row r="119" spans="1:7" hidden="1" outlineLevel="2" x14ac:dyDescent="0.15">
      <c r="A119" s="14" t="s">
        <v>1196</v>
      </c>
      <c r="B119" s="91"/>
      <c r="D119" s="91"/>
      <c r="E119" s="91"/>
      <c r="F119" s="3"/>
      <c r="G119" s="94"/>
    </row>
    <row r="120" spans="1:7" hidden="1" outlineLevel="2" x14ac:dyDescent="0.15">
      <c r="A120" s="47" t="s">
        <v>1191</v>
      </c>
      <c r="B120" s="280">
        <f>$B70*(1.07)</f>
        <v>3434.7000000000003</v>
      </c>
      <c r="C120" s="312">
        <v>0</v>
      </c>
      <c r="D120" s="93">
        <f>B120*(1-C120)</f>
        <v>3434.7000000000003</v>
      </c>
      <c r="E120" s="280">
        <f t="shared" ref="E120:E122" si="5">$E70*(1.07)</f>
        <v>0</v>
      </c>
      <c r="F120" s="93">
        <f>D120-E120</f>
        <v>3434.7000000000003</v>
      </c>
      <c r="G120" s="4">
        <f>IFERROR(F120/D120, 0)</f>
        <v>1</v>
      </c>
    </row>
    <row r="121" spans="1:7" hidden="1" outlineLevel="2" x14ac:dyDescent="0.15">
      <c r="A121" s="47" t="s">
        <v>1189</v>
      </c>
      <c r="B121" s="280" t="s">
        <v>318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hidden="1" outlineLevel="2" x14ac:dyDescent="0.15">
      <c r="A122" s="47" t="s">
        <v>1190</v>
      </c>
      <c r="B122" s="280" t="s">
        <v>318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hidden="1" outlineLevel="2" x14ac:dyDescent="0.15">
      <c r="A123" s="47" t="s">
        <v>1211</v>
      </c>
      <c r="B123" s="312">
        <v>0.31</v>
      </c>
      <c r="C123" s="4"/>
      <c r="D123" s="93"/>
      <c r="F123" s="93"/>
      <c r="G123" s="4"/>
    </row>
    <row r="124" spans="1:7" hidden="1" outlineLevel="2" x14ac:dyDescent="0.15">
      <c r="A124" s="14" t="str">
        <f>"Total " &amp; A119</f>
        <v>Total Domicilio Services</v>
      </c>
      <c r="B124" s="92">
        <f>SUM(B120:B122)</f>
        <v>3434.7000000000003</v>
      </c>
      <c r="C124" s="92"/>
      <c r="D124" s="92">
        <f>SUM(D120:D122)</f>
        <v>3434.7000000000003</v>
      </c>
      <c r="E124" s="92">
        <f>SUM(E120:E122)</f>
        <v>1373.88</v>
      </c>
      <c r="F124" s="93">
        <f>SUM(F120:F122)</f>
        <v>2060.8200000000002</v>
      </c>
      <c r="G124" s="4">
        <f>F124/D124</f>
        <v>0.6</v>
      </c>
    </row>
    <row r="125" spans="1:7" hidden="1" outlineLevel="2" x14ac:dyDescent="0.15">
      <c r="A125" s="47"/>
      <c r="B125" s="312"/>
      <c r="C125" s="4"/>
      <c r="D125" s="93"/>
      <c r="F125" s="93"/>
      <c r="G125" s="4"/>
    </row>
    <row r="126" spans="1:7" hidden="1" outlineLevel="2" x14ac:dyDescent="0.15">
      <c r="A126" s="14" t="str">
        <f>A104 &amp; " + " &amp; A119</f>
        <v>Producto Diario + Domicilio Services</v>
      </c>
      <c r="B126" s="27">
        <f>B124+B109</f>
        <v>19463.3</v>
      </c>
      <c r="C126" s="64"/>
      <c r="D126" s="27">
        <f>D124+D109</f>
        <v>19463.3</v>
      </c>
      <c r="E126" s="27">
        <f>E124+E109</f>
        <v>12250.43</v>
      </c>
      <c r="F126" s="27">
        <f>F124+F109</f>
        <v>7212.869999999999</v>
      </c>
      <c r="G126" s="179">
        <f>F126/D126</f>
        <v>0.37058823529411761</v>
      </c>
    </row>
    <row r="127" spans="1:7" hidden="1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hidden="1" outlineLevel="1" x14ac:dyDescent="0.15">
      <c r="A128" s="14" t="s">
        <v>1199</v>
      </c>
    </row>
    <row r="129" spans="1:7" hidden="1" outlineLevel="2" x14ac:dyDescent="0.15">
      <c r="A129" s="47" t="s">
        <v>1193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11449</v>
      </c>
      <c r="F129" s="93">
        <f>D129-E129</f>
        <v>13738.800000000003</v>
      </c>
      <c r="G129" s="4">
        <f>F129/D129</f>
        <v>0.54545454545454553</v>
      </c>
    </row>
    <row r="130" spans="1:7" hidden="1" outlineLevel="2" x14ac:dyDescent="0.15">
      <c r="A130" s="47" t="s">
        <v>1192</v>
      </c>
      <c r="B130" s="280" t="s">
        <v>318</v>
      </c>
      <c r="C130" s="93"/>
      <c r="D130" s="93"/>
      <c r="E130" s="280">
        <f>$E80*(1.07)</f>
        <v>0</v>
      </c>
      <c r="F130" s="93">
        <f>D130-E130</f>
        <v>0</v>
      </c>
      <c r="G130" s="4"/>
    </row>
    <row r="131" spans="1:7" hidden="1" outlineLevel="2" x14ac:dyDescent="0.15">
      <c r="A131" s="17" t="s">
        <v>317</v>
      </c>
      <c r="B131" s="280" t="s">
        <v>318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hidden="1" outlineLevel="2" x14ac:dyDescent="0.15">
      <c r="A132" s="17" t="s">
        <v>315</v>
      </c>
      <c r="B132" s="280" t="s">
        <v>318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hidden="1" outlineLevel="2" x14ac:dyDescent="0.15">
      <c r="A133" s="47" t="s">
        <v>1210</v>
      </c>
      <c r="B133" s="312">
        <v>0.5</v>
      </c>
      <c r="C133" s="4"/>
      <c r="D133" s="93"/>
      <c r="F133" s="93"/>
      <c r="G133" s="4"/>
    </row>
    <row r="134" spans="1:7" hidden="1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11449</v>
      </c>
      <c r="F134" s="93">
        <f>SUM(F129:F132)</f>
        <v>13738.800000000003</v>
      </c>
      <c r="G134" s="4">
        <f>F134/D134</f>
        <v>0.54545454545454553</v>
      </c>
    </row>
    <row r="135" spans="1:7" hidden="1" outlineLevel="2" x14ac:dyDescent="0.15"/>
    <row r="136" spans="1:7" hidden="1" outlineLevel="2" x14ac:dyDescent="0.15">
      <c r="A136" s="14" t="s">
        <v>1195</v>
      </c>
      <c r="B136" s="91"/>
      <c r="D136" s="91"/>
      <c r="E136" s="91"/>
      <c r="F136" s="3"/>
      <c r="G136" s="94"/>
    </row>
    <row r="137" spans="1:7" hidden="1" outlineLevel="2" x14ac:dyDescent="0.15">
      <c r="A137" s="47" t="s">
        <v>1198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hidden="1" outlineLevel="2" x14ac:dyDescent="0.15">
      <c r="A138" s="47" t="s">
        <v>1192</v>
      </c>
      <c r="B138" s="280" t="s">
        <v>318</v>
      </c>
      <c r="C138" s="93"/>
      <c r="D138" s="93"/>
      <c r="E138" s="280">
        <v>0</v>
      </c>
      <c r="F138" s="93">
        <f>D138-E138</f>
        <v>0</v>
      </c>
      <c r="G138" s="4"/>
    </row>
    <row r="139" spans="1:7" hidden="1" outlineLevel="2" x14ac:dyDescent="0.15">
      <c r="A139" s="47" t="s">
        <v>326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hidden="1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hidden="1" outlineLevel="2" x14ac:dyDescent="0.15">
      <c r="A141" s="47"/>
      <c r="B141" s="96"/>
      <c r="C141" s="4"/>
      <c r="D141" s="93"/>
      <c r="F141" s="93"/>
      <c r="G141" s="4"/>
    </row>
    <row r="142" spans="1:7" hidden="1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11449</v>
      </c>
      <c r="F142" s="27">
        <f>F140+F134</f>
        <v>13738.800000000003</v>
      </c>
      <c r="G142" s="179">
        <f>F142/D142</f>
        <v>0.54545454545454553</v>
      </c>
    </row>
    <row r="143" spans="1:7" hidden="1" outlineLevel="2" x14ac:dyDescent="0.15">
      <c r="A143" s="47"/>
      <c r="B143" s="96"/>
      <c r="C143" s="4"/>
      <c r="D143" s="93"/>
      <c r="F143" s="93"/>
      <c r="G143" s="4"/>
    </row>
    <row r="144" spans="1:7" hidden="1" outlineLevel="2" x14ac:dyDescent="0.15">
      <c r="A144" s="14" t="s">
        <v>1196</v>
      </c>
      <c r="B144" s="91"/>
      <c r="D144" s="91"/>
      <c r="E144" s="91"/>
      <c r="F144" s="3"/>
      <c r="G144" s="94"/>
    </row>
    <row r="145" spans="1:7" hidden="1" outlineLevel="2" x14ac:dyDescent="0.15">
      <c r="A145" s="47" t="s">
        <v>1191</v>
      </c>
      <c r="B145" s="280">
        <f>$B95*(1.07)</f>
        <v>3434.7000000000003</v>
      </c>
      <c r="C145" s="312">
        <v>0</v>
      </c>
      <c r="D145" s="93">
        <f>B145*(1-C145)</f>
        <v>3434.7000000000003</v>
      </c>
      <c r="E145" s="280">
        <f t="shared" ref="E145:E147" si="7">$E95*(1.07)</f>
        <v>0</v>
      </c>
      <c r="F145" s="93">
        <f>D145-E145</f>
        <v>3434.7000000000003</v>
      </c>
      <c r="G145" s="4">
        <f>IFERROR(F145/D145, 0)</f>
        <v>1</v>
      </c>
    </row>
    <row r="146" spans="1:7" hidden="1" outlineLevel="2" x14ac:dyDescent="0.15">
      <c r="A146" s="47" t="s">
        <v>1189</v>
      </c>
      <c r="B146" s="280" t="s">
        <v>318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hidden="1" outlineLevel="2" x14ac:dyDescent="0.15">
      <c r="A147" s="47" t="s">
        <v>1190</v>
      </c>
      <c r="B147" s="280" t="s">
        <v>318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hidden="1" outlineLevel="2" x14ac:dyDescent="0.15">
      <c r="A148" s="47" t="s">
        <v>329</v>
      </c>
      <c r="B148" s="312">
        <v>0.3</v>
      </c>
      <c r="C148" s="4"/>
      <c r="D148" s="93"/>
      <c r="F148" s="93"/>
      <c r="G148" s="4"/>
    </row>
    <row r="149" spans="1:7" hidden="1" outlineLevel="2" x14ac:dyDescent="0.15">
      <c r="A149" s="14" t="str">
        <f>"Total " &amp; A144</f>
        <v>Total Domicilio Services</v>
      </c>
      <c r="B149" s="92">
        <f>SUM(B145:B147)</f>
        <v>3434.7000000000003</v>
      </c>
      <c r="C149" s="92"/>
      <c r="D149" s="92">
        <f>SUM(D145:D147)</f>
        <v>3434.7000000000003</v>
      </c>
      <c r="E149" s="92">
        <f>SUM(E145:E147)</f>
        <v>1373.88</v>
      </c>
      <c r="F149" s="93">
        <f>SUM(F145:F147)</f>
        <v>2060.8200000000002</v>
      </c>
      <c r="G149" s="4">
        <f>F149/D149</f>
        <v>0.6</v>
      </c>
    </row>
    <row r="150" spans="1:7" hidden="1" outlineLevel="2" x14ac:dyDescent="0.15">
      <c r="A150" s="47"/>
      <c r="B150" s="312"/>
      <c r="C150" s="4"/>
      <c r="D150" s="93"/>
      <c r="F150" s="93"/>
      <c r="G150" s="4"/>
    </row>
    <row r="151" spans="1:7" hidden="1" outlineLevel="2" x14ac:dyDescent="0.15">
      <c r="A151" s="14" t="str">
        <f>A128 &amp; " + " &amp; A144</f>
        <v>Producto Fusión + Domicilio Services</v>
      </c>
      <c r="B151" s="27">
        <f>B149+B134</f>
        <v>28622.500000000004</v>
      </c>
      <c r="C151" s="64"/>
      <c r="D151" s="27">
        <f>D149+D134</f>
        <v>28622.500000000004</v>
      </c>
      <c r="E151" s="27">
        <f>E149+E134</f>
        <v>12822.880000000001</v>
      </c>
      <c r="F151" s="27">
        <f>F149+F134</f>
        <v>15799.620000000003</v>
      </c>
      <c r="G151" s="179">
        <f>F151/D151</f>
        <v>0.55200000000000005</v>
      </c>
    </row>
    <row r="152" spans="1:7" hidden="1" outlineLevel="1" x14ac:dyDescent="0.15"/>
    <row r="153" spans="1:7" collapsed="1" x14ac:dyDescent="0.15">
      <c r="A153" s="10" t="s">
        <v>38</v>
      </c>
    </row>
    <row r="154" spans="1:7" hidden="1" outlineLevel="1" x14ac:dyDescent="0.15">
      <c r="A154" s="14" t="s">
        <v>1194</v>
      </c>
    </row>
    <row r="155" spans="1:7" hidden="1" outlineLevel="1" x14ac:dyDescent="0.15">
      <c r="A155" s="47" t="s">
        <v>1193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hidden="1" outlineLevel="1" x14ac:dyDescent="0.15">
      <c r="A156" s="47" t="s">
        <v>1192</v>
      </c>
      <c r="B156" s="280" t="s">
        <v>318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hidden="1" outlineLevel="1" x14ac:dyDescent="0.15">
      <c r="A157" s="17" t="s">
        <v>317</v>
      </c>
      <c r="B157" s="280" t="s">
        <v>318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hidden="1" outlineLevel="1" x14ac:dyDescent="0.15">
      <c r="A158" s="17" t="s">
        <v>315</v>
      </c>
      <c r="B158" s="280" t="s">
        <v>318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hidden="1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hidden="1" outlineLevel="1" x14ac:dyDescent="0.15"/>
    <row r="161" spans="1:7" hidden="1" outlineLevel="1" x14ac:dyDescent="0.15">
      <c r="A161" s="14" t="s">
        <v>1195</v>
      </c>
      <c r="B161" s="91"/>
      <c r="D161" s="91"/>
      <c r="E161" s="91"/>
      <c r="F161" s="3"/>
      <c r="G161" s="94"/>
    </row>
    <row r="162" spans="1:7" hidden="1" outlineLevel="1" x14ac:dyDescent="0.15">
      <c r="A162" s="47" t="s">
        <v>1198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hidden="1" outlineLevel="1" x14ac:dyDescent="0.15">
      <c r="A163" s="47" t="s">
        <v>1192</v>
      </c>
      <c r="B163" s="280" t="s">
        <v>318</v>
      </c>
      <c r="C163" s="93"/>
      <c r="D163" s="93"/>
      <c r="E163" s="280">
        <v>0</v>
      </c>
      <c r="F163" s="93">
        <f>D163-E163</f>
        <v>0</v>
      </c>
      <c r="G163" s="4"/>
    </row>
    <row r="164" spans="1:7" hidden="1" outlineLevel="1" x14ac:dyDescent="0.15">
      <c r="A164" s="47" t="s">
        <v>326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hidden="1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hidden="1" outlineLevel="1" x14ac:dyDescent="0.15">
      <c r="A166" s="47"/>
      <c r="B166" s="96"/>
      <c r="C166" s="4"/>
      <c r="D166" s="93"/>
      <c r="F166" s="93"/>
      <c r="G166" s="4"/>
    </row>
    <row r="167" spans="1:7" hidden="1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hidden="1" outlineLevel="1" x14ac:dyDescent="0.15">
      <c r="A168" s="47"/>
      <c r="B168" s="96"/>
      <c r="C168" s="4"/>
      <c r="D168" s="93"/>
      <c r="F168" s="93"/>
      <c r="G168" s="4"/>
    </row>
    <row r="169" spans="1:7" hidden="1" outlineLevel="1" x14ac:dyDescent="0.15">
      <c r="A169" s="14" t="s">
        <v>1196</v>
      </c>
      <c r="B169" s="91"/>
      <c r="D169" s="91"/>
      <c r="E169" s="91"/>
      <c r="F169" s="3"/>
      <c r="G169" s="94"/>
    </row>
    <row r="170" spans="1:7" hidden="1" outlineLevel="1" x14ac:dyDescent="0.15">
      <c r="A170" s="47" t="s">
        <v>1191</v>
      </c>
      <c r="B170" s="280">
        <f>$B120*(1.07)</f>
        <v>3675.1290000000004</v>
      </c>
      <c r="C170" s="312">
        <v>0</v>
      </c>
      <c r="D170" s="93">
        <f>B170*(1-C170)</f>
        <v>3675.1290000000004</v>
      </c>
      <c r="E170" s="280">
        <f t="shared" ref="E170:E172" si="9">$E120*(1.07)</f>
        <v>0</v>
      </c>
      <c r="F170" s="93">
        <f>D170-E170</f>
        <v>3675.1290000000004</v>
      </c>
      <c r="G170" s="4">
        <f>IFERROR(F170/D170, 0)</f>
        <v>1</v>
      </c>
    </row>
    <row r="171" spans="1:7" hidden="1" outlineLevel="1" x14ac:dyDescent="0.15">
      <c r="A171" s="47" t="s">
        <v>1189</v>
      </c>
      <c r="B171" s="280" t="s">
        <v>318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hidden="1" outlineLevel="1" x14ac:dyDescent="0.15">
      <c r="A172" s="47" t="s">
        <v>1190</v>
      </c>
      <c r="B172" s="280" t="s">
        <v>318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hidden="1" outlineLevel="1" x14ac:dyDescent="0.15">
      <c r="A173" s="47" t="s">
        <v>329</v>
      </c>
      <c r="B173" s="312">
        <v>0.3</v>
      </c>
      <c r="C173" s="4"/>
      <c r="D173" s="93"/>
      <c r="F173" s="93"/>
      <c r="G173" s="4"/>
    </row>
    <row r="174" spans="1:7" hidden="1" outlineLevel="1" x14ac:dyDescent="0.15">
      <c r="A174" s="14" t="str">
        <f>"Total " &amp; A169</f>
        <v>Total Domicilio Services</v>
      </c>
      <c r="B174" s="92">
        <f>SUM(B170:B172)</f>
        <v>3675.1290000000004</v>
      </c>
      <c r="C174" s="92"/>
      <c r="D174" s="92">
        <f>SUM(D170:D172)</f>
        <v>3675.1290000000004</v>
      </c>
      <c r="E174" s="92">
        <f>SUM(E170:E172)</f>
        <v>1470.0516000000002</v>
      </c>
      <c r="F174" s="93">
        <f>SUM(F170:F172)</f>
        <v>2205.0774000000001</v>
      </c>
      <c r="G174" s="4">
        <f>F174/D174</f>
        <v>0.6</v>
      </c>
    </row>
    <row r="175" spans="1:7" hidden="1" outlineLevel="1" x14ac:dyDescent="0.15">
      <c r="A175" s="47"/>
      <c r="B175" s="312"/>
      <c r="C175" s="4"/>
      <c r="D175" s="93"/>
      <c r="F175" s="93"/>
      <c r="G175" s="4"/>
    </row>
    <row r="176" spans="1:7" hidden="1" outlineLevel="1" x14ac:dyDescent="0.15">
      <c r="A176" s="14" t="str">
        <f>A154 &amp; " + " &amp; A169</f>
        <v>Producto Diario + Domicilio Services</v>
      </c>
      <c r="B176" s="27">
        <f>B174+B159</f>
        <v>20825.731000000003</v>
      </c>
      <c r="C176" s="64"/>
      <c r="D176" s="27">
        <f>D174+D159</f>
        <v>20825.731000000003</v>
      </c>
      <c r="E176" s="27">
        <f>E174+E159</f>
        <v>13107.960100000002</v>
      </c>
      <c r="F176" s="27">
        <f>F174+F159</f>
        <v>7717.7709000000013</v>
      </c>
      <c r="G176" s="179">
        <f>F176/D176</f>
        <v>0.37058823529411766</v>
      </c>
    </row>
    <row r="177" spans="1:7" hidden="1" outlineLevel="1" x14ac:dyDescent="0.15">
      <c r="A177" s="14"/>
      <c r="B177" s="27"/>
      <c r="C177" s="64"/>
      <c r="D177" s="27"/>
      <c r="E177" s="27"/>
      <c r="F177" s="27"/>
      <c r="G177" s="179"/>
    </row>
    <row r="178" spans="1:7" hidden="1" outlineLevel="1" x14ac:dyDescent="0.15">
      <c r="A178" s="371" t="s">
        <v>1199</v>
      </c>
    </row>
    <row r="179" spans="1:7" hidden="1" outlineLevel="1" x14ac:dyDescent="0.15">
      <c r="A179" s="47" t="s">
        <v>1193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12250.43</v>
      </c>
      <c r="F179" s="93">
        <f>D179-E179</f>
        <v>14700.516000000003</v>
      </c>
      <c r="G179" s="4">
        <f>F179/D179</f>
        <v>0.54545454545454553</v>
      </c>
    </row>
    <row r="180" spans="1:7" hidden="1" outlineLevel="1" x14ac:dyDescent="0.15">
      <c r="A180" s="47" t="s">
        <v>1192</v>
      </c>
      <c r="B180" s="280" t="s">
        <v>318</v>
      </c>
      <c r="C180" s="93"/>
      <c r="D180" s="93"/>
      <c r="E180" s="280">
        <f>$E130*(1.07)</f>
        <v>0</v>
      </c>
      <c r="F180" s="93">
        <f>D180-E180</f>
        <v>0</v>
      </c>
      <c r="G180" s="4"/>
    </row>
    <row r="181" spans="1:7" hidden="1" outlineLevel="1" x14ac:dyDescent="0.15">
      <c r="A181" s="17" t="s">
        <v>317</v>
      </c>
      <c r="B181" s="280" t="s">
        <v>318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hidden="1" outlineLevel="1" x14ac:dyDescent="0.15">
      <c r="A182" s="17" t="s">
        <v>315</v>
      </c>
      <c r="B182" s="280" t="s">
        <v>318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hidden="1" outlineLevel="1" x14ac:dyDescent="0.15">
      <c r="A183" s="47" t="s">
        <v>1210</v>
      </c>
      <c r="B183" s="312">
        <v>0.5</v>
      </c>
      <c r="C183" s="4"/>
      <c r="D183" s="93"/>
      <c r="F183" s="93"/>
      <c r="G183" s="4"/>
    </row>
    <row r="184" spans="1:7" hidden="1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12250.43</v>
      </c>
      <c r="F184" s="93">
        <f>SUM(F179:F182)</f>
        <v>14700.516000000003</v>
      </c>
      <c r="G184" s="4">
        <f>F184/D184</f>
        <v>0.54545454545454553</v>
      </c>
    </row>
    <row r="185" spans="1:7" hidden="1" outlineLevel="1" x14ac:dyDescent="0.15"/>
    <row r="186" spans="1:7" hidden="1" outlineLevel="1" x14ac:dyDescent="0.15">
      <c r="A186" s="14" t="s">
        <v>1195</v>
      </c>
      <c r="B186" s="91"/>
      <c r="D186" s="91"/>
      <c r="E186" s="91"/>
      <c r="F186" s="3"/>
      <c r="G186" s="94"/>
    </row>
    <row r="187" spans="1:7" hidden="1" outlineLevel="1" x14ac:dyDescent="0.15">
      <c r="A187" s="47" t="s">
        <v>1198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hidden="1" outlineLevel="1" x14ac:dyDescent="0.15">
      <c r="A188" s="47" t="s">
        <v>1192</v>
      </c>
      <c r="B188" s="280" t="s">
        <v>318</v>
      </c>
      <c r="C188" s="93"/>
      <c r="D188" s="93"/>
      <c r="E188" s="280">
        <v>0</v>
      </c>
      <c r="F188" s="93">
        <f>D188-E188</f>
        <v>0</v>
      </c>
      <c r="G188" s="4"/>
    </row>
    <row r="189" spans="1:7" hidden="1" outlineLevel="1" x14ac:dyDescent="0.15">
      <c r="A189" s="47" t="s">
        <v>326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hidden="1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hidden="1" outlineLevel="1" x14ac:dyDescent="0.15">
      <c r="A191" s="47"/>
      <c r="B191" s="96"/>
      <c r="C191" s="4"/>
      <c r="D191" s="93"/>
      <c r="F191" s="93"/>
      <c r="G191" s="4"/>
    </row>
    <row r="192" spans="1:7" hidden="1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12250.43</v>
      </c>
      <c r="F192" s="27">
        <f>F190+F184</f>
        <v>14700.516000000003</v>
      </c>
      <c r="G192" s="179">
        <f>F192/D192</f>
        <v>0.54545454545454553</v>
      </c>
    </row>
    <row r="193" spans="1:7" hidden="1" outlineLevel="1" x14ac:dyDescent="0.15">
      <c r="A193" s="47"/>
      <c r="B193" s="96"/>
      <c r="C193" s="4"/>
      <c r="D193" s="93"/>
      <c r="F193" s="93"/>
      <c r="G193" s="4"/>
    </row>
    <row r="194" spans="1:7" hidden="1" outlineLevel="1" x14ac:dyDescent="0.15">
      <c r="A194" s="14" t="s">
        <v>1196</v>
      </c>
      <c r="B194" s="91"/>
      <c r="D194" s="91"/>
      <c r="E194" s="91"/>
      <c r="F194" s="3"/>
      <c r="G194" s="94"/>
    </row>
    <row r="195" spans="1:7" hidden="1" outlineLevel="1" x14ac:dyDescent="0.15">
      <c r="A195" s="47" t="s">
        <v>1191</v>
      </c>
      <c r="B195" s="280">
        <f>$B145*(1.07)</f>
        <v>3675.1290000000004</v>
      </c>
      <c r="C195" s="312">
        <v>0</v>
      </c>
      <c r="D195" s="93">
        <f>B195*(1-C195)</f>
        <v>3675.1290000000004</v>
      </c>
      <c r="E195" s="280">
        <f t="shared" ref="E195:E197" si="11">$E145*(1.07)</f>
        <v>0</v>
      </c>
      <c r="F195" s="93">
        <f>D195-E195</f>
        <v>3675.1290000000004</v>
      </c>
      <c r="G195" s="4">
        <f>IFERROR(F195/D195, 0)</f>
        <v>1</v>
      </c>
    </row>
    <row r="196" spans="1:7" hidden="1" outlineLevel="1" x14ac:dyDescent="0.15">
      <c r="A196" s="47" t="s">
        <v>1189</v>
      </c>
      <c r="B196" s="280" t="s">
        <v>318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hidden="1" outlineLevel="1" x14ac:dyDescent="0.15">
      <c r="A197" s="47" t="s">
        <v>1190</v>
      </c>
      <c r="B197" s="280" t="s">
        <v>318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hidden="1" outlineLevel="1" x14ac:dyDescent="0.15">
      <c r="A198" s="47" t="s">
        <v>329</v>
      </c>
      <c r="B198" s="312">
        <v>0.3</v>
      </c>
      <c r="C198" s="4"/>
      <c r="D198" s="93"/>
      <c r="F198" s="93"/>
      <c r="G198" s="4"/>
    </row>
    <row r="199" spans="1:7" hidden="1" outlineLevel="1" x14ac:dyDescent="0.15">
      <c r="A199" s="14" t="str">
        <f>"Total " &amp; A194</f>
        <v>Total Domicilio Services</v>
      </c>
      <c r="B199" s="92">
        <f>SUM(B195:B197)</f>
        <v>3675.1290000000004</v>
      </c>
      <c r="C199" s="92"/>
      <c r="D199" s="92">
        <f>SUM(D195:D197)</f>
        <v>3675.1290000000004</v>
      </c>
      <c r="E199" s="92">
        <f>SUM(E195:E197)</f>
        <v>1470.0516000000002</v>
      </c>
      <c r="F199" s="93">
        <f>SUM(F195:F197)</f>
        <v>2205.0774000000001</v>
      </c>
      <c r="G199" s="4">
        <f>F199/D199</f>
        <v>0.6</v>
      </c>
    </row>
    <row r="200" spans="1:7" hidden="1" outlineLevel="1" x14ac:dyDescent="0.15">
      <c r="A200" s="47"/>
      <c r="B200" s="312"/>
      <c r="C200" s="4"/>
      <c r="D200" s="93"/>
      <c r="F200" s="93"/>
      <c r="G200" s="4"/>
    </row>
    <row r="201" spans="1:7" hidden="1" outlineLevel="1" x14ac:dyDescent="0.15">
      <c r="A201" s="14" t="str">
        <f>A178 &amp; " + " &amp; A194</f>
        <v>Producto Fusión + Domicilio Services</v>
      </c>
      <c r="B201" s="27">
        <f>B199+B184</f>
        <v>30626.075000000004</v>
      </c>
      <c r="C201" s="64"/>
      <c r="D201" s="27">
        <f>D199+D184</f>
        <v>30626.075000000004</v>
      </c>
      <c r="E201" s="27">
        <f>E199+E184</f>
        <v>13720.481600000001</v>
      </c>
      <c r="F201" s="27">
        <f>F199+F184</f>
        <v>16905.593400000005</v>
      </c>
      <c r="G201" s="179">
        <f>F201/D201</f>
        <v>0.55200000000000005</v>
      </c>
    </row>
    <row r="202" spans="1:7" hidden="1" outlineLevel="1" x14ac:dyDescent="0.15"/>
    <row r="203" spans="1:7" collapsed="1" x14ac:dyDescent="0.15">
      <c r="A203" s="10" t="s">
        <v>39</v>
      </c>
    </row>
    <row r="204" spans="1:7" hidden="1" outlineLevel="1" x14ac:dyDescent="0.15">
      <c r="A204" s="14" t="s">
        <v>1194</v>
      </c>
    </row>
    <row r="205" spans="1:7" hidden="1" outlineLevel="1" x14ac:dyDescent="0.15">
      <c r="A205" s="47" t="s">
        <v>1193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hidden="1" outlineLevel="1" x14ac:dyDescent="0.15">
      <c r="A206" s="47" t="s">
        <v>1192</v>
      </c>
      <c r="B206" s="280" t="s">
        <v>318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hidden="1" outlineLevel="1" x14ac:dyDescent="0.15">
      <c r="A207" s="17" t="s">
        <v>317</v>
      </c>
      <c r="B207" s="280" t="s">
        <v>318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hidden="1" outlineLevel="1" x14ac:dyDescent="0.15">
      <c r="A208" s="17" t="s">
        <v>315</v>
      </c>
      <c r="B208" s="280" t="s">
        <v>318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hidden="1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hidden="1" outlineLevel="1" x14ac:dyDescent="0.15"/>
    <row r="211" spans="1:7" hidden="1" outlineLevel="1" x14ac:dyDescent="0.15">
      <c r="A211" s="14" t="s">
        <v>1195</v>
      </c>
      <c r="B211" s="91"/>
      <c r="D211" s="91"/>
      <c r="E211" s="91"/>
      <c r="F211" s="3"/>
      <c r="G211" s="94"/>
    </row>
    <row r="212" spans="1:7" hidden="1" outlineLevel="1" x14ac:dyDescent="0.15">
      <c r="A212" s="47" t="s">
        <v>1198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hidden="1" outlineLevel="1" x14ac:dyDescent="0.15">
      <c r="A213" s="47" t="s">
        <v>1192</v>
      </c>
      <c r="B213" s="280" t="s">
        <v>318</v>
      </c>
      <c r="C213" s="93"/>
      <c r="D213" s="93"/>
      <c r="E213" s="280">
        <v>0</v>
      </c>
      <c r="F213" s="93">
        <f>D213-E213</f>
        <v>0</v>
      </c>
      <c r="G213" s="4"/>
    </row>
    <row r="214" spans="1:7" hidden="1" outlineLevel="1" x14ac:dyDescent="0.15">
      <c r="A214" s="47" t="s">
        <v>326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hidden="1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hidden="1" outlineLevel="1" x14ac:dyDescent="0.15">
      <c r="A216" s="47"/>
      <c r="B216" s="96"/>
      <c r="C216" s="4"/>
      <c r="D216" s="93"/>
      <c r="F216" s="93"/>
      <c r="G216" s="4"/>
    </row>
    <row r="217" spans="1:7" hidden="1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hidden="1" outlineLevel="1" x14ac:dyDescent="0.15">
      <c r="A218" s="47"/>
      <c r="B218" s="96"/>
      <c r="C218" s="4"/>
      <c r="D218" s="93"/>
      <c r="F218" s="93"/>
      <c r="G218" s="4"/>
    </row>
    <row r="219" spans="1:7" hidden="1" outlineLevel="1" x14ac:dyDescent="0.15">
      <c r="A219" s="14" t="s">
        <v>1196</v>
      </c>
      <c r="B219" s="91"/>
      <c r="D219" s="91"/>
      <c r="E219" s="91"/>
      <c r="F219" s="3"/>
      <c r="G219" s="94"/>
    </row>
    <row r="220" spans="1:7" hidden="1" outlineLevel="1" x14ac:dyDescent="0.15">
      <c r="A220" s="47" t="s">
        <v>1191</v>
      </c>
      <c r="B220" s="280">
        <f>$B170*(1.07)</f>
        <v>3932.3880300000005</v>
      </c>
      <c r="C220" s="312">
        <v>0</v>
      </c>
      <c r="D220" s="93">
        <f>B220*(1-C220)</f>
        <v>3932.3880300000005</v>
      </c>
      <c r="E220" s="280">
        <f t="shared" ref="E220:E222" si="13">$E170*(1.07)</f>
        <v>0</v>
      </c>
      <c r="F220" s="93">
        <f>D220-E220</f>
        <v>3932.3880300000005</v>
      </c>
      <c r="G220" s="4">
        <f>IFERROR(F220/D220, 0)</f>
        <v>1</v>
      </c>
    </row>
    <row r="221" spans="1:7" hidden="1" outlineLevel="1" x14ac:dyDescent="0.15">
      <c r="A221" s="47" t="s">
        <v>1189</v>
      </c>
      <c r="B221" s="280" t="s">
        <v>318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hidden="1" outlineLevel="1" x14ac:dyDescent="0.15">
      <c r="A222" s="47" t="s">
        <v>1190</v>
      </c>
      <c r="B222" s="280" t="s">
        <v>318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hidden="1" outlineLevel="1" x14ac:dyDescent="0.15">
      <c r="A223" s="47" t="s">
        <v>1210</v>
      </c>
      <c r="B223" s="312">
        <v>0.3</v>
      </c>
      <c r="C223" s="4"/>
      <c r="D223" s="93"/>
      <c r="F223" s="93"/>
      <c r="G223" s="4"/>
    </row>
    <row r="224" spans="1:7" hidden="1" outlineLevel="1" x14ac:dyDescent="0.15">
      <c r="A224" s="14" t="str">
        <f>"Total " &amp; A219</f>
        <v>Total Domicilio Services</v>
      </c>
      <c r="B224" s="92">
        <f>SUM(B220:B222)</f>
        <v>3932.3880300000005</v>
      </c>
      <c r="C224" s="92"/>
      <c r="D224" s="92">
        <f>SUM(D220:D222)</f>
        <v>3932.3880300000005</v>
      </c>
      <c r="E224" s="92">
        <f>SUM(E220:E222)</f>
        <v>1572.9552120000003</v>
      </c>
      <c r="F224" s="93">
        <f>SUM(F220:F222)</f>
        <v>2359.4328180000002</v>
      </c>
      <c r="G224" s="4">
        <f>F224/D224</f>
        <v>0.6</v>
      </c>
    </row>
    <row r="225" spans="1:7" hidden="1" outlineLevel="1" x14ac:dyDescent="0.15">
      <c r="A225" s="47"/>
      <c r="B225" s="312"/>
      <c r="C225" s="4"/>
      <c r="D225" s="93"/>
      <c r="F225" s="93"/>
      <c r="G225" s="4"/>
    </row>
    <row r="226" spans="1:7" hidden="1" outlineLevel="1" x14ac:dyDescent="0.15">
      <c r="A226" s="14" t="str">
        <f>A204 &amp; " + " &amp; A219</f>
        <v>Producto Diario + Domicilio Services</v>
      </c>
      <c r="B226" s="27">
        <f>B224+B209</f>
        <v>22283.532170000006</v>
      </c>
      <c r="C226" s="64"/>
      <c r="D226" s="27">
        <f>D224+D209</f>
        <v>22283.532170000006</v>
      </c>
      <c r="E226" s="27">
        <f>E224+E209</f>
        <v>14025.517307000004</v>
      </c>
      <c r="F226" s="27">
        <f>F224+F209</f>
        <v>8258.0148630000003</v>
      </c>
      <c r="G226" s="179">
        <f>F226/D226</f>
        <v>0.37058823529411755</v>
      </c>
    </row>
    <row r="227" spans="1:7" hidden="1" outlineLevel="1" x14ac:dyDescent="0.15">
      <c r="A227" s="14"/>
      <c r="B227" s="27"/>
      <c r="C227" s="64"/>
      <c r="D227" s="27"/>
      <c r="E227" s="27"/>
      <c r="F227" s="27"/>
      <c r="G227" s="179"/>
    </row>
    <row r="228" spans="1:7" hidden="1" outlineLevel="1" x14ac:dyDescent="0.15">
      <c r="A228" s="14" t="s">
        <v>1199</v>
      </c>
    </row>
    <row r="229" spans="1:7" hidden="1" outlineLevel="1" x14ac:dyDescent="0.15">
      <c r="A229" s="47" t="s">
        <v>1193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13107.9601</v>
      </c>
      <c r="F229" s="93">
        <f>D229-E229</f>
        <v>15729.552120000004</v>
      </c>
      <c r="G229" s="4">
        <f>F229/D229</f>
        <v>0.54545454545454553</v>
      </c>
    </row>
    <row r="230" spans="1:7" hidden="1" outlineLevel="1" x14ac:dyDescent="0.15">
      <c r="A230" s="47" t="s">
        <v>1192</v>
      </c>
      <c r="B230" s="280" t="s">
        <v>318</v>
      </c>
      <c r="C230" s="93"/>
      <c r="D230" s="93"/>
      <c r="E230" s="280">
        <f>$E180*(1.07)</f>
        <v>0</v>
      </c>
      <c r="F230" s="93">
        <f>D230-E230</f>
        <v>0</v>
      </c>
      <c r="G230" s="4"/>
    </row>
    <row r="231" spans="1:7" hidden="1" outlineLevel="1" x14ac:dyDescent="0.15">
      <c r="A231" s="17" t="s">
        <v>317</v>
      </c>
      <c r="B231" s="280" t="s">
        <v>318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hidden="1" outlineLevel="1" x14ac:dyDescent="0.15">
      <c r="A232" s="17" t="s">
        <v>315</v>
      </c>
      <c r="B232" s="280" t="s">
        <v>318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hidden="1" outlineLevel="1" x14ac:dyDescent="0.15">
      <c r="A233" s="47" t="s">
        <v>329</v>
      </c>
      <c r="B233" s="312">
        <v>0.5</v>
      </c>
      <c r="C233" s="4"/>
      <c r="D233" s="93"/>
      <c r="F233" s="93"/>
      <c r="G233" s="4"/>
    </row>
    <row r="234" spans="1:7" hidden="1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13107.9601</v>
      </c>
      <c r="F234" s="93">
        <f>SUM(F229:F232)</f>
        <v>15729.552120000004</v>
      </c>
      <c r="G234" s="4">
        <f>F234/D234</f>
        <v>0.54545454545454553</v>
      </c>
    </row>
    <row r="235" spans="1:7" hidden="1" outlineLevel="1" x14ac:dyDescent="0.15"/>
    <row r="236" spans="1:7" hidden="1" outlineLevel="1" x14ac:dyDescent="0.15">
      <c r="A236" s="14" t="s">
        <v>1195</v>
      </c>
      <c r="B236" s="91"/>
      <c r="D236" s="91"/>
      <c r="E236" s="91"/>
      <c r="F236" s="3"/>
      <c r="G236" s="94"/>
    </row>
    <row r="237" spans="1:7" hidden="1" outlineLevel="1" x14ac:dyDescent="0.15">
      <c r="A237" s="47" t="s">
        <v>1198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hidden="1" outlineLevel="1" x14ac:dyDescent="0.15">
      <c r="A238" s="47" t="s">
        <v>1192</v>
      </c>
      <c r="B238" s="280" t="s">
        <v>318</v>
      </c>
      <c r="C238" s="93"/>
      <c r="D238" s="93"/>
      <c r="E238" s="280">
        <v>0</v>
      </c>
      <c r="F238" s="93">
        <f>D238-E238</f>
        <v>0</v>
      </c>
      <c r="G238" s="4"/>
    </row>
    <row r="239" spans="1:7" hidden="1" outlineLevel="1" x14ac:dyDescent="0.15">
      <c r="A239" s="47" t="s">
        <v>326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hidden="1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hidden="1" outlineLevel="1" x14ac:dyDescent="0.15">
      <c r="A241" s="47"/>
      <c r="B241" s="96"/>
      <c r="C241" s="4"/>
      <c r="D241" s="93"/>
      <c r="F241" s="93"/>
      <c r="G241" s="4"/>
    </row>
    <row r="242" spans="1:7" hidden="1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13107.9601</v>
      </c>
      <c r="F242" s="27">
        <f>F240+F234</f>
        <v>15729.552120000004</v>
      </c>
      <c r="G242" s="179">
        <f>F242/D242</f>
        <v>0.54545454545454553</v>
      </c>
    </row>
    <row r="243" spans="1:7" hidden="1" outlineLevel="1" x14ac:dyDescent="0.15">
      <c r="A243" s="47"/>
      <c r="B243" s="96"/>
      <c r="C243" s="4"/>
      <c r="D243" s="93"/>
      <c r="F243" s="93"/>
      <c r="G243" s="4"/>
    </row>
    <row r="244" spans="1:7" hidden="1" outlineLevel="1" x14ac:dyDescent="0.15">
      <c r="A244" s="14" t="s">
        <v>1196</v>
      </c>
      <c r="B244" s="91"/>
      <c r="D244" s="91"/>
      <c r="E244" s="91"/>
      <c r="F244" s="3"/>
      <c r="G244" s="94"/>
    </row>
    <row r="245" spans="1:7" hidden="1" outlineLevel="1" x14ac:dyDescent="0.15">
      <c r="A245" s="47" t="s">
        <v>1191</v>
      </c>
      <c r="B245" s="280">
        <f>$B195*(1.07)</f>
        <v>3932.3880300000005</v>
      </c>
      <c r="C245" s="312">
        <v>0</v>
      </c>
      <c r="D245" s="93">
        <f>B245*(1-C245)</f>
        <v>3932.3880300000005</v>
      </c>
      <c r="E245" s="280">
        <f t="shared" ref="E245:E247" si="15">$E195*(1.07)</f>
        <v>0</v>
      </c>
      <c r="F245" s="93">
        <f>D245-E245</f>
        <v>3932.3880300000005</v>
      </c>
      <c r="G245" s="4">
        <f>IFERROR(F245/D245, 0)</f>
        <v>1</v>
      </c>
    </row>
    <row r="246" spans="1:7" hidden="1" outlineLevel="1" x14ac:dyDescent="0.15">
      <c r="A246" s="47" t="s">
        <v>1189</v>
      </c>
      <c r="B246" s="280" t="s">
        <v>318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hidden="1" outlineLevel="1" x14ac:dyDescent="0.15">
      <c r="A247" s="47" t="s">
        <v>1190</v>
      </c>
      <c r="B247" s="280" t="s">
        <v>318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hidden="1" outlineLevel="1" x14ac:dyDescent="0.15">
      <c r="A248" s="47" t="s">
        <v>329</v>
      </c>
      <c r="B248" s="312">
        <v>0.3</v>
      </c>
      <c r="C248" s="4"/>
      <c r="D248" s="93"/>
      <c r="F248" s="93"/>
      <c r="G248" s="4"/>
    </row>
    <row r="249" spans="1:7" hidden="1" outlineLevel="1" x14ac:dyDescent="0.15">
      <c r="A249" s="14" t="str">
        <f>"Total " &amp; A244</f>
        <v>Total Domicilio Services</v>
      </c>
      <c r="B249" s="92">
        <f>SUM(B245:B247)</f>
        <v>3932.3880300000005</v>
      </c>
      <c r="C249" s="92"/>
      <c r="D249" s="92">
        <f>SUM(D245:D247)</f>
        <v>3932.3880300000005</v>
      </c>
      <c r="E249" s="92">
        <f>SUM(E245:E247)</f>
        <v>1572.9552120000003</v>
      </c>
      <c r="F249" s="93">
        <f>SUM(F245:F247)</f>
        <v>2359.4328180000002</v>
      </c>
      <c r="G249" s="4">
        <f>F249/D249</f>
        <v>0.6</v>
      </c>
    </row>
    <row r="250" spans="1:7" hidden="1" outlineLevel="1" x14ac:dyDescent="0.15">
      <c r="A250" s="47"/>
      <c r="B250" s="312"/>
      <c r="C250" s="4"/>
      <c r="D250" s="93"/>
      <c r="F250" s="93"/>
      <c r="G250" s="4"/>
    </row>
    <row r="251" spans="1:7" hidden="1" outlineLevel="1" x14ac:dyDescent="0.15">
      <c r="A251" s="14" t="str">
        <f>A228 &amp; " + " &amp; A244</f>
        <v>Producto Fusión + Domicilio Services</v>
      </c>
      <c r="B251" s="27">
        <f>B249+B234</f>
        <v>32769.900250000006</v>
      </c>
      <c r="C251" s="64"/>
      <c r="D251" s="27">
        <f>D249+D234</f>
        <v>32769.900250000006</v>
      </c>
      <c r="E251" s="27">
        <f>E249+E234</f>
        <v>14680.915312000001</v>
      </c>
      <c r="F251" s="27">
        <f>F249+F234</f>
        <v>18088.984938000005</v>
      </c>
      <c r="G251" s="179">
        <f>F251/D251</f>
        <v>0.55200000000000005</v>
      </c>
    </row>
    <row r="252" spans="1:7" hidden="1" outlineLevel="1" x14ac:dyDescent="0.15"/>
    <row r="253" spans="1:7" collapsed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526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1214</v>
      </c>
      <c r="B3" s="75"/>
      <c r="C3" s="63">
        <f>SUM(C12:N12)</f>
        <v>48593000</v>
      </c>
      <c r="D3" s="63"/>
      <c r="E3" s="63">
        <f>SUM(O12:Z12)</f>
        <v>303884280</v>
      </c>
      <c r="F3" s="63"/>
      <c r="G3" s="63">
        <f>SUM(AA12:AL12)</f>
        <v>628843194.4000001</v>
      </c>
      <c r="H3" s="63"/>
      <c r="I3" s="63">
        <f>SUM(AM12:AX12)</f>
        <v>865742788.27200007</v>
      </c>
      <c r="J3" s="63"/>
      <c r="K3" s="63">
        <f>SUM(AY12:BJ12)</f>
        <v>954103510.55481005</v>
      </c>
      <c r="M3" s="322">
        <f>SUM(C3:K3)</f>
        <v>2801166773.2268105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1212</v>
      </c>
      <c r="B4" s="75"/>
      <c r="C4" s="63">
        <f>SUM(C13:N13)</f>
        <v>20982000</v>
      </c>
      <c r="D4" s="63"/>
      <c r="E4" s="63">
        <f>SUM(O13:Z13)</f>
        <v>133996635</v>
      </c>
      <c r="F4" s="63"/>
      <c r="G4" s="63">
        <f>SUM(AA13:AL13)</f>
        <v>304740322.80000001</v>
      </c>
      <c r="H4" s="63"/>
      <c r="I4" s="63">
        <f>SUM(AM13:AX13)</f>
        <v>419170513.22400004</v>
      </c>
      <c r="J4" s="63"/>
      <c r="K4" s="63">
        <f>SUM(AY13:BJ13)</f>
        <v>461921892.33197993</v>
      </c>
      <c r="M4" s="322">
        <f>SUM(C4:K4)</f>
        <v>1340811363.3559799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1213</v>
      </c>
      <c r="B5" s="75"/>
      <c r="C5" s="96">
        <f>C4/C3</f>
        <v>0.4317905871216019</v>
      </c>
      <c r="D5" s="96"/>
      <c r="E5" s="96">
        <f>E4/E3</f>
        <v>0.44094625427810874</v>
      </c>
      <c r="F5" s="96"/>
      <c r="G5" s="96">
        <f>G4/G3</f>
        <v>0.48460462880696792</v>
      </c>
      <c r="H5" s="96"/>
      <c r="I5" s="96">
        <f>I4/I3</f>
        <v>0.48417442097398627</v>
      </c>
      <c r="J5" s="96"/>
      <c r="K5" s="96">
        <f>K4/K3</f>
        <v>0.48414232546254116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638</v>
      </c>
      <c r="B6" s="75"/>
      <c r="C6" s="63">
        <f>SUM(C15:N15)</f>
        <v>10671000</v>
      </c>
      <c r="D6" s="96">
        <f>C6/TotalIngresosAñ1</f>
        <v>0.21959953079661679</v>
      </c>
      <c r="E6" s="63">
        <f>SUM(O15:Z15)</f>
        <v>64519395</v>
      </c>
      <c r="F6" s="96">
        <f>E6/E3</f>
        <v>0.21231567161025902</v>
      </c>
      <c r="G6" s="63">
        <f>SUM(AA15:AL15)</f>
        <v>90229568.999999985</v>
      </c>
      <c r="H6" s="96">
        <f>G6/G3</f>
        <v>0.14348500517063076</v>
      </c>
      <c r="I6" s="63">
        <f>SUM(AM15:AX15)</f>
        <v>123646040.07600002</v>
      </c>
      <c r="J6" s="96">
        <f>I6/I3</f>
        <v>0.14282075663927191</v>
      </c>
      <c r="K6" s="63">
        <f>SUM(AY15:BJ15)</f>
        <v>136292636.73177007</v>
      </c>
      <c r="L6" s="96">
        <f>K6/K3</f>
        <v>0.14284889975147042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639</v>
      </c>
      <c r="B7" s="75"/>
      <c r="C7" s="63">
        <f>SUM(C16:N16)</f>
        <v>10311000</v>
      </c>
      <c r="D7" s="96">
        <f>C7/TotalIngresosAñ1</f>
        <v>0.21219105632498508</v>
      </c>
      <c r="E7" s="63">
        <f>SUM(O16:Z16)</f>
        <v>69477240</v>
      </c>
      <c r="F7" s="96">
        <f>E7/E3</f>
        <v>0.22863058266784975</v>
      </c>
      <c r="G7" s="63">
        <f>SUM(AA16:AL16)</f>
        <v>214510753.80000007</v>
      </c>
      <c r="H7" s="96">
        <f>G7/G3</f>
        <v>0.34111962363633724</v>
      </c>
      <c r="I7" s="63">
        <f>SUM(AM16:AX16)</f>
        <v>295524473.14800012</v>
      </c>
      <c r="J7" s="96">
        <f>I7/I3</f>
        <v>0.34135366433471448</v>
      </c>
      <c r="K7" s="63">
        <f>SUM(AY16:BJ16)</f>
        <v>325629255.60021007</v>
      </c>
      <c r="L7" s="96">
        <f>K7/K3</f>
        <v>0.34129342571107096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411" t="s">
        <v>35</v>
      </c>
      <c r="D9" s="411"/>
      <c r="E9" s="411"/>
      <c r="F9" s="411"/>
      <c r="G9" s="411"/>
      <c r="H9" s="411"/>
      <c r="I9" s="411"/>
      <c r="J9" s="411"/>
      <c r="K9" s="411"/>
      <c r="L9" s="411"/>
      <c r="M9" s="411"/>
      <c r="N9" s="411"/>
      <c r="O9" s="411" t="s">
        <v>36</v>
      </c>
      <c r="P9" s="411"/>
      <c r="Q9" s="411"/>
      <c r="R9" s="411"/>
      <c r="S9" s="411"/>
      <c r="T9" s="411"/>
      <c r="U9" s="411"/>
      <c r="V9" s="411"/>
      <c r="W9" s="411"/>
      <c r="X9" s="411"/>
      <c r="Y9" s="411"/>
      <c r="Z9" s="411"/>
      <c r="AA9" s="411" t="s">
        <v>37</v>
      </c>
      <c r="AB9" s="411"/>
      <c r="AC9" s="411"/>
      <c r="AD9" s="411"/>
      <c r="AE9" s="411"/>
      <c r="AF9" s="411"/>
      <c r="AG9" s="411"/>
      <c r="AH9" s="411"/>
      <c r="AI9" s="411"/>
      <c r="AJ9" s="411"/>
      <c r="AK9" s="411"/>
      <c r="AL9" s="411"/>
      <c r="AM9" s="411" t="s">
        <v>38</v>
      </c>
      <c r="AN9" s="411"/>
      <c r="AO9" s="411"/>
      <c r="AP9" s="411"/>
      <c r="AQ9" s="411"/>
      <c r="AR9" s="411"/>
      <c r="AS9" s="411"/>
      <c r="AT9" s="411"/>
      <c r="AU9" s="411"/>
      <c r="AV9" s="411"/>
      <c r="AW9" s="411"/>
      <c r="AX9" s="411"/>
      <c r="AY9" s="411" t="s">
        <v>39</v>
      </c>
      <c r="AZ9" s="411"/>
      <c r="BA9" s="411"/>
      <c r="BB9" s="411"/>
      <c r="BC9" s="411"/>
      <c r="BD9" s="411"/>
      <c r="BE9" s="411"/>
      <c r="BF9" s="411"/>
      <c r="BG9" s="411"/>
      <c r="BH9" s="411"/>
      <c r="BI9" s="411"/>
      <c r="BJ9" s="411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1214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1092000</v>
      </c>
      <c r="G12" s="63">
        <f t="shared" si="0"/>
        <v>1498000</v>
      </c>
      <c r="H12" s="63">
        <f t="shared" si="0"/>
        <v>3918000</v>
      </c>
      <c r="I12" s="63">
        <f t="shared" si="0"/>
        <v>4897000</v>
      </c>
      <c r="J12" s="63">
        <f t="shared" si="0"/>
        <v>5873000</v>
      </c>
      <c r="K12" s="63">
        <f t="shared" si="0"/>
        <v>6852000</v>
      </c>
      <c r="L12" s="63">
        <f t="shared" si="0"/>
        <v>7828000</v>
      </c>
      <c r="M12" s="63">
        <f t="shared" ref="M12:AH12" si="1">M132</f>
        <v>8807000</v>
      </c>
      <c r="N12" s="63">
        <f t="shared" si="1"/>
        <v>7828000</v>
      </c>
      <c r="O12" s="63">
        <f t="shared" si="1"/>
        <v>15127660</v>
      </c>
      <c r="P12" s="63">
        <f t="shared" si="1"/>
        <v>24323240</v>
      </c>
      <c r="Q12" s="63">
        <f t="shared" si="1"/>
        <v>27354550</v>
      </c>
      <c r="R12" s="63">
        <f t="shared" si="1"/>
        <v>27354550</v>
      </c>
      <c r="S12" s="63">
        <f t="shared" si="1"/>
        <v>27354550</v>
      </c>
      <c r="T12" s="63">
        <f t="shared" si="1"/>
        <v>27354550</v>
      </c>
      <c r="U12" s="63">
        <f t="shared" si="1"/>
        <v>27354550</v>
      </c>
      <c r="V12" s="63">
        <f t="shared" si="1"/>
        <v>27354550</v>
      </c>
      <c r="W12" s="63">
        <f t="shared" si="1"/>
        <v>27354550</v>
      </c>
      <c r="X12" s="63">
        <f t="shared" si="1"/>
        <v>27354550</v>
      </c>
      <c r="Y12" s="63">
        <f t="shared" si="1"/>
        <v>27354550</v>
      </c>
      <c r="Z12" s="63">
        <f t="shared" si="1"/>
        <v>18242430</v>
      </c>
      <c r="AA12" s="63">
        <f t="shared" si="1"/>
        <v>31448113.200000003</v>
      </c>
      <c r="AB12" s="63">
        <f t="shared" si="1"/>
        <v>50312630.5</v>
      </c>
      <c r="AC12" s="63">
        <f t="shared" si="1"/>
        <v>56594696.800000004</v>
      </c>
      <c r="AD12" s="63">
        <f t="shared" si="1"/>
        <v>56594696.800000004</v>
      </c>
      <c r="AE12" s="63">
        <f t="shared" si="1"/>
        <v>56594696.800000004</v>
      </c>
      <c r="AF12" s="63">
        <f t="shared" si="1"/>
        <v>56594696.800000004</v>
      </c>
      <c r="AG12" s="63">
        <f t="shared" si="1"/>
        <v>56594696.800000004</v>
      </c>
      <c r="AH12" s="63">
        <f t="shared" si="1"/>
        <v>56594696.800000004</v>
      </c>
      <c r="AI12" s="63">
        <f t="shared" ref="AI12:BJ12" si="2">AI132</f>
        <v>56594696.800000004</v>
      </c>
      <c r="AJ12" s="63">
        <f t="shared" si="2"/>
        <v>56594696.800000004</v>
      </c>
      <c r="AK12" s="63">
        <f t="shared" si="2"/>
        <v>56594696.800000004</v>
      </c>
      <c r="AL12" s="63">
        <f t="shared" si="2"/>
        <v>37730179.5</v>
      </c>
      <c r="AM12" s="63">
        <f t="shared" si="2"/>
        <v>43283219.276000008</v>
      </c>
      <c r="AN12" s="63">
        <f t="shared" si="2"/>
        <v>69259031.048000008</v>
      </c>
      <c r="AO12" s="63">
        <f t="shared" si="2"/>
        <v>77917634.972000003</v>
      </c>
      <c r="AP12" s="63">
        <f t="shared" si="2"/>
        <v>77917634.972000003</v>
      </c>
      <c r="AQ12" s="63">
        <f t="shared" si="2"/>
        <v>77917634.972000003</v>
      </c>
      <c r="AR12" s="63">
        <f t="shared" si="2"/>
        <v>77917634.972000003</v>
      </c>
      <c r="AS12" s="63">
        <f t="shared" si="2"/>
        <v>77917634.972000003</v>
      </c>
      <c r="AT12" s="63">
        <f t="shared" si="2"/>
        <v>77917634.972000003</v>
      </c>
      <c r="AU12" s="63">
        <f t="shared" si="2"/>
        <v>77917634.972000003</v>
      </c>
      <c r="AV12" s="63">
        <f t="shared" si="2"/>
        <v>77917634.972000003</v>
      </c>
      <c r="AW12" s="63">
        <f t="shared" si="2"/>
        <v>77917634.972000003</v>
      </c>
      <c r="AX12" s="63">
        <f t="shared" si="2"/>
        <v>51941823.20000001</v>
      </c>
      <c r="AY12" s="63">
        <f t="shared" si="2"/>
        <v>47697245.211880013</v>
      </c>
      <c r="AZ12" s="63">
        <f t="shared" si="2"/>
        <v>76336827.234370023</v>
      </c>
      <c r="BA12" s="63">
        <f t="shared" si="2"/>
        <v>85867625.023080006</v>
      </c>
      <c r="BB12" s="63">
        <f t="shared" si="2"/>
        <v>85867625.023080006</v>
      </c>
      <c r="BC12" s="63">
        <f t="shared" si="2"/>
        <v>85867625.023080006</v>
      </c>
      <c r="BD12" s="63">
        <f t="shared" si="2"/>
        <v>85867625.023080006</v>
      </c>
      <c r="BE12" s="63">
        <f t="shared" si="2"/>
        <v>85867625.023080006</v>
      </c>
      <c r="BF12" s="63">
        <f t="shared" si="2"/>
        <v>85867625.023080006</v>
      </c>
      <c r="BG12" s="63">
        <f t="shared" si="2"/>
        <v>85867625.023080006</v>
      </c>
      <c r="BH12" s="63">
        <f t="shared" si="2"/>
        <v>85867625.023080006</v>
      </c>
      <c r="BI12" s="63">
        <f t="shared" si="2"/>
        <v>85867625.023080006</v>
      </c>
      <c r="BJ12" s="63">
        <f t="shared" si="2"/>
        <v>57260812.900840014</v>
      </c>
    </row>
    <row r="13" spans="1:62" x14ac:dyDescent="0.15">
      <c r="A13" s="33" t="s">
        <v>1212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351000</v>
      </c>
      <c r="G13" s="63">
        <f t="shared" si="3"/>
        <v>481500</v>
      </c>
      <c r="H13" s="63">
        <f t="shared" si="3"/>
        <v>1717500</v>
      </c>
      <c r="I13" s="63">
        <f t="shared" si="3"/>
        <v>2146500</v>
      </c>
      <c r="J13" s="63">
        <f t="shared" si="3"/>
        <v>2572500</v>
      </c>
      <c r="K13" s="63">
        <f t="shared" si="3"/>
        <v>3001500</v>
      </c>
      <c r="L13" s="63">
        <f t="shared" si="3"/>
        <v>3427500</v>
      </c>
      <c r="M13" s="63">
        <f t="shared" ref="M13:AH13" si="4">M133</f>
        <v>3856500</v>
      </c>
      <c r="N13" s="63">
        <f t="shared" si="4"/>
        <v>3427500</v>
      </c>
      <c r="O13" s="63">
        <f t="shared" si="4"/>
        <v>6639885</v>
      </c>
      <c r="P13" s="63">
        <f t="shared" si="4"/>
        <v>10727820</v>
      </c>
      <c r="Q13" s="63">
        <f t="shared" si="4"/>
        <v>12064785</v>
      </c>
      <c r="R13" s="63">
        <f t="shared" si="4"/>
        <v>12064785</v>
      </c>
      <c r="S13" s="63">
        <f t="shared" si="4"/>
        <v>12064785</v>
      </c>
      <c r="T13" s="63">
        <f t="shared" si="4"/>
        <v>12064785</v>
      </c>
      <c r="U13" s="63">
        <f t="shared" si="4"/>
        <v>12064785</v>
      </c>
      <c r="V13" s="63">
        <f t="shared" si="4"/>
        <v>12064785</v>
      </c>
      <c r="W13" s="63">
        <f t="shared" si="4"/>
        <v>12064785</v>
      </c>
      <c r="X13" s="63">
        <f t="shared" si="4"/>
        <v>12064785</v>
      </c>
      <c r="Y13" s="63">
        <f t="shared" si="4"/>
        <v>12064785</v>
      </c>
      <c r="Z13" s="63">
        <f t="shared" si="4"/>
        <v>8045865</v>
      </c>
      <c r="AA13" s="63">
        <f t="shared" si="4"/>
        <v>15239763.9</v>
      </c>
      <c r="AB13" s="63">
        <f t="shared" si="4"/>
        <v>24381217.950000007</v>
      </c>
      <c r="AC13" s="63">
        <f t="shared" si="4"/>
        <v>27426079.500000007</v>
      </c>
      <c r="AD13" s="63">
        <f t="shared" si="4"/>
        <v>27426079.500000007</v>
      </c>
      <c r="AE13" s="63">
        <f t="shared" si="4"/>
        <v>27426079.500000007</v>
      </c>
      <c r="AF13" s="63">
        <f t="shared" si="4"/>
        <v>27426079.500000007</v>
      </c>
      <c r="AG13" s="63">
        <f t="shared" si="4"/>
        <v>27426079.500000007</v>
      </c>
      <c r="AH13" s="63">
        <f t="shared" si="4"/>
        <v>27426079.500000007</v>
      </c>
      <c r="AI13" s="63">
        <f t="shared" ref="AI13:BJ13" si="5">AI133</f>
        <v>27426079.500000007</v>
      </c>
      <c r="AJ13" s="63">
        <f t="shared" si="5"/>
        <v>27426079.500000007</v>
      </c>
      <c r="AK13" s="63">
        <f t="shared" si="5"/>
        <v>27426079.500000007</v>
      </c>
      <c r="AL13" s="63">
        <f t="shared" si="5"/>
        <v>18284625.449999999</v>
      </c>
      <c r="AM13" s="63">
        <f t="shared" si="5"/>
        <v>20959260.687000003</v>
      </c>
      <c r="AN13" s="63">
        <f t="shared" si="5"/>
        <v>33533714.560500003</v>
      </c>
      <c r="AO13" s="63">
        <f t="shared" si="5"/>
        <v>37725199.18500001</v>
      </c>
      <c r="AP13" s="63">
        <f t="shared" si="5"/>
        <v>37725199.18500001</v>
      </c>
      <c r="AQ13" s="63">
        <f t="shared" si="5"/>
        <v>37725199.18500001</v>
      </c>
      <c r="AR13" s="63">
        <f t="shared" si="5"/>
        <v>37725199.18500001</v>
      </c>
      <c r="AS13" s="63">
        <f t="shared" si="5"/>
        <v>37725199.18500001</v>
      </c>
      <c r="AT13" s="63">
        <f t="shared" si="5"/>
        <v>37725199.18500001</v>
      </c>
      <c r="AU13" s="63">
        <f t="shared" si="5"/>
        <v>37725199.18500001</v>
      </c>
      <c r="AV13" s="63">
        <f t="shared" si="5"/>
        <v>37725199.18500001</v>
      </c>
      <c r="AW13" s="63">
        <f t="shared" si="5"/>
        <v>37725199.18500001</v>
      </c>
      <c r="AX13" s="63">
        <f t="shared" si="5"/>
        <v>25150745.311500005</v>
      </c>
      <c r="AY13" s="63">
        <f t="shared" si="5"/>
        <v>23094914.900190003</v>
      </c>
      <c r="AZ13" s="63">
        <f t="shared" si="5"/>
        <v>36960515.093970008</v>
      </c>
      <c r="BA13" s="63">
        <f t="shared" si="5"/>
        <v>41571240.059145004</v>
      </c>
      <c r="BB13" s="63">
        <f t="shared" si="5"/>
        <v>41571240.059145004</v>
      </c>
      <c r="BC13" s="63">
        <f t="shared" si="5"/>
        <v>41571240.059145004</v>
      </c>
      <c r="BD13" s="63">
        <f t="shared" si="5"/>
        <v>41571240.059145004</v>
      </c>
      <c r="BE13" s="63">
        <f t="shared" si="5"/>
        <v>41571240.059145004</v>
      </c>
      <c r="BF13" s="63">
        <f t="shared" si="5"/>
        <v>41571240.059145004</v>
      </c>
      <c r="BG13" s="63">
        <f t="shared" si="5"/>
        <v>41571240.059145004</v>
      </c>
      <c r="BH13" s="63">
        <f t="shared" si="5"/>
        <v>41571240.059145004</v>
      </c>
      <c r="BI13" s="63">
        <f t="shared" si="5"/>
        <v>41571240.059145004</v>
      </c>
      <c r="BJ13" s="63">
        <f t="shared" si="5"/>
        <v>27725301.805515002</v>
      </c>
    </row>
    <row r="14" spans="1:62" x14ac:dyDescent="0.15">
      <c r="A14" s="33" t="s">
        <v>1215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0.32142857142857145</v>
      </c>
      <c r="G14" s="96">
        <f>IF(G12&gt;0,G13/G12,0)</f>
        <v>0.32142857142857145</v>
      </c>
      <c r="H14" s="96">
        <f t="shared" ref="H14:BJ14" si="6">IF(H12&gt;0,H13/H12,0)</f>
        <v>0.43836140888208269</v>
      </c>
      <c r="I14" s="96">
        <f t="shared" si="6"/>
        <v>0.43832958954461915</v>
      </c>
      <c r="J14" s="96">
        <f t="shared" si="6"/>
        <v>0.43802145411203813</v>
      </c>
      <c r="K14" s="96">
        <f t="shared" si="6"/>
        <v>0.43804728546409805</v>
      </c>
      <c r="L14" s="96">
        <f t="shared" si="6"/>
        <v>0.43785130301481862</v>
      </c>
      <c r="M14" s="96">
        <f t="shared" si="6"/>
        <v>0.4378903145225389</v>
      </c>
      <c r="N14" s="96">
        <f t="shared" si="6"/>
        <v>0.43785130301481862</v>
      </c>
      <c r="O14" s="96">
        <f t="shared" si="6"/>
        <v>0.43892346866600651</v>
      </c>
      <c r="P14" s="96">
        <f t="shared" si="6"/>
        <v>0.44105226112968504</v>
      </c>
      <c r="Q14" s="96">
        <f t="shared" si="6"/>
        <v>0.44105221983180132</v>
      </c>
      <c r="R14" s="96">
        <f t="shared" si="6"/>
        <v>0.44105221983180132</v>
      </c>
      <c r="S14" s="96">
        <f t="shared" si="6"/>
        <v>0.44105221983180132</v>
      </c>
      <c r="T14" s="96">
        <f t="shared" si="6"/>
        <v>0.44105221983180132</v>
      </c>
      <c r="U14" s="96">
        <f t="shared" si="6"/>
        <v>0.44105221983180132</v>
      </c>
      <c r="V14" s="96">
        <f t="shared" si="6"/>
        <v>0.44105221983180132</v>
      </c>
      <c r="W14" s="96">
        <f t="shared" si="6"/>
        <v>0.44105221983180132</v>
      </c>
      <c r="X14" s="96">
        <f t="shared" si="6"/>
        <v>0.44105221983180132</v>
      </c>
      <c r="Y14" s="96">
        <f t="shared" si="6"/>
        <v>0.44105221983180132</v>
      </c>
      <c r="Z14" s="96">
        <f t="shared" si="6"/>
        <v>0.44105226112968504</v>
      </c>
      <c r="AA14" s="96">
        <f t="shared" si="6"/>
        <v>0.48460026212319784</v>
      </c>
      <c r="AB14" s="96">
        <f t="shared" si="6"/>
        <v>0.48459437933780874</v>
      </c>
      <c r="AC14" s="96">
        <f t="shared" si="6"/>
        <v>0.48460511409613216</v>
      </c>
      <c r="AD14" s="96">
        <f t="shared" si="6"/>
        <v>0.48460511409613216</v>
      </c>
      <c r="AE14" s="96">
        <f t="shared" si="6"/>
        <v>0.48460511409613216</v>
      </c>
      <c r="AF14" s="96">
        <f t="shared" si="6"/>
        <v>0.48460511409613216</v>
      </c>
      <c r="AG14" s="96">
        <f t="shared" si="6"/>
        <v>0.48460511409613216</v>
      </c>
      <c r="AH14" s="96">
        <f t="shared" si="6"/>
        <v>0.48460511409613216</v>
      </c>
      <c r="AI14" s="96">
        <f t="shared" si="6"/>
        <v>0.48460511409613216</v>
      </c>
      <c r="AJ14" s="96">
        <f t="shared" si="6"/>
        <v>0.48460511409613216</v>
      </c>
      <c r="AK14" s="96">
        <f t="shared" si="6"/>
        <v>0.48460511409613216</v>
      </c>
      <c r="AL14" s="96">
        <f t="shared" si="6"/>
        <v>0.48461538461538461</v>
      </c>
      <c r="AM14" s="96">
        <f t="shared" si="6"/>
        <v>0.48423525416053431</v>
      </c>
      <c r="AN14" s="96">
        <f t="shared" si="6"/>
        <v>0.48417822272534317</v>
      </c>
      <c r="AO14" s="96">
        <f t="shared" si="6"/>
        <v>0.48416766241116921</v>
      </c>
      <c r="AP14" s="96">
        <f t="shared" si="6"/>
        <v>0.48416766241116921</v>
      </c>
      <c r="AQ14" s="96">
        <f t="shared" si="6"/>
        <v>0.48416766241116921</v>
      </c>
      <c r="AR14" s="96">
        <f t="shared" si="6"/>
        <v>0.48416766241116921</v>
      </c>
      <c r="AS14" s="96">
        <f t="shared" si="6"/>
        <v>0.48416766241116921</v>
      </c>
      <c r="AT14" s="96">
        <f t="shared" si="6"/>
        <v>0.48416766241116921</v>
      </c>
      <c r="AU14" s="96">
        <f t="shared" si="6"/>
        <v>0.48416766241116921</v>
      </c>
      <c r="AV14" s="96">
        <f t="shared" si="6"/>
        <v>0.48416766241116921</v>
      </c>
      <c r="AW14" s="96">
        <f t="shared" si="6"/>
        <v>0.48416766241116921</v>
      </c>
      <c r="AX14" s="96">
        <f t="shared" si="6"/>
        <v>0.48420990566037736</v>
      </c>
      <c r="AY14" s="96">
        <f t="shared" si="6"/>
        <v>0.48419808728152131</v>
      </c>
      <c r="AZ14" s="96">
        <f t="shared" si="6"/>
        <v>0.48417672613630508</v>
      </c>
      <c r="BA14" s="96">
        <f t="shared" si="6"/>
        <v>0.48413170910423153</v>
      </c>
      <c r="BB14" s="96">
        <f t="shared" si="6"/>
        <v>0.48413170910423153</v>
      </c>
      <c r="BC14" s="96">
        <f t="shared" si="6"/>
        <v>0.48413170910423153</v>
      </c>
      <c r="BD14" s="96">
        <f t="shared" si="6"/>
        <v>0.48413170910423153</v>
      </c>
      <c r="BE14" s="96">
        <f t="shared" si="6"/>
        <v>0.48413170910423153</v>
      </c>
      <c r="BF14" s="96">
        <f t="shared" si="6"/>
        <v>0.48413170910423153</v>
      </c>
      <c r="BG14" s="96">
        <f t="shared" si="6"/>
        <v>0.48413170910423153</v>
      </c>
      <c r="BH14" s="96">
        <f t="shared" si="6"/>
        <v>0.48413170910423153</v>
      </c>
      <c r="BI14" s="96">
        <f t="shared" si="6"/>
        <v>0.48413170910423153</v>
      </c>
      <c r="BJ14" s="96">
        <f t="shared" si="6"/>
        <v>0.48419329731709543</v>
      </c>
    </row>
    <row r="15" spans="1:62" x14ac:dyDescent="0.15">
      <c r="A15" s="33" t="s">
        <v>638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351000</v>
      </c>
      <c r="G15" s="63">
        <f t="shared" si="7"/>
        <v>481500</v>
      </c>
      <c r="H15" s="63">
        <f t="shared" si="7"/>
        <v>835500</v>
      </c>
      <c r="I15" s="63">
        <f t="shared" si="7"/>
        <v>1045500</v>
      </c>
      <c r="J15" s="63">
        <f t="shared" si="7"/>
        <v>1255500</v>
      </c>
      <c r="K15" s="63">
        <f t="shared" si="7"/>
        <v>1465500</v>
      </c>
      <c r="L15" s="63">
        <f t="shared" si="7"/>
        <v>1675500</v>
      </c>
      <c r="M15" s="63">
        <f t="shared" si="7"/>
        <v>1885500</v>
      </c>
      <c r="N15" s="63">
        <f t="shared" si="7"/>
        <v>1675500</v>
      </c>
      <c r="O15" s="63">
        <f t="shared" si="7"/>
        <v>3269385</v>
      </c>
      <c r="P15" s="63">
        <f t="shared" si="7"/>
        <v>5161680</v>
      </c>
      <c r="Q15" s="63">
        <f t="shared" si="7"/>
        <v>5802075</v>
      </c>
      <c r="R15" s="63">
        <f t="shared" si="7"/>
        <v>5802075</v>
      </c>
      <c r="S15" s="63">
        <f t="shared" si="7"/>
        <v>5802075</v>
      </c>
      <c r="T15" s="63">
        <f t="shared" si="7"/>
        <v>5802075</v>
      </c>
      <c r="U15" s="63">
        <f t="shared" si="7"/>
        <v>5802075</v>
      </c>
      <c r="V15" s="63">
        <f t="shared" si="7"/>
        <v>5802075</v>
      </c>
      <c r="W15" s="63">
        <f t="shared" si="7"/>
        <v>5802075</v>
      </c>
      <c r="X15" s="63">
        <f t="shared" si="7"/>
        <v>5802075</v>
      </c>
      <c r="Y15" s="63">
        <f t="shared" si="7"/>
        <v>5802075</v>
      </c>
      <c r="Z15" s="63">
        <f t="shared" si="7"/>
        <v>3869655</v>
      </c>
      <c r="AA15" s="63">
        <f t="shared" si="7"/>
        <v>4516630.4999999991</v>
      </c>
      <c r="AB15" s="63">
        <f t="shared" si="7"/>
        <v>7218022.0500000017</v>
      </c>
      <c r="AC15" s="63">
        <f t="shared" si="7"/>
        <v>8119630.7999999998</v>
      </c>
      <c r="AD15" s="63">
        <f t="shared" si="7"/>
        <v>8119630.7999999998</v>
      </c>
      <c r="AE15" s="63">
        <f t="shared" si="7"/>
        <v>8119630.7999999998</v>
      </c>
      <c r="AF15" s="63">
        <f t="shared" si="7"/>
        <v>8119630.7999999998</v>
      </c>
      <c r="AG15" s="63">
        <f t="shared" si="7"/>
        <v>8119630.7999999998</v>
      </c>
      <c r="AH15" s="63">
        <f t="shared" si="7"/>
        <v>8119630.7999999998</v>
      </c>
      <c r="AI15" s="63">
        <f t="shared" ref="AI15:BJ15" si="8">AI23</f>
        <v>8119630.7999999998</v>
      </c>
      <c r="AJ15" s="63">
        <f t="shared" si="8"/>
        <v>8119630.7999999998</v>
      </c>
      <c r="AK15" s="63">
        <f t="shared" si="8"/>
        <v>8119630.7999999998</v>
      </c>
      <c r="AL15" s="63">
        <f t="shared" si="8"/>
        <v>5418239.2499999991</v>
      </c>
      <c r="AM15" s="63">
        <f t="shared" si="8"/>
        <v>6181566.978000002</v>
      </c>
      <c r="AN15" s="63">
        <f t="shared" si="8"/>
        <v>9891609.7034999989</v>
      </c>
      <c r="AO15" s="63">
        <f t="shared" si="8"/>
        <v>11128290.612</v>
      </c>
      <c r="AP15" s="63">
        <f t="shared" si="8"/>
        <v>11128290.612</v>
      </c>
      <c r="AQ15" s="63">
        <f t="shared" si="8"/>
        <v>11128290.612</v>
      </c>
      <c r="AR15" s="63">
        <f t="shared" si="8"/>
        <v>11128290.612</v>
      </c>
      <c r="AS15" s="63">
        <f t="shared" si="8"/>
        <v>11128290.612</v>
      </c>
      <c r="AT15" s="63">
        <f t="shared" si="8"/>
        <v>11128290.612</v>
      </c>
      <c r="AU15" s="63">
        <f t="shared" si="8"/>
        <v>11128290.612</v>
      </c>
      <c r="AV15" s="63">
        <f t="shared" si="8"/>
        <v>11128290.612</v>
      </c>
      <c r="AW15" s="63">
        <f t="shared" si="8"/>
        <v>11128290.612</v>
      </c>
      <c r="AX15" s="63">
        <f t="shared" si="8"/>
        <v>7418247.8865000019</v>
      </c>
      <c r="AY15" s="63">
        <f t="shared" si="8"/>
        <v>6810896.0679599997</v>
      </c>
      <c r="AZ15" s="63">
        <f t="shared" si="8"/>
        <v>10900579.619160004</v>
      </c>
      <c r="BA15" s="63">
        <f t="shared" si="8"/>
        <v>12267084.459585004</v>
      </c>
      <c r="BB15" s="63">
        <f t="shared" si="8"/>
        <v>12267084.459585004</v>
      </c>
      <c r="BC15" s="63">
        <f t="shared" si="8"/>
        <v>12267084.459585004</v>
      </c>
      <c r="BD15" s="63">
        <f t="shared" si="8"/>
        <v>12267084.459585004</v>
      </c>
      <c r="BE15" s="63">
        <f t="shared" si="8"/>
        <v>12267084.459585004</v>
      </c>
      <c r="BF15" s="63">
        <f t="shared" si="8"/>
        <v>12267084.459585004</v>
      </c>
      <c r="BG15" s="63">
        <f t="shared" si="8"/>
        <v>12267084.459585004</v>
      </c>
      <c r="BH15" s="63">
        <f t="shared" si="8"/>
        <v>12267084.459585004</v>
      </c>
      <c r="BI15" s="63">
        <f t="shared" si="8"/>
        <v>12267084.459585004</v>
      </c>
      <c r="BJ15" s="63">
        <f t="shared" si="8"/>
        <v>8177400.9083850002</v>
      </c>
    </row>
    <row r="16" spans="1:62" x14ac:dyDescent="0.15">
      <c r="A16" s="33" t="s">
        <v>639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0</v>
      </c>
      <c r="G16" s="63">
        <f t="shared" si="9"/>
        <v>0</v>
      </c>
      <c r="H16" s="63">
        <f t="shared" si="9"/>
        <v>882000</v>
      </c>
      <c r="I16" s="63">
        <f t="shared" si="9"/>
        <v>1101000</v>
      </c>
      <c r="J16" s="63">
        <f t="shared" si="9"/>
        <v>1317000</v>
      </c>
      <c r="K16" s="63">
        <f t="shared" si="9"/>
        <v>1536000</v>
      </c>
      <c r="L16" s="63">
        <f t="shared" si="9"/>
        <v>1752000</v>
      </c>
      <c r="M16" s="63">
        <f t="shared" si="9"/>
        <v>1971000</v>
      </c>
      <c r="N16" s="63">
        <f t="shared" si="9"/>
        <v>1752000</v>
      </c>
      <c r="O16" s="63">
        <f t="shared" si="9"/>
        <v>3370500</v>
      </c>
      <c r="P16" s="63">
        <f t="shared" si="9"/>
        <v>5566140</v>
      </c>
      <c r="Q16" s="63">
        <f t="shared" si="9"/>
        <v>6262710</v>
      </c>
      <c r="R16" s="63">
        <f t="shared" si="9"/>
        <v>6262710</v>
      </c>
      <c r="S16" s="63">
        <f t="shared" si="9"/>
        <v>6262710</v>
      </c>
      <c r="T16" s="63">
        <f t="shared" si="9"/>
        <v>6262710</v>
      </c>
      <c r="U16" s="63">
        <f t="shared" si="9"/>
        <v>6262710</v>
      </c>
      <c r="V16" s="63">
        <f t="shared" si="9"/>
        <v>6262710</v>
      </c>
      <c r="W16" s="63">
        <f t="shared" si="9"/>
        <v>6262710</v>
      </c>
      <c r="X16" s="63">
        <f t="shared" si="9"/>
        <v>6262710</v>
      </c>
      <c r="Y16" s="63">
        <f t="shared" si="9"/>
        <v>6262710</v>
      </c>
      <c r="Z16" s="63">
        <f t="shared" si="9"/>
        <v>4176210</v>
      </c>
      <c r="AA16" s="63">
        <f t="shared" si="9"/>
        <v>10723133.4</v>
      </c>
      <c r="AB16" s="63">
        <f t="shared" si="9"/>
        <v>17163195.900000006</v>
      </c>
      <c r="AC16" s="63">
        <f t="shared" si="9"/>
        <v>19306448.700000007</v>
      </c>
      <c r="AD16" s="63">
        <f t="shared" si="9"/>
        <v>19306448.700000007</v>
      </c>
      <c r="AE16" s="63">
        <f t="shared" si="9"/>
        <v>19306448.700000007</v>
      </c>
      <c r="AF16" s="63">
        <f t="shared" si="9"/>
        <v>19306448.700000007</v>
      </c>
      <c r="AG16" s="63">
        <f t="shared" si="9"/>
        <v>19306448.700000007</v>
      </c>
      <c r="AH16" s="63">
        <f t="shared" si="9"/>
        <v>19306448.700000007</v>
      </c>
      <c r="AI16" s="63">
        <f t="shared" ref="AI16:BJ16" si="10">AI31</f>
        <v>19306448.700000007</v>
      </c>
      <c r="AJ16" s="63">
        <f t="shared" si="10"/>
        <v>19306448.700000007</v>
      </c>
      <c r="AK16" s="63">
        <f t="shared" si="10"/>
        <v>19306448.700000007</v>
      </c>
      <c r="AL16" s="63">
        <f t="shared" si="10"/>
        <v>12866386.200000001</v>
      </c>
      <c r="AM16" s="63">
        <f t="shared" si="10"/>
        <v>14777693.709000001</v>
      </c>
      <c r="AN16" s="63">
        <f t="shared" si="10"/>
        <v>23642104.857000005</v>
      </c>
      <c r="AO16" s="63">
        <f t="shared" si="10"/>
        <v>26596908.573000006</v>
      </c>
      <c r="AP16" s="63">
        <f t="shared" si="10"/>
        <v>26596908.573000006</v>
      </c>
      <c r="AQ16" s="63">
        <f t="shared" si="10"/>
        <v>26596908.573000006</v>
      </c>
      <c r="AR16" s="63">
        <f t="shared" si="10"/>
        <v>26596908.573000006</v>
      </c>
      <c r="AS16" s="63">
        <f t="shared" si="10"/>
        <v>26596908.573000006</v>
      </c>
      <c r="AT16" s="63">
        <f t="shared" si="10"/>
        <v>26596908.573000006</v>
      </c>
      <c r="AU16" s="63">
        <f t="shared" si="10"/>
        <v>26596908.573000006</v>
      </c>
      <c r="AV16" s="63">
        <f t="shared" si="10"/>
        <v>26596908.573000006</v>
      </c>
      <c r="AW16" s="63">
        <f t="shared" si="10"/>
        <v>26596908.573000006</v>
      </c>
      <c r="AX16" s="63">
        <f t="shared" si="10"/>
        <v>17732497.425000004</v>
      </c>
      <c r="AY16" s="63">
        <f t="shared" si="10"/>
        <v>16284018.832230002</v>
      </c>
      <c r="AZ16" s="63">
        <f t="shared" si="10"/>
        <v>26059935.474810004</v>
      </c>
      <c r="BA16" s="63">
        <f t="shared" si="10"/>
        <v>29304155.599560004</v>
      </c>
      <c r="BB16" s="63">
        <f t="shared" si="10"/>
        <v>29304155.599560004</v>
      </c>
      <c r="BC16" s="63">
        <f t="shared" si="10"/>
        <v>29304155.599560004</v>
      </c>
      <c r="BD16" s="63">
        <f t="shared" si="10"/>
        <v>29304155.599560004</v>
      </c>
      <c r="BE16" s="63">
        <f t="shared" si="10"/>
        <v>29304155.599560004</v>
      </c>
      <c r="BF16" s="63">
        <f t="shared" si="10"/>
        <v>29304155.599560004</v>
      </c>
      <c r="BG16" s="63">
        <f t="shared" si="10"/>
        <v>29304155.599560004</v>
      </c>
      <c r="BH16" s="63">
        <f t="shared" si="10"/>
        <v>29304155.599560004</v>
      </c>
      <c r="BI16" s="63">
        <f t="shared" si="10"/>
        <v>29304155.599560004</v>
      </c>
      <c r="BJ16" s="63">
        <f t="shared" si="10"/>
        <v>19547900.897130001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630</v>
      </c>
      <c r="B19" s="75"/>
      <c r="C19" s="367">
        <f>C46</f>
        <v>0</v>
      </c>
      <c r="D19" s="367">
        <f t="shared" ref="D19:BJ19" si="11">D46</f>
        <v>0</v>
      </c>
      <c r="E19" s="367">
        <f t="shared" si="11"/>
        <v>0</v>
      </c>
      <c r="F19" s="367">
        <f t="shared" si="11"/>
        <v>78</v>
      </c>
      <c r="G19" s="367">
        <f t="shared" si="11"/>
        <v>107</v>
      </c>
      <c r="H19" s="367">
        <f t="shared" si="11"/>
        <v>159</v>
      </c>
      <c r="I19" s="367">
        <f t="shared" si="11"/>
        <v>199</v>
      </c>
      <c r="J19" s="367">
        <f t="shared" si="11"/>
        <v>239</v>
      </c>
      <c r="K19" s="367">
        <f t="shared" si="11"/>
        <v>279</v>
      </c>
      <c r="L19" s="367">
        <f t="shared" si="11"/>
        <v>319</v>
      </c>
      <c r="M19" s="367">
        <f t="shared" si="11"/>
        <v>359</v>
      </c>
      <c r="N19" s="367">
        <f t="shared" si="11"/>
        <v>319</v>
      </c>
      <c r="O19" s="367">
        <f t="shared" si="11"/>
        <v>575</v>
      </c>
      <c r="P19" s="367">
        <f t="shared" si="11"/>
        <v>908</v>
      </c>
      <c r="Q19" s="367">
        <f t="shared" si="11"/>
        <v>1021</v>
      </c>
      <c r="R19" s="367">
        <f t="shared" si="11"/>
        <v>1021</v>
      </c>
      <c r="S19" s="367">
        <f t="shared" si="11"/>
        <v>1021</v>
      </c>
      <c r="T19" s="367">
        <f t="shared" si="11"/>
        <v>1021</v>
      </c>
      <c r="U19" s="367">
        <f t="shared" si="11"/>
        <v>1021</v>
      </c>
      <c r="V19" s="367">
        <f t="shared" si="11"/>
        <v>1021</v>
      </c>
      <c r="W19" s="367">
        <f t="shared" si="11"/>
        <v>1021</v>
      </c>
      <c r="X19" s="367">
        <f t="shared" si="11"/>
        <v>1021</v>
      </c>
      <c r="Y19" s="367">
        <f t="shared" si="11"/>
        <v>1021</v>
      </c>
      <c r="Z19" s="367">
        <f t="shared" si="11"/>
        <v>681</v>
      </c>
      <c r="AA19" s="367">
        <f t="shared" si="11"/>
        <v>726</v>
      </c>
      <c r="AB19" s="367">
        <f t="shared" si="11"/>
        <v>1161</v>
      </c>
      <c r="AC19" s="367">
        <f t="shared" si="11"/>
        <v>1306</v>
      </c>
      <c r="AD19" s="367">
        <f t="shared" si="11"/>
        <v>1306</v>
      </c>
      <c r="AE19" s="367">
        <f t="shared" si="11"/>
        <v>1306</v>
      </c>
      <c r="AF19" s="367">
        <f t="shared" si="11"/>
        <v>1306</v>
      </c>
      <c r="AG19" s="367">
        <f t="shared" si="11"/>
        <v>1306</v>
      </c>
      <c r="AH19" s="367">
        <f t="shared" si="11"/>
        <v>1306</v>
      </c>
      <c r="AI19" s="367">
        <f t="shared" si="11"/>
        <v>1306</v>
      </c>
      <c r="AJ19" s="367">
        <f t="shared" si="11"/>
        <v>1306</v>
      </c>
      <c r="AK19" s="367">
        <f t="shared" si="11"/>
        <v>1306</v>
      </c>
      <c r="AL19" s="367">
        <f t="shared" si="11"/>
        <v>871</v>
      </c>
      <c r="AM19" s="367">
        <f t="shared" si="11"/>
        <v>934</v>
      </c>
      <c r="AN19" s="367">
        <f t="shared" si="11"/>
        <v>1495</v>
      </c>
      <c r="AO19" s="367">
        <f t="shared" si="11"/>
        <v>1682</v>
      </c>
      <c r="AP19" s="367">
        <f t="shared" si="11"/>
        <v>1682</v>
      </c>
      <c r="AQ19" s="367">
        <f t="shared" si="11"/>
        <v>1682</v>
      </c>
      <c r="AR19" s="367">
        <f t="shared" si="11"/>
        <v>1682</v>
      </c>
      <c r="AS19" s="367">
        <f t="shared" si="11"/>
        <v>1682</v>
      </c>
      <c r="AT19" s="367">
        <f t="shared" si="11"/>
        <v>1682</v>
      </c>
      <c r="AU19" s="367">
        <f t="shared" si="11"/>
        <v>1682</v>
      </c>
      <c r="AV19" s="367">
        <f t="shared" si="11"/>
        <v>1682</v>
      </c>
      <c r="AW19" s="367">
        <f t="shared" si="11"/>
        <v>1682</v>
      </c>
      <c r="AX19" s="367">
        <f t="shared" si="11"/>
        <v>1121</v>
      </c>
      <c r="AY19" s="367">
        <f t="shared" si="11"/>
        <v>962</v>
      </c>
      <c r="AZ19" s="367">
        <f t="shared" si="11"/>
        <v>1540</v>
      </c>
      <c r="BA19" s="367">
        <f t="shared" si="11"/>
        <v>1733</v>
      </c>
      <c r="BB19" s="367">
        <f t="shared" si="11"/>
        <v>1733</v>
      </c>
      <c r="BC19" s="367">
        <f t="shared" si="11"/>
        <v>1733</v>
      </c>
      <c r="BD19" s="367">
        <f t="shared" si="11"/>
        <v>1733</v>
      </c>
      <c r="BE19" s="367">
        <f t="shared" si="11"/>
        <v>1733</v>
      </c>
      <c r="BF19" s="367">
        <f t="shared" si="11"/>
        <v>1733</v>
      </c>
      <c r="BG19" s="367">
        <f t="shared" si="11"/>
        <v>1733</v>
      </c>
      <c r="BH19" s="367">
        <f t="shared" si="11"/>
        <v>1733</v>
      </c>
      <c r="BI19" s="367">
        <f t="shared" si="11"/>
        <v>1733</v>
      </c>
      <c r="BJ19" s="367">
        <f t="shared" si="11"/>
        <v>1155</v>
      </c>
    </row>
    <row r="20" spans="1:64" x14ac:dyDescent="0.15">
      <c r="A20" s="47" t="s">
        <v>641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1092000</v>
      </c>
      <c r="G20" s="180">
        <f t="shared" si="12"/>
        <v>1498000</v>
      </c>
      <c r="H20" s="180">
        <f t="shared" si="12"/>
        <v>2226000</v>
      </c>
      <c r="I20" s="180">
        <f t="shared" si="12"/>
        <v>2786000</v>
      </c>
      <c r="J20" s="180">
        <f t="shared" si="12"/>
        <v>3346000</v>
      </c>
      <c r="K20" s="180">
        <f t="shared" si="12"/>
        <v>3906000</v>
      </c>
      <c r="L20" s="180">
        <f t="shared" si="12"/>
        <v>4466000</v>
      </c>
      <c r="M20" s="180">
        <f t="shared" si="12"/>
        <v>5026000</v>
      </c>
      <c r="N20" s="180">
        <f t="shared" si="12"/>
        <v>4466000</v>
      </c>
      <c r="O20" s="180">
        <f t="shared" si="12"/>
        <v>8613500</v>
      </c>
      <c r="P20" s="180">
        <f t="shared" si="12"/>
        <v>13601840</v>
      </c>
      <c r="Q20" s="180">
        <f t="shared" si="12"/>
        <v>15294580</v>
      </c>
      <c r="R20" s="180">
        <f t="shared" si="12"/>
        <v>15294580</v>
      </c>
      <c r="S20" s="180">
        <f t="shared" si="12"/>
        <v>15294580</v>
      </c>
      <c r="T20" s="180">
        <f t="shared" si="12"/>
        <v>15294580</v>
      </c>
      <c r="U20" s="180">
        <f t="shared" si="12"/>
        <v>15294580</v>
      </c>
      <c r="V20" s="180">
        <f t="shared" si="12"/>
        <v>15294580</v>
      </c>
      <c r="W20" s="180">
        <f t="shared" si="12"/>
        <v>15294580</v>
      </c>
      <c r="X20" s="180">
        <f t="shared" si="12"/>
        <v>15294580</v>
      </c>
      <c r="Y20" s="180">
        <f t="shared" si="12"/>
        <v>15294580</v>
      </c>
      <c r="Z20" s="180">
        <f t="shared" si="12"/>
        <v>10201380</v>
      </c>
      <c r="AA20" s="180">
        <f t="shared" si="12"/>
        <v>11636763.6</v>
      </c>
      <c r="AB20" s="180">
        <f t="shared" si="12"/>
        <v>18609204.600000001</v>
      </c>
      <c r="AC20" s="180">
        <f t="shared" si="12"/>
        <v>20933351.600000001</v>
      </c>
      <c r="AD20" s="180">
        <f t="shared" si="12"/>
        <v>20933351.600000001</v>
      </c>
      <c r="AE20" s="180">
        <f t="shared" si="12"/>
        <v>20933351.600000001</v>
      </c>
      <c r="AF20" s="180">
        <f t="shared" si="12"/>
        <v>20933351.600000001</v>
      </c>
      <c r="AG20" s="180">
        <f t="shared" si="12"/>
        <v>20933351.600000001</v>
      </c>
      <c r="AH20" s="180">
        <f t="shared" si="12"/>
        <v>20933351.600000001</v>
      </c>
      <c r="AI20" s="180">
        <f t="shared" si="12"/>
        <v>20933351.600000001</v>
      </c>
      <c r="AJ20" s="180">
        <f t="shared" ref="AJ20:BJ20" si="13">AJ19*AJ55</f>
        <v>20933351.600000001</v>
      </c>
      <c r="AK20" s="180">
        <f t="shared" si="13"/>
        <v>20933351.600000001</v>
      </c>
      <c r="AL20" s="180">
        <f t="shared" si="13"/>
        <v>13960910.6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629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351000</v>
      </c>
      <c r="G21" s="104">
        <f t="shared" si="14"/>
        <v>481500</v>
      </c>
      <c r="H21" s="104">
        <f t="shared" si="14"/>
        <v>715500</v>
      </c>
      <c r="I21" s="104">
        <f t="shared" si="14"/>
        <v>895500</v>
      </c>
      <c r="J21" s="104">
        <f t="shared" si="14"/>
        <v>1075500</v>
      </c>
      <c r="K21" s="104">
        <f t="shared" si="14"/>
        <v>1255500</v>
      </c>
      <c r="L21" s="104">
        <f t="shared" si="14"/>
        <v>1435500</v>
      </c>
      <c r="M21" s="104">
        <f t="shared" si="14"/>
        <v>1615500</v>
      </c>
      <c r="N21" s="104">
        <f t="shared" si="14"/>
        <v>1435500</v>
      </c>
      <c r="O21" s="104">
        <f t="shared" si="14"/>
        <v>2768625</v>
      </c>
      <c r="P21" s="104">
        <f t="shared" si="14"/>
        <v>4372020</v>
      </c>
      <c r="Q21" s="104">
        <f t="shared" si="14"/>
        <v>4916115</v>
      </c>
      <c r="R21" s="104">
        <f t="shared" si="14"/>
        <v>4916115</v>
      </c>
      <c r="S21" s="104">
        <f t="shared" si="14"/>
        <v>4916115</v>
      </c>
      <c r="T21" s="104">
        <f t="shared" si="14"/>
        <v>4916115</v>
      </c>
      <c r="U21" s="104">
        <f t="shared" si="14"/>
        <v>4916115</v>
      </c>
      <c r="V21" s="104">
        <f t="shared" si="14"/>
        <v>4916115</v>
      </c>
      <c r="W21" s="104">
        <f t="shared" si="14"/>
        <v>4916115</v>
      </c>
      <c r="X21" s="104">
        <f t="shared" si="14"/>
        <v>4916115</v>
      </c>
      <c r="Y21" s="104">
        <f t="shared" si="14"/>
        <v>4916115</v>
      </c>
      <c r="Z21" s="104">
        <f t="shared" si="14"/>
        <v>3279015</v>
      </c>
      <c r="AA21" s="104">
        <f t="shared" si="14"/>
        <v>3740388.2999999989</v>
      </c>
      <c r="AB21" s="104">
        <f t="shared" si="14"/>
        <v>5981530.0500000017</v>
      </c>
      <c r="AC21" s="104">
        <f t="shared" si="14"/>
        <v>6728577.2999999998</v>
      </c>
      <c r="AD21" s="104">
        <f t="shared" si="14"/>
        <v>6728577.2999999998</v>
      </c>
      <c r="AE21" s="104">
        <f t="shared" si="14"/>
        <v>6728577.2999999998</v>
      </c>
      <c r="AF21" s="104">
        <f t="shared" si="14"/>
        <v>6728577.2999999998</v>
      </c>
      <c r="AG21" s="104">
        <f t="shared" si="14"/>
        <v>6728577.2999999998</v>
      </c>
      <c r="AH21" s="104">
        <f t="shared" si="14"/>
        <v>6728577.2999999998</v>
      </c>
      <c r="AI21" s="104">
        <f t="shared" ref="AI21:BJ21" si="15">AI19*AI67</f>
        <v>6728577.2999999998</v>
      </c>
      <c r="AJ21" s="104">
        <f t="shared" si="15"/>
        <v>6728577.2999999998</v>
      </c>
      <c r="AK21" s="104">
        <f t="shared" si="15"/>
        <v>6728577.2999999998</v>
      </c>
      <c r="AL21" s="104">
        <f t="shared" si="15"/>
        <v>4487435.5499999989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631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0</v>
      </c>
      <c r="G22" s="63">
        <f t="shared" si="16"/>
        <v>0</v>
      </c>
      <c r="H22" s="63">
        <f t="shared" si="16"/>
        <v>120000</v>
      </c>
      <c r="I22" s="63">
        <f t="shared" si="16"/>
        <v>150000</v>
      </c>
      <c r="J22" s="63">
        <f t="shared" si="16"/>
        <v>180000</v>
      </c>
      <c r="K22" s="63">
        <f t="shared" si="16"/>
        <v>210000</v>
      </c>
      <c r="L22" s="63">
        <f t="shared" si="16"/>
        <v>240000</v>
      </c>
      <c r="M22" s="63">
        <f t="shared" si="16"/>
        <v>270000</v>
      </c>
      <c r="N22" s="63">
        <f t="shared" si="16"/>
        <v>240000</v>
      </c>
      <c r="O22" s="63">
        <f t="shared" si="16"/>
        <v>500760</v>
      </c>
      <c r="P22" s="63">
        <f t="shared" si="16"/>
        <v>789660</v>
      </c>
      <c r="Q22" s="63">
        <f t="shared" si="16"/>
        <v>885960</v>
      </c>
      <c r="R22" s="63">
        <f t="shared" si="16"/>
        <v>885960</v>
      </c>
      <c r="S22" s="63">
        <f t="shared" si="16"/>
        <v>885960</v>
      </c>
      <c r="T22" s="63">
        <f t="shared" si="16"/>
        <v>885960</v>
      </c>
      <c r="U22" s="63">
        <f t="shared" si="16"/>
        <v>885960</v>
      </c>
      <c r="V22" s="63">
        <f t="shared" si="16"/>
        <v>885960</v>
      </c>
      <c r="W22" s="63">
        <f t="shared" si="16"/>
        <v>885960</v>
      </c>
      <c r="X22" s="63">
        <f t="shared" si="16"/>
        <v>885960</v>
      </c>
      <c r="Y22" s="63">
        <f t="shared" si="16"/>
        <v>885960</v>
      </c>
      <c r="Z22" s="63">
        <f t="shared" si="16"/>
        <v>590640</v>
      </c>
      <c r="AA22" s="63">
        <f t="shared" si="16"/>
        <v>776242.20000000007</v>
      </c>
      <c r="AB22" s="63">
        <f t="shared" si="16"/>
        <v>1236492</v>
      </c>
      <c r="AC22" s="63">
        <f t="shared" si="16"/>
        <v>1391053.5</v>
      </c>
      <c r="AD22" s="63">
        <f t="shared" si="16"/>
        <v>1391053.5</v>
      </c>
      <c r="AE22" s="63">
        <f t="shared" si="16"/>
        <v>1391053.5</v>
      </c>
      <c r="AF22" s="63">
        <f t="shared" si="16"/>
        <v>1391053.5</v>
      </c>
      <c r="AG22" s="63">
        <f t="shared" si="16"/>
        <v>1391053.5</v>
      </c>
      <c r="AH22" s="63">
        <f t="shared" si="16"/>
        <v>1391053.5</v>
      </c>
      <c r="AI22" s="63">
        <f t="shared" si="16"/>
        <v>1391053.5</v>
      </c>
      <c r="AJ22" s="63">
        <f t="shared" si="16"/>
        <v>1391053.5</v>
      </c>
      <c r="AK22" s="63">
        <f t="shared" si="16"/>
        <v>1391053.5</v>
      </c>
      <c r="AL22" s="63">
        <f t="shared" si="16"/>
        <v>930803.70000000007</v>
      </c>
      <c r="AM22" s="63">
        <f t="shared" si="16"/>
        <v>1032711.2490000001</v>
      </c>
      <c r="AN22" s="63">
        <f t="shared" si="16"/>
        <v>1650132.9210000001</v>
      </c>
      <c r="AO22" s="63">
        <f t="shared" si="16"/>
        <v>1855940.1450000003</v>
      </c>
      <c r="AP22" s="63">
        <f t="shared" si="16"/>
        <v>1855940.1450000003</v>
      </c>
      <c r="AQ22" s="63">
        <f t="shared" si="16"/>
        <v>1855940.1450000003</v>
      </c>
      <c r="AR22" s="63">
        <f t="shared" si="16"/>
        <v>1855940.1450000003</v>
      </c>
      <c r="AS22" s="63">
        <f t="shared" si="16"/>
        <v>1855940.1450000003</v>
      </c>
      <c r="AT22" s="63">
        <f t="shared" si="16"/>
        <v>1855940.1450000003</v>
      </c>
      <c r="AU22" s="63">
        <f t="shared" si="16"/>
        <v>1855940.1450000003</v>
      </c>
      <c r="AV22" s="63">
        <f t="shared" si="16"/>
        <v>1855940.1450000003</v>
      </c>
      <c r="AW22" s="63">
        <f t="shared" si="16"/>
        <v>1855940.1450000003</v>
      </c>
      <c r="AX22" s="63">
        <f t="shared" si="16"/>
        <v>1238518.4730000002</v>
      </c>
      <c r="AY22" s="63">
        <f t="shared" si="16"/>
        <v>1136460.1406700001</v>
      </c>
      <c r="AZ22" s="63">
        <f t="shared" si="16"/>
        <v>1816763.2698600003</v>
      </c>
      <c r="BA22" s="63">
        <f t="shared" si="16"/>
        <v>2044841.7756000003</v>
      </c>
      <c r="BB22" s="63">
        <f t="shared" si="16"/>
        <v>2044841.7756000003</v>
      </c>
      <c r="BC22" s="63">
        <f t="shared" si="16"/>
        <v>2044841.7756000003</v>
      </c>
      <c r="BD22" s="63">
        <f t="shared" si="16"/>
        <v>2044841.7756000003</v>
      </c>
      <c r="BE22" s="63">
        <f t="shared" si="16"/>
        <v>2044841.7756000003</v>
      </c>
      <c r="BF22" s="63">
        <f t="shared" si="16"/>
        <v>2044841.7756000003</v>
      </c>
      <c r="BG22" s="63">
        <f t="shared" si="16"/>
        <v>2044841.7756000003</v>
      </c>
      <c r="BH22" s="63">
        <f t="shared" si="16"/>
        <v>2044841.7756000003</v>
      </c>
      <c r="BI22" s="63">
        <f t="shared" si="16"/>
        <v>2044841.7756000003</v>
      </c>
      <c r="BJ22" s="63">
        <f t="shared" si="16"/>
        <v>1364538.6464100003</v>
      </c>
      <c r="BL22" s="104">
        <f>BJ20+BJ22</f>
        <v>22560110.128110003</v>
      </c>
    </row>
    <row r="23" spans="1:64" x14ac:dyDescent="0.15">
      <c r="A23" s="47" t="s">
        <v>1218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351000</v>
      </c>
      <c r="G23" s="63">
        <f t="shared" si="17"/>
        <v>481500</v>
      </c>
      <c r="H23" s="63">
        <f t="shared" si="17"/>
        <v>835500</v>
      </c>
      <c r="I23" s="63">
        <f t="shared" si="17"/>
        <v>1045500</v>
      </c>
      <c r="J23" s="63">
        <f t="shared" si="17"/>
        <v>1255500</v>
      </c>
      <c r="K23" s="63">
        <f t="shared" si="17"/>
        <v>1465500</v>
      </c>
      <c r="L23" s="63">
        <f t="shared" si="17"/>
        <v>1675500</v>
      </c>
      <c r="M23" s="63">
        <f t="shared" si="17"/>
        <v>1885500</v>
      </c>
      <c r="N23" s="63">
        <f t="shared" si="17"/>
        <v>1675500</v>
      </c>
      <c r="O23" s="63">
        <f t="shared" si="17"/>
        <v>3269385</v>
      </c>
      <c r="P23" s="63">
        <f t="shared" si="17"/>
        <v>5161680</v>
      </c>
      <c r="Q23" s="63">
        <f t="shared" si="17"/>
        <v>5802075</v>
      </c>
      <c r="R23" s="63">
        <f t="shared" si="17"/>
        <v>5802075</v>
      </c>
      <c r="S23" s="63">
        <f t="shared" si="17"/>
        <v>5802075</v>
      </c>
      <c r="T23" s="63">
        <f t="shared" si="17"/>
        <v>5802075</v>
      </c>
      <c r="U23" s="63">
        <f t="shared" si="17"/>
        <v>5802075</v>
      </c>
      <c r="V23" s="63">
        <f t="shared" si="17"/>
        <v>5802075</v>
      </c>
      <c r="W23" s="63">
        <f t="shared" si="17"/>
        <v>5802075</v>
      </c>
      <c r="X23" s="63">
        <f t="shared" si="17"/>
        <v>5802075</v>
      </c>
      <c r="Y23" s="63">
        <f t="shared" si="17"/>
        <v>5802075</v>
      </c>
      <c r="Z23" s="63">
        <f t="shared" si="17"/>
        <v>3869655</v>
      </c>
      <c r="AA23" s="63">
        <f t="shared" si="17"/>
        <v>4516630.4999999991</v>
      </c>
      <c r="AB23" s="63">
        <f t="shared" si="17"/>
        <v>7218022.0500000017</v>
      </c>
      <c r="AC23" s="63">
        <f t="shared" si="17"/>
        <v>8119630.7999999998</v>
      </c>
      <c r="AD23" s="63">
        <f t="shared" si="17"/>
        <v>8119630.7999999998</v>
      </c>
      <c r="AE23" s="63">
        <f t="shared" si="17"/>
        <v>8119630.7999999998</v>
      </c>
      <c r="AF23" s="63">
        <f t="shared" si="17"/>
        <v>8119630.7999999998</v>
      </c>
      <c r="AG23" s="63">
        <f t="shared" si="17"/>
        <v>8119630.7999999998</v>
      </c>
      <c r="AH23" s="63">
        <f t="shared" si="17"/>
        <v>8119630.7999999998</v>
      </c>
      <c r="AI23" s="63">
        <f t="shared" si="17"/>
        <v>8119630.7999999998</v>
      </c>
      <c r="AJ23" s="63">
        <f t="shared" si="17"/>
        <v>8119630.7999999998</v>
      </c>
      <c r="AK23" s="63">
        <f t="shared" si="17"/>
        <v>8119630.7999999998</v>
      </c>
      <c r="AL23" s="63">
        <f t="shared" si="17"/>
        <v>5418239.2499999991</v>
      </c>
      <c r="AM23" s="63">
        <f t="shared" si="17"/>
        <v>6181566.978000002</v>
      </c>
      <c r="AN23" s="63">
        <f t="shared" si="17"/>
        <v>9891609.7034999989</v>
      </c>
      <c r="AO23" s="63">
        <f t="shared" si="17"/>
        <v>11128290.612</v>
      </c>
      <c r="AP23" s="63">
        <f t="shared" si="17"/>
        <v>11128290.612</v>
      </c>
      <c r="AQ23" s="63">
        <f t="shared" si="17"/>
        <v>11128290.612</v>
      </c>
      <c r="AR23" s="63">
        <f t="shared" si="17"/>
        <v>11128290.612</v>
      </c>
      <c r="AS23" s="63">
        <f t="shared" si="17"/>
        <v>11128290.612</v>
      </c>
      <c r="AT23" s="63">
        <f t="shared" si="17"/>
        <v>11128290.612</v>
      </c>
      <c r="AU23" s="63">
        <f t="shared" si="17"/>
        <v>11128290.612</v>
      </c>
      <c r="AV23" s="63">
        <f t="shared" si="17"/>
        <v>11128290.612</v>
      </c>
      <c r="AW23" s="63">
        <f t="shared" si="17"/>
        <v>11128290.612</v>
      </c>
      <c r="AX23" s="63">
        <f t="shared" si="17"/>
        <v>7418247.8865000019</v>
      </c>
      <c r="AY23" s="63">
        <f t="shared" si="17"/>
        <v>6810896.0679599997</v>
      </c>
      <c r="AZ23" s="63">
        <f t="shared" si="17"/>
        <v>10900579.619160004</v>
      </c>
      <c r="BA23" s="63">
        <f t="shared" si="17"/>
        <v>12267084.459585004</v>
      </c>
      <c r="BB23" s="63">
        <f t="shared" si="17"/>
        <v>12267084.459585004</v>
      </c>
      <c r="BC23" s="63">
        <f t="shared" si="17"/>
        <v>12267084.459585004</v>
      </c>
      <c r="BD23" s="63">
        <f t="shared" si="17"/>
        <v>12267084.459585004</v>
      </c>
      <c r="BE23" s="63">
        <f t="shared" si="17"/>
        <v>12267084.459585004</v>
      </c>
      <c r="BF23" s="63">
        <f t="shared" si="17"/>
        <v>12267084.459585004</v>
      </c>
      <c r="BG23" s="63">
        <f t="shared" si="17"/>
        <v>12267084.459585004</v>
      </c>
      <c r="BH23" s="63">
        <f t="shared" si="17"/>
        <v>12267084.459585004</v>
      </c>
      <c r="BI23" s="63">
        <f t="shared" si="17"/>
        <v>12267084.459585004</v>
      </c>
      <c r="BJ23" s="63">
        <f t="shared" si="17"/>
        <v>8177400.9083850002</v>
      </c>
      <c r="BL23" s="104">
        <f>BJ21+BJ22</f>
        <v>8177400.9083850002</v>
      </c>
    </row>
    <row r="24" spans="1:64" x14ac:dyDescent="0.15">
      <c r="A24" s="47" t="s">
        <v>316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0.32142857142857145</v>
      </c>
      <c r="G24" s="96">
        <f t="shared" si="18"/>
        <v>0.32142857142857145</v>
      </c>
      <c r="H24" s="96">
        <f t="shared" si="18"/>
        <v>0.35613810741687979</v>
      </c>
      <c r="I24" s="96">
        <f t="shared" si="18"/>
        <v>0.35609673024523159</v>
      </c>
      <c r="J24" s="96">
        <f t="shared" si="18"/>
        <v>0.35606920022688598</v>
      </c>
      <c r="K24" s="96">
        <f t="shared" si="18"/>
        <v>0.35604956268221577</v>
      </c>
      <c r="L24" s="96">
        <f t="shared" si="18"/>
        <v>0.35603484912877176</v>
      </c>
      <c r="M24" s="96">
        <f t="shared" si="18"/>
        <v>0.35602341389728098</v>
      </c>
      <c r="N24" s="96">
        <f t="shared" si="18"/>
        <v>0.35603484912877176</v>
      </c>
      <c r="O24" s="96">
        <f t="shared" si="18"/>
        <v>0.35871096501526178</v>
      </c>
      <c r="P24" s="96">
        <f t="shared" si="18"/>
        <v>0.35866171003717473</v>
      </c>
      <c r="Q24" s="96">
        <f t="shared" si="18"/>
        <v>0.35858352069832033</v>
      </c>
      <c r="R24" s="96">
        <f t="shared" si="18"/>
        <v>0.35858352069832033</v>
      </c>
      <c r="S24" s="96">
        <f t="shared" si="18"/>
        <v>0.35858352069832033</v>
      </c>
      <c r="T24" s="96">
        <f t="shared" si="18"/>
        <v>0.35858352069832033</v>
      </c>
      <c r="U24" s="96">
        <f t="shared" si="18"/>
        <v>0.35858352069832033</v>
      </c>
      <c r="V24" s="96">
        <f t="shared" si="18"/>
        <v>0.35858352069832033</v>
      </c>
      <c r="W24" s="96">
        <f t="shared" si="18"/>
        <v>0.35858352069832033</v>
      </c>
      <c r="X24" s="96">
        <f t="shared" si="18"/>
        <v>0.35858352069832033</v>
      </c>
      <c r="Y24" s="96">
        <f t="shared" si="18"/>
        <v>0.35858352069832033</v>
      </c>
      <c r="Z24" s="96">
        <f t="shared" si="18"/>
        <v>0.3585663295657347</v>
      </c>
      <c r="AA24" s="96">
        <f t="shared" si="18"/>
        <v>0.36386275594908685</v>
      </c>
      <c r="AB24" s="96">
        <f t="shared" si="18"/>
        <v>0.36370716510903434</v>
      </c>
      <c r="AC24" s="96">
        <f t="shared" si="18"/>
        <v>0.36371095953638644</v>
      </c>
      <c r="AD24" s="96">
        <f t="shared" si="18"/>
        <v>0.36371095953638644</v>
      </c>
      <c r="AE24" s="96">
        <f t="shared" si="18"/>
        <v>0.36371095953638644</v>
      </c>
      <c r="AF24" s="96">
        <f t="shared" si="18"/>
        <v>0.36371095953638644</v>
      </c>
      <c r="AG24" s="96">
        <f t="shared" si="18"/>
        <v>0.36371095953638644</v>
      </c>
      <c r="AH24" s="96">
        <f t="shared" si="18"/>
        <v>0.36371095953638644</v>
      </c>
      <c r="AI24" s="96">
        <f t="shared" si="18"/>
        <v>0.36371095953638644</v>
      </c>
      <c r="AJ24" s="96">
        <f t="shared" si="18"/>
        <v>0.36371095953638644</v>
      </c>
      <c r="AK24" s="96">
        <f t="shared" si="18"/>
        <v>0.36371095953638644</v>
      </c>
      <c r="AL24" s="96">
        <f t="shared" si="18"/>
        <v>0.3638425463212116</v>
      </c>
      <c r="AM24" s="96">
        <f t="shared" si="18"/>
        <v>0.36252604353761048</v>
      </c>
      <c r="AN24" s="96">
        <f t="shared" si="18"/>
        <v>0.36245903847017097</v>
      </c>
      <c r="AO24" s="96">
        <f t="shared" si="18"/>
        <v>0.36244663448110759</v>
      </c>
      <c r="AP24" s="96">
        <f t="shared" si="18"/>
        <v>0.36244663448110759</v>
      </c>
      <c r="AQ24" s="96">
        <f t="shared" si="18"/>
        <v>0.36244663448110759</v>
      </c>
      <c r="AR24" s="96">
        <f t="shared" si="18"/>
        <v>0.36244663448110759</v>
      </c>
      <c r="AS24" s="96">
        <f t="shared" si="18"/>
        <v>0.36244663448110759</v>
      </c>
      <c r="AT24" s="96">
        <f t="shared" si="18"/>
        <v>0.36244663448110759</v>
      </c>
      <c r="AU24" s="96">
        <f t="shared" si="18"/>
        <v>0.36244663448110759</v>
      </c>
      <c r="AV24" s="96">
        <f t="shared" si="18"/>
        <v>0.36244663448110759</v>
      </c>
      <c r="AW24" s="96">
        <f t="shared" si="18"/>
        <v>0.36244663448110759</v>
      </c>
      <c r="AX24" s="96">
        <f t="shared" si="18"/>
        <v>0.36249625860520801</v>
      </c>
      <c r="AY24" s="96">
        <f t="shared" si="18"/>
        <v>0.36246948029298909</v>
      </c>
      <c r="AZ24" s="96">
        <f t="shared" si="18"/>
        <v>0.36241610738255037</v>
      </c>
      <c r="BA24" s="96">
        <f t="shared" si="18"/>
        <v>0.36242351483231355</v>
      </c>
      <c r="BB24" s="96">
        <f t="shared" si="18"/>
        <v>0.36242351483231355</v>
      </c>
      <c r="BC24" s="96">
        <f t="shared" si="18"/>
        <v>0.36242351483231355</v>
      </c>
      <c r="BD24" s="96">
        <f t="shared" si="18"/>
        <v>0.36242351483231355</v>
      </c>
      <c r="BE24" s="96">
        <f t="shared" si="18"/>
        <v>0.36242351483231355</v>
      </c>
      <c r="BF24" s="96">
        <f t="shared" si="18"/>
        <v>0.36242351483231355</v>
      </c>
      <c r="BG24" s="96">
        <f t="shared" si="18"/>
        <v>0.36242351483231355</v>
      </c>
      <c r="BH24" s="96">
        <f t="shared" si="18"/>
        <v>0.36242351483231355</v>
      </c>
      <c r="BI24" s="96">
        <f t="shared" si="18"/>
        <v>0.36242351483231355</v>
      </c>
      <c r="BJ24" s="96">
        <f t="shared" si="18"/>
        <v>0.36247167509151118</v>
      </c>
      <c r="BL24" s="178">
        <f>BL23/BL22</f>
        <v>0.36247167509151118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630</v>
      </c>
      <c r="B27" s="75"/>
      <c r="C27" s="367">
        <f>C47</f>
        <v>0</v>
      </c>
      <c r="D27" s="367">
        <f t="shared" ref="D27:BJ27" si="19">D47</f>
        <v>0</v>
      </c>
      <c r="E27" s="367">
        <f t="shared" si="19"/>
        <v>0</v>
      </c>
      <c r="F27" s="367">
        <f t="shared" si="19"/>
        <v>0</v>
      </c>
      <c r="G27" s="367">
        <f t="shared" si="19"/>
        <v>0</v>
      </c>
      <c r="H27" s="367">
        <f t="shared" si="19"/>
        <v>69</v>
      </c>
      <c r="I27" s="367">
        <f t="shared" si="19"/>
        <v>86</v>
      </c>
      <c r="J27" s="367">
        <f t="shared" si="19"/>
        <v>103</v>
      </c>
      <c r="K27" s="367">
        <f t="shared" si="19"/>
        <v>120</v>
      </c>
      <c r="L27" s="367">
        <f t="shared" si="19"/>
        <v>137</v>
      </c>
      <c r="M27" s="367">
        <f t="shared" si="19"/>
        <v>154</v>
      </c>
      <c r="N27" s="367">
        <f t="shared" si="19"/>
        <v>137</v>
      </c>
      <c r="O27" s="367">
        <f t="shared" si="19"/>
        <v>247</v>
      </c>
      <c r="P27" s="367">
        <f t="shared" si="19"/>
        <v>408</v>
      </c>
      <c r="Q27" s="367">
        <f t="shared" si="19"/>
        <v>459</v>
      </c>
      <c r="R27" s="367">
        <f t="shared" si="19"/>
        <v>459</v>
      </c>
      <c r="S27" s="367">
        <f t="shared" si="19"/>
        <v>459</v>
      </c>
      <c r="T27" s="367">
        <f t="shared" si="19"/>
        <v>459</v>
      </c>
      <c r="U27" s="367">
        <f t="shared" si="19"/>
        <v>459</v>
      </c>
      <c r="V27" s="367">
        <f t="shared" si="19"/>
        <v>459</v>
      </c>
      <c r="W27" s="367">
        <f t="shared" si="19"/>
        <v>459</v>
      </c>
      <c r="X27" s="367">
        <f t="shared" si="19"/>
        <v>459</v>
      </c>
      <c r="Y27" s="367">
        <f t="shared" si="19"/>
        <v>459</v>
      </c>
      <c r="Z27" s="367">
        <f t="shared" si="19"/>
        <v>306</v>
      </c>
      <c r="AA27" s="367">
        <f t="shared" si="19"/>
        <v>726</v>
      </c>
      <c r="AB27" s="367">
        <f t="shared" si="19"/>
        <v>1162</v>
      </c>
      <c r="AC27" s="367">
        <f t="shared" si="19"/>
        <v>1307</v>
      </c>
      <c r="AD27" s="367">
        <f t="shared" si="19"/>
        <v>1307</v>
      </c>
      <c r="AE27" s="367">
        <f t="shared" si="19"/>
        <v>1307</v>
      </c>
      <c r="AF27" s="367">
        <f t="shared" si="19"/>
        <v>1307</v>
      </c>
      <c r="AG27" s="101">
        <f t="shared" si="19"/>
        <v>1307</v>
      </c>
      <c r="AH27" s="101">
        <f t="shared" si="19"/>
        <v>1307</v>
      </c>
      <c r="AI27" s="101">
        <f t="shared" si="19"/>
        <v>1307</v>
      </c>
      <c r="AJ27" s="101">
        <f t="shared" si="19"/>
        <v>1307</v>
      </c>
      <c r="AK27" s="101">
        <f t="shared" si="19"/>
        <v>1307</v>
      </c>
      <c r="AL27" s="101">
        <f t="shared" si="19"/>
        <v>871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641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0</v>
      </c>
      <c r="G28" s="180">
        <f t="shared" si="20"/>
        <v>0</v>
      </c>
      <c r="H28" s="180">
        <f t="shared" si="20"/>
        <v>1518000</v>
      </c>
      <c r="I28" s="180">
        <f t="shared" si="20"/>
        <v>1892000</v>
      </c>
      <c r="J28" s="180">
        <f t="shared" si="20"/>
        <v>2266000</v>
      </c>
      <c r="K28" s="180">
        <f t="shared" si="20"/>
        <v>2640000</v>
      </c>
      <c r="L28" s="180">
        <f t="shared" si="20"/>
        <v>3014000</v>
      </c>
      <c r="M28" s="180">
        <f t="shared" si="20"/>
        <v>3388000</v>
      </c>
      <c r="N28" s="180">
        <f t="shared" si="20"/>
        <v>3014000</v>
      </c>
      <c r="O28" s="180">
        <f t="shared" si="20"/>
        <v>5814380</v>
      </c>
      <c r="P28" s="180">
        <f t="shared" si="20"/>
        <v>9604320</v>
      </c>
      <c r="Q28" s="180">
        <f t="shared" si="20"/>
        <v>10804860</v>
      </c>
      <c r="R28" s="180">
        <f t="shared" si="20"/>
        <v>10804860</v>
      </c>
      <c r="S28" s="180">
        <f t="shared" si="20"/>
        <v>10804860</v>
      </c>
      <c r="T28" s="180">
        <f t="shared" si="20"/>
        <v>10804860</v>
      </c>
      <c r="U28" s="180">
        <f t="shared" si="20"/>
        <v>10804860</v>
      </c>
      <c r="V28" s="180">
        <f t="shared" si="20"/>
        <v>10804860</v>
      </c>
      <c r="W28" s="180">
        <f t="shared" si="20"/>
        <v>10804860</v>
      </c>
      <c r="X28" s="180">
        <f t="shared" si="20"/>
        <v>10804860</v>
      </c>
      <c r="Y28" s="180">
        <f t="shared" si="20"/>
        <v>10804860</v>
      </c>
      <c r="Z28" s="180">
        <f t="shared" si="20"/>
        <v>7203240</v>
      </c>
      <c r="AA28" s="180">
        <f t="shared" si="20"/>
        <v>18286342.800000001</v>
      </c>
      <c r="AB28" s="180">
        <f t="shared" si="20"/>
        <v>29268223.600000005</v>
      </c>
      <c r="AC28" s="180">
        <f t="shared" si="20"/>
        <v>32920454.600000005</v>
      </c>
      <c r="AD28" s="180">
        <f t="shared" si="20"/>
        <v>32920454.600000005</v>
      </c>
      <c r="AE28" s="180">
        <f t="shared" si="20"/>
        <v>32920454.600000005</v>
      </c>
      <c r="AF28" s="180">
        <f t="shared" si="20"/>
        <v>32920454.600000005</v>
      </c>
      <c r="AG28" s="180">
        <f t="shared" si="20"/>
        <v>32920454.600000005</v>
      </c>
      <c r="AH28" s="180">
        <f t="shared" si="20"/>
        <v>32920454.600000005</v>
      </c>
      <c r="AI28" s="180">
        <f t="shared" si="20"/>
        <v>32920454.600000005</v>
      </c>
      <c r="AJ28" s="180">
        <f t="shared" si="20"/>
        <v>32920454.600000005</v>
      </c>
      <c r="AK28" s="180">
        <f t="shared" si="20"/>
        <v>32920454.600000005</v>
      </c>
      <c r="AL28" s="180">
        <f t="shared" si="20"/>
        <v>21938573.800000001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629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0</v>
      </c>
      <c r="G29" s="63">
        <f t="shared" si="21"/>
        <v>0</v>
      </c>
      <c r="H29" s="63">
        <f t="shared" si="21"/>
        <v>828000</v>
      </c>
      <c r="I29" s="63">
        <f t="shared" si="21"/>
        <v>1032000</v>
      </c>
      <c r="J29" s="63">
        <f t="shared" si="21"/>
        <v>1236000</v>
      </c>
      <c r="K29" s="63">
        <f t="shared" si="21"/>
        <v>1440000</v>
      </c>
      <c r="L29" s="63">
        <f t="shared" si="21"/>
        <v>1644000</v>
      </c>
      <c r="M29" s="63">
        <f t="shared" si="21"/>
        <v>1848000</v>
      </c>
      <c r="N29" s="63">
        <f t="shared" si="21"/>
        <v>1644000</v>
      </c>
      <c r="O29" s="63">
        <f t="shared" si="21"/>
        <v>3171480</v>
      </c>
      <c r="P29" s="63">
        <f t="shared" si="21"/>
        <v>5238720</v>
      </c>
      <c r="Q29" s="63">
        <f t="shared" si="21"/>
        <v>5893560</v>
      </c>
      <c r="R29" s="63">
        <f t="shared" si="21"/>
        <v>5893560</v>
      </c>
      <c r="S29" s="63">
        <f t="shared" si="21"/>
        <v>5893560</v>
      </c>
      <c r="T29" s="63">
        <f t="shared" si="21"/>
        <v>5893560</v>
      </c>
      <c r="U29" s="63">
        <f t="shared" si="21"/>
        <v>5893560</v>
      </c>
      <c r="V29" s="63">
        <f t="shared" si="21"/>
        <v>5893560</v>
      </c>
      <c r="W29" s="63">
        <f t="shared" si="21"/>
        <v>5893560</v>
      </c>
      <c r="X29" s="63">
        <f t="shared" si="21"/>
        <v>5893560</v>
      </c>
      <c r="Y29" s="63">
        <f t="shared" si="21"/>
        <v>5893560</v>
      </c>
      <c r="Z29" s="63">
        <f t="shared" si="21"/>
        <v>3929040</v>
      </c>
      <c r="AA29" s="63">
        <f t="shared" si="21"/>
        <v>9974368.8000000007</v>
      </c>
      <c r="AB29" s="63">
        <f t="shared" si="21"/>
        <v>15964485.600000005</v>
      </c>
      <c r="AC29" s="63">
        <f t="shared" si="21"/>
        <v>17956611.600000005</v>
      </c>
      <c r="AD29" s="63">
        <f t="shared" si="21"/>
        <v>17956611.600000005</v>
      </c>
      <c r="AE29" s="63">
        <f t="shared" si="21"/>
        <v>17956611.600000005</v>
      </c>
      <c r="AF29" s="63">
        <f t="shared" si="21"/>
        <v>17956611.600000005</v>
      </c>
      <c r="AG29" s="63">
        <f t="shared" si="21"/>
        <v>17956611.600000005</v>
      </c>
      <c r="AH29" s="63">
        <f t="shared" si="21"/>
        <v>17956611.600000005</v>
      </c>
      <c r="AI29" s="63">
        <f t="shared" si="21"/>
        <v>17956611.600000005</v>
      </c>
      <c r="AJ29" s="63">
        <f t="shared" si="21"/>
        <v>17956611.600000005</v>
      </c>
      <c r="AK29" s="63">
        <f t="shared" si="21"/>
        <v>17956611.600000005</v>
      </c>
      <c r="AL29" s="63">
        <f t="shared" si="21"/>
        <v>11966494.800000001</v>
      </c>
      <c r="AM29" s="63">
        <f t="shared" si="21"/>
        <v>13744982.460000001</v>
      </c>
      <c r="AN29" s="63">
        <f t="shared" si="21"/>
        <v>21991971.936000004</v>
      </c>
      <c r="AO29" s="63">
        <f t="shared" si="21"/>
        <v>24740968.428000007</v>
      </c>
      <c r="AP29" s="63">
        <f t="shared" si="21"/>
        <v>24740968.428000007</v>
      </c>
      <c r="AQ29" s="63">
        <f t="shared" si="21"/>
        <v>24740968.428000007</v>
      </c>
      <c r="AR29" s="63">
        <f t="shared" si="21"/>
        <v>24740968.428000007</v>
      </c>
      <c r="AS29" s="63">
        <f t="shared" si="21"/>
        <v>24740968.428000007</v>
      </c>
      <c r="AT29" s="63">
        <f t="shared" si="21"/>
        <v>24740968.428000007</v>
      </c>
      <c r="AU29" s="63">
        <f t="shared" si="21"/>
        <v>24740968.428000007</v>
      </c>
      <c r="AV29" s="63">
        <f t="shared" si="21"/>
        <v>24740968.428000007</v>
      </c>
      <c r="AW29" s="63">
        <f t="shared" si="21"/>
        <v>24740968.428000007</v>
      </c>
      <c r="AX29" s="63">
        <f t="shared" si="21"/>
        <v>16493978.952000003</v>
      </c>
      <c r="AY29" s="63">
        <f t="shared" si="21"/>
        <v>15147558.691560002</v>
      </c>
      <c r="AZ29" s="63">
        <f t="shared" si="21"/>
        <v>24239239.816920005</v>
      </c>
      <c r="BA29" s="63">
        <f t="shared" si="21"/>
        <v>27259313.823960003</v>
      </c>
      <c r="BB29" s="63">
        <f t="shared" si="21"/>
        <v>27259313.823960003</v>
      </c>
      <c r="BC29" s="63">
        <f t="shared" si="21"/>
        <v>27259313.823960003</v>
      </c>
      <c r="BD29" s="63">
        <f t="shared" si="21"/>
        <v>27259313.823960003</v>
      </c>
      <c r="BE29" s="63">
        <f t="shared" si="21"/>
        <v>27259313.823960003</v>
      </c>
      <c r="BF29" s="63">
        <f t="shared" si="21"/>
        <v>27259313.823960003</v>
      </c>
      <c r="BG29" s="63">
        <f t="shared" si="21"/>
        <v>27259313.823960003</v>
      </c>
      <c r="BH29" s="63">
        <f t="shared" si="21"/>
        <v>27259313.823960003</v>
      </c>
      <c r="BI29" s="63">
        <f t="shared" si="21"/>
        <v>27259313.823960003</v>
      </c>
      <c r="BJ29" s="63">
        <f t="shared" si="21"/>
        <v>18183362.250720002</v>
      </c>
      <c r="BL29" s="104">
        <f>BJ28+BJ30</f>
        <v>34700702.772730008</v>
      </c>
    </row>
    <row r="30" spans="1:64" x14ac:dyDescent="0.15">
      <c r="A30" s="47" t="s">
        <v>635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0</v>
      </c>
      <c r="G30" s="63">
        <f t="shared" si="22"/>
        <v>0</v>
      </c>
      <c r="H30" s="63">
        <f t="shared" si="22"/>
        <v>54000</v>
      </c>
      <c r="I30" s="63">
        <f t="shared" si="22"/>
        <v>69000</v>
      </c>
      <c r="J30" s="63">
        <f t="shared" si="22"/>
        <v>81000</v>
      </c>
      <c r="K30" s="63">
        <f t="shared" si="22"/>
        <v>96000</v>
      </c>
      <c r="L30" s="63">
        <f t="shared" si="22"/>
        <v>108000</v>
      </c>
      <c r="M30" s="63">
        <f t="shared" si="22"/>
        <v>123000</v>
      </c>
      <c r="N30" s="63">
        <f t="shared" si="22"/>
        <v>108000</v>
      </c>
      <c r="O30" s="63">
        <f t="shared" si="22"/>
        <v>199020</v>
      </c>
      <c r="P30" s="63">
        <f t="shared" si="22"/>
        <v>327420</v>
      </c>
      <c r="Q30" s="63">
        <f t="shared" si="22"/>
        <v>369150</v>
      </c>
      <c r="R30" s="63">
        <f t="shared" si="22"/>
        <v>369150</v>
      </c>
      <c r="S30" s="63">
        <f t="shared" si="22"/>
        <v>369150</v>
      </c>
      <c r="T30" s="63">
        <f t="shared" si="22"/>
        <v>369150</v>
      </c>
      <c r="U30" s="63">
        <f t="shared" si="22"/>
        <v>369150</v>
      </c>
      <c r="V30" s="63">
        <f t="shared" si="22"/>
        <v>369150</v>
      </c>
      <c r="W30" s="63">
        <f t="shared" si="22"/>
        <v>369150</v>
      </c>
      <c r="X30" s="63">
        <f t="shared" si="22"/>
        <v>369150</v>
      </c>
      <c r="Y30" s="63">
        <f t="shared" si="22"/>
        <v>369150</v>
      </c>
      <c r="Z30" s="63">
        <f t="shared" si="22"/>
        <v>247170</v>
      </c>
      <c r="AA30" s="63">
        <f t="shared" si="22"/>
        <v>748764.60000000009</v>
      </c>
      <c r="AB30" s="63">
        <f t="shared" si="22"/>
        <v>1198710.3</v>
      </c>
      <c r="AC30" s="63">
        <f t="shared" si="22"/>
        <v>1349837.1</v>
      </c>
      <c r="AD30" s="63">
        <f t="shared" si="22"/>
        <v>1349837.1</v>
      </c>
      <c r="AE30" s="63">
        <f t="shared" si="22"/>
        <v>1349837.1</v>
      </c>
      <c r="AF30" s="63">
        <f t="shared" si="22"/>
        <v>1349837.1</v>
      </c>
      <c r="AG30" s="63">
        <f t="shared" si="22"/>
        <v>1349837.1</v>
      </c>
      <c r="AH30" s="63">
        <f t="shared" si="22"/>
        <v>1349837.1</v>
      </c>
      <c r="AI30" s="63">
        <f t="shared" si="22"/>
        <v>1349837.1</v>
      </c>
      <c r="AJ30" s="63">
        <f t="shared" si="22"/>
        <v>1349837.1</v>
      </c>
      <c r="AK30" s="63">
        <f t="shared" si="22"/>
        <v>1349837.1</v>
      </c>
      <c r="AL30" s="63">
        <f t="shared" si="22"/>
        <v>899891.4</v>
      </c>
      <c r="AM30" s="63">
        <f t="shared" si="22"/>
        <v>1032711.2490000001</v>
      </c>
      <c r="AN30" s="63">
        <f t="shared" si="22"/>
        <v>1650132.9210000001</v>
      </c>
      <c r="AO30" s="63">
        <f t="shared" si="22"/>
        <v>1855940.1450000003</v>
      </c>
      <c r="AP30" s="63">
        <f t="shared" si="22"/>
        <v>1855940.1450000003</v>
      </c>
      <c r="AQ30" s="63">
        <f t="shared" si="22"/>
        <v>1855940.1450000003</v>
      </c>
      <c r="AR30" s="63">
        <f t="shared" si="22"/>
        <v>1855940.1450000003</v>
      </c>
      <c r="AS30" s="63">
        <f t="shared" si="22"/>
        <v>1855940.1450000003</v>
      </c>
      <c r="AT30" s="63">
        <f t="shared" si="22"/>
        <v>1855940.1450000003</v>
      </c>
      <c r="AU30" s="63">
        <f t="shared" si="22"/>
        <v>1855940.1450000003</v>
      </c>
      <c r="AV30" s="63">
        <f t="shared" si="22"/>
        <v>1855940.1450000003</v>
      </c>
      <c r="AW30" s="63">
        <f t="shared" si="22"/>
        <v>1855940.1450000003</v>
      </c>
      <c r="AX30" s="63">
        <f t="shared" si="22"/>
        <v>1238518.4730000002</v>
      </c>
      <c r="AY30" s="63">
        <f t="shared" si="22"/>
        <v>1136460.1406700001</v>
      </c>
      <c r="AZ30" s="63">
        <f t="shared" si="22"/>
        <v>1820695.6578900001</v>
      </c>
      <c r="BA30" s="63">
        <f t="shared" si="22"/>
        <v>2044841.7756000003</v>
      </c>
      <c r="BB30" s="63">
        <f t="shared" si="22"/>
        <v>2044841.7756000003</v>
      </c>
      <c r="BC30" s="63">
        <f t="shared" si="22"/>
        <v>2044841.7756000003</v>
      </c>
      <c r="BD30" s="63">
        <f t="shared" si="22"/>
        <v>2044841.7756000003</v>
      </c>
      <c r="BE30" s="63">
        <f t="shared" si="22"/>
        <v>2044841.7756000003</v>
      </c>
      <c r="BF30" s="63">
        <f t="shared" si="22"/>
        <v>2044841.7756000003</v>
      </c>
      <c r="BG30" s="63">
        <f t="shared" si="22"/>
        <v>2044841.7756000003</v>
      </c>
      <c r="BH30" s="63">
        <f t="shared" si="22"/>
        <v>2044841.7756000003</v>
      </c>
      <c r="BI30" s="63">
        <f t="shared" si="22"/>
        <v>2044841.7756000003</v>
      </c>
      <c r="BJ30" s="63">
        <f t="shared" si="22"/>
        <v>1364538.6464100003</v>
      </c>
      <c r="BL30" s="104">
        <f>BJ29+BJ30</f>
        <v>19547900.897130001</v>
      </c>
    </row>
    <row r="31" spans="1:64" x14ac:dyDescent="0.15">
      <c r="A31" s="47" t="s">
        <v>1218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0</v>
      </c>
      <c r="G31" s="63">
        <f t="shared" si="23"/>
        <v>0</v>
      </c>
      <c r="H31" s="63">
        <f t="shared" si="23"/>
        <v>882000</v>
      </c>
      <c r="I31" s="63">
        <f t="shared" si="23"/>
        <v>1101000</v>
      </c>
      <c r="J31" s="63">
        <f t="shared" si="23"/>
        <v>1317000</v>
      </c>
      <c r="K31" s="63">
        <f t="shared" si="23"/>
        <v>1536000</v>
      </c>
      <c r="L31" s="63">
        <f t="shared" si="23"/>
        <v>1752000</v>
      </c>
      <c r="M31" s="63">
        <f t="shared" si="23"/>
        <v>1971000</v>
      </c>
      <c r="N31" s="63">
        <f t="shared" si="23"/>
        <v>1752000</v>
      </c>
      <c r="O31" s="63">
        <f t="shared" si="23"/>
        <v>3370500</v>
      </c>
      <c r="P31" s="63">
        <f t="shared" si="23"/>
        <v>5566140</v>
      </c>
      <c r="Q31" s="63">
        <f t="shared" si="23"/>
        <v>6262710</v>
      </c>
      <c r="R31" s="63">
        <f t="shared" si="23"/>
        <v>6262710</v>
      </c>
      <c r="S31" s="63">
        <f t="shared" si="23"/>
        <v>6262710</v>
      </c>
      <c r="T31" s="63">
        <f t="shared" si="23"/>
        <v>6262710</v>
      </c>
      <c r="U31" s="63">
        <f t="shared" si="23"/>
        <v>6262710</v>
      </c>
      <c r="V31" s="63">
        <f t="shared" si="23"/>
        <v>6262710</v>
      </c>
      <c r="W31" s="63">
        <f t="shared" si="23"/>
        <v>6262710</v>
      </c>
      <c r="X31" s="63">
        <f t="shared" si="23"/>
        <v>6262710</v>
      </c>
      <c r="Y31" s="63">
        <f t="shared" si="23"/>
        <v>6262710</v>
      </c>
      <c r="Z31" s="63">
        <f t="shared" si="23"/>
        <v>4176210</v>
      </c>
      <c r="AA31" s="63">
        <f t="shared" si="23"/>
        <v>10723133.4</v>
      </c>
      <c r="AB31" s="63">
        <f t="shared" si="23"/>
        <v>17163195.900000006</v>
      </c>
      <c r="AC31" s="63">
        <f t="shared" si="23"/>
        <v>19306448.700000007</v>
      </c>
      <c r="AD31" s="63">
        <f t="shared" si="23"/>
        <v>19306448.700000007</v>
      </c>
      <c r="AE31" s="63">
        <f t="shared" si="23"/>
        <v>19306448.700000007</v>
      </c>
      <c r="AF31" s="63">
        <f t="shared" si="23"/>
        <v>19306448.700000007</v>
      </c>
      <c r="AG31" s="63">
        <f t="shared" si="23"/>
        <v>19306448.700000007</v>
      </c>
      <c r="AH31" s="63">
        <f t="shared" si="23"/>
        <v>19306448.700000007</v>
      </c>
      <c r="AI31" s="63">
        <f t="shared" si="23"/>
        <v>19306448.700000007</v>
      </c>
      <c r="AJ31" s="63">
        <f t="shared" si="23"/>
        <v>19306448.700000007</v>
      </c>
      <c r="AK31" s="63">
        <f t="shared" si="23"/>
        <v>19306448.700000007</v>
      </c>
      <c r="AL31" s="63">
        <f t="shared" si="23"/>
        <v>12866386.200000001</v>
      </c>
      <c r="AM31" s="63">
        <f t="shared" si="23"/>
        <v>14777693.709000001</v>
      </c>
      <c r="AN31" s="63">
        <f t="shared" si="23"/>
        <v>23642104.857000005</v>
      </c>
      <c r="AO31" s="63">
        <f t="shared" si="23"/>
        <v>26596908.573000006</v>
      </c>
      <c r="AP31" s="63">
        <f t="shared" si="23"/>
        <v>26596908.573000006</v>
      </c>
      <c r="AQ31" s="63">
        <f t="shared" si="23"/>
        <v>26596908.573000006</v>
      </c>
      <c r="AR31" s="63">
        <f t="shared" si="23"/>
        <v>26596908.573000006</v>
      </c>
      <c r="AS31" s="63">
        <f t="shared" si="23"/>
        <v>26596908.573000006</v>
      </c>
      <c r="AT31" s="63">
        <f t="shared" si="23"/>
        <v>26596908.573000006</v>
      </c>
      <c r="AU31" s="63">
        <f t="shared" si="23"/>
        <v>26596908.573000006</v>
      </c>
      <c r="AV31" s="63">
        <f t="shared" si="23"/>
        <v>26596908.573000006</v>
      </c>
      <c r="AW31" s="63">
        <f t="shared" si="23"/>
        <v>26596908.573000006</v>
      </c>
      <c r="AX31" s="63">
        <f t="shared" si="23"/>
        <v>17732497.425000004</v>
      </c>
      <c r="AY31" s="63">
        <f t="shared" si="23"/>
        <v>16284018.832230002</v>
      </c>
      <c r="AZ31" s="63">
        <f t="shared" si="23"/>
        <v>26059935.474810004</v>
      </c>
      <c r="BA31" s="63">
        <f t="shared" si="23"/>
        <v>29304155.599560004</v>
      </c>
      <c r="BB31" s="63">
        <f t="shared" si="23"/>
        <v>29304155.599560004</v>
      </c>
      <c r="BC31" s="63">
        <f t="shared" si="23"/>
        <v>29304155.599560004</v>
      </c>
      <c r="BD31" s="63">
        <f t="shared" si="23"/>
        <v>29304155.599560004</v>
      </c>
      <c r="BE31" s="63">
        <f t="shared" si="23"/>
        <v>29304155.599560004</v>
      </c>
      <c r="BF31" s="63">
        <f t="shared" si="23"/>
        <v>29304155.599560004</v>
      </c>
      <c r="BG31" s="63">
        <f t="shared" si="23"/>
        <v>29304155.599560004</v>
      </c>
      <c r="BH31" s="63">
        <f t="shared" si="23"/>
        <v>29304155.599560004</v>
      </c>
      <c r="BI31" s="63">
        <f t="shared" si="23"/>
        <v>29304155.599560004</v>
      </c>
      <c r="BJ31" s="63">
        <f t="shared" si="23"/>
        <v>19547900.897130001</v>
      </c>
      <c r="BL31" s="178">
        <f>BL30/BL29</f>
        <v>0.56332867449854562</v>
      </c>
    </row>
    <row r="32" spans="1:64" x14ac:dyDescent="0.15">
      <c r="A32" s="47" t="s">
        <v>316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</v>
      </c>
      <c r="G32" s="96">
        <f t="shared" si="24"/>
        <v>0</v>
      </c>
      <c r="H32" s="96">
        <f t="shared" si="24"/>
        <v>0.56106870229007633</v>
      </c>
      <c r="I32" s="96">
        <f t="shared" si="24"/>
        <v>0.56144824069352373</v>
      </c>
      <c r="J32" s="96">
        <f t="shared" si="24"/>
        <v>0.56114188325521941</v>
      </c>
      <c r="K32" s="96">
        <f t="shared" si="24"/>
        <v>0.56140350877192979</v>
      </c>
      <c r="L32" s="96">
        <f t="shared" si="24"/>
        <v>0.56117873158231901</v>
      </c>
      <c r="M32" s="96">
        <f t="shared" si="24"/>
        <v>0.56137852463685556</v>
      </c>
      <c r="N32" s="96">
        <f t="shared" si="24"/>
        <v>0.56117873158231901</v>
      </c>
      <c r="O32" s="96">
        <f t="shared" si="24"/>
        <v>0.56049822064056942</v>
      </c>
      <c r="P32" s="96">
        <f t="shared" si="24"/>
        <v>0.56043956043956045</v>
      </c>
      <c r="Q32" s="96">
        <f t="shared" si="24"/>
        <v>0.56047112898592355</v>
      </c>
      <c r="R32" s="96">
        <f t="shared" si="24"/>
        <v>0.56047112898592355</v>
      </c>
      <c r="S32" s="96">
        <f t="shared" si="24"/>
        <v>0.56047112898592355</v>
      </c>
      <c r="T32" s="96">
        <f t="shared" si="24"/>
        <v>0.56047112898592355</v>
      </c>
      <c r="U32" s="96">
        <f t="shared" si="24"/>
        <v>0.56047112898592355</v>
      </c>
      <c r="V32" s="96">
        <f t="shared" si="24"/>
        <v>0.56047112898592355</v>
      </c>
      <c r="W32" s="96">
        <f t="shared" si="24"/>
        <v>0.56047112898592355</v>
      </c>
      <c r="X32" s="96">
        <f t="shared" si="24"/>
        <v>0.56047112898592355</v>
      </c>
      <c r="Y32" s="96">
        <f t="shared" si="24"/>
        <v>0.56047112898592355</v>
      </c>
      <c r="Z32" s="96">
        <f t="shared" si="24"/>
        <v>0.56053425247738042</v>
      </c>
      <c r="AA32" s="96">
        <f t="shared" si="24"/>
        <v>0.56333453626849506</v>
      </c>
      <c r="AB32" s="96">
        <f t="shared" si="24"/>
        <v>0.56333846905415064</v>
      </c>
      <c r="AC32" s="96">
        <f t="shared" si="24"/>
        <v>0.56335816657201099</v>
      </c>
      <c r="AD32" s="96">
        <f t="shared" si="24"/>
        <v>0.56335816657201099</v>
      </c>
      <c r="AE32" s="96">
        <f t="shared" si="24"/>
        <v>0.56335816657201099</v>
      </c>
      <c r="AF32" s="96">
        <f t="shared" si="24"/>
        <v>0.56335816657201099</v>
      </c>
      <c r="AG32" s="96">
        <f t="shared" si="24"/>
        <v>0.56335816657201099</v>
      </c>
      <c r="AH32" s="96">
        <f t="shared" si="24"/>
        <v>0.56335816657201099</v>
      </c>
      <c r="AI32" s="96">
        <f t="shared" ref="AI32:BJ32" si="25">IF(AI30+AI28&gt;0,(+AI31/(AI30+AI28)),0)</f>
        <v>0.56335816657201099</v>
      </c>
      <c r="AJ32" s="96">
        <f t="shared" si="25"/>
        <v>0.56335816657201099</v>
      </c>
      <c r="AK32" s="96">
        <f t="shared" si="25"/>
        <v>0.56335816657201099</v>
      </c>
      <c r="AL32" s="96">
        <f t="shared" si="25"/>
        <v>0.56336474834569883</v>
      </c>
      <c r="AM32" s="96">
        <f t="shared" si="25"/>
        <v>0.56334936720683693</v>
      </c>
      <c r="AN32" s="96">
        <f t="shared" si="25"/>
        <v>0.56332642517294729</v>
      </c>
      <c r="AO32" s="96">
        <f t="shared" si="25"/>
        <v>0.5633221763835915</v>
      </c>
      <c r="AP32" s="96">
        <f t="shared" si="25"/>
        <v>0.5633221763835915</v>
      </c>
      <c r="AQ32" s="96">
        <f t="shared" si="25"/>
        <v>0.5633221763835915</v>
      </c>
      <c r="AR32" s="96">
        <f t="shared" si="25"/>
        <v>0.5633221763835915</v>
      </c>
      <c r="AS32" s="96">
        <f t="shared" si="25"/>
        <v>0.5633221763835915</v>
      </c>
      <c r="AT32" s="96">
        <f t="shared" si="25"/>
        <v>0.5633221763835915</v>
      </c>
      <c r="AU32" s="96">
        <f t="shared" si="25"/>
        <v>0.5633221763835915</v>
      </c>
      <c r="AV32" s="96">
        <f t="shared" si="25"/>
        <v>0.5633221763835915</v>
      </c>
      <c r="AW32" s="96">
        <f t="shared" si="25"/>
        <v>0.5633221763835915</v>
      </c>
      <c r="AX32" s="96">
        <f t="shared" si="25"/>
        <v>0.56333917104495046</v>
      </c>
      <c r="AY32" s="96">
        <f t="shared" si="25"/>
        <v>0.56332471772547954</v>
      </c>
      <c r="AZ32" s="96">
        <f t="shared" si="25"/>
        <v>0.56334476212065399</v>
      </c>
      <c r="BA32" s="96">
        <f t="shared" si="25"/>
        <v>0.56332207831477099</v>
      </c>
      <c r="BB32" s="96">
        <f t="shared" si="25"/>
        <v>0.56332207831477099</v>
      </c>
      <c r="BC32" s="96">
        <f t="shared" si="25"/>
        <v>0.56332207831477099</v>
      </c>
      <c r="BD32" s="96">
        <f t="shared" si="25"/>
        <v>0.56332207831477099</v>
      </c>
      <c r="BE32" s="96">
        <f t="shared" si="25"/>
        <v>0.56332207831477099</v>
      </c>
      <c r="BF32" s="96">
        <f t="shared" si="25"/>
        <v>0.56332207831477099</v>
      </c>
      <c r="BG32" s="96">
        <f t="shared" si="25"/>
        <v>0.56332207831477099</v>
      </c>
      <c r="BH32" s="96">
        <f t="shared" si="25"/>
        <v>0.56332207831477099</v>
      </c>
      <c r="BI32" s="96">
        <f t="shared" si="25"/>
        <v>0.56332207831477099</v>
      </c>
      <c r="BJ32" s="96">
        <f t="shared" si="25"/>
        <v>0.56332867449854562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208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630</v>
      </c>
      <c r="B35" s="75"/>
      <c r="C35" s="367">
        <f t="shared" ref="C35:AH35" si="26">C19+C27</f>
        <v>0</v>
      </c>
      <c r="D35" s="367">
        <f t="shared" si="26"/>
        <v>0</v>
      </c>
      <c r="E35" s="367">
        <f t="shared" si="26"/>
        <v>0</v>
      </c>
      <c r="F35" s="367">
        <f t="shared" si="26"/>
        <v>78</v>
      </c>
      <c r="G35" s="367">
        <f t="shared" si="26"/>
        <v>107</v>
      </c>
      <c r="H35" s="367">
        <f t="shared" si="26"/>
        <v>228</v>
      </c>
      <c r="I35" s="367">
        <f t="shared" si="26"/>
        <v>285</v>
      </c>
      <c r="J35" s="367">
        <f t="shared" si="26"/>
        <v>342</v>
      </c>
      <c r="K35" s="367">
        <f t="shared" si="26"/>
        <v>399</v>
      </c>
      <c r="L35" s="367">
        <f t="shared" si="26"/>
        <v>456</v>
      </c>
      <c r="M35" s="367">
        <f t="shared" si="26"/>
        <v>513</v>
      </c>
      <c r="N35" s="367">
        <f t="shared" si="26"/>
        <v>456</v>
      </c>
      <c r="O35" s="367">
        <f t="shared" si="26"/>
        <v>822</v>
      </c>
      <c r="P35" s="367">
        <f t="shared" si="26"/>
        <v>1316</v>
      </c>
      <c r="Q35" s="367">
        <f t="shared" si="26"/>
        <v>1480</v>
      </c>
      <c r="R35" s="367">
        <f t="shared" si="26"/>
        <v>1480</v>
      </c>
      <c r="S35" s="367">
        <f t="shared" si="26"/>
        <v>1480</v>
      </c>
      <c r="T35" s="367">
        <f t="shared" si="26"/>
        <v>1480</v>
      </c>
      <c r="U35" s="367">
        <f t="shared" si="26"/>
        <v>1480</v>
      </c>
      <c r="V35" s="367">
        <f t="shared" si="26"/>
        <v>1480</v>
      </c>
      <c r="W35" s="367">
        <f t="shared" si="26"/>
        <v>1480</v>
      </c>
      <c r="X35" s="367">
        <f t="shared" si="26"/>
        <v>1480</v>
      </c>
      <c r="Y35" s="367">
        <f t="shared" si="26"/>
        <v>1480</v>
      </c>
      <c r="Z35" s="367">
        <f t="shared" si="26"/>
        <v>987</v>
      </c>
      <c r="AA35" s="367">
        <f t="shared" si="26"/>
        <v>1452</v>
      </c>
      <c r="AB35" s="367">
        <f t="shared" si="26"/>
        <v>2323</v>
      </c>
      <c r="AC35" s="367">
        <f t="shared" si="26"/>
        <v>2613</v>
      </c>
      <c r="AD35" s="367">
        <f t="shared" si="26"/>
        <v>2613</v>
      </c>
      <c r="AE35" s="367">
        <f t="shared" si="26"/>
        <v>2613</v>
      </c>
      <c r="AF35" s="367">
        <f t="shared" si="26"/>
        <v>2613</v>
      </c>
      <c r="AG35" s="367">
        <f t="shared" si="26"/>
        <v>2613</v>
      </c>
      <c r="AH35" s="367">
        <f t="shared" si="26"/>
        <v>2613</v>
      </c>
      <c r="AI35" s="367">
        <f t="shared" ref="AI35:BJ35" si="27">AI19+AI27</f>
        <v>2613</v>
      </c>
      <c r="AJ35" s="367">
        <f t="shared" si="27"/>
        <v>2613</v>
      </c>
      <c r="AK35" s="367">
        <f t="shared" si="27"/>
        <v>2613</v>
      </c>
      <c r="AL35" s="367">
        <f t="shared" si="27"/>
        <v>1742</v>
      </c>
      <c r="AM35" s="367">
        <f t="shared" si="27"/>
        <v>1869</v>
      </c>
      <c r="AN35" s="367">
        <f t="shared" si="27"/>
        <v>2991</v>
      </c>
      <c r="AO35" s="367">
        <f t="shared" si="27"/>
        <v>3365</v>
      </c>
      <c r="AP35" s="367">
        <f t="shared" si="27"/>
        <v>3365</v>
      </c>
      <c r="AQ35" s="367">
        <f t="shared" si="27"/>
        <v>3365</v>
      </c>
      <c r="AR35" s="367">
        <f t="shared" si="27"/>
        <v>3365</v>
      </c>
      <c r="AS35" s="367">
        <f t="shared" si="27"/>
        <v>3365</v>
      </c>
      <c r="AT35" s="367">
        <f t="shared" si="27"/>
        <v>3365</v>
      </c>
      <c r="AU35" s="367">
        <f t="shared" si="27"/>
        <v>3365</v>
      </c>
      <c r="AV35" s="367">
        <f t="shared" si="27"/>
        <v>3365</v>
      </c>
      <c r="AW35" s="367">
        <f t="shared" si="27"/>
        <v>3365</v>
      </c>
      <c r="AX35" s="367">
        <f t="shared" si="27"/>
        <v>2243</v>
      </c>
      <c r="AY35" s="367">
        <f t="shared" si="27"/>
        <v>1925</v>
      </c>
      <c r="AZ35" s="367">
        <f t="shared" si="27"/>
        <v>3081</v>
      </c>
      <c r="BA35" s="367">
        <f t="shared" si="27"/>
        <v>3466</v>
      </c>
      <c r="BB35" s="367">
        <f t="shared" si="27"/>
        <v>3466</v>
      </c>
      <c r="BC35" s="367">
        <f t="shared" si="27"/>
        <v>3466</v>
      </c>
      <c r="BD35" s="367">
        <f t="shared" si="27"/>
        <v>3466</v>
      </c>
      <c r="BE35" s="367">
        <f t="shared" si="27"/>
        <v>3466</v>
      </c>
      <c r="BF35" s="367">
        <f t="shared" si="27"/>
        <v>3466</v>
      </c>
      <c r="BG35" s="367">
        <f t="shared" si="27"/>
        <v>3466</v>
      </c>
      <c r="BH35" s="367">
        <f t="shared" si="27"/>
        <v>3466</v>
      </c>
      <c r="BI35" s="367">
        <f t="shared" si="27"/>
        <v>3466</v>
      </c>
      <c r="BJ35" s="367">
        <f t="shared" si="27"/>
        <v>2311</v>
      </c>
    </row>
    <row r="36" spans="1:62" x14ac:dyDescent="0.15">
      <c r="A36" s="47" t="s">
        <v>1216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1092000</v>
      </c>
      <c r="G36" s="63">
        <f t="shared" si="28"/>
        <v>1498000</v>
      </c>
      <c r="H36" s="63">
        <f t="shared" si="28"/>
        <v>3744000</v>
      </c>
      <c r="I36" s="63">
        <f t="shared" si="28"/>
        <v>4678000</v>
      </c>
      <c r="J36" s="63">
        <f t="shared" si="28"/>
        <v>5612000</v>
      </c>
      <c r="K36" s="63">
        <f t="shared" si="28"/>
        <v>6546000</v>
      </c>
      <c r="L36" s="63">
        <f>L28+L20</f>
        <v>7480000</v>
      </c>
      <c r="M36" s="63">
        <f t="shared" si="28"/>
        <v>8414000</v>
      </c>
      <c r="N36" s="63">
        <f t="shared" si="28"/>
        <v>7480000</v>
      </c>
      <c r="O36" s="63">
        <f t="shared" si="28"/>
        <v>14427880</v>
      </c>
      <c r="P36" s="63">
        <f t="shared" si="28"/>
        <v>23206160</v>
      </c>
      <c r="Q36" s="63">
        <f t="shared" si="28"/>
        <v>26099440</v>
      </c>
      <c r="R36" s="63">
        <f t="shared" si="28"/>
        <v>26099440</v>
      </c>
      <c r="S36" s="63">
        <f t="shared" si="28"/>
        <v>26099440</v>
      </c>
      <c r="T36" s="63">
        <f t="shared" si="28"/>
        <v>26099440</v>
      </c>
      <c r="U36" s="63">
        <f t="shared" si="28"/>
        <v>26099440</v>
      </c>
      <c r="V36" s="63">
        <f t="shared" si="28"/>
        <v>26099440</v>
      </c>
      <c r="W36" s="63">
        <f t="shared" si="28"/>
        <v>26099440</v>
      </c>
      <c r="X36" s="63">
        <f t="shared" si="28"/>
        <v>26099440</v>
      </c>
      <c r="Y36" s="63">
        <f t="shared" si="28"/>
        <v>26099440</v>
      </c>
      <c r="Z36" s="63">
        <f t="shared" si="28"/>
        <v>17404620</v>
      </c>
      <c r="AA36" s="63">
        <f t="shared" si="28"/>
        <v>29923106.399999999</v>
      </c>
      <c r="AB36" s="63">
        <f t="shared" si="28"/>
        <v>47877428.200000003</v>
      </c>
      <c r="AC36" s="63">
        <f t="shared" si="28"/>
        <v>53853806.200000003</v>
      </c>
      <c r="AD36" s="63">
        <f t="shared" si="28"/>
        <v>53853806.200000003</v>
      </c>
      <c r="AE36" s="63">
        <f t="shared" si="28"/>
        <v>53853806.200000003</v>
      </c>
      <c r="AF36" s="63">
        <f t="shared" si="28"/>
        <v>53853806.200000003</v>
      </c>
      <c r="AG36" s="63">
        <f t="shared" si="28"/>
        <v>53853806.200000003</v>
      </c>
      <c r="AH36" s="63">
        <f t="shared" si="28"/>
        <v>53853806.200000003</v>
      </c>
      <c r="AI36" s="63">
        <f t="shared" ref="AI36:BJ36" si="29">AI28+AI20</f>
        <v>53853806.200000003</v>
      </c>
      <c r="AJ36" s="63">
        <f t="shared" si="29"/>
        <v>53853806.200000003</v>
      </c>
      <c r="AK36" s="63">
        <f t="shared" si="29"/>
        <v>53853806.200000003</v>
      </c>
      <c r="AL36" s="63">
        <f t="shared" si="29"/>
        <v>35899484.399999999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1217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351000</v>
      </c>
      <c r="G37" s="63">
        <f t="shared" si="30"/>
        <v>481500</v>
      </c>
      <c r="H37" s="63">
        <f t="shared" si="30"/>
        <v>1543500</v>
      </c>
      <c r="I37" s="63">
        <f t="shared" si="30"/>
        <v>1927500</v>
      </c>
      <c r="J37" s="63">
        <f t="shared" si="30"/>
        <v>2311500</v>
      </c>
      <c r="K37" s="63">
        <f t="shared" si="30"/>
        <v>2695500</v>
      </c>
      <c r="L37" s="63">
        <f t="shared" si="30"/>
        <v>3079500</v>
      </c>
      <c r="M37" s="63">
        <f t="shared" si="30"/>
        <v>3463500</v>
      </c>
      <c r="N37" s="63">
        <f t="shared" si="30"/>
        <v>3079500</v>
      </c>
      <c r="O37" s="63">
        <f t="shared" si="30"/>
        <v>5940105</v>
      </c>
      <c r="P37" s="63">
        <f t="shared" si="30"/>
        <v>9610740</v>
      </c>
      <c r="Q37" s="63">
        <f t="shared" si="30"/>
        <v>10809675</v>
      </c>
      <c r="R37" s="63">
        <f t="shared" si="30"/>
        <v>10809675</v>
      </c>
      <c r="S37" s="63">
        <f t="shared" si="30"/>
        <v>10809675</v>
      </c>
      <c r="T37" s="63">
        <f t="shared" si="30"/>
        <v>10809675</v>
      </c>
      <c r="U37" s="63">
        <f t="shared" si="30"/>
        <v>10809675</v>
      </c>
      <c r="V37" s="63">
        <f t="shared" si="30"/>
        <v>10809675</v>
      </c>
      <c r="W37" s="63">
        <f t="shared" si="30"/>
        <v>10809675</v>
      </c>
      <c r="X37" s="63">
        <f t="shared" si="30"/>
        <v>10809675</v>
      </c>
      <c r="Y37" s="63">
        <f t="shared" si="30"/>
        <v>10809675</v>
      </c>
      <c r="Z37" s="63">
        <f t="shared" si="30"/>
        <v>7208055</v>
      </c>
      <c r="AA37" s="63">
        <f t="shared" si="30"/>
        <v>13714757.1</v>
      </c>
      <c r="AB37" s="63">
        <f t="shared" si="30"/>
        <v>21946015.650000006</v>
      </c>
      <c r="AC37" s="63">
        <f t="shared" si="30"/>
        <v>24685188.900000006</v>
      </c>
      <c r="AD37" s="63">
        <f t="shared" si="30"/>
        <v>24685188.900000006</v>
      </c>
      <c r="AE37" s="63">
        <f t="shared" si="30"/>
        <v>24685188.900000006</v>
      </c>
      <c r="AF37" s="63">
        <f t="shared" si="30"/>
        <v>24685188.900000006</v>
      </c>
      <c r="AG37" s="63">
        <f t="shared" si="30"/>
        <v>24685188.900000006</v>
      </c>
      <c r="AH37" s="63">
        <f t="shared" si="30"/>
        <v>24685188.900000006</v>
      </c>
      <c r="AI37" s="63">
        <f t="shared" ref="AI37:BJ37" si="31">AI21+AI29</f>
        <v>24685188.900000006</v>
      </c>
      <c r="AJ37" s="63">
        <f t="shared" si="31"/>
        <v>24685188.900000006</v>
      </c>
      <c r="AK37" s="63">
        <f t="shared" si="31"/>
        <v>24685188.900000006</v>
      </c>
      <c r="AL37" s="63">
        <f t="shared" si="31"/>
        <v>16453930.35</v>
      </c>
      <c r="AM37" s="63">
        <f t="shared" si="31"/>
        <v>18893838.189000003</v>
      </c>
      <c r="AN37" s="63">
        <f t="shared" si="31"/>
        <v>30233448.718500003</v>
      </c>
      <c r="AO37" s="63">
        <f t="shared" si="31"/>
        <v>34013318.895000011</v>
      </c>
      <c r="AP37" s="63">
        <f t="shared" si="31"/>
        <v>34013318.895000011</v>
      </c>
      <c r="AQ37" s="63">
        <f t="shared" si="31"/>
        <v>34013318.895000011</v>
      </c>
      <c r="AR37" s="63">
        <f t="shared" si="31"/>
        <v>34013318.895000011</v>
      </c>
      <c r="AS37" s="63">
        <f t="shared" si="31"/>
        <v>34013318.895000011</v>
      </c>
      <c r="AT37" s="63">
        <f t="shared" si="31"/>
        <v>34013318.895000011</v>
      </c>
      <c r="AU37" s="63">
        <f t="shared" si="31"/>
        <v>34013318.895000011</v>
      </c>
      <c r="AV37" s="63">
        <f t="shared" si="31"/>
        <v>34013318.895000011</v>
      </c>
      <c r="AW37" s="63">
        <f t="shared" si="31"/>
        <v>34013318.895000011</v>
      </c>
      <c r="AX37" s="63">
        <f t="shared" si="31"/>
        <v>22673708.365500003</v>
      </c>
      <c r="AY37" s="63">
        <f t="shared" si="31"/>
        <v>20821994.61885</v>
      </c>
      <c r="AZ37" s="63">
        <f t="shared" si="31"/>
        <v>33323056.166220009</v>
      </c>
      <c r="BA37" s="63">
        <f t="shared" si="31"/>
        <v>37481556.507945001</v>
      </c>
      <c r="BB37" s="63">
        <f t="shared" si="31"/>
        <v>37481556.507945001</v>
      </c>
      <c r="BC37" s="63">
        <f t="shared" si="31"/>
        <v>37481556.507945001</v>
      </c>
      <c r="BD37" s="63">
        <f t="shared" si="31"/>
        <v>37481556.507945001</v>
      </c>
      <c r="BE37" s="63">
        <f t="shared" si="31"/>
        <v>37481556.507945001</v>
      </c>
      <c r="BF37" s="63">
        <f t="shared" si="31"/>
        <v>37481556.507945001</v>
      </c>
      <c r="BG37" s="63">
        <f t="shared" si="31"/>
        <v>37481556.507945001</v>
      </c>
      <c r="BH37" s="63">
        <f t="shared" si="31"/>
        <v>37481556.507945001</v>
      </c>
      <c r="BI37" s="63">
        <f t="shared" si="31"/>
        <v>37481556.507945001</v>
      </c>
      <c r="BJ37" s="63">
        <f t="shared" si="31"/>
        <v>24996224.512695</v>
      </c>
    </row>
    <row r="38" spans="1:62" x14ac:dyDescent="0.15">
      <c r="A38" s="47" t="s">
        <v>636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0</v>
      </c>
      <c r="G38" s="63">
        <f t="shared" si="32"/>
        <v>0</v>
      </c>
      <c r="H38" s="63">
        <f t="shared" si="32"/>
        <v>174000</v>
      </c>
      <c r="I38" s="63">
        <f t="shared" si="32"/>
        <v>219000</v>
      </c>
      <c r="J38" s="63">
        <f t="shared" si="32"/>
        <v>261000</v>
      </c>
      <c r="K38" s="63">
        <f t="shared" si="32"/>
        <v>306000</v>
      </c>
      <c r="L38" s="63">
        <f t="shared" si="32"/>
        <v>348000</v>
      </c>
      <c r="M38" s="63">
        <f t="shared" si="32"/>
        <v>393000</v>
      </c>
      <c r="N38" s="63">
        <f t="shared" si="32"/>
        <v>348000</v>
      </c>
      <c r="O38" s="63">
        <f t="shared" si="32"/>
        <v>699780</v>
      </c>
      <c r="P38" s="63">
        <f t="shared" si="32"/>
        <v>1117080</v>
      </c>
      <c r="Q38" s="63">
        <f t="shared" si="32"/>
        <v>1255110</v>
      </c>
      <c r="R38" s="63">
        <f t="shared" si="32"/>
        <v>1255110</v>
      </c>
      <c r="S38" s="63">
        <f t="shared" si="32"/>
        <v>1255110</v>
      </c>
      <c r="T38" s="63">
        <f t="shared" si="32"/>
        <v>1255110</v>
      </c>
      <c r="U38" s="63">
        <f t="shared" si="32"/>
        <v>1255110</v>
      </c>
      <c r="V38" s="63">
        <f t="shared" si="32"/>
        <v>1255110</v>
      </c>
      <c r="W38" s="63">
        <f t="shared" si="32"/>
        <v>1255110</v>
      </c>
      <c r="X38" s="63">
        <f t="shared" si="32"/>
        <v>1255110</v>
      </c>
      <c r="Y38" s="63">
        <f t="shared" si="32"/>
        <v>1255110</v>
      </c>
      <c r="Z38" s="63">
        <f t="shared" si="32"/>
        <v>837810</v>
      </c>
      <c r="AA38" s="63">
        <f t="shared" si="32"/>
        <v>1525006.8000000003</v>
      </c>
      <c r="AB38" s="63">
        <f t="shared" si="32"/>
        <v>2435202.2999999998</v>
      </c>
      <c r="AC38" s="63">
        <f t="shared" si="32"/>
        <v>2740890.6</v>
      </c>
      <c r="AD38" s="63">
        <f t="shared" si="32"/>
        <v>2740890.6</v>
      </c>
      <c r="AE38" s="63">
        <f t="shared" si="32"/>
        <v>2740890.6</v>
      </c>
      <c r="AF38" s="63">
        <f t="shared" si="32"/>
        <v>2740890.6</v>
      </c>
      <c r="AG38" s="63">
        <f t="shared" si="32"/>
        <v>2740890.6</v>
      </c>
      <c r="AH38" s="63">
        <f t="shared" si="32"/>
        <v>2740890.6</v>
      </c>
      <c r="AI38" s="63">
        <f t="shared" ref="AI38:BJ38" si="33">AI22+AI30</f>
        <v>2740890.6</v>
      </c>
      <c r="AJ38" s="63">
        <f t="shared" si="33"/>
        <v>2740890.6</v>
      </c>
      <c r="AK38" s="63">
        <f t="shared" si="33"/>
        <v>2740890.6</v>
      </c>
      <c r="AL38" s="63">
        <f t="shared" si="33"/>
        <v>1830695.1</v>
      </c>
      <c r="AM38" s="63">
        <f t="shared" si="33"/>
        <v>2065422.4980000001</v>
      </c>
      <c r="AN38" s="63">
        <f t="shared" si="33"/>
        <v>3300265.8420000002</v>
      </c>
      <c r="AO38" s="63">
        <f t="shared" si="33"/>
        <v>3711880.2900000005</v>
      </c>
      <c r="AP38" s="63">
        <f t="shared" si="33"/>
        <v>3711880.2900000005</v>
      </c>
      <c r="AQ38" s="63">
        <f t="shared" si="33"/>
        <v>3711880.2900000005</v>
      </c>
      <c r="AR38" s="63">
        <f t="shared" si="33"/>
        <v>3711880.2900000005</v>
      </c>
      <c r="AS38" s="63">
        <f t="shared" si="33"/>
        <v>3711880.2900000005</v>
      </c>
      <c r="AT38" s="63">
        <f t="shared" si="33"/>
        <v>3711880.2900000005</v>
      </c>
      <c r="AU38" s="63">
        <f t="shared" si="33"/>
        <v>3711880.2900000005</v>
      </c>
      <c r="AV38" s="63">
        <f t="shared" si="33"/>
        <v>3711880.2900000005</v>
      </c>
      <c r="AW38" s="63">
        <f t="shared" si="33"/>
        <v>3711880.2900000005</v>
      </c>
      <c r="AX38" s="63">
        <f t="shared" si="33"/>
        <v>2477036.9460000005</v>
      </c>
      <c r="AY38" s="63">
        <f t="shared" si="33"/>
        <v>2272920.2813400002</v>
      </c>
      <c r="AZ38" s="63">
        <f t="shared" si="33"/>
        <v>3637458.9277500007</v>
      </c>
      <c r="BA38" s="63">
        <f t="shared" si="33"/>
        <v>4089683.5512000006</v>
      </c>
      <c r="BB38" s="63">
        <f t="shared" si="33"/>
        <v>4089683.5512000006</v>
      </c>
      <c r="BC38" s="63">
        <f t="shared" si="33"/>
        <v>4089683.5512000006</v>
      </c>
      <c r="BD38" s="63">
        <f t="shared" si="33"/>
        <v>4089683.5512000006</v>
      </c>
      <c r="BE38" s="63">
        <f t="shared" si="33"/>
        <v>4089683.5512000006</v>
      </c>
      <c r="BF38" s="63">
        <f t="shared" si="33"/>
        <v>4089683.5512000006</v>
      </c>
      <c r="BG38" s="63">
        <f t="shared" si="33"/>
        <v>4089683.5512000006</v>
      </c>
      <c r="BH38" s="63">
        <f t="shared" si="33"/>
        <v>4089683.5512000006</v>
      </c>
      <c r="BI38" s="63">
        <f t="shared" si="33"/>
        <v>4089683.5512000006</v>
      </c>
      <c r="BJ38" s="63">
        <f t="shared" si="33"/>
        <v>2729077.2928200006</v>
      </c>
    </row>
    <row r="39" spans="1:62" x14ac:dyDescent="0.15">
      <c r="A39" s="47" t="s">
        <v>1218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351000</v>
      </c>
      <c r="G39" s="63">
        <f t="shared" si="34"/>
        <v>481500</v>
      </c>
      <c r="H39" s="63">
        <f t="shared" si="34"/>
        <v>1717500</v>
      </c>
      <c r="I39" s="63">
        <f t="shared" si="34"/>
        <v>2146500</v>
      </c>
      <c r="J39" s="63">
        <f t="shared" si="34"/>
        <v>2572500</v>
      </c>
      <c r="K39" s="63">
        <f t="shared" si="34"/>
        <v>3001500</v>
      </c>
      <c r="L39" s="63">
        <f t="shared" si="34"/>
        <v>3427500</v>
      </c>
      <c r="M39" s="63">
        <f t="shared" si="34"/>
        <v>3856500</v>
      </c>
      <c r="N39" s="63">
        <f t="shared" si="34"/>
        <v>3427500</v>
      </c>
      <c r="O39" s="63">
        <f t="shared" si="34"/>
        <v>6639885</v>
      </c>
      <c r="P39" s="63">
        <f t="shared" si="34"/>
        <v>10727820</v>
      </c>
      <c r="Q39" s="63">
        <f t="shared" si="34"/>
        <v>12064785</v>
      </c>
      <c r="R39" s="63">
        <f t="shared" si="34"/>
        <v>12064785</v>
      </c>
      <c r="S39" s="63">
        <f t="shared" si="34"/>
        <v>12064785</v>
      </c>
      <c r="T39" s="63">
        <f t="shared" si="34"/>
        <v>12064785</v>
      </c>
      <c r="U39" s="63">
        <f t="shared" si="34"/>
        <v>12064785</v>
      </c>
      <c r="V39" s="63">
        <f t="shared" si="34"/>
        <v>12064785</v>
      </c>
      <c r="W39" s="63">
        <f t="shared" si="34"/>
        <v>12064785</v>
      </c>
      <c r="X39" s="63">
        <f t="shared" si="34"/>
        <v>12064785</v>
      </c>
      <c r="Y39" s="63">
        <f t="shared" si="34"/>
        <v>12064785</v>
      </c>
      <c r="Z39" s="63">
        <f t="shared" si="34"/>
        <v>8045865</v>
      </c>
      <c r="AA39" s="63">
        <f t="shared" si="34"/>
        <v>15239763.899999999</v>
      </c>
      <c r="AB39" s="63">
        <f t="shared" si="34"/>
        <v>24381217.950000007</v>
      </c>
      <c r="AC39" s="63">
        <f t="shared" si="34"/>
        <v>27426079.500000007</v>
      </c>
      <c r="AD39" s="63">
        <f t="shared" si="34"/>
        <v>27426079.500000007</v>
      </c>
      <c r="AE39" s="63">
        <f t="shared" si="34"/>
        <v>27426079.500000007</v>
      </c>
      <c r="AF39" s="63">
        <f t="shared" si="34"/>
        <v>27426079.500000007</v>
      </c>
      <c r="AG39" s="63">
        <f t="shared" si="34"/>
        <v>27426079.500000007</v>
      </c>
      <c r="AH39" s="63">
        <f t="shared" si="34"/>
        <v>27426079.500000007</v>
      </c>
      <c r="AI39" s="63">
        <f t="shared" ref="AI39:BJ39" si="35">AI23+AI31</f>
        <v>27426079.500000007</v>
      </c>
      <c r="AJ39" s="63">
        <f t="shared" si="35"/>
        <v>27426079.500000007</v>
      </c>
      <c r="AK39" s="63">
        <f t="shared" si="35"/>
        <v>27426079.500000007</v>
      </c>
      <c r="AL39" s="63">
        <f t="shared" si="35"/>
        <v>18284625.449999999</v>
      </c>
      <c r="AM39" s="63">
        <f t="shared" si="35"/>
        <v>20959260.687000003</v>
      </c>
      <c r="AN39" s="63">
        <f t="shared" si="35"/>
        <v>33533714.560500003</v>
      </c>
      <c r="AO39" s="63">
        <f t="shared" si="35"/>
        <v>37725199.185000002</v>
      </c>
      <c r="AP39" s="63">
        <f t="shared" si="35"/>
        <v>37725199.185000002</v>
      </c>
      <c r="AQ39" s="63">
        <f t="shared" si="35"/>
        <v>37725199.185000002</v>
      </c>
      <c r="AR39" s="63">
        <f t="shared" si="35"/>
        <v>37725199.185000002</v>
      </c>
      <c r="AS39" s="63">
        <f t="shared" si="35"/>
        <v>37725199.185000002</v>
      </c>
      <c r="AT39" s="63">
        <f t="shared" si="35"/>
        <v>37725199.185000002</v>
      </c>
      <c r="AU39" s="63">
        <f t="shared" si="35"/>
        <v>37725199.185000002</v>
      </c>
      <c r="AV39" s="63">
        <f t="shared" si="35"/>
        <v>37725199.185000002</v>
      </c>
      <c r="AW39" s="63">
        <f t="shared" si="35"/>
        <v>37725199.185000002</v>
      </c>
      <c r="AX39" s="63">
        <f t="shared" si="35"/>
        <v>25150745.311500005</v>
      </c>
      <c r="AY39" s="63">
        <f t="shared" si="35"/>
        <v>23094914.900190003</v>
      </c>
      <c r="AZ39" s="63">
        <f t="shared" si="35"/>
        <v>36960515.093970008</v>
      </c>
      <c r="BA39" s="63">
        <f t="shared" si="35"/>
        <v>41571240.059145004</v>
      </c>
      <c r="BB39" s="63">
        <f t="shared" si="35"/>
        <v>41571240.059145004</v>
      </c>
      <c r="BC39" s="63">
        <f t="shared" si="35"/>
        <v>41571240.059145004</v>
      </c>
      <c r="BD39" s="63">
        <f t="shared" si="35"/>
        <v>41571240.059145004</v>
      </c>
      <c r="BE39" s="63">
        <f t="shared" si="35"/>
        <v>41571240.059145004</v>
      </c>
      <c r="BF39" s="63">
        <f t="shared" si="35"/>
        <v>41571240.059145004</v>
      </c>
      <c r="BG39" s="63">
        <f t="shared" si="35"/>
        <v>41571240.059145004</v>
      </c>
      <c r="BH39" s="63">
        <f t="shared" si="35"/>
        <v>41571240.059145004</v>
      </c>
      <c r="BI39" s="63">
        <f t="shared" si="35"/>
        <v>41571240.059145004</v>
      </c>
      <c r="BJ39" s="63">
        <f t="shared" si="35"/>
        <v>27725301.805515002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1201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1270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78</v>
      </c>
      <c r="G44" s="169">
        <v>107</v>
      </c>
      <c r="H44" s="169">
        <v>228</v>
      </c>
      <c r="I44" s="169">
        <v>285</v>
      </c>
      <c r="J44" s="169">
        <v>342</v>
      </c>
      <c r="K44" s="169">
        <v>399</v>
      </c>
      <c r="L44" s="169">
        <v>456</v>
      </c>
      <c r="M44" s="169">
        <v>513</v>
      </c>
      <c r="N44" s="169">
        <v>456</v>
      </c>
      <c r="O44" s="169" cm="1">
        <f t="array" ref="O44:Z44">PronosticoVentaAñ2</f>
        <v>822</v>
      </c>
      <c r="P44" s="169">
        <v>1316</v>
      </c>
      <c r="Q44" s="169">
        <v>1480</v>
      </c>
      <c r="R44" s="169">
        <v>1480</v>
      </c>
      <c r="S44" s="169">
        <v>1480</v>
      </c>
      <c r="T44" s="169">
        <v>1480</v>
      </c>
      <c r="U44" s="169">
        <v>1480</v>
      </c>
      <c r="V44" s="169">
        <v>1480</v>
      </c>
      <c r="W44" s="169">
        <v>1480</v>
      </c>
      <c r="X44" s="169">
        <v>1480</v>
      </c>
      <c r="Y44" s="169">
        <v>1480</v>
      </c>
      <c r="Z44" s="169">
        <v>987</v>
      </c>
      <c r="AA44" s="169" cm="1">
        <f t="array" ref="AA44:AL44">PronosticoVentaAñ3</f>
        <v>1452</v>
      </c>
      <c r="AB44" s="169">
        <v>2323</v>
      </c>
      <c r="AC44" s="169">
        <v>2613</v>
      </c>
      <c r="AD44" s="169">
        <v>2613</v>
      </c>
      <c r="AE44" s="169">
        <v>2613</v>
      </c>
      <c r="AF44" s="169">
        <v>2613</v>
      </c>
      <c r="AG44" s="169">
        <v>2613</v>
      </c>
      <c r="AH44" s="169">
        <v>2613</v>
      </c>
      <c r="AI44" s="169">
        <v>2613</v>
      </c>
      <c r="AJ44" s="169">
        <v>2613</v>
      </c>
      <c r="AK44" s="169">
        <v>2613</v>
      </c>
      <c r="AL44" s="367">
        <v>1742</v>
      </c>
      <c r="AM44" s="367" cm="1">
        <f t="array" ref="AM44:AX44">PronosticoVentaAñ4</f>
        <v>1869</v>
      </c>
      <c r="AN44" s="367">
        <v>2991</v>
      </c>
      <c r="AO44" s="367">
        <v>3365</v>
      </c>
      <c r="AP44" s="367">
        <v>3365</v>
      </c>
      <c r="AQ44" s="367">
        <v>3365</v>
      </c>
      <c r="AR44" s="367">
        <v>3365</v>
      </c>
      <c r="AS44" s="367">
        <v>3365</v>
      </c>
      <c r="AT44" s="367">
        <v>3365</v>
      </c>
      <c r="AU44" s="367">
        <v>3365</v>
      </c>
      <c r="AV44" s="367">
        <v>3365</v>
      </c>
      <c r="AW44" s="367">
        <v>3365</v>
      </c>
      <c r="AX44" s="367">
        <v>2243</v>
      </c>
      <c r="AY44" s="367" cm="1">
        <f t="array" ref="AY44:BJ44">PronosticoVentaAñ5</f>
        <v>1925</v>
      </c>
      <c r="AZ44" s="367">
        <v>3081</v>
      </c>
      <c r="BA44" s="367">
        <v>3466</v>
      </c>
      <c r="BB44" s="367">
        <v>3466</v>
      </c>
      <c r="BC44" s="367">
        <v>3466</v>
      </c>
      <c r="BD44" s="367">
        <v>3466</v>
      </c>
      <c r="BE44" s="367">
        <v>3466</v>
      </c>
      <c r="BF44" s="367">
        <v>3466</v>
      </c>
      <c r="BG44" s="367">
        <v>3466</v>
      </c>
      <c r="BH44" s="367">
        <v>3466</v>
      </c>
      <c r="BI44" s="367">
        <v>3466</v>
      </c>
      <c r="BJ44" s="367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v>0</v>
      </c>
      <c r="G45" s="365">
        <v>0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78</v>
      </c>
      <c r="G46" s="169">
        <f t="shared" si="41"/>
        <v>107</v>
      </c>
      <c r="H46" s="169">
        <f t="shared" si="41"/>
        <v>159</v>
      </c>
      <c r="I46" s="169">
        <f t="shared" si="41"/>
        <v>199</v>
      </c>
      <c r="J46" s="169">
        <f t="shared" si="41"/>
        <v>239</v>
      </c>
      <c r="K46" s="169">
        <f t="shared" si="41"/>
        <v>279</v>
      </c>
      <c r="L46" s="169">
        <f t="shared" si="41"/>
        <v>319</v>
      </c>
      <c r="M46" s="169">
        <f t="shared" si="41"/>
        <v>359</v>
      </c>
      <c r="N46" s="169">
        <f t="shared" si="41"/>
        <v>319</v>
      </c>
      <c r="O46" s="169">
        <f t="shared" si="41"/>
        <v>575</v>
      </c>
      <c r="P46" s="169">
        <f t="shared" si="41"/>
        <v>908</v>
      </c>
      <c r="Q46" s="169">
        <f t="shared" si="41"/>
        <v>1021</v>
      </c>
      <c r="R46" s="169">
        <f t="shared" si="41"/>
        <v>1021</v>
      </c>
      <c r="S46" s="169">
        <f t="shared" si="41"/>
        <v>1021</v>
      </c>
      <c r="T46" s="169">
        <f t="shared" si="41"/>
        <v>1021</v>
      </c>
      <c r="U46" s="169">
        <f t="shared" si="41"/>
        <v>1021</v>
      </c>
      <c r="V46" s="169">
        <f t="shared" si="41"/>
        <v>1021</v>
      </c>
      <c r="W46" s="169">
        <f t="shared" si="41"/>
        <v>1021</v>
      </c>
      <c r="X46" s="169">
        <f t="shared" si="41"/>
        <v>1021</v>
      </c>
      <c r="Y46" s="169">
        <f t="shared" si="41"/>
        <v>1021</v>
      </c>
      <c r="Z46" s="169">
        <f t="shared" si="41"/>
        <v>681</v>
      </c>
      <c r="AA46" s="169">
        <f t="shared" si="41"/>
        <v>726</v>
      </c>
      <c r="AB46" s="169">
        <f t="shared" si="41"/>
        <v>1161</v>
      </c>
      <c r="AC46" s="169">
        <f t="shared" si="41"/>
        <v>1306</v>
      </c>
      <c r="AD46" s="169">
        <f t="shared" si="41"/>
        <v>1306</v>
      </c>
      <c r="AE46" s="169">
        <f t="shared" si="41"/>
        <v>1306</v>
      </c>
      <c r="AF46" s="169">
        <f t="shared" si="41"/>
        <v>1306</v>
      </c>
      <c r="AG46" s="169">
        <f t="shared" si="41"/>
        <v>1306</v>
      </c>
      <c r="AH46" s="169">
        <f t="shared" si="41"/>
        <v>1306</v>
      </c>
      <c r="AI46" s="169">
        <f t="shared" si="41"/>
        <v>1306</v>
      </c>
      <c r="AJ46" s="169">
        <f t="shared" si="41"/>
        <v>1306</v>
      </c>
      <c r="AK46" s="169">
        <f t="shared" si="41"/>
        <v>1306</v>
      </c>
      <c r="AL46" s="169">
        <f t="shared" si="41"/>
        <v>871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0</v>
      </c>
      <c r="G47" s="169">
        <f t="shared" si="42"/>
        <v>0</v>
      </c>
      <c r="H47" s="169">
        <f t="shared" si="42"/>
        <v>69</v>
      </c>
      <c r="I47" s="169">
        <f t="shared" si="42"/>
        <v>86</v>
      </c>
      <c r="J47" s="169">
        <f t="shared" si="42"/>
        <v>103</v>
      </c>
      <c r="K47" s="169">
        <f t="shared" si="42"/>
        <v>120</v>
      </c>
      <c r="L47" s="169">
        <f t="shared" si="42"/>
        <v>137</v>
      </c>
      <c r="M47" s="169">
        <f t="shared" si="42"/>
        <v>154</v>
      </c>
      <c r="N47" s="169">
        <f t="shared" si="42"/>
        <v>137</v>
      </c>
      <c r="O47" s="169">
        <f t="shared" si="42"/>
        <v>247</v>
      </c>
      <c r="P47" s="169">
        <f t="shared" si="42"/>
        <v>408</v>
      </c>
      <c r="Q47" s="169">
        <f t="shared" si="42"/>
        <v>459</v>
      </c>
      <c r="R47" s="169">
        <f t="shared" si="42"/>
        <v>459</v>
      </c>
      <c r="S47" s="169">
        <f t="shared" si="42"/>
        <v>459</v>
      </c>
      <c r="T47" s="169">
        <f t="shared" si="42"/>
        <v>459</v>
      </c>
      <c r="U47" s="169">
        <f t="shared" si="42"/>
        <v>459</v>
      </c>
      <c r="V47" s="169">
        <f t="shared" si="42"/>
        <v>459</v>
      </c>
      <c r="W47" s="169">
        <f t="shared" si="42"/>
        <v>459</v>
      </c>
      <c r="X47" s="169">
        <f t="shared" si="42"/>
        <v>459</v>
      </c>
      <c r="Y47" s="169">
        <f t="shared" si="42"/>
        <v>459</v>
      </c>
      <c r="Z47" s="169">
        <f t="shared" si="42"/>
        <v>306</v>
      </c>
      <c r="AA47" s="169">
        <f t="shared" ref="AA47:AL47" si="43">ROUNDUP(AA45*AA$44,0)</f>
        <v>726</v>
      </c>
      <c r="AB47" s="169">
        <f t="shared" si="43"/>
        <v>1162</v>
      </c>
      <c r="AC47" s="169">
        <f t="shared" si="43"/>
        <v>1307</v>
      </c>
      <c r="AD47" s="169">
        <f t="shared" si="43"/>
        <v>1307</v>
      </c>
      <c r="AE47" s="169">
        <f t="shared" si="43"/>
        <v>1307</v>
      </c>
      <c r="AF47" s="169">
        <f t="shared" si="43"/>
        <v>1307</v>
      </c>
      <c r="AG47" s="169">
        <f t="shared" si="43"/>
        <v>1307</v>
      </c>
      <c r="AH47" s="169">
        <f t="shared" si="43"/>
        <v>1307</v>
      </c>
      <c r="AI47" s="169">
        <f t="shared" si="43"/>
        <v>1307</v>
      </c>
      <c r="AJ47" s="169">
        <f t="shared" si="43"/>
        <v>1307</v>
      </c>
      <c r="AK47" s="169">
        <f t="shared" si="43"/>
        <v>1307</v>
      </c>
      <c r="AL47" s="169">
        <f t="shared" si="43"/>
        <v>871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206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78</v>
      </c>
      <c r="G51" s="169">
        <f t="shared" si="46"/>
        <v>107</v>
      </c>
      <c r="H51" s="169">
        <f t="shared" si="46"/>
        <v>159</v>
      </c>
      <c r="I51" s="169">
        <f t="shared" si="46"/>
        <v>199</v>
      </c>
      <c r="J51" s="169">
        <f t="shared" si="46"/>
        <v>239</v>
      </c>
      <c r="K51" s="169">
        <f t="shared" si="46"/>
        <v>279</v>
      </c>
      <c r="L51" s="169">
        <f t="shared" si="46"/>
        <v>319</v>
      </c>
      <c r="M51" s="169">
        <f t="shared" si="46"/>
        <v>359</v>
      </c>
      <c r="N51" s="169">
        <f t="shared" si="46"/>
        <v>319</v>
      </c>
      <c r="O51" s="169">
        <f t="shared" si="46"/>
        <v>575</v>
      </c>
      <c r="P51" s="169">
        <f t="shared" si="46"/>
        <v>908</v>
      </c>
      <c r="Q51" s="169">
        <f t="shared" si="46"/>
        <v>1021</v>
      </c>
      <c r="R51" s="169">
        <f t="shared" si="46"/>
        <v>1021</v>
      </c>
      <c r="S51" s="169">
        <f t="shared" si="46"/>
        <v>1021</v>
      </c>
      <c r="T51" s="169">
        <f t="shared" si="46"/>
        <v>1021</v>
      </c>
      <c r="U51" s="169">
        <f t="shared" si="46"/>
        <v>1021</v>
      </c>
      <c r="V51" s="169">
        <f t="shared" si="46"/>
        <v>1021</v>
      </c>
      <c r="W51" s="169">
        <f t="shared" si="46"/>
        <v>1021</v>
      </c>
      <c r="X51" s="169">
        <f t="shared" si="46"/>
        <v>1021</v>
      </c>
      <c r="Y51" s="169">
        <f t="shared" si="46"/>
        <v>1021</v>
      </c>
      <c r="Z51" s="169">
        <f t="shared" si="46"/>
        <v>681</v>
      </c>
      <c r="AA51" s="169">
        <f t="shared" si="46"/>
        <v>726</v>
      </c>
      <c r="AB51" s="169">
        <f t="shared" si="46"/>
        <v>1161</v>
      </c>
      <c r="AC51" s="169">
        <f t="shared" si="46"/>
        <v>1306</v>
      </c>
      <c r="AD51" s="169">
        <f t="shared" si="46"/>
        <v>1306</v>
      </c>
      <c r="AE51" s="169">
        <f t="shared" si="46"/>
        <v>1306</v>
      </c>
      <c r="AF51" s="169">
        <f t="shared" si="46"/>
        <v>1306</v>
      </c>
      <c r="AG51" s="169">
        <f t="shared" si="46"/>
        <v>1306</v>
      </c>
      <c r="AH51" s="169">
        <f t="shared" si="46"/>
        <v>1306</v>
      </c>
      <c r="AI51" s="169">
        <f t="shared" si="46"/>
        <v>1306</v>
      </c>
      <c r="AJ51" s="169">
        <f t="shared" si="46"/>
        <v>1306</v>
      </c>
      <c r="AK51" s="169">
        <f t="shared" si="46"/>
        <v>1306</v>
      </c>
      <c r="AL51" s="169">
        <f t="shared" si="46"/>
        <v>871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65865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PrecioPDiarioAN1*F51</f>
        <v>1092000</v>
      </c>
      <c r="G52" s="63">
        <f>'COGS-PRICE-MARGIN_CWS'!$B5*G51</f>
        <v>1498000</v>
      </c>
      <c r="H52" s="63">
        <f>'COGS-PRICE-MARGIN_CWS'!$B5*H51</f>
        <v>2226000</v>
      </c>
      <c r="I52" s="63">
        <f>'COGS-PRICE-MARGIN_CWS'!$B5*I51</f>
        <v>2786000</v>
      </c>
      <c r="J52" s="63">
        <f>'COGS-PRICE-MARGIN_CWS'!$B5*J51</f>
        <v>3346000</v>
      </c>
      <c r="K52" s="63">
        <f>'COGS-PRICE-MARGIN_CWS'!$B5*K51</f>
        <v>3906000</v>
      </c>
      <c r="L52" s="63">
        <f>'COGS-PRICE-MARGIN_CWS'!$B5*L51</f>
        <v>4466000</v>
      </c>
      <c r="M52" s="63">
        <f>'COGS-PRICE-MARGIN_CWS'!$B5*M51</f>
        <v>5026000</v>
      </c>
      <c r="N52" s="63">
        <f>'COGS-PRICE-MARGIN_CWS'!$B5*N51</f>
        <v>4466000</v>
      </c>
      <c r="O52" s="63">
        <f>'COGS-PRICE-MARGIN_CWS'!$B55*O51</f>
        <v>8613500</v>
      </c>
      <c r="P52" s="63">
        <f>'COGS-PRICE-MARGIN_CWS'!$B55*P51</f>
        <v>13601840</v>
      </c>
      <c r="Q52" s="63">
        <f>'COGS-PRICE-MARGIN_CWS'!$B55*Q51</f>
        <v>15294580</v>
      </c>
      <c r="R52" s="63">
        <f>'COGS-PRICE-MARGIN_CWS'!$B55*R51</f>
        <v>15294580</v>
      </c>
      <c r="S52" s="63">
        <f>'COGS-PRICE-MARGIN_CWS'!$B55*S51</f>
        <v>15294580</v>
      </c>
      <c r="T52" s="63">
        <f>'COGS-PRICE-MARGIN_CWS'!$B55*T51</f>
        <v>15294580</v>
      </c>
      <c r="U52" s="63">
        <f>'COGS-PRICE-MARGIN_CWS'!$B55*U51</f>
        <v>15294580</v>
      </c>
      <c r="V52" s="63">
        <f>'COGS-PRICE-MARGIN_CWS'!$B55*V51</f>
        <v>15294580</v>
      </c>
      <c r="W52" s="63">
        <f>'COGS-PRICE-MARGIN_CWS'!$B55*W51</f>
        <v>15294580</v>
      </c>
      <c r="X52" s="63">
        <f>'COGS-PRICE-MARGIN_CWS'!$B55*X51</f>
        <v>15294580</v>
      </c>
      <c r="Y52" s="63">
        <f>'COGS-PRICE-MARGIN_CWS'!$B55*Y51</f>
        <v>15294580</v>
      </c>
      <c r="Z52" s="63">
        <f>'COGS-PRICE-MARGIN_CWS'!$B55*Z51</f>
        <v>10201380</v>
      </c>
      <c r="AA52" s="63">
        <f>'COGS-PRICE-MARGIN_CWS'!$B105*AA51</f>
        <v>11636763.6</v>
      </c>
      <c r="AB52" s="63">
        <f>'COGS-PRICE-MARGIN_CWS'!$B105*AB51</f>
        <v>18609204.600000001</v>
      </c>
      <c r="AC52" s="63">
        <f>'COGS-PRICE-MARGIN_CWS'!$B105*AC51</f>
        <v>20933351.600000001</v>
      </c>
      <c r="AD52" s="63">
        <f>'COGS-PRICE-MARGIN_CWS'!$B105*AD51</f>
        <v>20933351.600000001</v>
      </c>
      <c r="AE52" s="63">
        <f>'COGS-PRICE-MARGIN_CWS'!$B105*AE51</f>
        <v>20933351.600000001</v>
      </c>
      <c r="AF52" s="63">
        <f>'COGS-PRICE-MARGIN_CWS'!$B105*AF51</f>
        <v>20933351.600000001</v>
      </c>
      <c r="AG52" s="63">
        <f>'COGS-PRICE-MARGIN_CWS'!$B105*AG51</f>
        <v>20933351.600000001</v>
      </c>
      <c r="AH52" s="63">
        <f>'COGS-PRICE-MARGIN_CWS'!$B105*AH51</f>
        <v>20933351.600000001</v>
      </c>
      <c r="AI52" s="63">
        <f>'COGS-PRICE-MARGIN_CWS'!$B105*AI51</f>
        <v>20933351.600000001</v>
      </c>
      <c r="AJ52" s="63">
        <f>'COGS-PRICE-MARGIN_CWS'!$B105*AJ51</f>
        <v>20933351.600000001</v>
      </c>
      <c r="AK52" s="63">
        <f>'COGS-PRICE-MARGIN_CWS'!$B105*AK51</f>
        <v>20933351.600000001</v>
      </c>
      <c r="AL52" s="63">
        <f>'COGS-PRICE-MARGIN_CWS'!$B105*AL51</f>
        <v>13960910.6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1105330362.6475606</v>
      </c>
    </row>
    <row r="53" spans="1:63" outlineLevel="1" x14ac:dyDescent="0.15">
      <c r="A53" s="47" t="s">
        <v>313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640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16028.600000000002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s="416" customFormat="1" outlineLevel="1" x14ac:dyDescent="0.15">
      <c r="A56" s="415" t="s">
        <v>333</v>
      </c>
      <c r="C56" s="416">
        <f t="shared" ref="C56:AH56" si="48">C52*(1-C53)</f>
        <v>0</v>
      </c>
      <c r="D56" s="416">
        <f t="shared" si="48"/>
        <v>0</v>
      </c>
      <c r="E56" s="416">
        <f t="shared" si="48"/>
        <v>0</v>
      </c>
      <c r="F56" s="416">
        <f t="shared" si="48"/>
        <v>1092000</v>
      </c>
      <c r="G56" s="416">
        <f t="shared" si="48"/>
        <v>1498000</v>
      </c>
      <c r="H56" s="416">
        <f t="shared" si="48"/>
        <v>2226000</v>
      </c>
      <c r="I56" s="416">
        <f t="shared" si="48"/>
        <v>2786000</v>
      </c>
      <c r="J56" s="416">
        <f t="shared" si="48"/>
        <v>3346000</v>
      </c>
      <c r="K56" s="416">
        <f t="shared" si="48"/>
        <v>3906000</v>
      </c>
      <c r="L56" s="416">
        <f t="shared" si="48"/>
        <v>4466000</v>
      </c>
      <c r="M56" s="416">
        <f t="shared" si="48"/>
        <v>5026000</v>
      </c>
      <c r="N56" s="416">
        <f t="shared" si="48"/>
        <v>4466000</v>
      </c>
      <c r="O56" s="416">
        <f t="shared" si="48"/>
        <v>8613500</v>
      </c>
      <c r="P56" s="416">
        <f t="shared" si="48"/>
        <v>13601840</v>
      </c>
      <c r="Q56" s="416">
        <f t="shared" si="48"/>
        <v>15294580</v>
      </c>
      <c r="R56" s="416">
        <f t="shared" si="48"/>
        <v>15294580</v>
      </c>
      <c r="S56" s="416">
        <f t="shared" si="48"/>
        <v>15294580</v>
      </c>
      <c r="T56" s="416">
        <f t="shared" si="48"/>
        <v>15294580</v>
      </c>
      <c r="U56" s="416">
        <f t="shared" si="48"/>
        <v>15294580</v>
      </c>
      <c r="V56" s="416">
        <f t="shared" si="48"/>
        <v>15294580</v>
      </c>
      <c r="W56" s="416">
        <f t="shared" si="48"/>
        <v>15294580</v>
      </c>
      <c r="X56" s="416">
        <f t="shared" si="48"/>
        <v>15294580</v>
      </c>
      <c r="Y56" s="416">
        <f t="shared" si="48"/>
        <v>15294580</v>
      </c>
      <c r="Z56" s="416">
        <f t="shared" si="48"/>
        <v>10201380</v>
      </c>
      <c r="AA56" s="416">
        <f t="shared" si="48"/>
        <v>11636763.6</v>
      </c>
      <c r="AB56" s="416">
        <f t="shared" si="48"/>
        <v>18609204.600000001</v>
      </c>
      <c r="AC56" s="416">
        <f t="shared" si="48"/>
        <v>20933351.600000001</v>
      </c>
      <c r="AD56" s="416">
        <f t="shared" si="48"/>
        <v>20933351.600000001</v>
      </c>
      <c r="AE56" s="416">
        <f t="shared" si="48"/>
        <v>20933351.600000001</v>
      </c>
      <c r="AF56" s="416">
        <f t="shared" si="48"/>
        <v>20933351.600000001</v>
      </c>
      <c r="AG56" s="416">
        <f t="shared" si="48"/>
        <v>20933351.600000001</v>
      </c>
      <c r="AH56" s="416">
        <f t="shared" si="48"/>
        <v>20933351.600000001</v>
      </c>
      <c r="AI56" s="416">
        <f t="shared" ref="AI56:BJ56" si="49">AI52*(1-AI53)</f>
        <v>20933351.600000001</v>
      </c>
      <c r="AJ56" s="416">
        <f t="shared" si="49"/>
        <v>20933351.600000001</v>
      </c>
      <c r="AK56" s="416">
        <f t="shared" si="49"/>
        <v>20933351.600000001</v>
      </c>
      <c r="AL56" s="416">
        <f t="shared" si="49"/>
        <v>13960910.6</v>
      </c>
      <c r="AM56" s="416">
        <f t="shared" si="49"/>
        <v>16018662.268000003</v>
      </c>
      <c r="AN56" s="416">
        <f t="shared" si="49"/>
        <v>25640149.990000002</v>
      </c>
      <c r="AO56" s="416">
        <f t="shared" si="49"/>
        <v>28847312.564000003</v>
      </c>
      <c r="AP56" s="416">
        <f t="shared" si="49"/>
        <v>28847312.564000003</v>
      </c>
      <c r="AQ56" s="416">
        <f t="shared" si="49"/>
        <v>28847312.564000003</v>
      </c>
      <c r="AR56" s="416">
        <f t="shared" si="49"/>
        <v>28847312.564000003</v>
      </c>
      <c r="AS56" s="416">
        <f t="shared" si="49"/>
        <v>28847312.564000003</v>
      </c>
      <c r="AT56" s="416">
        <f t="shared" si="49"/>
        <v>28847312.564000003</v>
      </c>
      <c r="AU56" s="416">
        <f t="shared" si="49"/>
        <v>28847312.564000003</v>
      </c>
      <c r="AV56" s="416">
        <f t="shared" si="49"/>
        <v>28847312.564000003</v>
      </c>
      <c r="AW56" s="416">
        <f t="shared" si="49"/>
        <v>28847312.564000003</v>
      </c>
      <c r="AX56" s="416">
        <f t="shared" si="49"/>
        <v>19225824.842000004</v>
      </c>
      <c r="AY56" s="416">
        <f t="shared" si="49"/>
        <v>17653800.662680004</v>
      </c>
      <c r="AZ56" s="416">
        <f t="shared" si="49"/>
        <v>28260761.975600008</v>
      </c>
      <c r="BA56" s="416">
        <f t="shared" si="49"/>
        <v>31802532.794620007</v>
      </c>
      <c r="BB56" s="416">
        <f t="shared" si="49"/>
        <v>31802532.794620007</v>
      </c>
      <c r="BC56" s="416">
        <f t="shared" si="49"/>
        <v>31802532.794620007</v>
      </c>
      <c r="BD56" s="416">
        <f t="shared" si="49"/>
        <v>31802532.794620007</v>
      </c>
      <c r="BE56" s="416">
        <f t="shared" si="49"/>
        <v>31802532.794620007</v>
      </c>
      <c r="BF56" s="416">
        <f t="shared" si="49"/>
        <v>31802532.794620007</v>
      </c>
      <c r="BG56" s="416">
        <f t="shared" si="49"/>
        <v>31802532.794620007</v>
      </c>
      <c r="BH56" s="416">
        <f t="shared" si="49"/>
        <v>31802532.794620007</v>
      </c>
      <c r="BI56" s="416">
        <f t="shared" si="49"/>
        <v>31802532.794620007</v>
      </c>
      <c r="BJ56" s="416">
        <f t="shared" si="49"/>
        <v>21195571.481700003</v>
      </c>
      <c r="BK56" s="391">
        <f>SUM(C56:BJ56)</f>
        <v>1105330362.6475606</v>
      </c>
    </row>
    <row r="57" spans="1:63" outlineLevel="1" x14ac:dyDescent="0.15"/>
    <row r="58" spans="1:63" outlineLevel="1" x14ac:dyDescent="0.15">
      <c r="A58" s="44" t="s">
        <v>302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CostoVentaPDiarioAN1*F51</f>
        <v>741000</v>
      </c>
      <c r="G60" s="63">
        <f>'COGS-PRICE-MARGIN_CWS'!$E5*G51</f>
        <v>1016500</v>
      </c>
      <c r="H60" s="63">
        <f>'COGS-PRICE-MARGIN_CWS'!$E5*H51</f>
        <v>1510500</v>
      </c>
      <c r="I60" s="63">
        <f>'COGS-PRICE-MARGIN_CWS'!$E5*I51</f>
        <v>1890500</v>
      </c>
      <c r="J60" s="63">
        <f>'COGS-PRICE-MARGIN_CWS'!$E5*J51</f>
        <v>2270500</v>
      </c>
      <c r="K60" s="63">
        <f>'COGS-PRICE-MARGIN_CWS'!$E5*K51</f>
        <v>2650500</v>
      </c>
      <c r="L60" s="63">
        <f>'COGS-PRICE-MARGIN_CWS'!$E5*L51</f>
        <v>3030500</v>
      </c>
      <c r="M60" s="63">
        <f>'COGS-PRICE-MARGIN_CWS'!$E5*M51</f>
        <v>3410500</v>
      </c>
      <c r="N60" s="63">
        <f>'COGS-PRICE-MARGIN_CWS'!$E5*N51</f>
        <v>3030500</v>
      </c>
      <c r="O60" s="63">
        <f>'COGS-PRICE-MARGIN_CWS'!$E55*O51</f>
        <v>5844875</v>
      </c>
      <c r="P60" s="63">
        <f>'COGS-PRICE-MARGIN_CWS'!$E55*P51</f>
        <v>9229820</v>
      </c>
      <c r="Q60" s="63">
        <f>'COGS-PRICE-MARGIN_CWS'!$E55*Q51</f>
        <v>10378465</v>
      </c>
      <c r="R60" s="63">
        <f>'COGS-PRICE-MARGIN_CWS'!$E55*R51</f>
        <v>10378465</v>
      </c>
      <c r="S60" s="63">
        <f>'COGS-PRICE-MARGIN_CWS'!$E55*S51</f>
        <v>10378465</v>
      </c>
      <c r="T60" s="63">
        <f>'COGS-PRICE-MARGIN_CWS'!$E55*T51</f>
        <v>10378465</v>
      </c>
      <c r="U60" s="63">
        <f>'COGS-PRICE-MARGIN_CWS'!$E55*U51</f>
        <v>10378465</v>
      </c>
      <c r="V60" s="63">
        <f>'COGS-PRICE-MARGIN_CWS'!$E55*V51</f>
        <v>10378465</v>
      </c>
      <c r="W60" s="63">
        <f>'COGS-PRICE-MARGIN_CWS'!$E55*W51</f>
        <v>10378465</v>
      </c>
      <c r="X60" s="63">
        <f>'COGS-PRICE-MARGIN_CWS'!$E55*X51</f>
        <v>10378465</v>
      </c>
      <c r="Y60" s="63">
        <f>'COGS-PRICE-MARGIN_CWS'!$E55*Y51</f>
        <v>10378465</v>
      </c>
      <c r="Z60" s="63">
        <f>'COGS-PRICE-MARGIN_CWS'!$E55*Z51</f>
        <v>6922365</v>
      </c>
      <c r="AA60" s="63">
        <f>'COGS-PRICE-MARGIN_CWS'!$E105*AA$51</f>
        <v>7896375.3000000007</v>
      </c>
      <c r="AB60" s="63">
        <f>'COGS-PRICE-MARGIN_CWS'!$E105*AB$51</f>
        <v>12627674.550000001</v>
      </c>
      <c r="AC60" s="63">
        <f>'COGS-PRICE-MARGIN_CWS'!$E105*AC$51</f>
        <v>14204774.300000001</v>
      </c>
      <c r="AD60" s="63">
        <f>'COGS-PRICE-MARGIN_CWS'!$E105*AD$51</f>
        <v>14204774.300000001</v>
      </c>
      <c r="AE60" s="63">
        <f>'COGS-PRICE-MARGIN_CWS'!$E105*AE$51</f>
        <v>14204774.300000001</v>
      </c>
      <c r="AF60" s="63">
        <f>'COGS-PRICE-MARGIN_CWS'!$E105*AF$51</f>
        <v>14204774.300000001</v>
      </c>
      <c r="AG60" s="63">
        <f>'COGS-PRICE-MARGIN_CWS'!$E105*AG$51</f>
        <v>14204774.300000001</v>
      </c>
      <c r="AH60" s="63">
        <f>'COGS-PRICE-MARGIN_CWS'!$E105*AH$51</f>
        <v>14204774.300000001</v>
      </c>
      <c r="AI60" s="63">
        <f>'COGS-PRICE-MARGIN_CWS'!$E105*AI$51</f>
        <v>14204774.300000001</v>
      </c>
      <c r="AJ60" s="63">
        <f>'COGS-PRICE-MARGIN_CWS'!$E105*AJ$51</f>
        <v>14204774.300000001</v>
      </c>
      <c r="AK60" s="63">
        <f>'COGS-PRICE-MARGIN_CWS'!$E105*AK$51</f>
        <v>14204774.300000001</v>
      </c>
      <c r="AL60" s="63">
        <f>'COGS-PRICE-MARGIN_CWS'!$E105*AL$51</f>
        <v>9473475.0500000007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750045603.22513056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331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741000</v>
      </c>
      <c r="G65" s="63">
        <f t="shared" si="50"/>
        <v>1016500</v>
      </c>
      <c r="H65" s="63">
        <f t="shared" si="50"/>
        <v>1510500</v>
      </c>
      <c r="I65" s="63">
        <f t="shared" si="50"/>
        <v>1890500</v>
      </c>
      <c r="J65" s="63">
        <f t="shared" si="50"/>
        <v>2270500</v>
      </c>
      <c r="K65" s="63">
        <f t="shared" si="50"/>
        <v>2650500</v>
      </c>
      <c r="L65" s="63">
        <f t="shared" si="50"/>
        <v>3030500</v>
      </c>
      <c r="M65" s="63">
        <f t="shared" si="50"/>
        <v>3410500</v>
      </c>
      <c r="N65" s="63">
        <f t="shared" si="50"/>
        <v>3030500</v>
      </c>
      <c r="O65" s="63">
        <f>SUM(O60:O63)</f>
        <v>5844875</v>
      </c>
      <c r="P65" s="63">
        <f t="shared" ref="P65:BJ65" si="51">SUM(P60:P63)</f>
        <v>9229820</v>
      </c>
      <c r="Q65" s="63">
        <f t="shared" si="51"/>
        <v>10378465</v>
      </c>
      <c r="R65" s="63">
        <f t="shared" si="51"/>
        <v>10378465</v>
      </c>
      <c r="S65" s="63">
        <f t="shared" si="51"/>
        <v>10378465</v>
      </c>
      <c r="T65" s="63">
        <f t="shared" si="51"/>
        <v>10378465</v>
      </c>
      <c r="U65" s="63">
        <f t="shared" si="51"/>
        <v>10378465</v>
      </c>
      <c r="V65" s="63">
        <f t="shared" si="51"/>
        <v>10378465</v>
      </c>
      <c r="W65" s="63">
        <f t="shared" si="51"/>
        <v>10378465</v>
      </c>
      <c r="X65" s="63">
        <f t="shared" si="51"/>
        <v>10378465</v>
      </c>
      <c r="Y65" s="63">
        <f t="shared" si="51"/>
        <v>10378465</v>
      </c>
      <c r="Z65" s="63">
        <f t="shared" si="51"/>
        <v>6922365</v>
      </c>
      <c r="AA65" s="63">
        <f t="shared" si="51"/>
        <v>7896375.3000000007</v>
      </c>
      <c r="AB65" s="63">
        <f t="shared" si="51"/>
        <v>12627674.550000001</v>
      </c>
      <c r="AC65" s="63">
        <f t="shared" si="51"/>
        <v>14204774.300000001</v>
      </c>
      <c r="AD65" s="63">
        <f t="shared" si="51"/>
        <v>14204774.300000001</v>
      </c>
      <c r="AE65" s="63">
        <f t="shared" si="51"/>
        <v>14204774.300000001</v>
      </c>
      <c r="AF65" s="63">
        <f t="shared" si="51"/>
        <v>14204774.300000001</v>
      </c>
      <c r="AG65" s="63">
        <f t="shared" si="51"/>
        <v>14204774.300000001</v>
      </c>
      <c r="AH65" s="63">
        <f t="shared" si="51"/>
        <v>14204774.300000001</v>
      </c>
      <c r="AI65" s="63">
        <f t="shared" si="51"/>
        <v>14204774.300000001</v>
      </c>
      <c r="AJ65" s="63">
        <f t="shared" si="51"/>
        <v>14204774.300000001</v>
      </c>
      <c r="AK65" s="63">
        <f t="shared" si="51"/>
        <v>14204774.300000001</v>
      </c>
      <c r="AL65" s="63">
        <f t="shared" si="51"/>
        <v>9473475.0500000007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750045603.22513056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633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5152.0499999999984</v>
      </c>
      <c r="AB67" s="63">
        <f t="shared" si="52"/>
        <v>5152.0500000000011</v>
      </c>
      <c r="AC67" s="63">
        <f t="shared" si="52"/>
        <v>5152.05</v>
      </c>
      <c r="AD67" s="63">
        <f t="shared" si="52"/>
        <v>5152.05</v>
      </c>
      <c r="AE67" s="63">
        <f t="shared" si="52"/>
        <v>5152.05</v>
      </c>
      <c r="AF67" s="63">
        <f t="shared" si="52"/>
        <v>5152.05</v>
      </c>
      <c r="AG67" s="63">
        <f t="shared" si="52"/>
        <v>5152.05</v>
      </c>
      <c r="AH67" s="63">
        <f t="shared" si="52"/>
        <v>5152.05</v>
      </c>
      <c r="AI67" s="63">
        <f t="shared" ref="AI67:BJ67" si="53">IF(AI51&gt;0,(AI56-AI65)/AI51,0)</f>
        <v>5152.05</v>
      </c>
      <c r="AJ67" s="63">
        <f t="shared" si="53"/>
        <v>5152.05</v>
      </c>
      <c r="AK67" s="63">
        <f t="shared" si="53"/>
        <v>5152.05</v>
      </c>
      <c r="AL67" s="63">
        <f t="shared" si="53"/>
        <v>5152.0499999999984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634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351000</v>
      </c>
      <c r="G68" s="63">
        <f t="shared" si="54"/>
        <v>481500</v>
      </c>
      <c r="H68" s="63">
        <f t="shared" si="54"/>
        <v>715500</v>
      </c>
      <c r="I68" s="63">
        <f t="shared" si="54"/>
        <v>895500</v>
      </c>
      <c r="J68" s="63">
        <f t="shared" si="54"/>
        <v>1075500</v>
      </c>
      <c r="K68" s="63">
        <f t="shared" si="54"/>
        <v>1255500</v>
      </c>
      <c r="L68" s="63">
        <f t="shared" si="54"/>
        <v>1435500</v>
      </c>
      <c r="M68" s="63">
        <f t="shared" si="54"/>
        <v>1615500</v>
      </c>
      <c r="N68" s="63">
        <f t="shared" si="54"/>
        <v>1435500</v>
      </c>
      <c r="O68" s="63">
        <f t="shared" si="54"/>
        <v>2768625</v>
      </c>
      <c r="P68" s="63">
        <f t="shared" si="54"/>
        <v>4372020</v>
      </c>
      <c r="Q68" s="63">
        <f t="shared" si="54"/>
        <v>4916115</v>
      </c>
      <c r="R68" s="63">
        <f t="shared" si="54"/>
        <v>4916115</v>
      </c>
      <c r="S68" s="63">
        <f t="shared" si="54"/>
        <v>4916115</v>
      </c>
      <c r="T68" s="63">
        <f t="shared" si="54"/>
        <v>4916115</v>
      </c>
      <c r="U68" s="63">
        <f t="shared" si="54"/>
        <v>4916115</v>
      </c>
      <c r="V68" s="63">
        <f t="shared" si="54"/>
        <v>4916115</v>
      </c>
      <c r="W68" s="63">
        <f t="shared" si="54"/>
        <v>4916115</v>
      </c>
      <c r="X68" s="63">
        <f t="shared" si="54"/>
        <v>4916115</v>
      </c>
      <c r="Y68" s="63">
        <f t="shared" si="54"/>
        <v>4916115</v>
      </c>
      <c r="Z68" s="63">
        <f t="shared" si="54"/>
        <v>3279015</v>
      </c>
      <c r="AA68" s="63">
        <f t="shared" si="54"/>
        <v>3740388.2999999989</v>
      </c>
      <c r="AB68" s="63">
        <f t="shared" si="54"/>
        <v>5981530.0500000007</v>
      </c>
      <c r="AC68" s="63">
        <f t="shared" si="54"/>
        <v>6728577.3000000007</v>
      </c>
      <c r="AD68" s="63">
        <f t="shared" si="54"/>
        <v>6728577.3000000007</v>
      </c>
      <c r="AE68" s="63">
        <f t="shared" si="54"/>
        <v>6728577.3000000007</v>
      </c>
      <c r="AF68" s="63">
        <f t="shared" si="54"/>
        <v>6728577.3000000007</v>
      </c>
      <c r="AG68" s="63">
        <f t="shared" si="54"/>
        <v>6728577.3000000007</v>
      </c>
      <c r="AH68" s="63">
        <f t="shared" si="54"/>
        <v>6728577.3000000007</v>
      </c>
      <c r="AI68" s="63">
        <f t="shared" ref="AI68:BJ68" si="55">AI56-AI65</f>
        <v>6728577.3000000007</v>
      </c>
      <c r="AJ68" s="63">
        <f t="shared" si="55"/>
        <v>6728577.3000000007</v>
      </c>
      <c r="AK68" s="63">
        <f t="shared" si="55"/>
        <v>6728577.3000000007</v>
      </c>
      <c r="AL68" s="63">
        <f t="shared" si="55"/>
        <v>4487435.5499999989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355284759.42242998</v>
      </c>
    </row>
    <row r="69" spans="1:63" outlineLevel="1" x14ac:dyDescent="0.15">
      <c r="A69" s="47" t="s">
        <v>316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0.32142857142857134</v>
      </c>
      <c r="AB69" s="46">
        <f t="shared" si="56"/>
        <v>0.32142857142857145</v>
      </c>
      <c r="AC69" s="46">
        <f t="shared" si="56"/>
        <v>0.32142857142857145</v>
      </c>
      <c r="AD69" s="46">
        <f t="shared" si="56"/>
        <v>0.32142857142857145</v>
      </c>
      <c r="AE69" s="46">
        <f t="shared" si="56"/>
        <v>0.32142857142857145</v>
      </c>
      <c r="AF69" s="46">
        <f t="shared" si="56"/>
        <v>0.32142857142857145</v>
      </c>
      <c r="AG69" s="46">
        <f t="shared" si="56"/>
        <v>0.32142857142857145</v>
      </c>
      <c r="AH69" s="46">
        <f t="shared" si="56"/>
        <v>0.32142857142857145</v>
      </c>
      <c r="AI69" s="46">
        <f t="shared" si="56"/>
        <v>0.32142857142857145</v>
      </c>
      <c r="AJ69" s="46">
        <f t="shared" si="56"/>
        <v>0.32142857142857145</v>
      </c>
      <c r="AK69" s="46">
        <f t="shared" si="56"/>
        <v>0.32142857142857145</v>
      </c>
      <c r="AL69" s="46">
        <f t="shared" si="56"/>
        <v>0.32142857142857134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'REV-REVCALC_CWS'!A33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'REV-REVCALC_CWS'!A35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v>0</v>
      </c>
      <c r="G73" s="172">
        <v>0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'REV-REVCALC_CWS'!A36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78</v>
      </c>
      <c r="G74" s="169">
        <f t="shared" si="57"/>
        <v>107</v>
      </c>
      <c r="H74" s="169">
        <f t="shared" si="57"/>
        <v>119</v>
      </c>
      <c r="I74" s="169">
        <f t="shared" si="57"/>
        <v>149</v>
      </c>
      <c r="J74" s="169">
        <f t="shared" si="57"/>
        <v>179</v>
      </c>
      <c r="K74" s="169">
        <f t="shared" si="57"/>
        <v>209</v>
      </c>
      <c r="L74" s="169">
        <f t="shared" si="57"/>
        <v>239</v>
      </c>
      <c r="M74" s="169">
        <f t="shared" si="57"/>
        <v>269</v>
      </c>
      <c r="N74" s="169">
        <f t="shared" si="57"/>
        <v>239</v>
      </c>
      <c r="O74" s="169">
        <f t="shared" si="57"/>
        <v>419</v>
      </c>
      <c r="P74" s="169">
        <f t="shared" si="57"/>
        <v>662</v>
      </c>
      <c r="Q74" s="169">
        <f t="shared" si="57"/>
        <v>745</v>
      </c>
      <c r="R74" s="169">
        <f t="shared" si="57"/>
        <v>745</v>
      </c>
      <c r="S74" s="169">
        <f t="shared" si="57"/>
        <v>745</v>
      </c>
      <c r="T74" s="169">
        <f t="shared" si="57"/>
        <v>745</v>
      </c>
      <c r="U74" s="169">
        <f t="shared" si="57"/>
        <v>745</v>
      </c>
      <c r="V74" s="169">
        <f t="shared" si="57"/>
        <v>745</v>
      </c>
      <c r="W74" s="169">
        <f t="shared" si="57"/>
        <v>745</v>
      </c>
      <c r="X74" s="169">
        <f t="shared" si="57"/>
        <v>745</v>
      </c>
      <c r="Y74" s="169">
        <f t="shared" si="57"/>
        <v>745</v>
      </c>
      <c r="Z74" s="169">
        <f t="shared" si="57"/>
        <v>497</v>
      </c>
      <c r="AA74" s="169">
        <f t="shared" si="57"/>
        <v>500</v>
      </c>
      <c r="AB74" s="169">
        <f t="shared" si="57"/>
        <v>801</v>
      </c>
      <c r="AC74" s="169">
        <f t="shared" si="57"/>
        <v>901</v>
      </c>
      <c r="AD74" s="169">
        <f t="shared" si="57"/>
        <v>901</v>
      </c>
      <c r="AE74" s="169">
        <f t="shared" si="57"/>
        <v>901</v>
      </c>
      <c r="AF74" s="169">
        <f t="shared" si="57"/>
        <v>901</v>
      </c>
      <c r="AG74" s="169">
        <f t="shared" si="57"/>
        <v>901</v>
      </c>
      <c r="AH74" s="169">
        <f t="shared" si="57"/>
        <v>901</v>
      </c>
      <c r="AI74" s="169">
        <f t="shared" ref="AI74:BJ74" si="58">AI51-AI75</f>
        <v>901</v>
      </c>
      <c r="AJ74" s="169">
        <f t="shared" si="58"/>
        <v>901</v>
      </c>
      <c r="AK74" s="169">
        <f t="shared" si="58"/>
        <v>901</v>
      </c>
      <c r="AL74" s="169">
        <f t="shared" si="58"/>
        <v>600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46433</v>
      </c>
    </row>
    <row r="75" spans="1:63" outlineLevel="1" x14ac:dyDescent="0.15">
      <c r="A75" s="47" t="str">
        <f>'REV-REVCALC_CWS'!A37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0</v>
      </c>
      <c r="G75" s="169">
        <f t="shared" si="59"/>
        <v>0</v>
      </c>
      <c r="H75" s="169">
        <f t="shared" si="59"/>
        <v>40</v>
      </c>
      <c r="I75" s="169">
        <f t="shared" si="59"/>
        <v>50</v>
      </c>
      <c r="J75" s="169">
        <f t="shared" si="59"/>
        <v>60</v>
      </c>
      <c r="K75" s="169">
        <f t="shared" si="59"/>
        <v>70</v>
      </c>
      <c r="L75" s="169">
        <f t="shared" si="59"/>
        <v>80</v>
      </c>
      <c r="M75" s="169">
        <f t="shared" si="59"/>
        <v>90</v>
      </c>
      <c r="N75" s="169">
        <f t="shared" si="59"/>
        <v>80</v>
      </c>
      <c r="O75" s="169">
        <f t="shared" si="59"/>
        <v>156</v>
      </c>
      <c r="P75" s="169">
        <f t="shared" si="59"/>
        <v>246</v>
      </c>
      <c r="Q75" s="169">
        <f t="shared" si="59"/>
        <v>276</v>
      </c>
      <c r="R75" s="169">
        <f t="shared" si="59"/>
        <v>276</v>
      </c>
      <c r="S75" s="169">
        <f t="shared" si="59"/>
        <v>276</v>
      </c>
      <c r="T75" s="169">
        <f t="shared" si="59"/>
        <v>276</v>
      </c>
      <c r="U75" s="169">
        <f t="shared" si="59"/>
        <v>276</v>
      </c>
      <c r="V75" s="169">
        <f t="shared" si="59"/>
        <v>276</v>
      </c>
      <c r="W75" s="169">
        <f t="shared" si="59"/>
        <v>276</v>
      </c>
      <c r="X75" s="169">
        <f t="shared" si="59"/>
        <v>276</v>
      </c>
      <c r="Y75" s="169">
        <f t="shared" si="59"/>
        <v>276</v>
      </c>
      <c r="Z75" s="169">
        <f t="shared" si="59"/>
        <v>184</v>
      </c>
      <c r="AA75" s="169">
        <f t="shared" si="59"/>
        <v>226</v>
      </c>
      <c r="AB75" s="169">
        <f t="shared" si="59"/>
        <v>360</v>
      </c>
      <c r="AC75" s="169">
        <f t="shared" si="59"/>
        <v>405</v>
      </c>
      <c r="AD75" s="169">
        <f t="shared" si="59"/>
        <v>405</v>
      </c>
      <c r="AE75" s="169">
        <f t="shared" si="59"/>
        <v>405</v>
      </c>
      <c r="AF75" s="169">
        <f t="shared" si="59"/>
        <v>405</v>
      </c>
      <c r="AG75" s="169">
        <f t="shared" si="59"/>
        <v>405</v>
      </c>
      <c r="AH75" s="169">
        <f t="shared" si="59"/>
        <v>405</v>
      </c>
      <c r="AI75" s="169">
        <f t="shared" si="59"/>
        <v>405</v>
      </c>
      <c r="AJ75" s="169">
        <f t="shared" si="59"/>
        <v>405</v>
      </c>
      <c r="AK75" s="169">
        <f t="shared" si="59"/>
        <v>405</v>
      </c>
      <c r="AL75" s="169">
        <f t="shared" si="59"/>
        <v>271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19432</v>
      </c>
    </row>
    <row r="76" spans="1:63" outlineLevel="1" x14ac:dyDescent="0.15">
      <c r="A76" s="47"/>
    </row>
    <row r="77" spans="1:63" outlineLevel="1" x14ac:dyDescent="0.15">
      <c r="A77" s="33" t="str">
        <f>'REV-REVCALC_CWS'!A39</f>
        <v>Ingreso Local Services Units</v>
      </c>
    </row>
    <row r="78" spans="1:63" outlineLevel="1" x14ac:dyDescent="0.15"/>
    <row r="79" spans="1:63" outlineLevel="1" x14ac:dyDescent="0.15">
      <c r="A79" s="47" t="str">
        <f>'REV-REVCALC_CWS'!A40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'REV-REVCALC_CWS'!A41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'REV-REVCALC_CWS'!A42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'REV-REVCALC_CWS'!A43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1263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'REV-REVCALC_CWS'!A45</f>
        <v>Ingreso 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'REV-REVCALC_CWS'!A46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0</v>
      </c>
      <c r="G86" s="63">
        <f>'COGS-PRICE-MARGIN_CWS'!$B20*G75</f>
        <v>0</v>
      </c>
      <c r="H86" s="63">
        <f>'COGS-PRICE-MARGIN_CWS'!$B20*H75</f>
        <v>120000</v>
      </c>
      <c r="I86" s="63">
        <f>'COGS-PRICE-MARGIN_CWS'!$B20*I75</f>
        <v>150000</v>
      </c>
      <c r="J86" s="63">
        <f>'COGS-PRICE-MARGIN_CWS'!$B20*J75</f>
        <v>180000</v>
      </c>
      <c r="K86" s="63">
        <f>'COGS-PRICE-MARGIN_CWS'!$B20*K75</f>
        <v>210000</v>
      </c>
      <c r="L86" s="63">
        <f>'COGS-PRICE-MARGIN_CWS'!$B20*L75</f>
        <v>240000</v>
      </c>
      <c r="M86" s="63">
        <f>'COGS-PRICE-MARGIN_CWS'!$B20*M75</f>
        <v>270000</v>
      </c>
      <c r="N86" s="63">
        <f>'COGS-PRICE-MARGIN_CWS'!$B20*N75</f>
        <v>240000</v>
      </c>
      <c r="O86" s="63">
        <f>'COGS-PRICE-MARGIN_CWS'!$B70*O75</f>
        <v>500760</v>
      </c>
      <c r="P86" s="63">
        <f>'COGS-PRICE-MARGIN_CWS'!$B70*P75</f>
        <v>789660</v>
      </c>
      <c r="Q86" s="63">
        <f>'COGS-PRICE-MARGIN_CWS'!$B70*Q75</f>
        <v>885960</v>
      </c>
      <c r="R86" s="63">
        <f>'COGS-PRICE-MARGIN_CWS'!$B70*R75</f>
        <v>885960</v>
      </c>
      <c r="S86" s="63">
        <f>'COGS-PRICE-MARGIN_CWS'!$B70*S75</f>
        <v>885960</v>
      </c>
      <c r="T86" s="63">
        <f>'COGS-PRICE-MARGIN_CWS'!$B70*T75</f>
        <v>885960</v>
      </c>
      <c r="U86" s="63">
        <f>'COGS-PRICE-MARGIN_CWS'!$B70*U75</f>
        <v>885960</v>
      </c>
      <c r="V86" s="63">
        <f>'COGS-PRICE-MARGIN_CWS'!$B70*V75</f>
        <v>885960</v>
      </c>
      <c r="W86" s="63">
        <f>'COGS-PRICE-MARGIN_CWS'!$B70*W75</f>
        <v>885960</v>
      </c>
      <c r="X86" s="63">
        <f>'COGS-PRICE-MARGIN_CWS'!$B70*X75</f>
        <v>885960</v>
      </c>
      <c r="Y86" s="63">
        <f>'COGS-PRICE-MARGIN_CWS'!$B70*Y75</f>
        <v>885960</v>
      </c>
      <c r="Z86" s="63">
        <f>'COGS-PRICE-MARGIN_CWS'!$B70*Z75</f>
        <v>590640</v>
      </c>
      <c r="AA86" s="63">
        <f>'COGS-PRICE-MARGIN_CWS'!$B120*AA75</f>
        <v>776242.20000000007</v>
      </c>
      <c r="AB86" s="63">
        <f>'COGS-PRICE-MARGIN_CWS'!$B120*AB75</f>
        <v>1236492</v>
      </c>
      <c r="AC86" s="63">
        <f>'COGS-PRICE-MARGIN_CWS'!$B120*AC75</f>
        <v>1391053.5</v>
      </c>
      <c r="AD86" s="63">
        <f>'COGS-PRICE-MARGIN_CWS'!$B120*AD75</f>
        <v>1391053.5</v>
      </c>
      <c r="AE86" s="63">
        <f>'COGS-PRICE-MARGIN_CWS'!$B120*AE75</f>
        <v>1391053.5</v>
      </c>
      <c r="AF86" s="63">
        <f>'COGS-PRICE-MARGIN_CWS'!$B120*AF75</f>
        <v>1391053.5</v>
      </c>
      <c r="AG86" s="63">
        <f>'COGS-PRICE-MARGIN_CWS'!$B120*AG75</f>
        <v>1391053.5</v>
      </c>
      <c r="AH86" s="63">
        <f>'COGS-PRICE-MARGIN_CWS'!$B120*AH75</f>
        <v>1391053.5</v>
      </c>
      <c r="AI86" s="63">
        <f>'COGS-PRICE-MARGIN_CWS'!$B120*AI75</f>
        <v>1391053.5</v>
      </c>
      <c r="AJ86" s="63">
        <f>'COGS-PRICE-MARGIN_CWS'!$B120*AJ75</f>
        <v>1391053.5</v>
      </c>
      <c r="AK86" s="63">
        <f>'COGS-PRICE-MARGIN_CWS'!$B120*AK75</f>
        <v>1391053.5</v>
      </c>
      <c r="AL86" s="63">
        <f>'COGS-PRICE-MARGIN_CWS'!$B120*AL75</f>
        <v>930803.70000000007</v>
      </c>
      <c r="AM86" s="63">
        <f>'COGS-PRICE-MARGIN_CWS'!$B170*AM75</f>
        <v>1032711.2490000001</v>
      </c>
      <c r="AN86" s="63">
        <f>'COGS-PRICE-MARGIN_CWS'!$B170*AN75</f>
        <v>1650132.9210000001</v>
      </c>
      <c r="AO86" s="63">
        <f>'COGS-PRICE-MARGIN_CWS'!$B170*AO75</f>
        <v>1855940.1450000003</v>
      </c>
      <c r="AP86" s="63">
        <f>'COGS-PRICE-MARGIN_CWS'!$B170*AP75</f>
        <v>1855940.1450000003</v>
      </c>
      <c r="AQ86" s="63">
        <f>'COGS-PRICE-MARGIN_CWS'!$B170*AQ75</f>
        <v>1855940.1450000003</v>
      </c>
      <c r="AR86" s="63">
        <f>'COGS-PRICE-MARGIN_CWS'!$B170*AR75</f>
        <v>1855940.1450000003</v>
      </c>
      <c r="AS86" s="63">
        <f>'COGS-PRICE-MARGIN_CWS'!$B170*AS75</f>
        <v>1855940.1450000003</v>
      </c>
      <c r="AT86" s="63">
        <f>'COGS-PRICE-MARGIN_CWS'!$B170*AT75</f>
        <v>1855940.1450000003</v>
      </c>
      <c r="AU86" s="63">
        <f>'COGS-PRICE-MARGIN_CWS'!$B170*AU75</f>
        <v>1855940.1450000003</v>
      </c>
      <c r="AV86" s="63">
        <f>'COGS-PRICE-MARGIN_CWS'!$B170*AV75</f>
        <v>1855940.1450000003</v>
      </c>
      <c r="AW86" s="63">
        <f>'COGS-PRICE-MARGIN_CWS'!$B170*AW75</f>
        <v>1855940.1450000003</v>
      </c>
      <c r="AX86" s="63">
        <f>'COGS-PRICE-MARGIN_CWS'!$B170*AX75</f>
        <v>1238518.4730000002</v>
      </c>
      <c r="AY86" s="63">
        <f>'COGS-PRICE-MARGIN_CWS'!$B220*AY75</f>
        <v>1136460.1406700001</v>
      </c>
      <c r="AZ86" s="63">
        <f>'COGS-PRICE-MARGIN_CWS'!$B220*AZ75</f>
        <v>1816763.2698600003</v>
      </c>
      <c r="BA86" s="63">
        <f>'COGS-PRICE-MARGIN_CWS'!$B220*BA75</f>
        <v>2044841.7756000003</v>
      </c>
      <c r="BB86" s="63">
        <f>'COGS-PRICE-MARGIN_CWS'!$B220*BB75</f>
        <v>2044841.7756000003</v>
      </c>
      <c r="BC86" s="63">
        <f>'COGS-PRICE-MARGIN_CWS'!$B220*BC75</f>
        <v>2044841.7756000003</v>
      </c>
      <c r="BD86" s="63">
        <f>'COGS-PRICE-MARGIN_CWS'!$B220*BD75</f>
        <v>2044841.7756000003</v>
      </c>
      <c r="BE86" s="63">
        <f>'COGS-PRICE-MARGIN_CWS'!$B220*BE75</f>
        <v>2044841.7756000003</v>
      </c>
      <c r="BF86" s="63">
        <f>'COGS-PRICE-MARGIN_CWS'!$B220*BF75</f>
        <v>2044841.7756000003</v>
      </c>
      <c r="BG86" s="63">
        <f>'COGS-PRICE-MARGIN_CWS'!$B220*BG75</f>
        <v>2044841.7756000003</v>
      </c>
      <c r="BH86" s="63">
        <f>'COGS-PRICE-MARGIN_CWS'!$B220*BH75</f>
        <v>2044841.7756000003</v>
      </c>
      <c r="BI86" s="63">
        <f>'COGS-PRICE-MARGIN_CWS'!$B220*BI75</f>
        <v>2044841.7756000003</v>
      </c>
      <c r="BJ86" s="63">
        <f>'COGS-PRICE-MARGIN_CWS'!$B220*BJ75</f>
        <v>1364538.6464100003</v>
      </c>
      <c r="BK86" s="118">
        <f>SUM(C86:BJ86)</f>
        <v>70073881.385340035</v>
      </c>
    </row>
    <row r="87" spans="1:64" outlineLevel="1" x14ac:dyDescent="0.15">
      <c r="A87" s="47" t="str">
        <f>'REV-REVCALC_CWS'!A47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1264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0</v>
      </c>
      <c r="G88" s="63">
        <f t="shared" si="65"/>
        <v>0</v>
      </c>
      <c r="H88" s="63">
        <f t="shared" si="65"/>
        <v>120000</v>
      </c>
      <c r="I88" s="63">
        <f t="shared" si="65"/>
        <v>150000</v>
      </c>
      <c r="J88" s="63">
        <f t="shared" si="65"/>
        <v>180000</v>
      </c>
      <c r="K88" s="63">
        <f t="shared" si="65"/>
        <v>210000</v>
      </c>
      <c r="L88" s="63">
        <f t="shared" si="65"/>
        <v>240000</v>
      </c>
      <c r="M88" s="63">
        <f t="shared" si="65"/>
        <v>270000</v>
      </c>
      <c r="N88" s="63">
        <f t="shared" si="65"/>
        <v>240000</v>
      </c>
      <c r="O88" s="63">
        <f t="shared" si="65"/>
        <v>500760</v>
      </c>
      <c r="P88" s="63">
        <f t="shared" si="65"/>
        <v>789660</v>
      </c>
      <c r="Q88" s="63">
        <f t="shared" si="65"/>
        <v>885960</v>
      </c>
      <c r="R88" s="63">
        <f t="shared" si="65"/>
        <v>885960</v>
      </c>
      <c r="S88" s="63">
        <f t="shared" si="65"/>
        <v>885960</v>
      </c>
      <c r="T88" s="63">
        <f t="shared" si="65"/>
        <v>885960</v>
      </c>
      <c r="U88" s="63">
        <f t="shared" si="65"/>
        <v>885960</v>
      </c>
      <c r="V88" s="63">
        <f t="shared" si="65"/>
        <v>885960</v>
      </c>
      <c r="W88" s="63">
        <f t="shared" si="65"/>
        <v>885960</v>
      </c>
      <c r="X88" s="63">
        <f t="shared" si="65"/>
        <v>885960</v>
      </c>
      <c r="Y88" s="63">
        <f t="shared" si="65"/>
        <v>885960</v>
      </c>
      <c r="Z88" s="63">
        <f t="shared" si="65"/>
        <v>590640</v>
      </c>
      <c r="AA88" s="63">
        <f t="shared" si="65"/>
        <v>776242.20000000007</v>
      </c>
      <c r="AB88" s="63">
        <f t="shared" si="65"/>
        <v>1236492</v>
      </c>
      <c r="AC88" s="63">
        <f t="shared" si="65"/>
        <v>1391053.5</v>
      </c>
      <c r="AD88" s="63">
        <f t="shared" si="65"/>
        <v>1391053.5</v>
      </c>
      <c r="AE88" s="63">
        <f t="shared" si="65"/>
        <v>1391053.5</v>
      </c>
      <c r="AF88" s="63">
        <f t="shared" si="65"/>
        <v>1391053.5</v>
      </c>
      <c r="AG88" s="63">
        <f t="shared" si="65"/>
        <v>1391053.5</v>
      </c>
      <c r="AH88" s="63">
        <f t="shared" si="65"/>
        <v>1391053.5</v>
      </c>
      <c r="AI88" s="63">
        <f t="shared" si="65"/>
        <v>1391053.5</v>
      </c>
      <c r="AJ88" s="63">
        <f t="shared" si="65"/>
        <v>1391053.5</v>
      </c>
      <c r="AK88" s="63">
        <f t="shared" si="65"/>
        <v>1391053.5</v>
      </c>
      <c r="AL88" s="63">
        <f t="shared" si="65"/>
        <v>930803.70000000007</v>
      </c>
      <c r="AM88" s="63">
        <f t="shared" si="65"/>
        <v>1032711.2490000001</v>
      </c>
      <c r="AN88" s="63">
        <f t="shared" si="65"/>
        <v>1650132.9210000001</v>
      </c>
      <c r="AO88" s="63">
        <f t="shared" si="65"/>
        <v>1855940.1450000003</v>
      </c>
      <c r="AP88" s="63">
        <f t="shared" si="65"/>
        <v>1855940.1450000003</v>
      </c>
      <c r="AQ88" s="63">
        <f t="shared" si="65"/>
        <v>1855940.1450000003</v>
      </c>
      <c r="AR88" s="63">
        <f t="shared" si="65"/>
        <v>1855940.1450000003</v>
      </c>
      <c r="AS88" s="63">
        <f t="shared" si="65"/>
        <v>1855940.1450000003</v>
      </c>
      <c r="AT88" s="63">
        <f t="shared" si="65"/>
        <v>1855940.1450000003</v>
      </c>
      <c r="AU88" s="63">
        <f t="shared" si="65"/>
        <v>1855940.1450000003</v>
      </c>
      <c r="AV88" s="63">
        <f t="shared" si="65"/>
        <v>1855940.1450000003</v>
      </c>
      <c r="AW88" s="63">
        <f t="shared" si="65"/>
        <v>1855940.1450000003</v>
      </c>
      <c r="AX88" s="63">
        <f t="shared" si="65"/>
        <v>1238518.4730000002</v>
      </c>
      <c r="AY88" s="63">
        <f t="shared" si="65"/>
        <v>1136460.1406700001</v>
      </c>
      <c r="AZ88" s="63">
        <f t="shared" si="65"/>
        <v>1816763.2698600003</v>
      </c>
      <c r="BA88" s="63">
        <f t="shared" si="65"/>
        <v>2044841.7756000003</v>
      </c>
      <c r="BB88" s="63">
        <f t="shared" si="65"/>
        <v>2044841.7756000003</v>
      </c>
      <c r="BC88" s="63">
        <f t="shared" si="65"/>
        <v>2044841.7756000003</v>
      </c>
      <c r="BD88" s="63">
        <f t="shared" si="65"/>
        <v>2044841.7756000003</v>
      </c>
      <c r="BE88" s="63">
        <f t="shared" si="65"/>
        <v>2044841.7756000003</v>
      </c>
      <c r="BF88" s="63">
        <f t="shared" si="65"/>
        <v>2044841.7756000003</v>
      </c>
      <c r="BG88" s="63">
        <f t="shared" si="65"/>
        <v>2044841.7756000003</v>
      </c>
      <c r="BH88" s="63">
        <f t="shared" si="65"/>
        <v>2044841.7756000003</v>
      </c>
      <c r="BI88" s="63">
        <f t="shared" si="65"/>
        <v>2044841.7756000003</v>
      </c>
      <c r="BJ88" s="63">
        <f t="shared" si="65"/>
        <v>1364538.6464100003</v>
      </c>
      <c r="BL88" s="178">
        <f>BJ88+BJ83</f>
        <v>1364538.6464100003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8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206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0</v>
      </c>
      <c r="G92" s="169">
        <f t="shared" si="66"/>
        <v>0</v>
      </c>
      <c r="H92" s="169">
        <f t="shared" si="66"/>
        <v>69</v>
      </c>
      <c r="I92" s="169">
        <f t="shared" si="66"/>
        <v>86</v>
      </c>
      <c r="J92" s="169">
        <f t="shared" si="66"/>
        <v>103</v>
      </c>
      <c r="K92" s="169">
        <f t="shared" si="66"/>
        <v>120</v>
      </c>
      <c r="L92" s="169">
        <f t="shared" si="66"/>
        <v>137</v>
      </c>
      <c r="M92" s="169">
        <f t="shared" si="66"/>
        <v>154</v>
      </c>
      <c r="N92" s="169">
        <f t="shared" si="66"/>
        <v>137</v>
      </c>
      <c r="O92" s="169">
        <f t="shared" si="66"/>
        <v>247</v>
      </c>
      <c r="P92" s="169">
        <f t="shared" si="66"/>
        <v>408</v>
      </c>
      <c r="Q92" s="169">
        <f t="shared" si="66"/>
        <v>459</v>
      </c>
      <c r="R92" s="169">
        <f t="shared" si="66"/>
        <v>459</v>
      </c>
      <c r="S92" s="169">
        <f t="shared" si="66"/>
        <v>459</v>
      </c>
      <c r="T92" s="169">
        <f t="shared" si="66"/>
        <v>459</v>
      </c>
      <c r="U92" s="169">
        <f t="shared" si="66"/>
        <v>459</v>
      </c>
      <c r="V92" s="169">
        <f t="shared" si="66"/>
        <v>459</v>
      </c>
      <c r="W92" s="169">
        <f t="shared" si="66"/>
        <v>459</v>
      </c>
      <c r="X92" s="169">
        <f t="shared" si="66"/>
        <v>459</v>
      </c>
      <c r="Y92" s="169">
        <f t="shared" si="66"/>
        <v>459</v>
      </c>
      <c r="Z92" s="169">
        <f t="shared" si="66"/>
        <v>306</v>
      </c>
      <c r="AA92" s="169">
        <f t="shared" si="66"/>
        <v>726</v>
      </c>
      <c r="AB92" s="169">
        <f t="shared" si="66"/>
        <v>1162</v>
      </c>
      <c r="AC92" s="169">
        <f t="shared" si="66"/>
        <v>1307</v>
      </c>
      <c r="AD92" s="169">
        <f t="shared" si="66"/>
        <v>1307</v>
      </c>
      <c r="AE92" s="169">
        <f t="shared" si="66"/>
        <v>1307</v>
      </c>
      <c r="AF92" s="169">
        <f t="shared" si="66"/>
        <v>1307</v>
      </c>
      <c r="AG92" s="169">
        <f t="shared" si="66"/>
        <v>1307</v>
      </c>
      <c r="AH92" s="169">
        <f t="shared" si="66"/>
        <v>1307</v>
      </c>
      <c r="AI92" s="169">
        <f t="shared" si="66"/>
        <v>1307</v>
      </c>
      <c r="AJ92" s="169">
        <f t="shared" si="66"/>
        <v>1307</v>
      </c>
      <c r="AK92" s="169">
        <f t="shared" si="66"/>
        <v>1307</v>
      </c>
      <c r="AL92" s="169">
        <f t="shared" si="66"/>
        <v>871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58377</v>
      </c>
    </row>
    <row r="93" spans="1:64" s="390" customFormat="1" outlineLevel="1" x14ac:dyDescent="0.15">
      <c r="A93" s="417" t="s">
        <v>312</v>
      </c>
      <c r="C93" s="390">
        <f>'COGS-PRICE-MARGIN_CWS'!$B29*C92</f>
        <v>0</v>
      </c>
      <c r="D93" s="390">
        <f>'COGS-PRICE-MARGIN_CWS'!$B29*D92</f>
        <v>0</v>
      </c>
      <c r="E93" s="390">
        <f>'COGS-PRICE-MARGIN_CWS'!$B29*E92</f>
        <v>0</v>
      </c>
      <c r="F93" s="390">
        <f>'COGS-PRICE-MARGIN_CWS'!$B29*F92</f>
        <v>0</v>
      </c>
      <c r="G93" s="390">
        <f>'COGS-PRICE-MARGIN_CWS'!$B29*G92</f>
        <v>0</v>
      </c>
      <c r="H93" s="390">
        <f>'COGS-PRICE-MARGIN_CWS'!$B29*H92</f>
        <v>1518000</v>
      </c>
      <c r="I93" s="390">
        <f>'COGS-PRICE-MARGIN_CWS'!$B29*I92</f>
        <v>1892000</v>
      </c>
      <c r="J93" s="390">
        <f>'COGS-PRICE-MARGIN_CWS'!$B29*J92</f>
        <v>2266000</v>
      </c>
      <c r="K93" s="390">
        <f>'COGS-PRICE-MARGIN_CWS'!$B29*K92</f>
        <v>2640000</v>
      </c>
      <c r="L93" s="390">
        <f>'COGS-PRICE-MARGIN_CWS'!$B29*L92</f>
        <v>3014000</v>
      </c>
      <c r="M93" s="390">
        <f>'COGS-PRICE-MARGIN_CWS'!$B29*M92</f>
        <v>3388000</v>
      </c>
      <c r="N93" s="390">
        <f>'COGS-PRICE-MARGIN_CWS'!$B29*N92</f>
        <v>3014000</v>
      </c>
      <c r="O93" s="390">
        <f>'COGS-PRICE-MARGIN_CWS'!$B79*O92</f>
        <v>5814380</v>
      </c>
      <c r="P93" s="390">
        <f>'COGS-PRICE-MARGIN_CWS'!$B79*P92</f>
        <v>9604320</v>
      </c>
      <c r="Q93" s="390">
        <f>'COGS-PRICE-MARGIN_CWS'!$B79*Q92</f>
        <v>10804860</v>
      </c>
      <c r="R93" s="390">
        <f>'COGS-PRICE-MARGIN_CWS'!$B79*R92</f>
        <v>10804860</v>
      </c>
      <c r="S93" s="390">
        <f>'COGS-PRICE-MARGIN_CWS'!$B79*S92</f>
        <v>10804860</v>
      </c>
      <c r="T93" s="390">
        <f>'COGS-PRICE-MARGIN_CWS'!$B79*T92</f>
        <v>10804860</v>
      </c>
      <c r="U93" s="390">
        <f>'COGS-PRICE-MARGIN_CWS'!$B79*U92</f>
        <v>10804860</v>
      </c>
      <c r="V93" s="390">
        <f>'COGS-PRICE-MARGIN_CWS'!$B79*V92</f>
        <v>10804860</v>
      </c>
      <c r="W93" s="390">
        <f>'COGS-PRICE-MARGIN_CWS'!$B79*W92</f>
        <v>10804860</v>
      </c>
      <c r="X93" s="390">
        <f>'COGS-PRICE-MARGIN_CWS'!$B79*X92</f>
        <v>10804860</v>
      </c>
      <c r="Y93" s="390">
        <f>'COGS-PRICE-MARGIN_CWS'!$B79*Y92</f>
        <v>10804860</v>
      </c>
      <c r="Z93" s="390">
        <f>'COGS-PRICE-MARGIN_CWS'!$B79*Z92</f>
        <v>7203240</v>
      </c>
      <c r="AA93" s="390">
        <f>'COGS-PRICE-MARGIN_CWS'!$B129*AA92</f>
        <v>18286342.800000001</v>
      </c>
      <c r="AB93" s="390">
        <f>'COGS-PRICE-MARGIN_CWS'!$B129*AB92</f>
        <v>29268223.600000005</v>
      </c>
      <c r="AC93" s="390">
        <f>'COGS-PRICE-MARGIN_CWS'!$B129*AC92</f>
        <v>32920454.600000005</v>
      </c>
      <c r="AD93" s="390">
        <f>'COGS-PRICE-MARGIN_CWS'!$B129*AD92</f>
        <v>32920454.600000005</v>
      </c>
      <c r="AE93" s="390">
        <f>'COGS-PRICE-MARGIN_CWS'!$B129*AE92</f>
        <v>32920454.600000005</v>
      </c>
      <c r="AF93" s="390">
        <f>'COGS-PRICE-MARGIN_CWS'!$B129*AF92</f>
        <v>32920454.600000005</v>
      </c>
      <c r="AG93" s="390">
        <f>'COGS-PRICE-MARGIN_CWS'!$B129*AG92</f>
        <v>32920454.600000005</v>
      </c>
      <c r="AH93" s="390">
        <f>'COGS-PRICE-MARGIN_CWS'!$B129*AH92</f>
        <v>32920454.600000005</v>
      </c>
      <c r="AI93" s="390">
        <f>'COGS-PRICE-MARGIN_CWS'!$B129*AI92</f>
        <v>32920454.600000005</v>
      </c>
      <c r="AJ93" s="390">
        <f>'COGS-PRICE-MARGIN_CWS'!$B129*AJ92</f>
        <v>32920454.600000005</v>
      </c>
      <c r="AK93" s="390">
        <f>'COGS-PRICE-MARGIN_CWS'!$B129*AK92</f>
        <v>32920454.600000005</v>
      </c>
      <c r="AL93" s="390">
        <f>'COGS-PRICE-MARGIN_CWS'!$B129*AL92</f>
        <v>21938573.800000001</v>
      </c>
      <c r="AM93" s="390">
        <f>'COGS-PRICE-MARGIN_CWS'!$B179*AM92</f>
        <v>25199134.510000002</v>
      </c>
      <c r="AN93" s="390">
        <f>'COGS-PRICE-MARGIN_CWS'!$B179*AN92</f>
        <v>40318615.216000006</v>
      </c>
      <c r="AO93" s="390">
        <f>'COGS-PRICE-MARGIN_CWS'!$B179*AO92</f>
        <v>45358442.118000008</v>
      </c>
      <c r="AP93" s="390">
        <f>'COGS-PRICE-MARGIN_CWS'!$B179*AP92</f>
        <v>45358442.118000008</v>
      </c>
      <c r="AQ93" s="390">
        <f>'COGS-PRICE-MARGIN_CWS'!$B179*AQ92</f>
        <v>45358442.118000008</v>
      </c>
      <c r="AR93" s="390">
        <f>'COGS-PRICE-MARGIN_CWS'!$B179*AR92</f>
        <v>45358442.118000008</v>
      </c>
      <c r="AS93" s="390">
        <f>'COGS-PRICE-MARGIN_CWS'!$B179*AS92</f>
        <v>45358442.118000008</v>
      </c>
      <c r="AT93" s="390">
        <f>'COGS-PRICE-MARGIN_CWS'!$B179*AT92</f>
        <v>45358442.118000008</v>
      </c>
      <c r="AU93" s="390">
        <f>'COGS-PRICE-MARGIN_CWS'!$B179*AU92</f>
        <v>45358442.118000008</v>
      </c>
      <c r="AV93" s="390">
        <f>'COGS-PRICE-MARGIN_CWS'!$B179*AV92</f>
        <v>45358442.118000008</v>
      </c>
      <c r="AW93" s="390">
        <f>'COGS-PRICE-MARGIN_CWS'!$B179*AW92</f>
        <v>45358442.118000008</v>
      </c>
      <c r="AX93" s="390">
        <f>'COGS-PRICE-MARGIN_CWS'!$B179*AX92</f>
        <v>30238961.412000004</v>
      </c>
      <c r="AY93" s="390">
        <f>'COGS-PRICE-MARGIN_CWS'!$B229*AY92</f>
        <v>27770524.267860003</v>
      </c>
      <c r="AZ93" s="390">
        <f>'COGS-PRICE-MARGIN_CWS'!$B229*AZ92</f>
        <v>44438606.331020005</v>
      </c>
      <c r="BA93" s="390">
        <f>'COGS-PRICE-MARGIN_CWS'!$B229*BA92</f>
        <v>49975408.677260004</v>
      </c>
      <c r="BB93" s="390">
        <f>'COGS-PRICE-MARGIN_CWS'!$B229*BB92</f>
        <v>49975408.677260004</v>
      </c>
      <c r="BC93" s="390">
        <f>'COGS-PRICE-MARGIN_CWS'!$B229*BC92</f>
        <v>49975408.677260004</v>
      </c>
      <c r="BD93" s="390">
        <f>'COGS-PRICE-MARGIN_CWS'!$B229*BD92</f>
        <v>49975408.677260004</v>
      </c>
      <c r="BE93" s="390">
        <f>'COGS-PRICE-MARGIN_CWS'!$B229*BE92</f>
        <v>49975408.677260004</v>
      </c>
      <c r="BF93" s="390">
        <f>'COGS-PRICE-MARGIN_CWS'!$B229*BF92</f>
        <v>49975408.677260004</v>
      </c>
      <c r="BG93" s="390">
        <f>'COGS-PRICE-MARGIN_CWS'!$B229*BG92</f>
        <v>49975408.677260004</v>
      </c>
      <c r="BH93" s="390">
        <f>'COGS-PRICE-MARGIN_CWS'!$B229*BH92</f>
        <v>49975408.677260004</v>
      </c>
      <c r="BI93" s="390">
        <f>'COGS-PRICE-MARGIN_CWS'!$B229*BI92</f>
        <v>49975408.677260004</v>
      </c>
      <c r="BJ93" s="390">
        <f>'COGS-PRICE-MARGIN_CWS'!$B229*BJ92</f>
        <v>33336164.126320004</v>
      </c>
      <c r="BK93" s="391">
        <f>SUM(C93:BJ93)</f>
        <v>1562681574.6205397</v>
      </c>
    </row>
    <row r="94" spans="1:64" customFormat="1" outlineLevel="1" x14ac:dyDescent="0.15">
      <c r="A94" s="47" t="s">
        <v>313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640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0</v>
      </c>
      <c r="G96" s="70">
        <f t="shared" si="67"/>
        <v>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</v>
      </c>
      <c r="AB96" s="70">
        <f t="shared" si="67"/>
        <v>25187.800000000003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s="416" customFormat="1" outlineLevel="1" x14ac:dyDescent="0.15">
      <c r="A97" s="415" t="s">
        <v>333</v>
      </c>
      <c r="C97" s="416">
        <f t="shared" ref="C97:BJ97" si="68">C93*(1-C94)</f>
        <v>0</v>
      </c>
      <c r="D97" s="416">
        <f t="shared" si="68"/>
        <v>0</v>
      </c>
      <c r="E97" s="416">
        <f t="shared" si="68"/>
        <v>0</v>
      </c>
      <c r="F97" s="416">
        <f t="shared" si="68"/>
        <v>0</v>
      </c>
      <c r="G97" s="416">
        <f t="shared" si="68"/>
        <v>0</v>
      </c>
      <c r="H97" s="416">
        <f t="shared" si="68"/>
        <v>1518000</v>
      </c>
      <c r="I97" s="416">
        <f t="shared" si="68"/>
        <v>1892000</v>
      </c>
      <c r="J97" s="416">
        <f t="shared" si="68"/>
        <v>2266000</v>
      </c>
      <c r="K97" s="416">
        <f t="shared" si="68"/>
        <v>2640000</v>
      </c>
      <c r="L97" s="416">
        <f t="shared" si="68"/>
        <v>3014000</v>
      </c>
      <c r="M97" s="416">
        <f t="shared" si="68"/>
        <v>3388000</v>
      </c>
      <c r="N97" s="416">
        <f t="shared" si="68"/>
        <v>3014000</v>
      </c>
      <c r="O97" s="416">
        <f t="shared" si="68"/>
        <v>5814380</v>
      </c>
      <c r="P97" s="416">
        <f t="shared" si="68"/>
        <v>9604320</v>
      </c>
      <c r="Q97" s="416">
        <f t="shared" si="68"/>
        <v>10804860</v>
      </c>
      <c r="R97" s="416">
        <f t="shared" si="68"/>
        <v>10804860</v>
      </c>
      <c r="S97" s="416">
        <f t="shared" si="68"/>
        <v>10804860</v>
      </c>
      <c r="T97" s="416">
        <f t="shared" si="68"/>
        <v>10804860</v>
      </c>
      <c r="U97" s="416">
        <f t="shared" si="68"/>
        <v>10804860</v>
      </c>
      <c r="V97" s="416">
        <f t="shared" si="68"/>
        <v>10804860</v>
      </c>
      <c r="W97" s="416">
        <f t="shared" si="68"/>
        <v>10804860</v>
      </c>
      <c r="X97" s="416">
        <f t="shared" si="68"/>
        <v>10804860</v>
      </c>
      <c r="Y97" s="416">
        <f t="shared" si="68"/>
        <v>10804860</v>
      </c>
      <c r="Z97" s="416">
        <f t="shared" si="68"/>
        <v>7203240</v>
      </c>
      <c r="AA97" s="416">
        <f t="shared" si="68"/>
        <v>18286342.800000001</v>
      </c>
      <c r="AB97" s="416">
        <f t="shared" si="68"/>
        <v>29268223.600000005</v>
      </c>
      <c r="AC97" s="416">
        <f t="shared" si="68"/>
        <v>32920454.600000005</v>
      </c>
      <c r="AD97" s="416">
        <f t="shared" si="68"/>
        <v>32920454.600000005</v>
      </c>
      <c r="AE97" s="416">
        <f t="shared" si="68"/>
        <v>32920454.600000005</v>
      </c>
      <c r="AF97" s="416">
        <f t="shared" si="68"/>
        <v>32920454.600000005</v>
      </c>
      <c r="AG97" s="416">
        <f t="shared" si="68"/>
        <v>32920454.600000005</v>
      </c>
      <c r="AH97" s="416">
        <f t="shared" si="68"/>
        <v>32920454.600000005</v>
      </c>
      <c r="AI97" s="416">
        <f t="shared" si="68"/>
        <v>32920454.600000005</v>
      </c>
      <c r="AJ97" s="416">
        <f t="shared" si="68"/>
        <v>32920454.600000005</v>
      </c>
      <c r="AK97" s="416">
        <f t="shared" si="68"/>
        <v>32920454.600000005</v>
      </c>
      <c r="AL97" s="416">
        <f t="shared" si="68"/>
        <v>21938573.800000001</v>
      </c>
      <c r="AM97" s="416">
        <f t="shared" si="68"/>
        <v>25199134.510000002</v>
      </c>
      <c r="AN97" s="416">
        <f t="shared" si="68"/>
        <v>40318615.216000006</v>
      </c>
      <c r="AO97" s="416">
        <f t="shared" si="68"/>
        <v>45358442.118000008</v>
      </c>
      <c r="AP97" s="416">
        <f t="shared" si="68"/>
        <v>45358442.118000008</v>
      </c>
      <c r="AQ97" s="416">
        <f t="shared" si="68"/>
        <v>45358442.118000008</v>
      </c>
      <c r="AR97" s="416">
        <f t="shared" si="68"/>
        <v>45358442.118000008</v>
      </c>
      <c r="AS97" s="416">
        <f t="shared" si="68"/>
        <v>45358442.118000008</v>
      </c>
      <c r="AT97" s="416">
        <f t="shared" si="68"/>
        <v>45358442.118000008</v>
      </c>
      <c r="AU97" s="416">
        <f t="shared" si="68"/>
        <v>45358442.118000008</v>
      </c>
      <c r="AV97" s="416">
        <f t="shared" si="68"/>
        <v>45358442.118000008</v>
      </c>
      <c r="AW97" s="416">
        <f t="shared" si="68"/>
        <v>45358442.118000008</v>
      </c>
      <c r="AX97" s="416">
        <f t="shared" si="68"/>
        <v>30238961.412000004</v>
      </c>
      <c r="AY97" s="416">
        <f t="shared" si="68"/>
        <v>27770524.267860003</v>
      </c>
      <c r="AZ97" s="416">
        <f t="shared" si="68"/>
        <v>44438606.331020005</v>
      </c>
      <c r="BA97" s="416">
        <f t="shared" si="68"/>
        <v>49975408.677260004</v>
      </c>
      <c r="BB97" s="416">
        <f t="shared" si="68"/>
        <v>49975408.677260004</v>
      </c>
      <c r="BC97" s="416">
        <f t="shared" si="68"/>
        <v>49975408.677260004</v>
      </c>
      <c r="BD97" s="416">
        <f t="shared" si="68"/>
        <v>49975408.677260004</v>
      </c>
      <c r="BE97" s="416">
        <f t="shared" si="68"/>
        <v>49975408.677260004</v>
      </c>
      <c r="BF97" s="416">
        <f t="shared" si="68"/>
        <v>49975408.677260004</v>
      </c>
      <c r="BG97" s="416">
        <f t="shared" si="68"/>
        <v>49975408.677260004</v>
      </c>
      <c r="BH97" s="416">
        <f t="shared" si="68"/>
        <v>49975408.677260004</v>
      </c>
      <c r="BI97" s="416">
        <f t="shared" si="68"/>
        <v>49975408.677260004</v>
      </c>
      <c r="BJ97" s="416">
        <f t="shared" si="68"/>
        <v>33336164.126320004</v>
      </c>
      <c r="BK97" s="391">
        <f>SUM(C97:BJ97)</f>
        <v>1562681574.6205397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0</v>
      </c>
      <c r="G101" s="97">
        <f>'COGS-PRICE-MARGIN_CWS'!$E29*G$92</f>
        <v>0</v>
      </c>
      <c r="H101" s="97">
        <f>'COGS-PRICE-MARGIN_CWS'!$E29*H$92</f>
        <v>690000</v>
      </c>
      <c r="I101" s="97">
        <f>'COGS-PRICE-MARGIN_CWS'!$E29*I$92</f>
        <v>860000</v>
      </c>
      <c r="J101" s="97">
        <f>'COGS-PRICE-MARGIN_CWS'!$E29*J$92</f>
        <v>1030000</v>
      </c>
      <c r="K101" s="97">
        <f>'COGS-PRICE-MARGIN_CWS'!$E29*K$92</f>
        <v>1200000</v>
      </c>
      <c r="L101" s="97">
        <f>'COGS-PRICE-MARGIN_CWS'!$E29*L$92</f>
        <v>1370000</v>
      </c>
      <c r="M101" s="97">
        <f>'COGS-PRICE-MARGIN_CWS'!$E29*M$92</f>
        <v>1540000</v>
      </c>
      <c r="N101" s="97">
        <f>'COGS-PRICE-MARGIN_CWS'!$E29*N$92</f>
        <v>1370000</v>
      </c>
      <c r="O101" s="97">
        <f>'COGS-PRICE-MARGIN_CWS'!$E79*O$92</f>
        <v>2642900</v>
      </c>
      <c r="P101" s="97">
        <f>'COGS-PRICE-MARGIN_CWS'!$E79*P$92</f>
        <v>4365600</v>
      </c>
      <c r="Q101" s="97">
        <f>'COGS-PRICE-MARGIN_CWS'!$E79*Q$92</f>
        <v>4911300</v>
      </c>
      <c r="R101" s="97">
        <f>'COGS-PRICE-MARGIN_CWS'!$E79*R$92</f>
        <v>4911300</v>
      </c>
      <c r="S101" s="97">
        <f>'COGS-PRICE-MARGIN_CWS'!$E79*S$92</f>
        <v>4911300</v>
      </c>
      <c r="T101" s="97">
        <f>'COGS-PRICE-MARGIN_CWS'!$E79*T$92</f>
        <v>4911300</v>
      </c>
      <c r="U101" s="97">
        <f>'COGS-PRICE-MARGIN_CWS'!$E79*U$92</f>
        <v>4911300</v>
      </c>
      <c r="V101" s="97">
        <f>'COGS-PRICE-MARGIN_CWS'!$E79*V$92</f>
        <v>4911300</v>
      </c>
      <c r="W101" s="97">
        <f>'COGS-PRICE-MARGIN_CWS'!$E79*W$92</f>
        <v>4911300</v>
      </c>
      <c r="X101" s="97">
        <f>'COGS-PRICE-MARGIN_CWS'!$E79*X$92</f>
        <v>4911300</v>
      </c>
      <c r="Y101" s="97">
        <f>'COGS-PRICE-MARGIN_CWS'!$E79*Y$92</f>
        <v>4911300</v>
      </c>
      <c r="Z101" s="97">
        <f>'COGS-PRICE-MARGIN_CWS'!$E79*Z$92</f>
        <v>3274200</v>
      </c>
      <c r="AA101" s="97">
        <f>'COGS-PRICE-MARGIN_CWS'!$E129*AA$92</f>
        <v>8311974</v>
      </c>
      <c r="AB101" s="97">
        <f>'COGS-PRICE-MARGIN_CWS'!$E129*AB$92</f>
        <v>13303738</v>
      </c>
      <c r="AC101" s="97">
        <f>'COGS-PRICE-MARGIN_CWS'!$E129*AC$92</f>
        <v>14963843</v>
      </c>
      <c r="AD101" s="97">
        <f>'COGS-PRICE-MARGIN_CWS'!$E129*AD$92</f>
        <v>14963843</v>
      </c>
      <c r="AE101" s="97">
        <f>'COGS-PRICE-MARGIN_CWS'!$E129*AE$92</f>
        <v>14963843</v>
      </c>
      <c r="AF101" s="97">
        <f>'COGS-PRICE-MARGIN_CWS'!$E129*AF$92</f>
        <v>14963843</v>
      </c>
      <c r="AG101" s="97">
        <f>'COGS-PRICE-MARGIN_CWS'!$E129*AG$92</f>
        <v>14963843</v>
      </c>
      <c r="AH101" s="97">
        <f>'COGS-PRICE-MARGIN_CWS'!$E129*AH$92</f>
        <v>14963843</v>
      </c>
      <c r="AI101" s="97">
        <f>'COGS-PRICE-MARGIN_CWS'!$E129*AI$92</f>
        <v>14963843</v>
      </c>
      <c r="AJ101" s="97">
        <f>'COGS-PRICE-MARGIN_CWS'!$E129*AJ$92</f>
        <v>14963843</v>
      </c>
      <c r="AK101" s="97">
        <f>'COGS-PRICE-MARGIN_CWS'!$E129*AK$92</f>
        <v>14963843</v>
      </c>
      <c r="AL101" s="97">
        <f>'COGS-PRICE-MARGIN_CWS'!$E129*AL$92</f>
        <v>9972079</v>
      </c>
      <c r="AM101" s="97">
        <f>'COGS-PRICE-MARGIN_CWS'!$E179*AM$92</f>
        <v>11454152.050000001</v>
      </c>
      <c r="AN101" s="97">
        <f>'COGS-PRICE-MARGIN_CWS'!$E179*AN$92</f>
        <v>18326643.280000001</v>
      </c>
      <c r="AO101" s="97">
        <f>'COGS-PRICE-MARGIN_CWS'!$E179*AO$92</f>
        <v>20617473.690000001</v>
      </c>
      <c r="AP101" s="97">
        <f>'COGS-PRICE-MARGIN_CWS'!$E179*AP$92</f>
        <v>20617473.690000001</v>
      </c>
      <c r="AQ101" s="97">
        <f>'COGS-PRICE-MARGIN_CWS'!$E179*AQ$92</f>
        <v>20617473.690000001</v>
      </c>
      <c r="AR101" s="97">
        <f>'COGS-PRICE-MARGIN_CWS'!$E179*AR$92</f>
        <v>20617473.690000001</v>
      </c>
      <c r="AS101" s="97">
        <f>'COGS-PRICE-MARGIN_CWS'!$E179*AS$92</f>
        <v>20617473.690000001</v>
      </c>
      <c r="AT101" s="97">
        <f>'COGS-PRICE-MARGIN_CWS'!$E179*AT$92</f>
        <v>20617473.690000001</v>
      </c>
      <c r="AU101" s="97">
        <f>'COGS-PRICE-MARGIN_CWS'!$E179*AU$92</f>
        <v>20617473.690000001</v>
      </c>
      <c r="AV101" s="97">
        <f>'COGS-PRICE-MARGIN_CWS'!$E179*AV$92</f>
        <v>20617473.690000001</v>
      </c>
      <c r="AW101" s="97">
        <f>'COGS-PRICE-MARGIN_CWS'!$E179*AW$92</f>
        <v>20617473.690000001</v>
      </c>
      <c r="AX101" s="97">
        <f>'COGS-PRICE-MARGIN_CWS'!$E179*AX$92</f>
        <v>13744982.460000001</v>
      </c>
      <c r="AY101" s="97">
        <f>'COGS-PRICE-MARGIN_CWS'!$E229*AY$92</f>
        <v>12622965.576300001</v>
      </c>
      <c r="AZ101" s="97">
        <f>'COGS-PRICE-MARGIN_CWS'!$E229*AZ$92</f>
        <v>20199366.5141</v>
      </c>
      <c r="BA101" s="97">
        <f>'COGS-PRICE-MARGIN_CWS'!$E229*BA$92</f>
        <v>22716094.853300001</v>
      </c>
      <c r="BB101" s="97">
        <f>'COGS-PRICE-MARGIN_CWS'!$E229*BB$92</f>
        <v>22716094.853300001</v>
      </c>
      <c r="BC101" s="97">
        <f>'COGS-PRICE-MARGIN_CWS'!$E229*BC$92</f>
        <v>22716094.853300001</v>
      </c>
      <c r="BD101" s="97">
        <f>'COGS-PRICE-MARGIN_CWS'!$E229*BD$92</f>
        <v>22716094.853300001</v>
      </c>
      <c r="BE101" s="97">
        <f>'COGS-PRICE-MARGIN_CWS'!$E229*BE$92</f>
        <v>22716094.853300001</v>
      </c>
      <c r="BF101" s="97">
        <f>'COGS-PRICE-MARGIN_CWS'!$E229*BF$92</f>
        <v>22716094.853300001</v>
      </c>
      <c r="BG101" s="97">
        <f>'COGS-PRICE-MARGIN_CWS'!$E229*BG$92</f>
        <v>22716094.853300001</v>
      </c>
      <c r="BH101" s="97">
        <f>'COGS-PRICE-MARGIN_CWS'!$E229*BH$92</f>
        <v>22716094.853300001</v>
      </c>
      <c r="BI101" s="97">
        <f>'COGS-PRICE-MARGIN_CWS'!$E229*BI$92</f>
        <v>22716094.853300001</v>
      </c>
      <c r="BJ101" s="97">
        <f>'COGS-PRICE-MARGIN_CWS'!$E229*BJ$92</f>
        <v>15152801.875600001</v>
      </c>
      <c r="BK101" s="118">
        <f>SUM(C101:BJ101)</f>
        <v>710309806.64569986</v>
      </c>
    </row>
    <row r="102" spans="1:63" customFormat="1" outlineLevel="1" x14ac:dyDescent="0.15">
      <c r="A102" s="47" t="str">
        <f>'COGS-PRICE-MARGIN_CWS'!$A$30</f>
        <v>Aderezos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0</v>
      </c>
      <c r="G102" s="97">
        <f>'COGS-PRICE-MARGIN_CWS'!$E30*G$92</f>
        <v>0</v>
      </c>
      <c r="H102" s="97">
        <f>'COGS-PRICE-MARGIN_CWS'!$E30*H$92</f>
        <v>0</v>
      </c>
      <c r="I102" s="97">
        <f>'COGS-PRICE-MARGIN_CWS'!$E30*I$92</f>
        <v>0</v>
      </c>
      <c r="J102" s="97">
        <f>'COGS-PRICE-MARGIN_CWS'!$E30*J$92</f>
        <v>0</v>
      </c>
      <c r="K102" s="97">
        <f>'COGS-PRICE-MARGIN_CWS'!$E30*K$92</f>
        <v>0</v>
      </c>
      <c r="L102" s="97">
        <f>'COGS-PRICE-MARGIN_CWS'!$E30*L$92</f>
        <v>0</v>
      </c>
      <c r="M102" s="97">
        <f>'COGS-PRICE-MARGIN_CWS'!$E30*M$92</f>
        <v>0</v>
      </c>
      <c r="N102" s="97">
        <f>'COGS-PRICE-MARGIN_CWS'!$E30*N$92</f>
        <v>0</v>
      </c>
      <c r="O102" s="97">
        <f>'COGS-PRICE-MARGIN_CWS'!$E80*O$92</f>
        <v>0</v>
      </c>
      <c r="P102" s="97">
        <f>'COGS-PRICE-MARGIN_CWS'!$E80*P$92</f>
        <v>0</v>
      </c>
      <c r="Q102" s="97">
        <f>'COGS-PRICE-MARGIN_CWS'!$E80*Q$92</f>
        <v>0</v>
      </c>
      <c r="R102" s="97">
        <f>'COGS-PRICE-MARGIN_CWS'!$E80*R$92</f>
        <v>0</v>
      </c>
      <c r="S102" s="97">
        <f>'COGS-PRICE-MARGIN_CWS'!$E80*S$92</f>
        <v>0</v>
      </c>
      <c r="T102" s="97">
        <f>'COGS-PRICE-MARGIN_CWS'!$E80*T$92</f>
        <v>0</v>
      </c>
      <c r="U102" s="97">
        <f>'COGS-PRICE-MARGIN_CWS'!$E80*U$92</f>
        <v>0</v>
      </c>
      <c r="V102" s="97">
        <f>'COGS-PRICE-MARGIN_CWS'!$E80*V$92</f>
        <v>0</v>
      </c>
      <c r="W102" s="97">
        <f>'COGS-PRICE-MARGIN_CWS'!$E80*W$92</f>
        <v>0</v>
      </c>
      <c r="X102" s="97">
        <f>'COGS-PRICE-MARGIN_CWS'!$E80*X$92</f>
        <v>0</v>
      </c>
      <c r="Y102" s="97">
        <f>'COGS-PRICE-MARGIN_CWS'!$E80*Y$92</f>
        <v>0</v>
      </c>
      <c r="Z102" s="97">
        <f>'COGS-PRICE-MARGIN_CWS'!$E80*Z$92</f>
        <v>0</v>
      </c>
      <c r="AA102" s="97">
        <f>'COGS-PRICE-MARGIN_CWS'!$E30*AA$92</f>
        <v>0</v>
      </c>
      <c r="AB102" s="97">
        <f>'COGS-PRICE-MARGIN_CWS'!$E30*AB$92</f>
        <v>0</v>
      </c>
      <c r="AC102" s="97">
        <f>'COGS-PRICE-MARGIN_CWS'!$E30*AC$92</f>
        <v>0</v>
      </c>
      <c r="AD102" s="97">
        <f>'COGS-PRICE-MARGIN_CWS'!$E30*AD$92</f>
        <v>0</v>
      </c>
      <c r="AE102" s="97">
        <f>'COGS-PRICE-MARGIN_CWS'!$E30*AE$92</f>
        <v>0</v>
      </c>
      <c r="AF102" s="97">
        <f>'COGS-PRICE-MARGIN_CWS'!$E30*AF$92</f>
        <v>0</v>
      </c>
      <c r="AG102" s="97">
        <f>'COGS-PRICE-MARGIN_CWS'!$E30*AG$92</f>
        <v>0</v>
      </c>
      <c r="AH102" s="97">
        <f>'COGS-PRICE-MARGIN_CWS'!$E30*AH$92</f>
        <v>0</v>
      </c>
      <c r="AI102" s="97">
        <f>'COGS-PRICE-MARGIN_CWS'!$E30*AI$92</f>
        <v>0</v>
      </c>
      <c r="AJ102" s="97">
        <f>'COGS-PRICE-MARGIN_CWS'!$E30*AJ$92</f>
        <v>0</v>
      </c>
      <c r="AK102" s="97">
        <f>'COGS-PRICE-MARGIN_CWS'!$E30*AK$92</f>
        <v>0</v>
      </c>
      <c r="AL102" s="97">
        <f>'COGS-PRICE-MARGIN_CWS'!$E30*AL$92</f>
        <v>0</v>
      </c>
      <c r="AM102" s="97">
        <f>'COGS-PRICE-MARGIN_CWS'!$E180*AM$92</f>
        <v>0</v>
      </c>
      <c r="AN102" s="97">
        <f>'COGS-PRICE-MARGIN_CWS'!$E180*AN$92</f>
        <v>0</v>
      </c>
      <c r="AO102" s="97">
        <f>'COGS-PRICE-MARGIN_CWS'!$E180*AO$92</f>
        <v>0</v>
      </c>
      <c r="AP102" s="97">
        <f>'COGS-PRICE-MARGIN_CWS'!$E180*AP$92</f>
        <v>0</v>
      </c>
      <c r="AQ102" s="97">
        <f>'COGS-PRICE-MARGIN_CWS'!$E180*AQ$92</f>
        <v>0</v>
      </c>
      <c r="AR102" s="97">
        <f>'COGS-PRICE-MARGIN_CWS'!$E180*AR$92</f>
        <v>0</v>
      </c>
      <c r="AS102" s="97">
        <f>'COGS-PRICE-MARGIN_CWS'!$E180*AS$92</f>
        <v>0</v>
      </c>
      <c r="AT102" s="97">
        <f>'COGS-PRICE-MARGIN_CWS'!$E180*AT$92</f>
        <v>0</v>
      </c>
      <c r="AU102" s="97">
        <f>'COGS-PRICE-MARGIN_CWS'!$E180*AU$92</f>
        <v>0</v>
      </c>
      <c r="AV102" s="97">
        <f>'COGS-PRICE-MARGIN_CWS'!$E180*AV$92</f>
        <v>0</v>
      </c>
      <c r="AW102" s="97">
        <f>'COGS-PRICE-MARGIN_CWS'!$E180*AW$92</f>
        <v>0</v>
      </c>
      <c r="AX102" s="97">
        <f>'COGS-PRICE-MARGIN_CWS'!$E180*AX$92</f>
        <v>0</v>
      </c>
      <c r="AY102" s="97">
        <f>'COGS-PRICE-MARGIN_CWS'!$E230*AY$92</f>
        <v>0</v>
      </c>
      <c r="AZ102" s="97">
        <f>'COGS-PRICE-MARGIN_CWS'!$E230*AZ$92</f>
        <v>0</v>
      </c>
      <c r="BA102" s="97">
        <f>'COGS-PRICE-MARGIN_CWS'!$E230*BA$92</f>
        <v>0</v>
      </c>
      <c r="BB102" s="97">
        <f>'COGS-PRICE-MARGIN_CWS'!$E230*BB$92</f>
        <v>0</v>
      </c>
      <c r="BC102" s="97">
        <f>'COGS-PRICE-MARGIN_CWS'!$E230*BC$92</f>
        <v>0</v>
      </c>
      <c r="BD102" s="97">
        <f>'COGS-PRICE-MARGIN_CWS'!$E230*BD$92</f>
        <v>0</v>
      </c>
      <c r="BE102" s="97">
        <f>'COGS-PRICE-MARGIN_CWS'!$E230*BE$92</f>
        <v>0</v>
      </c>
      <c r="BF102" s="97">
        <f>'COGS-PRICE-MARGIN_CWS'!$E230*BF$92</f>
        <v>0</v>
      </c>
      <c r="BG102" s="97">
        <f>'COGS-PRICE-MARGIN_CWS'!$E230*BG$92</f>
        <v>0</v>
      </c>
      <c r="BH102" s="97">
        <f>'COGS-PRICE-MARGIN_CWS'!$E230*BH$92</f>
        <v>0</v>
      </c>
      <c r="BI102" s="97">
        <f>'COGS-PRICE-MARGIN_CWS'!$E230*BI$92</f>
        <v>0</v>
      </c>
      <c r="BJ102" s="97">
        <f>'COGS-PRICE-MARGIN_CWS'!$E230*BJ$92</f>
        <v>0</v>
      </c>
      <c r="BK102" s="118">
        <f>SUM(C102:BJ102)</f>
        <v>0</v>
      </c>
    </row>
    <row r="103" spans="1:63" customFormat="1" outlineLevel="1" x14ac:dyDescent="0.15">
      <c r="A103" s="17" t="s">
        <v>317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315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331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0</v>
      </c>
      <c r="G106" s="63">
        <f t="shared" si="69"/>
        <v>0</v>
      </c>
      <c r="H106" s="63">
        <f t="shared" si="69"/>
        <v>690000</v>
      </c>
      <c r="I106" s="63">
        <f t="shared" si="69"/>
        <v>860000</v>
      </c>
      <c r="J106" s="63">
        <f t="shared" si="69"/>
        <v>1030000</v>
      </c>
      <c r="K106" s="63">
        <f t="shared" si="69"/>
        <v>1200000</v>
      </c>
      <c r="L106" s="63">
        <f t="shared" si="69"/>
        <v>1370000</v>
      </c>
      <c r="M106" s="63">
        <f t="shared" si="69"/>
        <v>1540000</v>
      </c>
      <c r="N106" s="63">
        <f t="shared" si="69"/>
        <v>1370000</v>
      </c>
      <c r="O106" s="63">
        <f t="shared" si="69"/>
        <v>2642900</v>
      </c>
      <c r="P106" s="63">
        <f t="shared" si="69"/>
        <v>4365600</v>
      </c>
      <c r="Q106" s="63">
        <f t="shared" si="69"/>
        <v>4911300</v>
      </c>
      <c r="R106" s="63">
        <f t="shared" si="69"/>
        <v>4911300</v>
      </c>
      <c r="S106" s="63">
        <f t="shared" si="69"/>
        <v>4911300</v>
      </c>
      <c r="T106" s="63">
        <f t="shared" si="69"/>
        <v>4911300</v>
      </c>
      <c r="U106" s="63">
        <f t="shared" si="69"/>
        <v>4911300</v>
      </c>
      <c r="V106" s="63">
        <f t="shared" si="69"/>
        <v>4911300</v>
      </c>
      <c r="W106" s="63">
        <f t="shared" si="69"/>
        <v>4911300</v>
      </c>
      <c r="X106" s="63">
        <f t="shared" si="69"/>
        <v>4911300</v>
      </c>
      <c r="Y106" s="63">
        <f t="shared" si="69"/>
        <v>4911300</v>
      </c>
      <c r="Z106" s="63">
        <f t="shared" si="69"/>
        <v>3274200</v>
      </c>
      <c r="AA106" s="63">
        <f t="shared" si="69"/>
        <v>8311974</v>
      </c>
      <c r="AB106" s="63">
        <f t="shared" si="69"/>
        <v>13303738</v>
      </c>
      <c r="AC106" s="63">
        <f t="shared" si="69"/>
        <v>14963843</v>
      </c>
      <c r="AD106" s="63">
        <f t="shared" si="69"/>
        <v>14963843</v>
      </c>
      <c r="AE106" s="63">
        <f t="shared" si="69"/>
        <v>14963843</v>
      </c>
      <c r="AF106" s="63">
        <f t="shared" si="69"/>
        <v>14963843</v>
      </c>
      <c r="AG106" s="63">
        <f t="shared" si="69"/>
        <v>14963843</v>
      </c>
      <c r="AH106" s="63">
        <f t="shared" si="69"/>
        <v>14963843</v>
      </c>
      <c r="AI106" s="63">
        <f t="shared" si="69"/>
        <v>14963843</v>
      </c>
      <c r="AJ106" s="63">
        <f t="shared" si="69"/>
        <v>14963843</v>
      </c>
      <c r="AK106" s="63">
        <f t="shared" si="69"/>
        <v>14963843</v>
      </c>
      <c r="AL106" s="63">
        <f t="shared" si="69"/>
        <v>9972079</v>
      </c>
      <c r="AM106" s="63">
        <f t="shared" si="69"/>
        <v>11454152.050000001</v>
      </c>
      <c r="AN106" s="63">
        <f t="shared" si="69"/>
        <v>18326643.280000001</v>
      </c>
      <c r="AO106" s="63">
        <f t="shared" si="69"/>
        <v>20617473.690000001</v>
      </c>
      <c r="AP106" s="63">
        <f t="shared" si="69"/>
        <v>20617473.690000001</v>
      </c>
      <c r="AQ106" s="63">
        <f t="shared" si="69"/>
        <v>20617473.690000001</v>
      </c>
      <c r="AR106" s="63">
        <f t="shared" si="69"/>
        <v>20617473.690000001</v>
      </c>
      <c r="AS106" s="63">
        <f t="shared" si="69"/>
        <v>20617473.690000001</v>
      </c>
      <c r="AT106" s="63">
        <f t="shared" si="69"/>
        <v>20617473.690000001</v>
      </c>
      <c r="AU106" s="63">
        <f t="shared" si="69"/>
        <v>20617473.690000001</v>
      </c>
      <c r="AV106" s="63">
        <f t="shared" si="69"/>
        <v>20617473.690000001</v>
      </c>
      <c r="AW106" s="63">
        <f t="shared" si="69"/>
        <v>20617473.690000001</v>
      </c>
      <c r="AX106" s="63">
        <f t="shared" si="69"/>
        <v>13744982.460000001</v>
      </c>
      <c r="AY106" s="63">
        <f t="shared" si="69"/>
        <v>12622965.576300001</v>
      </c>
      <c r="AZ106" s="63">
        <f t="shared" si="69"/>
        <v>20199366.5141</v>
      </c>
      <c r="BA106" s="63">
        <f t="shared" si="69"/>
        <v>22716094.853300001</v>
      </c>
      <c r="BB106" s="63">
        <f t="shared" si="69"/>
        <v>22716094.853300001</v>
      </c>
      <c r="BC106" s="63">
        <f t="shared" si="69"/>
        <v>22716094.853300001</v>
      </c>
      <c r="BD106" s="63">
        <f t="shared" si="69"/>
        <v>22716094.853300001</v>
      </c>
      <c r="BE106" s="63">
        <f t="shared" si="69"/>
        <v>22716094.853300001</v>
      </c>
      <c r="BF106" s="63">
        <f t="shared" si="69"/>
        <v>22716094.853300001</v>
      </c>
      <c r="BG106" s="63">
        <f t="shared" si="69"/>
        <v>22716094.853300001</v>
      </c>
      <c r="BH106" s="63">
        <f t="shared" si="69"/>
        <v>22716094.853300001</v>
      </c>
      <c r="BI106" s="63">
        <f t="shared" si="69"/>
        <v>22716094.853300001</v>
      </c>
      <c r="BJ106" s="63">
        <f t="shared" si="69"/>
        <v>15152801.875600001</v>
      </c>
      <c r="BK106" s="118">
        <f>SUM(C106:BJ106)</f>
        <v>710309806.64569986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633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0</v>
      </c>
      <c r="G108" s="63">
        <f t="shared" si="70"/>
        <v>0</v>
      </c>
      <c r="H108" s="63">
        <f t="shared" si="70"/>
        <v>12000</v>
      </c>
      <c r="I108" s="63">
        <f t="shared" si="70"/>
        <v>12000</v>
      </c>
      <c r="J108" s="63">
        <f t="shared" si="70"/>
        <v>12000</v>
      </c>
      <c r="K108" s="63">
        <f t="shared" si="70"/>
        <v>12000</v>
      </c>
      <c r="L108" s="63">
        <f t="shared" si="70"/>
        <v>12000</v>
      </c>
      <c r="M108" s="63">
        <f t="shared" si="70"/>
        <v>12000</v>
      </c>
      <c r="N108" s="63">
        <f t="shared" si="70"/>
        <v>12000</v>
      </c>
      <c r="O108" s="63">
        <f t="shared" si="70"/>
        <v>12840</v>
      </c>
      <c r="P108" s="63">
        <f t="shared" si="70"/>
        <v>12840</v>
      </c>
      <c r="Q108" s="63">
        <f t="shared" si="70"/>
        <v>12840</v>
      </c>
      <c r="R108" s="63">
        <f t="shared" si="70"/>
        <v>12840</v>
      </c>
      <c r="S108" s="63">
        <f t="shared" si="70"/>
        <v>12840</v>
      </c>
      <c r="T108" s="63">
        <f t="shared" si="70"/>
        <v>12840</v>
      </c>
      <c r="U108" s="63">
        <f t="shared" si="70"/>
        <v>12840</v>
      </c>
      <c r="V108" s="63">
        <f t="shared" si="70"/>
        <v>12840</v>
      </c>
      <c r="W108" s="63">
        <f t="shared" si="70"/>
        <v>12840</v>
      </c>
      <c r="X108" s="63">
        <f t="shared" si="70"/>
        <v>12840</v>
      </c>
      <c r="Y108" s="63">
        <f t="shared" si="70"/>
        <v>12840</v>
      </c>
      <c r="Z108" s="63">
        <f t="shared" si="70"/>
        <v>12840</v>
      </c>
      <c r="AA108" s="63">
        <f t="shared" si="70"/>
        <v>13738.800000000001</v>
      </c>
      <c r="AB108" s="63">
        <f t="shared" si="70"/>
        <v>13738.800000000005</v>
      </c>
      <c r="AC108" s="63">
        <f t="shared" si="70"/>
        <v>13738.800000000005</v>
      </c>
      <c r="AD108" s="63">
        <f t="shared" si="70"/>
        <v>13738.800000000005</v>
      </c>
      <c r="AE108" s="63">
        <f t="shared" si="70"/>
        <v>13738.800000000005</v>
      </c>
      <c r="AF108" s="63">
        <f t="shared" si="70"/>
        <v>13738.800000000005</v>
      </c>
      <c r="AG108" s="63">
        <f t="shared" si="70"/>
        <v>13738.800000000005</v>
      </c>
      <c r="AH108" s="63">
        <f t="shared" si="70"/>
        <v>13738.800000000005</v>
      </c>
      <c r="AI108" s="63">
        <f t="shared" si="70"/>
        <v>13738.800000000005</v>
      </c>
      <c r="AJ108" s="63">
        <f t="shared" si="70"/>
        <v>13738.800000000005</v>
      </c>
      <c r="AK108" s="63">
        <f t="shared" si="70"/>
        <v>13738.800000000005</v>
      </c>
      <c r="AL108" s="63">
        <f t="shared" si="70"/>
        <v>13738.800000000001</v>
      </c>
      <c r="AM108" s="63">
        <f t="shared" si="70"/>
        <v>14700.516000000001</v>
      </c>
      <c r="AN108" s="63">
        <f t="shared" si="70"/>
        <v>14700.516000000003</v>
      </c>
      <c r="AO108" s="63">
        <f t="shared" si="70"/>
        <v>14700.516000000003</v>
      </c>
      <c r="AP108" s="63">
        <f t="shared" si="70"/>
        <v>14700.516000000003</v>
      </c>
      <c r="AQ108" s="63">
        <f t="shared" si="70"/>
        <v>14700.516000000003</v>
      </c>
      <c r="AR108" s="63">
        <f t="shared" si="70"/>
        <v>14700.516000000003</v>
      </c>
      <c r="AS108" s="63">
        <f t="shared" si="70"/>
        <v>14700.516000000003</v>
      </c>
      <c r="AT108" s="63">
        <f t="shared" si="70"/>
        <v>14700.516000000003</v>
      </c>
      <c r="AU108" s="63">
        <f t="shared" si="70"/>
        <v>14700.516000000003</v>
      </c>
      <c r="AV108" s="63">
        <f t="shared" si="70"/>
        <v>14700.516000000003</v>
      </c>
      <c r="AW108" s="63">
        <f t="shared" si="70"/>
        <v>14700.516000000003</v>
      </c>
      <c r="AX108" s="63">
        <f t="shared" si="70"/>
        <v>14700.516000000003</v>
      </c>
      <c r="AY108" s="63">
        <f t="shared" si="70"/>
        <v>15729.552120000002</v>
      </c>
      <c r="AZ108" s="63">
        <f t="shared" si="70"/>
        <v>15729.552120000004</v>
      </c>
      <c r="BA108" s="63">
        <f t="shared" si="70"/>
        <v>15729.552120000002</v>
      </c>
      <c r="BB108" s="63">
        <f t="shared" si="70"/>
        <v>15729.552120000002</v>
      </c>
      <c r="BC108" s="63">
        <f t="shared" si="70"/>
        <v>15729.552120000002</v>
      </c>
      <c r="BD108" s="63">
        <f t="shared" si="70"/>
        <v>15729.552120000002</v>
      </c>
      <c r="BE108" s="63">
        <f t="shared" si="70"/>
        <v>15729.552120000002</v>
      </c>
      <c r="BF108" s="63">
        <f t="shared" si="70"/>
        <v>15729.552120000002</v>
      </c>
      <c r="BG108" s="63">
        <f t="shared" si="70"/>
        <v>15729.552120000002</v>
      </c>
      <c r="BH108" s="63">
        <f t="shared" si="70"/>
        <v>15729.552120000002</v>
      </c>
      <c r="BI108" s="63">
        <f t="shared" si="70"/>
        <v>15729.552120000002</v>
      </c>
      <c r="BJ108" s="63">
        <f t="shared" si="70"/>
        <v>15729.552120000002</v>
      </c>
    </row>
    <row r="109" spans="1:63" outlineLevel="1" x14ac:dyDescent="0.15">
      <c r="A109" s="47" t="s">
        <v>634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0</v>
      </c>
      <c r="G109" s="63">
        <f t="shared" ref="G109:BJ109" si="72">G97-G106</f>
        <v>0</v>
      </c>
      <c r="H109" s="63">
        <f t="shared" si="72"/>
        <v>828000</v>
      </c>
      <c r="I109" s="63">
        <f t="shared" si="72"/>
        <v>1032000</v>
      </c>
      <c r="J109" s="63">
        <f t="shared" si="72"/>
        <v>1236000</v>
      </c>
      <c r="K109" s="63">
        <f t="shared" si="72"/>
        <v>1440000</v>
      </c>
      <c r="L109" s="63">
        <f t="shared" si="72"/>
        <v>1644000</v>
      </c>
      <c r="M109" s="63">
        <f t="shared" si="72"/>
        <v>1848000</v>
      </c>
      <c r="N109" s="63">
        <f t="shared" si="72"/>
        <v>1644000</v>
      </c>
      <c r="O109" s="63">
        <f t="shared" si="72"/>
        <v>3171480</v>
      </c>
      <c r="P109" s="63">
        <f t="shared" si="72"/>
        <v>5238720</v>
      </c>
      <c r="Q109" s="63">
        <f t="shared" si="72"/>
        <v>5893560</v>
      </c>
      <c r="R109" s="63">
        <f t="shared" si="72"/>
        <v>5893560</v>
      </c>
      <c r="S109" s="63">
        <f t="shared" si="72"/>
        <v>5893560</v>
      </c>
      <c r="T109" s="63">
        <f t="shared" si="72"/>
        <v>5893560</v>
      </c>
      <c r="U109" s="63">
        <f t="shared" si="72"/>
        <v>5893560</v>
      </c>
      <c r="V109" s="63">
        <f t="shared" si="72"/>
        <v>5893560</v>
      </c>
      <c r="W109" s="63">
        <f t="shared" si="72"/>
        <v>5893560</v>
      </c>
      <c r="X109" s="63">
        <f t="shared" si="72"/>
        <v>5893560</v>
      </c>
      <c r="Y109" s="63">
        <f t="shared" si="72"/>
        <v>5893560</v>
      </c>
      <c r="Z109" s="63">
        <f t="shared" si="72"/>
        <v>3929040</v>
      </c>
      <c r="AA109" s="63">
        <f t="shared" si="72"/>
        <v>9974368.8000000007</v>
      </c>
      <c r="AB109" s="63">
        <f t="shared" si="72"/>
        <v>15964485.600000005</v>
      </c>
      <c r="AC109" s="63">
        <f t="shared" si="72"/>
        <v>17956611.600000005</v>
      </c>
      <c r="AD109" s="63">
        <f t="shared" si="72"/>
        <v>17956611.600000005</v>
      </c>
      <c r="AE109" s="63">
        <f t="shared" si="72"/>
        <v>17956611.600000005</v>
      </c>
      <c r="AF109" s="63">
        <f t="shared" si="72"/>
        <v>17956611.600000005</v>
      </c>
      <c r="AG109" s="63">
        <f t="shared" si="72"/>
        <v>17956611.600000005</v>
      </c>
      <c r="AH109" s="63">
        <f t="shared" si="72"/>
        <v>17956611.600000005</v>
      </c>
      <c r="AI109" s="63">
        <f t="shared" si="72"/>
        <v>17956611.600000005</v>
      </c>
      <c r="AJ109" s="63">
        <f t="shared" si="72"/>
        <v>17956611.600000005</v>
      </c>
      <c r="AK109" s="63">
        <f t="shared" si="72"/>
        <v>17956611.600000005</v>
      </c>
      <c r="AL109" s="63">
        <f t="shared" si="72"/>
        <v>11966494.800000001</v>
      </c>
      <c r="AM109" s="63">
        <f t="shared" si="72"/>
        <v>13744982.460000001</v>
      </c>
      <c r="AN109" s="63">
        <f t="shared" si="72"/>
        <v>21991971.936000004</v>
      </c>
      <c r="AO109" s="63">
        <f t="shared" si="72"/>
        <v>24740968.428000007</v>
      </c>
      <c r="AP109" s="63">
        <f t="shared" si="72"/>
        <v>24740968.428000007</v>
      </c>
      <c r="AQ109" s="63">
        <f t="shared" si="72"/>
        <v>24740968.428000007</v>
      </c>
      <c r="AR109" s="63">
        <f t="shared" si="72"/>
        <v>24740968.428000007</v>
      </c>
      <c r="AS109" s="63">
        <f t="shared" si="72"/>
        <v>24740968.428000007</v>
      </c>
      <c r="AT109" s="63">
        <f t="shared" si="72"/>
        <v>24740968.428000007</v>
      </c>
      <c r="AU109" s="63">
        <f t="shared" si="72"/>
        <v>24740968.428000007</v>
      </c>
      <c r="AV109" s="63">
        <f t="shared" si="72"/>
        <v>24740968.428000007</v>
      </c>
      <c r="AW109" s="63">
        <f t="shared" si="72"/>
        <v>24740968.428000007</v>
      </c>
      <c r="AX109" s="63">
        <f t="shared" si="72"/>
        <v>16493978.952000003</v>
      </c>
      <c r="AY109" s="63">
        <f t="shared" si="72"/>
        <v>15147558.691560002</v>
      </c>
      <c r="AZ109" s="63">
        <f t="shared" si="72"/>
        <v>24239239.816920005</v>
      </c>
      <c r="BA109" s="63">
        <f t="shared" si="72"/>
        <v>27259313.823960003</v>
      </c>
      <c r="BB109" s="63">
        <f t="shared" si="72"/>
        <v>27259313.823960003</v>
      </c>
      <c r="BC109" s="63">
        <f t="shared" si="72"/>
        <v>27259313.823960003</v>
      </c>
      <c r="BD109" s="63">
        <f t="shared" si="72"/>
        <v>27259313.823960003</v>
      </c>
      <c r="BE109" s="63">
        <f t="shared" si="72"/>
        <v>27259313.823960003</v>
      </c>
      <c r="BF109" s="63">
        <f t="shared" si="72"/>
        <v>27259313.823960003</v>
      </c>
      <c r="BG109" s="63">
        <f t="shared" si="72"/>
        <v>27259313.823960003</v>
      </c>
      <c r="BH109" s="63">
        <f t="shared" si="72"/>
        <v>27259313.823960003</v>
      </c>
      <c r="BI109" s="63">
        <f t="shared" si="72"/>
        <v>27259313.823960003</v>
      </c>
      <c r="BJ109" s="63">
        <f t="shared" si="72"/>
        <v>18183362.250720002</v>
      </c>
      <c r="BK109" s="118">
        <f>SUM(C109:BJ109)</f>
        <v>852371767.97483981</v>
      </c>
    </row>
    <row r="110" spans="1:63" outlineLevel="1" x14ac:dyDescent="0.15">
      <c r="A110" s="47" t="s">
        <v>316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</v>
      </c>
      <c r="G110" s="46">
        <f t="shared" si="73"/>
        <v>0</v>
      </c>
      <c r="H110" s="46">
        <f t="shared" si="73"/>
        <v>0.54545454545454541</v>
      </c>
      <c r="I110" s="46">
        <f t="shared" si="73"/>
        <v>0.54545454545454541</v>
      </c>
      <c r="J110" s="46">
        <f t="shared" si="73"/>
        <v>0.54545454545454541</v>
      </c>
      <c r="K110" s="46">
        <f t="shared" si="73"/>
        <v>0.54545454545454541</v>
      </c>
      <c r="L110" s="46">
        <f t="shared" si="73"/>
        <v>0.54545454545454541</v>
      </c>
      <c r="M110" s="46">
        <f t="shared" si="73"/>
        <v>0.54545454545454541</v>
      </c>
      <c r="N110" s="46">
        <f t="shared" si="73"/>
        <v>0.54545454545454541</v>
      </c>
      <c r="O110" s="46">
        <f t="shared" si="73"/>
        <v>0.54545454545454541</v>
      </c>
      <c r="P110" s="46">
        <f t="shared" si="73"/>
        <v>0.54545454545454541</v>
      </c>
      <c r="Q110" s="46">
        <f t="shared" si="73"/>
        <v>0.54545454545454541</v>
      </c>
      <c r="R110" s="46">
        <f t="shared" si="73"/>
        <v>0.54545454545454541</v>
      </c>
      <c r="S110" s="46">
        <f t="shared" si="73"/>
        <v>0.54545454545454541</v>
      </c>
      <c r="T110" s="46">
        <f t="shared" si="73"/>
        <v>0.54545454545454541</v>
      </c>
      <c r="U110" s="46">
        <f t="shared" si="73"/>
        <v>0.54545454545454541</v>
      </c>
      <c r="V110" s="46">
        <f t="shared" si="73"/>
        <v>0.54545454545454541</v>
      </c>
      <c r="W110" s="46">
        <f t="shared" si="73"/>
        <v>0.54545454545454541</v>
      </c>
      <c r="X110" s="46">
        <f t="shared" si="73"/>
        <v>0.54545454545454541</v>
      </c>
      <c r="Y110" s="46">
        <f t="shared" si="73"/>
        <v>0.54545454545454541</v>
      </c>
      <c r="Z110" s="46">
        <f t="shared" si="73"/>
        <v>0.54545454545454541</v>
      </c>
      <c r="AA110" s="46">
        <f t="shared" si="73"/>
        <v>0.54545454545454553</v>
      </c>
      <c r="AB110" s="46">
        <f t="shared" si="73"/>
        <v>0.54545454545454553</v>
      </c>
      <c r="AC110" s="46">
        <f t="shared" si="73"/>
        <v>0.54545454545454553</v>
      </c>
      <c r="AD110" s="46">
        <f t="shared" si="73"/>
        <v>0.54545454545454553</v>
      </c>
      <c r="AE110" s="46">
        <f t="shared" si="73"/>
        <v>0.54545454545454553</v>
      </c>
      <c r="AF110" s="46">
        <f t="shared" si="73"/>
        <v>0.54545454545454553</v>
      </c>
      <c r="AG110" s="46">
        <f t="shared" si="73"/>
        <v>0.54545454545454553</v>
      </c>
      <c r="AH110" s="46">
        <f t="shared" si="73"/>
        <v>0.54545454545454553</v>
      </c>
      <c r="AI110" s="46">
        <f t="shared" ref="AI110:BJ110" si="74">IF(AI109&gt;0,(AI109/AI97),0)</f>
        <v>0.54545454545454553</v>
      </c>
      <c r="AJ110" s="46">
        <f t="shared" si="74"/>
        <v>0.54545454545454553</v>
      </c>
      <c r="AK110" s="46">
        <f t="shared" si="74"/>
        <v>0.54545454545454553</v>
      </c>
      <c r="AL110" s="46">
        <f t="shared" si="74"/>
        <v>0.54545454545454553</v>
      </c>
      <c r="AM110" s="46">
        <f t="shared" si="74"/>
        <v>0.54545454545454541</v>
      </c>
      <c r="AN110" s="46">
        <f t="shared" si="74"/>
        <v>0.54545454545454553</v>
      </c>
      <c r="AO110" s="46">
        <f t="shared" si="74"/>
        <v>0.54545454545454553</v>
      </c>
      <c r="AP110" s="46">
        <f t="shared" si="74"/>
        <v>0.54545454545454553</v>
      </c>
      <c r="AQ110" s="46">
        <f t="shared" si="74"/>
        <v>0.54545454545454553</v>
      </c>
      <c r="AR110" s="46">
        <f t="shared" si="74"/>
        <v>0.54545454545454553</v>
      </c>
      <c r="AS110" s="46">
        <f t="shared" si="74"/>
        <v>0.54545454545454553</v>
      </c>
      <c r="AT110" s="46">
        <f t="shared" si="74"/>
        <v>0.54545454545454553</v>
      </c>
      <c r="AU110" s="46">
        <f t="shared" si="74"/>
        <v>0.54545454545454553</v>
      </c>
      <c r="AV110" s="46">
        <f t="shared" si="74"/>
        <v>0.54545454545454553</v>
      </c>
      <c r="AW110" s="46">
        <f t="shared" si="74"/>
        <v>0.54545454545454553</v>
      </c>
      <c r="AX110" s="46">
        <f t="shared" si="74"/>
        <v>0.54545454545454553</v>
      </c>
      <c r="AY110" s="46">
        <f t="shared" si="74"/>
        <v>0.54545454545454553</v>
      </c>
      <c r="AZ110" s="46">
        <f t="shared" si="74"/>
        <v>0.54545454545454553</v>
      </c>
      <c r="BA110" s="46">
        <f t="shared" si="74"/>
        <v>0.54545454545454541</v>
      </c>
      <c r="BB110" s="46">
        <f t="shared" si="74"/>
        <v>0.54545454545454541</v>
      </c>
      <c r="BC110" s="46">
        <f t="shared" si="74"/>
        <v>0.54545454545454541</v>
      </c>
      <c r="BD110" s="46">
        <f t="shared" si="74"/>
        <v>0.54545454545454541</v>
      </c>
      <c r="BE110" s="46">
        <f t="shared" si="74"/>
        <v>0.54545454545454541</v>
      </c>
      <c r="BF110" s="46">
        <f t="shared" si="74"/>
        <v>0.54545454545454541</v>
      </c>
      <c r="BG110" s="46">
        <f t="shared" si="74"/>
        <v>0.54545454545454541</v>
      </c>
      <c r="BH110" s="46">
        <f t="shared" si="74"/>
        <v>0.54545454545454541</v>
      </c>
      <c r="BI110" s="46">
        <f t="shared" si="74"/>
        <v>0.54545454545454541</v>
      </c>
      <c r="BJ110" s="46">
        <f t="shared" si="74"/>
        <v>0.54545454545454541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1197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'REV-REVCALC_CWS'!A74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'REV-REVCALC_CWS'!A75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0</v>
      </c>
      <c r="G115" s="169">
        <f t="shared" si="75"/>
        <v>0</v>
      </c>
      <c r="H115" s="169">
        <f t="shared" si="75"/>
        <v>51</v>
      </c>
      <c r="I115" s="169">
        <f t="shared" si="75"/>
        <v>63</v>
      </c>
      <c r="J115" s="169">
        <f t="shared" si="75"/>
        <v>76</v>
      </c>
      <c r="K115" s="169">
        <f t="shared" si="75"/>
        <v>88</v>
      </c>
      <c r="L115" s="169">
        <f t="shared" si="75"/>
        <v>101</v>
      </c>
      <c r="M115" s="169">
        <f t="shared" si="75"/>
        <v>113</v>
      </c>
      <c r="N115" s="169">
        <f t="shared" si="75"/>
        <v>101</v>
      </c>
      <c r="O115" s="102">
        <f t="shared" si="75"/>
        <v>185</v>
      </c>
      <c r="P115" s="102">
        <f t="shared" si="75"/>
        <v>306</v>
      </c>
      <c r="Q115" s="102">
        <f t="shared" si="75"/>
        <v>344</v>
      </c>
      <c r="R115" s="102">
        <f t="shared" si="75"/>
        <v>344</v>
      </c>
      <c r="S115" s="102">
        <f t="shared" si="75"/>
        <v>344</v>
      </c>
      <c r="T115" s="102">
        <f t="shared" si="75"/>
        <v>344</v>
      </c>
      <c r="U115" s="102">
        <f t="shared" si="75"/>
        <v>344</v>
      </c>
      <c r="V115" s="102">
        <f t="shared" si="75"/>
        <v>344</v>
      </c>
      <c r="W115" s="102">
        <f t="shared" si="75"/>
        <v>344</v>
      </c>
      <c r="X115" s="102">
        <f t="shared" si="75"/>
        <v>344</v>
      </c>
      <c r="Y115" s="102">
        <f t="shared" si="75"/>
        <v>344</v>
      </c>
      <c r="Z115" s="102">
        <f t="shared" si="75"/>
        <v>229</v>
      </c>
      <c r="AA115" s="102">
        <f t="shared" si="75"/>
        <v>508</v>
      </c>
      <c r="AB115" s="102">
        <f t="shared" si="75"/>
        <v>813</v>
      </c>
      <c r="AC115" s="102">
        <f t="shared" si="75"/>
        <v>914</v>
      </c>
      <c r="AD115" s="102">
        <f t="shared" si="75"/>
        <v>914</v>
      </c>
      <c r="AE115" s="102">
        <f t="shared" si="75"/>
        <v>914</v>
      </c>
      <c r="AF115" s="102">
        <f t="shared" si="75"/>
        <v>914</v>
      </c>
      <c r="AG115" s="102">
        <f t="shared" si="75"/>
        <v>914</v>
      </c>
      <c r="AH115" s="102">
        <f t="shared" si="75"/>
        <v>914</v>
      </c>
      <c r="AI115" s="102">
        <f t="shared" ref="AI115:BJ115" si="76">AI92-AI116</f>
        <v>914</v>
      </c>
      <c r="AJ115" s="102">
        <f t="shared" si="76"/>
        <v>914</v>
      </c>
      <c r="AK115" s="102">
        <f t="shared" si="76"/>
        <v>914</v>
      </c>
      <c r="AL115" s="102">
        <f t="shared" si="76"/>
        <v>609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41131</v>
      </c>
    </row>
    <row r="116" spans="1:64" s="102" customFormat="1" outlineLevel="1" x14ac:dyDescent="0.15">
      <c r="A116" s="47" t="str">
        <f>'REV-REVCALC_CWS'!A76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0</v>
      </c>
      <c r="G116" s="169">
        <f t="shared" si="77"/>
        <v>0</v>
      </c>
      <c r="H116" s="169">
        <f t="shared" si="77"/>
        <v>18</v>
      </c>
      <c r="I116" s="169">
        <f t="shared" si="77"/>
        <v>23</v>
      </c>
      <c r="J116" s="169">
        <f t="shared" si="77"/>
        <v>27</v>
      </c>
      <c r="K116" s="169">
        <f t="shared" si="77"/>
        <v>32</v>
      </c>
      <c r="L116" s="169">
        <f t="shared" si="77"/>
        <v>36</v>
      </c>
      <c r="M116" s="169">
        <f t="shared" si="77"/>
        <v>41</v>
      </c>
      <c r="N116" s="169">
        <f t="shared" si="77"/>
        <v>36</v>
      </c>
      <c r="O116" s="102">
        <f t="shared" si="77"/>
        <v>62</v>
      </c>
      <c r="P116" s="102">
        <f t="shared" si="77"/>
        <v>102</v>
      </c>
      <c r="Q116" s="102">
        <f t="shared" si="77"/>
        <v>115</v>
      </c>
      <c r="R116" s="102">
        <f t="shared" si="77"/>
        <v>115</v>
      </c>
      <c r="S116" s="102">
        <f t="shared" si="77"/>
        <v>115</v>
      </c>
      <c r="T116" s="102">
        <f t="shared" si="77"/>
        <v>115</v>
      </c>
      <c r="U116" s="102">
        <f t="shared" si="77"/>
        <v>115</v>
      </c>
      <c r="V116" s="102">
        <f t="shared" si="77"/>
        <v>115</v>
      </c>
      <c r="W116" s="102">
        <f t="shared" si="77"/>
        <v>115</v>
      </c>
      <c r="X116" s="102">
        <f t="shared" si="77"/>
        <v>115</v>
      </c>
      <c r="Y116" s="102">
        <f t="shared" si="77"/>
        <v>115</v>
      </c>
      <c r="Z116" s="102">
        <f t="shared" si="77"/>
        <v>77</v>
      </c>
      <c r="AA116" s="102">
        <f t="shared" si="77"/>
        <v>218</v>
      </c>
      <c r="AB116" s="102">
        <f t="shared" si="77"/>
        <v>349</v>
      </c>
      <c r="AC116" s="102">
        <f t="shared" si="77"/>
        <v>393</v>
      </c>
      <c r="AD116" s="102">
        <f t="shared" si="77"/>
        <v>393</v>
      </c>
      <c r="AE116" s="102">
        <f t="shared" si="77"/>
        <v>393</v>
      </c>
      <c r="AF116" s="102">
        <f t="shared" si="77"/>
        <v>393</v>
      </c>
      <c r="AG116" s="102">
        <f t="shared" si="77"/>
        <v>393</v>
      </c>
      <c r="AH116" s="102">
        <f t="shared" si="77"/>
        <v>393</v>
      </c>
      <c r="AI116" s="102">
        <f t="shared" ref="AI116:BJ116" si="78">ROUNDUP(+AI92*AI114,0)</f>
        <v>393</v>
      </c>
      <c r="AJ116" s="102">
        <f t="shared" si="78"/>
        <v>393</v>
      </c>
      <c r="AK116" s="102">
        <f t="shared" si="78"/>
        <v>393</v>
      </c>
      <c r="AL116" s="102">
        <f t="shared" si="78"/>
        <v>262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17246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'REV-REVCALC_CWS'!A79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'REV-REVCALC_CWS'!A80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'REV-REVCALC_CWS'!A81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'REV-REVCALC_CWS'!A82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1263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0</v>
      </c>
      <c r="G126" s="9">
        <f>'COGS-PRICE-MARGIN_CWS'!$B49*G116</f>
        <v>0</v>
      </c>
      <c r="H126" s="9">
        <f>'COGS-PRICE-MARGIN_CWS'!$B49*H116</f>
        <v>54000</v>
      </c>
      <c r="I126" s="9">
        <f>'COGS-PRICE-MARGIN_CWS'!$B49*I116</f>
        <v>69000</v>
      </c>
      <c r="J126" s="9">
        <f>'COGS-PRICE-MARGIN_CWS'!$B49*J116</f>
        <v>81000</v>
      </c>
      <c r="K126" s="9">
        <f>'COGS-PRICE-MARGIN_CWS'!$B49*K116</f>
        <v>96000</v>
      </c>
      <c r="L126" s="9">
        <f>'COGS-PRICE-MARGIN_CWS'!$B49*L116</f>
        <v>108000</v>
      </c>
      <c r="M126" s="9">
        <f>'COGS-PRICE-MARGIN_CWS'!$B49*M116</f>
        <v>123000</v>
      </c>
      <c r="N126" s="9">
        <f>'COGS-PRICE-MARGIN_CWS'!$B49*N116</f>
        <v>108000</v>
      </c>
      <c r="O126" s="9">
        <f>'COGS-PRICE-MARGIN_CWS'!$B99*O116</f>
        <v>199020</v>
      </c>
      <c r="P126" s="9">
        <f>'COGS-PRICE-MARGIN_CWS'!$B99*P116</f>
        <v>327420</v>
      </c>
      <c r="Q126" s="9">
        <f>'COGS-PRICE-MARGIN_CWS'!$B99*Q116</f>
        <v>369150</v>
      </c>
      <c r="R126" s="9">
        <f>'COGS-PRICE-MARGIN_CWS'!$B99*R116</f>
        <v>369150</v>
      </c>
      <c r="S126" s="9">
        <f>'COGS-PRICE-MARGIN_CWS'!$B99*S116</f>
        <v>369150</v>
      </c>
      <c r="T126" s="9">
        <f>'COGS-PRICE-MARGIN_CWS'!$B99*T116</f>
        <v>369150</v>
      </c>
      <c r="U126" s="9">
        <f>'COGS-PRICE-MARGIN_CWS'!$B99*U116</f>
        <v>369150</v>
      </c>
      <c r="V126" s="9">
        <f>'COGS-PRICE-MARGIN_CWS'!$B99*V116</f>
        <v>369150</v>
      </c>
      <c r="W126" s="9">
        <f>'COGS-PRICE-MARGIN_CWS'!$B99*W116</f>
        <v>369150</v>
      </c>
      <c r="X126" s="9">
        <f>'COGS-PRICE-MARGIN_CWS'!$B99*X116</f>
        <v>369150</v>
      </c>
      <c r="Y126" s="9">
        <f>'COGS-PRICE-MARGIN_CWS'!$B99*Y116</f>
        <v>369150</v>
      </c>
      <c r="Z126" s="9">
        <f>'COGS-PRICE-MARGIN_CWS'!$B99*Z116</f>
        <v>247170</v>
      </c>
      <c r="AA126" s="9">
        <f>'COGS-PRICE-MARGIN_CWS'!$B149*AA116</f>
        <v>748764.60000000009</v>
      </c>
      <c r="AB126" s="9">
        <f>'COGS-PRICE-MARGIN_CWS'!$B149*AB116</f>
        <v>1198710.3</v>
      </c>
      <c r="AC126" s="9">
        <f>'COGS-PRICE-MARGIN_CWS'!$B149*AC116</f>
        <v>1349837.1</v>
      </c>
      <c r="AD126" s="9">
        <f>'COGS-PRICE-MARGIN_CWS'!$B149*AD116</f>
        <v>1349837.1</v>
      </c>
      <c r="AE126" s="9">
        <f>'COGS-PRICE-MARGIN_CWS'!$B149*AE116</f>
        <v>1349837.1</v>
      </c>
      <c r="AF126" s="9">
        <f>'COGS-PRICE-MARGIN_CWS'!$B149*AF116</f>
        <v>1349837.1</v>
      </c>
      <c r="AG126" s="9">
        <f>'COGS-PRICE-MARGIN_CWS'!$B149*AG116</f>
        <v>1349837.1</v>
      </c>
      <c r="AH126" s="9">
        <f>'COGS-PRICE-MARGIN_CWS'!$B149*AH116</f>
        <v>1349837.1</v>
      </c>
      <c r="AI126" s="9">
        <f>'COGS-PRICE-MARGIN_CWS'!$B149*AI116</f>
        <v>1349837.1</v>
      </c>
      <c r="AJ126" s="9">
        <f>'COGS-PRICE-MARGIN_CWS'!$B149*AJ116</f>
        <v>1349837.1</v>
      </c>
      <c r="AK126" s="9">
        <f>'COGS-PRICE-MARGIN_CWS'!$B149*AK116</f>
        <v>1349837.1</v>
      </c>
      <c r="AL126" s="9">
        <f>'COGS-PRICE-MARGIN_CWS'!$B149*AL116</f>
        <v>899891.4</v>
      </c>
      <c r="AM126" s="9">
        <f>'COGS-PRICE-MARGIN_CWS'!$B199*AM116</f>
        <v>1032711.2490000001</v>
      </c>
      <c r="AN126" s="9">
        <f>'COGS-PRICE-MARGIN_CWS'!$B199*AN116</f>
        <v>1650132.9210000001</v>
      </c>
      <c r="AO126" s="9">
        <f>'COGS-PRICE-MARGIN_CWS'!$B199*AO116</f>
        <v>1855940.1450000003</v>
      </c>
      <c r="AP126" s="9">
        <f>'COGS-PRICE-MARGIN_CWS'!$B199*AP116</f>
        <v>1855940.1450000003</v>
      </c>
      <c r="AQ126" s="9">
        <f>'COGS-PRICE-MARGIN_CWS'!$B199*AQ116</f>
        <v>1855940.1450000003</v>
      </c>
      <c r="AR126" s="9">
        <f>'COGS-PRICE-MARGIN_CWS'!$B199*AR116</f>
        <v>1855940.1450000003</v>
      </c>
      <c r="AS126" s="9">
        <f>'COGS-PRICE-MARGIN_CWS'!$B199*AS116</f>
        <v>1855940.1450000003</v>
      </c>
      <c r="AT126" s="9">
        <f>'COGS-PRICE-MARGIN_CWS'!$B199*AT116</f>
        <v>1855940.1450000003</v>
      </c>
      <c r="AU126" s="9">
        <f>'COGS-PRICE-MARGIN_CWS'!$B199*AU116</f>
        <v>1855940.1450000003</v>
      </c>
      <c r="AV126" s="9">
        <f>'COGS-PRICE-MARGIN_CWS'!$B199*AV116</f>
        <v>1855940.1450000003</v>
      </c>
      <c r="AW126" s="9">
        <f>'COGS-PRICE-MARGIN_CWS'!$B199*AW116</f>
        <v>1855940.1450000003</v>
      </c>
      <c r="AX126" s="9">
        <f>'COGS-PRICE-MARGIN_CWS'!$B199*AX116</f>
        <v>1238518.4730000002</v>
      </c>
      <c r="AY126" s="9">
        <f>'COGS-PRICE-MARGIN_CWS'!$B249*AY116</f>
        <v>1136460.1406700001</v>
      </c>
      <c r="AZ126" s="9">
        <f>'COGS-PRICE-MARGIN_CWS'!$B249*AZ116</f>
        <v>1820695.6578900001</v>
      </c>
      <c r="BA126" s="9">
        <f>'COGS-PRICE-MARGIN_CWS'!$B249*BA116</f>
        <v>2044841.7756000003</v>
      </c>
      <c r="BB126" s="9">
        <f>'COGS-PRICE-MARGIN_CWS'!$B249*BB116</f>
        <v>2044841.7756000003</v>
      </c>
      <c r="BC126" s="9">
        <f>'COGS-PRICE-MARGIN_CWS'!$B249*BC116</f>
        <v>2044841.7756000003</v>
      </c>
      <c r="BD126" s="9">
        <f>'COGS-PRICE-MARGIN_CWS'!$B249*BD116</f>
        <v>2044841.7756000003</v>
      </c>
      <c r="BE126" s="9">
        <f>'COGS-PRICE-MARGIN_CWS'!$B249*BE116</f>
        <v>2044841.7756000003</v>
      </c>
      <c r="BF126" s="9">
        <f>'COGS-PRICE-MARGIN_CWS'!$B249*BF116</f>
        <v>2044841.7756000003</v>
      </c>
      <c r="BG126" s="9">
        <f>'COGS-PRICE-MARGIN_CWS'!$B249*BG116</f>
        <v>2044841.7756000003</v>
      </c>
      <c r="BH126" s="9">
        <f>'COGS-PRICE-MARGIN_CWS'!$B249*BH116</f>
        <v>2044841.7756000003</v>
      </c>
      <c r="BI126" s="9">
        <f>'COGS-PRICE-MARGIN_CWS'!$B249*BI116</f>
        <v>2044841.7756000003</v>
      </c>
      <c r="BJ126" s="9">
        <f>'COGS-PRICE-MARGIN_CWS'!$B249*BJ116</f>
        <v>1364538.6464100003</v>
      </c>
      <c r="BK126" s="118">
        <f>SUM(C126:BJ126)</f>
        <v>63080954.573370017</v>
      </c>
    </row>
    <row r="127" spans="1:64" customFormat="1" outlineLevel="1" x14ac:dyDescent="0.15">
      <c r="A127" s="47" t="s">
        <v>342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1264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0</v>
      </c>
      <c r="G128" s="63">
        <f t="shared" si="81"/>
        <v>0</v>
      </c>
      <c r="H128" s="63">
        <f t="shared" si="81"/>
        <v>54000</v>
      </c>
      <c r="I128" s="63">
        <f t="shared" si="81"/>
        <v>69000</v>
      </c>
      <c r="J128" s="63">
        <f t="shared" si="81"/>
        <v>81000</v>
      </c>
      <c r="K128" s="63">
        <f t="shared" si="81"/>
        <v>96000</v>
      </c>
      <c r="L128" s="63">
        <f t="shared" si="81"/>
        <v>108000</v>
      </c>
      <c r="M128" s="63">
        <f t="shared" si="81"/>
        <v>123000</v>
      </c>
      <c r="N128" s="63">
        <f t="shared" si="81"/>
        <v>108000</v>
      </c>
      <c r="O128" s="63">
        <f t="shared" si="81"/>
        <v>199020</v>
      </c>
      <c r="P128" s="63">
        <f t="shared" si="81"/>
        <v>327420</v>
      </c>
      <c r="Q128" s="63">
        <f t="shared" si="81"/>
        <v>369150</v>
      </c>
      <c r="R128" s="63">
        <f t="shared" si="81"/>
        <v>369150</v>
      </c>
      <c r="S128" s="63">
        <f t="shared" si="81"/>
        <v>369150</v>
      </c>
      <c r="T128" s="63">
        <f t="shared" si="81"/>
        <v>369150</v>
      </c>
      <c r="U128" s="63">
        <f t="shared" si="81"/>
        <v>369150</v>
      </c>
      <c r="V128" s="63">
        <f t="shared" si="81"/>
        <v>369150</v>
      </c>
      <c r="W128" s="63">
        <f t="shared" si="81"/>
        <v>369150</v>
      </c>
      <c r="X128" s="63">
        <f t="shared" si="81"/>
        <v>369150</v>
      </c>
      <c r="Y128" s="63">
        <f t="shared" si="81"/>
        <v>369150</v>
      </c>
      <c r="Z128" s="63">
        <f t="shared" si="81"/>
        <v>247170</v>
      </c>
      <c r="AA128" s="63">
        <f t="shared" si="81"/>
        <v>748764.60000000009</v>
      </c>
      <c r="AB128" s="63">
        <f t="shared" si="81"/>
        <v>1198710.3</v>
      </c>
      <c r="AC128" s="63">
        <f t="shared" si="81"/>
        <v>1349837.1</v>
      </c>
      <c r="AD128" s="63">
        <f t="shared" si="81"/>
        <v>1349837.1</v>
      </c>
      <c r="AE128" s="63">
        <f t="shared" si="81"/>
        <v>1349837.1</v>
      </c>
      <c r="AF128" s="63">
        <f t="shared" si="81"/>
        <v>1349837.1</v>
      </c>
      <c r="AG128" s="63">
        <f t="shared" si="81"/>
        <v>1349837.1</v>
      </c>
      <c r="AH128" s="63">
        <f t="shared" si="81"/>
        <v>1349837.1</v>
      </c>
      <c r="AI128" s="63">
        <f t="shared" si="81"/>
        <v>1349837.1</v>
      </c>
      <c r="AJ128" s="63">
        <f t="shared" si="81"/>
        <v>1349837.1</v>
      </c>
      <c r="AK128" s="63">
        <f t="shared" si="81"/>
        <v>1349837.1</v>
      </c>
      <c r="AL128" s="63">
        <f t="shared" si="81"/>
        <v>899891.4</v>
      </c>
      <c r="AM128" s="63">
        <f t="shared" si="81"/>
        <v>1032711.2490000001</v>
      </c>
      <c r="AN128" s="63">
        <f t="shared" si="81"/>
        <v>1650132.9210000001</v>
      </c>
      <c r="AO128" s="63">
        <f t="shared" si="81"/>
        <v>1855940.1450000003</v>
      </c>
      <c r="AP128" s="63">
        <f t="shared" si="81"/>
        <v>1855940.1450000003</v>
      </c>
      <c r="AQ128" s="63">
        <f t="shared" si="81"/>
        <v>1855940.1450000003</v>
      </c>
      <c r="AR128" s="63">
        <f t="shared" si="81"/>
        <v>1855940.1450000003</v>
      </c>
      <c r="AS128" s="63">
        <f t="shared" si="81"/>
        <v>1855940.1450000003</v>
      </c>
      <c r="AT128" s="63">
        <f t="shared" si="81"/>
        <v>1855940.1450000003</v>
      </c>
      <c r="AU128" s="63">
        <f t="shared" si="81"/>
        <v>1855940.1450000003</v>
      </c>
      <c r="AV128" s="63">
        <f t="shared" si="81"/>
        <v>1855940.1450000003</v>
      </c>
      <c r="AW128" s="63">
        <f t="shared" si="81"/>
        <v>1855940.1450000003</v>
      </c>
      <c r="AX128" s="63">
        <f t="shared" si="81"/>
        <v>1238518.4730000002</v>
      </c>
      <c r="AY128" s="63">
        <f t="shared" si="81"/>
        <v>1136460.1406700001</v>
      </c>
      <c r="AZ128" s="63">
        <f t="shared" si="81"/>
        <v>1820695.6578900001</v>
      </c>
      <c r="BA128" s="63">
        <f t="shared" si="81"/>
        <v>2044841.7756000003</v>
      </c>
      <c r="BB128" s="63">
        <f t="shared" si="81"/>
        <v>2044841.7756000003</v>
      </c>
      <c r="BC128" s="63">
        <f t="shared" si="81"/>
        <v>2044841.7756000003</v>
      </c>
      <c r="BD128" s="63">
        <f t="shared" si="81"/>
        <v>2044841.7756000003</v>
      </c>
      <c r="BE128" s="63">
        <f t="shared" si="81"/>
        <v>2044841.7756000003</v>
      </c>
      <c r="BF128" s="63">
        <f t="shared" si="81"/>
        <v>2044841.7756000003</v>
      </c>
      <c r="BG128" s="63">
        <f t="shared" si="81"/>
        <v>2044841.7756000003</v>
      </c>
      <c r="BH128" s="63">
        <f t="shared" si="81"/>
        <v>2044841.7756000003</v>
      </c>
      <c r="BI128" s="63">
        <f t="shared" si="81"/>
        <v>2044841.7756000003</v>
      </c>
      <c r="BJ128" s="63">
        <f t="shared" si="81"/>
        <v>1364538.6464100003</v>
      </c>
      <c r="BL128" s="178">
        <f>BJ128+BJ123</f>
        <v>1364538.6464100003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349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1092000</v>
      </c>
      <c r="G132" s="63">
        <f t="shared" si="82"/>
        <v>1498000</v>
      </c>
      <c r="H132" s="63">
        <f t="shared" si="82"/>
        <v>3918000</v>
      </c>
      <c r="I132" s="63">
        <f t="shared" si="82"/>
        <v>4897000</v>
      </c>
      <c r="J132" s="63">
        <f t="shared" si="82"/>
        <v>5873000</v>
      </c>
      <c r="K132" s="63">
        <f t="shared" si="82"/>
        <v>6852000</v>
      </c>
      <c r="L132" s="63">
        <f t="shared" si="82"/>
        <v>7828000</v>
      </c>
      <c r="M132" s="63">
        <f t="shared" si="82"/>
        <v>8807000</v>
      </c>
      <c r="N132" s="63">
        <f t="shared" si="82"/>
        <v>7828000</v>
      </c>
      <c r="O132" s="63">
        <f t="shared" si="82"/>
        <v>15127660</v>
      </c>
      <c r="P132" s="63">
        <f t="shared" si="82"/>
        <v>24323240</v>
      </c>
      <c r="Q132" s="63">
        <f t="shared" si="82"/>
        <v>27354550</v>
      </c>
      <c r="R132" s="63">
        <f t="shared" si="82"/>
        <v>27354550</v>
      </c>
      <c r="S132" s="63">
        <f t="shared" si="82"/>
        <v>27354550</v>
      </c>
      <c r="T132" s="63">
        <f t="shared" si="82"/>
        <v>27354550</v>
      </c>
      <c r="U132" s="63">
        <f t="shared" si="82"/>
        <v>27354550</v>
      </c>
      <c r="V132" s="63">
        <f t="shared" si="82"/>
        <v>27354550</v>
      </c>
      <c r="W132" s="63">
        <f t="shared" si="82"/>
        <v>27354550</v>
      </c>
      <c r="X132" s="63">
        <f t="shared" si="82"/>
        <v>27354550</v>
      </c>
      <c r="Y132" s="63">
        <f t="shared" si="82"/>
        <v>27354550</v>
      </c>
      <c r="Z132" s="63">
        <f t="shared" si="82"/>
        <v>18242430</v>
      </c>
      <c r="AA132" s="63">
        <f t="shared" si="82"/>
        <v>31448113.200000003</v>
      </c>
      <c r="AB132" s="63">
        <f t="shared" si="82"/>
        <v>50312630.5</v>
      </c>
      <c r="AC132" s="63">
        <f t="shared" si="82"/>
        <v>56594696.800000004</v>
      </c>
      <c r="AD132" s="63">
        <f t="shared" si="82"/>
        <v>56594696.800000004</v>
      </c>
      <c r="AE132" s="63">
        <f t="shared" si="82"/>
        <v>56594696.800000004</v>
      </c>
      <c r="AF132" s="63">
        <f t="shared" si="82"/>
        <v>56594696.800000004</v>
      </c>
      <c r="AG132" s="63">
        <f t="shared" si="82"/>
        <v>56594696.800000004</v>
      </c>
      <c r="AH132" s="63">
        <f t="shared" si="82"/>
        <v>56594696.800000004</v>
      </c>
      <c r="AI132" s="63">
        <f t="shared" si="82"/>
        <v>56594696.800000004</v>
      </c>
      <c r="AJ132" s="63">
        <f t="shared" si="82"/>
        <v>56594696.800000004</v>
      </c>
      <c r="AK132" s="63">
        <f t="shared" si="82"/>
        <v>56594696.800000004</v>
      </c>
      <c r="AL132" s="63">
        <f t="shared" si="82"/>
        <v>37730179.5</v>
      </c>
      <c r="AM132" s="63">
        <f t="shared" si="82"/>
        <v>43283219.276000008</v>
      </c>
      <c r="AN132" s="63">
        <f t="shared" si="82"/>
        <v>69259031.048000008</v>
      </c>
      <c r="AO132" s="63">
        <f t="shared" si="82"/>
        <v>77917634.972000003</v>
      </c>
      <c r="AP132" s="63">
        <f t="shared" si="82"/>
        <v>77917634.972000003</v>
      </c>
      <c r="AQ132" s="63">
        <f t="shared" si="82"/>
        <v>77917634.972000003</v>
      </c>
      <c r="AR132" s="63">
        <f t="shared" si="82"/>
        <v>77917634.972000003</v>
      </c>
      <c r="AS132" s="63">
        <f t="shared" si="82"/>
        <v>77917634.972000003</v>
      </c>
      <c r="AT132" s="63">
        <f t="shared" si="82"/>
        <v>77917634.972000003</v>
      </c>
      <c r="AU132" s="63">
        <f t="shared" si="82"/>
        <v>77917634.972000003</v>
      </c>
      <c r="AV132" s="63">
        <f t="shared" si="82"/>
        <v>77917634.972000003</v>
      </c>
      <c r="AW132" s="63">
        <f t="shared" si="82"/>
        <v>77917634.972000003</v>
      </c>
      <c r="AX132" s="63">
        <f t="shared" si="82"/>
        <v>51941823.20000001</v>
      </c>
      <c r="AY132" s="63">
        <f t="shared" si="82"/>
        <v>47697245.211880013</v>
      </c>
      <c r="AZ132" s="63">
        <f t="shared" si="82"/>
        <v>76336827.234370023</v>
      </c>
      <c r="BA132" s="63">
        <f t="shared" si="82"/>
        <v>85867625.023080006</v>
      </c>
      <c r="BB132" s="63">
        <f t="shared" si="82"/>
        <v>85867625.023080006</v>
      </c>
      <c r="BC132" s="63">
        <f t="shared" si="82"/>
        <v>85867625.023080006</v>
      </c>
      <c r="BD132" s="63">
        <f t="shared" si="82"/>
        <v>85867625.023080006</v>
      </c>
      <c r="BE132" s="63">
        <f t="shared" si="82"/>
        <v>85867625.023080006</v>
      </c>
      <c r="BF132" s="63">
        <f t="shared" si="82"/>
        <v>85867625.023080006</v>
      </c>
      <c r="BG132" s="63">
        <f t="shared" si="82"/>
        <v>85867625.023080006</v>
      </c>
      <c r="BH132" s="63">
        <f t="shared" si="82"/>
        <v>85867625.023080006</v>
      </c>
      <c r="BI132" s="63">
        <f t="shared" si="82"/>
        <v>85867625.023080006</v>
      </c>
      <c r="BJ132" s="63">
        <f t="shared" si="82"/>
        <v>57260812.900840014</v>
      </c>
      <c r="BK132" s="118">
        <f>SUM(C132:BJ132)</f>
        <v>2801166773.22681</v>
      </c>
      <c r="BL132" s="178">
        <f>BK87+BK86+BK82+BK81+BK56</f>
        <v>1175404244.0329006</v>
      </c>
    </row>
    <row r="133" spans="1:64" x14ac:dyDescent="0.15">
      <c r="A133" s="33" t="s">
        <v>632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351000</v>
      </c>
      <c r="G133" s="63">
        <f t="shared" si="83"/>
        <v>481500</v>
      </c>
      <c r="H133" s="63">
        <f t="shared" si="83"/>
        <v>1717500</v>
      </c>
      <c r="I133" s="63">
        <f t="shared" si="83"/>
        <v>2146500</v>
      </c>
      <c r="J133" s="63">
        <f t="shared" si="83"/>
        <v>2572500</v>
      </c>
      <c r="K133" s="63">
        <f t="shared" si="83"/>
        <v>3001500</v>
      </c>
      <c r="L133" s="63">
        <f t="shared" si="83"/>
        <v>3427500</v>
      </c>
      <c r="M133" s="63">
        <f t="shared" si="83"/>
        <v>3856500</v>
      </c>
      <c r="N133" s="63">
        <f t="shared" si="83"/>
        <v>3427500</v>
      </c>
      <c r="O133" s="63">
        <f t="shared" si="83"/>
        <v>6639885</v>
      </c>
      <c r="P133" s="63">
        <f t="shared" si="83"/>
        <v>10727820</v>
      </c>
      <c r="Q133" s="63">
        <f t="shared" si="83"/>
        <v>12064785</v>
      </c>
      <c r="R133" s="63">
        <f t="shared" si="83"/>
        <v>12064785</v>
      </c>
      <c r="S133" s="63">
        <f t="shared" si="83"/>
        <v>12064785</v>
      </c>
      <c r="T133" s="63">
        <f t="shared" si="83"/>
        <v>12064785</v>
      </c>
      <c r="U133" s="63">
        <f t="shared" si="83"/>
        <v>12064785</v>
      </c>
      <c r="V133" s="63">
        <f t="shared" si="83"/>
        <v>12064785</v>
      </c>
      <c r="W133" s="63">
        <f t="shared" si="83"/>
        <v>12064785</v>
      </c>
      <c r="X133" s="63">
        <f t="shared" si="83"/>
        <v>12064785</v>
      </c>
      <c r="Y133" s="63">
        <f t="shared" si="83"/>
        <v>12064785</v>
      </c>
      <c r="Z133" s="63">
        <f t="shared" si="83"/>
        <v>8045865</v>
      </c>
      <c r="AA133" s="63">
        <f t="shared" si="83"/>
        <v>15239763.9</v>
      </c>
      <c r="AB133" s="63">
        <f t="shared" si="83"/>
        <v>24381217.950000007</v>
      </c>
      <c r="AC133" s="63">
        <f t="shared" si="83"/>
        <v>27426079.500000007</v>
      </c>
      <c r="AD133" s="63">
        <f t="shared" si="83"/>
        <v>27426079.500000007</v>
      </c>
      <c r="AE133" s="63">
        <f t="shared" si="83"/>
        <v>27426079.500000007</v>
      </c>
      <c r="AF133" s="63">
        <f t="shared" si="83"/>
        <v>27426079.500000007</v>
      </c>
      <c r="AG133" s="63">
        <f t="shared" si="83"/>
        <v>27426079.500000007</v>
      </c>
      <c r="AH133" s="63">
        <f t="shared" si="83"/>
        <v>27426079.500000007</v>
      </c>
      <c r="AI133" s="63">
        <f t="shared" si="83"/>
        <v>27426079.500000007</v>
      </c>
      <c r="AJ133" s="63">
        <f t="shared" si="83"/>
        <v>27426079.500000007</v>
      </c>
      <c r="AK133" s="63">
        <f t="shared" si="83"/>
        <v>27426079.500000007</v>
      </c>
      <c r="AL133" s="63">
        <f t="shared" si="83"/>
        <v>18284625.449999999</v>
      </c>
      <c r="AM133" s="63">
        <f t="shared" si="83"/>
        <v>20959260.687000003</v>
      </c>
      <c r="AN133" s="63">
        <f t="shared" si="83"/>
        <v>33533714.560500003</v>
      </c>
      <c r="AO133" s="63">
        <f t="shared" si="83"/>
        <v>37725199.18500001</v>
      </c>
      <c r="AP133" s="63">
        <f t="shared" si="83"/>
        <v>37725199.18500001</v>
      </c>
      <c r="AQ133" s="63">
        <f t="shared" si="83"/>
        <v>37725199.18500001</v>
      </c>
      <c r="AR133" s="63">
        <f t="shared" si="83"/>
        <v>37725199.18500001</v>
      </c>
      <c r="AS133" s="63">
        <f t="shared" si="83"/>
        <v>37725199.18500001</v>
      </c>
      <c r="AT133" s="63">
        <f t="shared" si="83"/>
        <v>37725199.18500001</v>
      </c>
      <c r="AU133" s="63">
        <f t="shared" si="83"/>
        <v>37725199.18500001</v>
      </c>
      <c r="AV133" s="63">
        <f t="shared" si="83"/>
        <v>37725199.18500001</v>
      </c>
      <c r="AW133" s="63">
        <f t="shared" si="83"/>
        <v>37725199.18500001</v>
      </c>
      <c r="AX133" s="63">
        <f t="shared" si="83"/>
        <v>25150745.311500005</v>
      </c>
      <c r="AY133" s="63">
        <f t="shared" si="83"/>
        <v>23094914.900190003</v>
      </c>
      <c r="AZ133" s="63">
        <f t="shared" si="83"/>
        <v>36960515.093970008</v>
      </c>
      <c r="BA133" s="63">
        <f t="shared" si="83"/>
        <v>41571240.059145004</v>
      </c>
      <c r="BB133" s="63">
        <f t="shared" si="83"/>
        <v>41571240.059145004</v>
      </c>
      <c r="BC133" s="63">
        <f t="shared" si="83"/>
        <v>41571240.059145004</v>
      </c>
      <c r="BD133" s="63">
        <f t="shared" si="83"/>
        <v>41571240.059145004</v>
      </c>
      <c r="BE133" s="63">
        <f t="shared" si="83"/>
        <v>41571240.059145004</v>
      </c>
      <c r="BF133" s="63">
        <f t="shared" si="83"/>
        <v>41571240.059145004</v>
      </c>
      <c r="BG133" s="63">
        <f t="shared" si="83"/>
        <v>41571240.059145004</v>
      </c>
      <c r="BH133" s="63">
        <f t="shared" si="83"/>
        <v>41571240.059145004</v>
      </c>
      <c r="BI133" s="63">
        <f t="shared" si="83"/>
        <v>41571240.059145004</v>
      </c>
      <c r="BJ133" s="63">
        <f t="shared" si="83"/>
        <v>27725301.805515002</v>
      </c>
      <c r="BK133" s="118">
        <f>SUM(C133:BJ133)</f>
        <v>1340811363.3559804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 F52 F60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406" t="s">
        <v>308</v>
      </c>
      <c r="B2" s="406"/>
    </row>
    <row r="3" spans="1:63" x14ac:dyDescent="0.15">
      <c r="A3" s="10"/>
      <c r="B3" s="10"/>
    </row>
    <row r="4" spans="1:63" x14ac:dyDescent="0.15">
      <c r="A4" s="406" t="s">
        <v>345</v>
      </c>
      <c r="B4" s="406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1092000</v>
      </c>
      <c r="G7" s="9">
        <f>'REV-REVCALC_CWS'!G17</f>
        <v>1498000</v>
      </c>
      <c r="H7" s="9">
        <f>'REV-REVCALC_CWS'!H17</f>
        <v>2226000</v>
      </c>
      <c r="I7" s="9">
        <f>'REV-REVCALC_CWS'!I17</f>
        <v>2786000</v>
      </c>
      <c r="J7" s="9">
        <f>'REV-REVCALC_CWS'!J17</f>
        <v>3346000</v>
      </c>
      <c r="K7" s="9">
        <f>'REV-REVCALC_CWS'!K17</f>
        <v>3906000</v>
      </c>
      <c r="L7" s="9">
        <f>'REV-REVCALC_CWS'!L17</f>
        <v>4466000</v>
      </c>
      <c r="M7" s="9">
        <f>'REV-REVCALC_CWS'!M17</f>
        <v>5026000</v>
      </c>
      <c r="N7" s="9">
        <f>'REV-REVCALC_CWS'!N17</f>
        <v>4466000</v>
      </c>
      <c r="O7" s="9">
        <f>'REV-REVCALC_CWS'!O17</f>
        <v>8493660</v>
      </c>
      <c r="P7" s="9">
        <f>'REV-REVCALC_CWS'!P17</f>
        <v>13601840</v>
      </c>
      <c r="Q7" s="9">
        <f>'REV-REVCALC_CWS'!Q17</f>
        <v>15294580</v>
      </c>
      <c r="R7" s="9">
        <f>'REV-REVCALC_CWS'!R17</f>
        <v>15294580</v>
      </c>
      <c r="S7" s="9">
        <f>'REV-REVCALC_CWS'!S17</f>
        <v>15294580</v>
      </c>
      <c r="T7" s="9">
        <f>'REV-REVCALC_CWS'!T17</f>
        <v>15294580</v>
      </c>
      <c r="U7" s="9">
        <f>'REV-REVCALC_CWS'!U17</f>
        <v>15294580</v>
      </c>
      <c r="V7" s="9">
        <f>'REV-REVCALC_CWS'!V17</f>
        <v>15294580</v>
      </c>
      <c r="W7" s="9">
        <f>'REV-REVCALC_CWS'!W17</f>
        <v>15294580</v>
      </c>
      <c r="X7" s="9">
        <f>'REV-REVCALC_CWS'!X17</f>
        <v>15294580</v>
      </c>
      <c r="Y7" s="9">
        <f>'REV-REVCALC_CWS'!Y17</f>
        <v>15294580</v>
      </c>
      <c r="Z7" s="9">
        <f>'REV-REVCALC_CWS'!Z17</f>
        <v>10201380</v>
      </c>
      <c r="AA7" s="9">
        <f>'REV-REVCALC_CWS'!AA17</f>
        <v>11636763.6</v>
      </c>
      <c r="AB7" s="9">
        <f>'REV-REVCALC_CWS'!AB17</f>
        <v>18609204.600000001</v>
      </c>
      <c r="AC7" s="9">
        <f>'REV-REVCALC_CWS'!AC17</f>
        <v>20933351.600000001</v>
      </c>
      <c r="AD7" s="9">
        <f>'REV-REVCALC_CWS'!AD17</f>
        <v>20933351.600000001</v>
      </c>
      <c r="AE7" s="9">
        <f>'REV-REVCALC_CWS'!AE17</f>
        <v>20933351.600000001</v>
      </c>
      <c r="AF7" s="9">
        <f>'REV-REVCALC_CWS'!AF17</f>
        <v>20933351.600000001</v>
      </c>
      <c r="AG7" s="9">
        <f>'REV-REVCALC_CWS'!AG17</f>
        <v>20933351.600000001</v>
      </c>
      <c r="AH7" s="9">
        <f>'REV-REVCALC_CWS'!AH17</f>
        <v>20933351.600000001</v>
      </c>
      <c r="AI7" s="9">
        <f>'REV-REVCALC_CWS'!AI17</f>
        <v>20933351.600000001</v>
      </c>
      <c r="AJ7" s="9">
        <f>'REV-REVCALC_CWS'!AJ17</f>
        <v>20933351.600000001</v>
      </c>
      <c r="AK7" s="9">
        <f>'REV-REVCALC_CWS'!AK17</f>
        <v>20933351.600000001</v>
      </c>
      <c r="AL7" s="9">
        <f>'REV-REVCALC_CWS'!AL17</f>
        <v>13960910.6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347</v>
      </c>
      <c r="C8" s="9">
        <f>'REV-REVCALC_CWS'!C42</f>
        <v>0</v>
      </c>
      <c r="D8" s="9">
        <f>'REV-REVCALC_CWS'!D42</f>
        <v>0</v>
      </c>
      <c r="E8" s="9">
        <f>'REV-REVCALC_CWS'!E42</f>
        <v>0</v>
      </c>
      <c r="F8" s="9">
        <f>'REV-REVCALC_CWS'!F42</f>
        <v>0</v>
      </c>
      <c r="G8" s="9">
        <f>'REV-REVCALC_CWS'!G42</f>
        <v>0</v>
      </c>
      <c r="H8" s="9">
        <f>'REV-REVCALC_CWS'!H42</f>
        <v>0</v>
      </c>
      <c r="I8" s="9">
        <f>'REV-REVCALC_CWS'!I42</f>
        <v>0</v>
      </c>
      <c r="J8" s="9">
        <f>'REV-REVCALC_CWS'!J42</f>
        <v>0</v>
      </c>
      <c r="K8" s="9">
        <f>'REV-REVCALC_CWS'!K42</f>
        <v>0</v>
      </c>
      <c r="L8" s="9">
        <f>'REV-REVCALC_CWS'!L42</f>
        <v>0</v>
      </c>
      <c r="M8" s="9">
        <f>'REV-REVCALC_CWS'!M42</f>
        <v>0</v>
      </c>
      <c r="N8" s="9">
        <f>'REV-REVCALC_CWS'!N42</f>
        <v>0</v>
      </c>
      <c r="O8" s="9">
        <f>'REV-REVCALC_CWS'!O42</f>
        <v>0</v>
      </c>
      <c r="P8" s="9">
        <f>'REV-REVCALC_CWS'!P42</f>
        <v>0</v>
      </c>
      <c r="Q8" s="9">
        <f>'REV-REVCALC_CWS'!Q42</f>
        <v>0</v>
      </c>
      <c r="R8" s="9">
        <f>'REV-REVCALC_CWS'!R42</f>
        <v>0</v>
      </c>
      <c r="S8" s="9">
        <f>'REV-REVCALC_CWS'!S42</f>
        <v>0</v>
      </c>
      <c r="T8" s="9">
        <f>'REV-REVCALC_CWS'!T42</f>
        <v>0</v>
      </c>
      <c r="U8" s="9">
        <f>'REV-REVCALC_CWS'!U42</f>
        <v>0</v>
      </c>
      <c r="V8" s="9">
        <f>'REV-REVCALC_CWS'!V42</f>
        <v>0</v>
      </c>
      <c r="W8" s="9">
        <f>'REV-REVCALC_CWS'!W42</f>
        <v>0</v>
      </c>
      <c r="X8" s="9">
        <f>'REV-REVCALC_CWS'!X42</f>
        <v>0</v>
      </c>
      <c r="Y8" s="9">
        <f>'REV-REVCALC_CWS'!Y42</f>
        <v>0</v>
      </c>
      <c r="Z8" s="9">
        <f>'REV-REVCALC_CWS'!Z42</f>
        <v>0</v>
      </c>
      <c r="AA8" s="9">
        <f>'REV-REVCALC_CWS'!AA42</f>
        <v>0</v>
      </c>
      <c r="AB8" s="9">
        <f>'REV-REVCALC_CWS'!AB42</f>
        <v>0</v>
      </c>
      <c r="AC8" s="9">
        <f>'REV-REVCALC_CWS'!AC42</f>
        <v>0</v>
      </c>
      <c r="AD8" s="9">
        <f>'REV-REVCALC_CWS'!AD42</f>
        <v>0</v>
      </c>
      <c r="AE8" s="9">
        <f>'REV-REVCALC_CWS'!AE42</f>
        <v>0</v>
      </c>
      <c r="AF8" s="9">
        <f>'REV-REVCALC_CWS'!AF42</f>
        <v>0</v>
      </c>
      <c r="AG8" s="9">
        <f>'REV-REVCALC_CWS'!AG42</f>
        <v>0</v>
      </c>
      <c r="AH8" s="9">
        <f>'REV-REVCALC_CWS'!AH42</f>
        <v>0</v>
      </c>
      <c r="AI8" s="9">
        <f>'REV-REVCALC_CWS'!AI42</f>
        <v>0</v>
      </c>
      <c r="AJ8" s="9">
        <f>'REV-REVCALC_CWS'!AJ42</f>
        <v>0</v>
      </c>
      <c r="AK8" s="9">
        <f>'REV-REVCALC_CWS'!AK42</f>
        <v>0</v>
      </c>
      <c r="AL8" s="9">
        <f>'REV-REVCALC_CWS'!AL42</f>
        <v>0</v>
      </c>
      <c r="AM8" s="9">
        <f>'REV-REVCALC_CWS'!AM42</f>
        <v>0</v>
      </c>
      <c r="AN8" s="9">
        <f>'REV-REVCALC_CWS'!AN42</f>
        <v>0</v>
      </c>
      <c r="AO8" s="9">
        <f>'REV-REVCALC_CWS'!AO42</f>
        <v>0</v>
      </c>
      <c r="AP8" s="9">
        <f>'REV-REVCALC_CWS'!AP42</f>
        <v>0</v>
      </c>
      <c r="AQ8" s="9">
        <f>'REV-REVCALC_CWS'!AQ42</f>
        <v>0</v>
      </c>
      <c r="AR8" s="9">
        <f>'REV-REVCALC_CWS'!AR42</f>
        <v>0</v>
      </c>
      <c r="AS8" s="9">
        <f>'REV-REVCALC_CWS'!AS42</f>
        <v>0</v>
      </c>
      <c r="AT8" s="9">
        <f>'REV-REVCALC_CWS'!AT42</f>
        <v>0</v>
      </c>
      <c r="AU8" s="9">
        <f>'REV-REVCALC_CWS'!AU42</f>
        <v>0</v>
      </c>
      <c r="AV8" s="9">
        <f>'REV-REVCALC_CWS'!AV42</f>
        <v>0</v>
      </c>
      <c r="AW8" s="9">
        <f>'REV-REVCALC_CWS'!AW42</f>
        <v>0</v>
      </c>
      <c r="AX8" s="9">
        <f>'REV-REVCALC_CWS'!AX42</f>
        <v>0</v>
      </c>
      <c r="AY8" s="9">
        <f>'REV-REVCALC_CWS'!AY42</f>
        <v>0</v>
      </c>
      <c r="AZ8" s="9">
        <f>'REV-REVCALC_CWS'!AZ42</f>
        <v>0</v>
      </c>
      <c r="BA8" s="9">
        <f>'REV-REVCALC_CWS'!BA42</f>
        <v>0</v>
      </c>
      <c r="BB8" s="9">
        <f>'REV-REVCALC_CWS'!BB42</f>
        <v>0</v>
      </c>
      <c r="BC8" s="9">
        <f>'REV-REVCALC_CWS'!BC42</f>
        <v>0</v>
      </c>
      <c r="BD8" s="9">
        <f>'REV-REVCALC_CWS'!BD42</f>
        <v>0</v>
      </c>
      <c r="BE8" s="9">
        <f>'REV-REVCALC_CWS'!BE42</f>
        <v>0</v>
      </c>
      <c r="BF8" s="9">
        <f>'REV-REVCALC_CWS'!BF42</f>
        <v>0</v>
      </c>
      <c r="BG8" s="9">
        <f>'REV-REVCALC_CWS'!BG42</f>
        <v>0</v>
      </c>
      <c r="BH8" s="9">
        <f>'REV-REVCALC_CWS'!BH42</f>
        <v>0</v>
      </c>
      <c r="BI8" s="9">
        <f>'REV-REVCALC_CWS'!BI42</f>
        <v>0</v>
      </c>
      <c r="BJ8" s="9">
        <f>'REV-REVCALC_CWS'!BJ42</f>
        <v>0</v>
      </c>
    </row>
    <row r="9" spans="1:63" x14ac:dyDescent="0.15">
      <c r="B9" s="33" t="s">
        <v>348</v>
      </c>
      <c r="C9" s="9">
        <f>'REV-REVCALC_CWS'!C43</f>
        <v>0</v>
      </c>
      <c r="D9" s="9">
        <f>'REV-REVCALC_CWS'!D43</f>
        <v>0</v>
      </c>
      <c r="E9" s="9">
        <f>'REV-REVCALC_CWS'!E43</f>
        <v>0</v>
      </c>
      <c r="F9" s="9">
        <f>'REV-REVCALC_CWS'!F43</f>
        <v>0</v>
      </c>
      <c r="G9" s="9">
        <f>'REV-REVCALC_CWS'!G43</f>
        <v>0</v>
      </c>
      <c r="H9" s="9">
        <f>'REV-REVCALC_CWS'!H43</f>
        <v>0</v>
      </c>
      <c r="I9" s="9">
        <f>'REV-REVCALC_CWS'!I43</f>
        <v>0</v>
      </c>
      <c r="J9" s="9">
        <f>'REV-REVCALC_CWS'!J43</f>
        <v>0</v>
      </c>
      <c r="K9" s="9">
        <f>'REV-REVCALC_CWS'!K43</f>
        <v>0</v>
      </c>
      <c r="L9" s="9">
        <f>'REV-REVCALC_CWS'!L43</f>
        <v>0</v>
      </c>
      <c r="M9" s="9">
        <f>'REV-REVCALC_CWS'!M43</f>
        <v>0</v>
      </c>
      <c r="N9" s="9">
        <f>'REV-REVCALC_CWS'!N43</f>
        <v>0</v>
      </c>
      <c r="O9" s="9">
        <f>'REV-REVCALC_CWS'!O43</f>
        <v>0</v>
      </c>
      <c r="P9" s="9">
        <f>'REV-REVCALC_CWS'!P43</f>
        <v>0</v>
      </c>
      <c r="Q9" s="9">
        <f>'REV-REVCALC_CWS'!Q43</f>
        <v>0</v>
      </c>
      <c r="R9" s="9">
        <f>'REV-REVCALC_CWS'!R43</f>
        <v>0</v>
      </c>
      <c r="S9" s="9">
        <f>'REV-REVCALC_CWS'!S43</f>
        <v>0</v>
      </c>
      <c r="T9" s="9">
        <f>'REV-REVCALC_CWS'!T43</f>
        <v>0</v>
      </c>
      <c r="U9" s="9">
        <f>'REV-REVCALC_CWS'!U43</f>
        <v>0</v>
      </c>
      <c r="V9" s="9">
        <f>'REV-REVCALC_CWS'!V43</f>
        <v>0</v>
      </c>
      <c r="W9" s="9">
        <f>'REV-REVCALC_CWS'!W43</f>
        <v>0</v>
      </c>
      <c r="X9" s="9">
        <f>'REV-REVCALC_CWS'!X43</f>
        <v>0</v>
      </c>
      <c r="Y9" s="9">
        <f>'REV-REVCALC_CWS'!Y43</f>
        <v>0</v>
      </c>
      <c r="Z9" s="9">
        <f>'REV-REVCALC_CWS'!Z43</f>
        <v>0</v>
      </c>
      <c r="AA9" s="9">
        <f>'REV-REVCALC_CWS'!AA43</f>
        <v>0</v>
      </c>
      <c r="AB9" s="9">
        <f>'REV-REVCALC_CWS'!AB43</f>
        <v>0</v>
      </c>
      <c r="AC9" s="9">
        <f>'REV-REVCALC_CWS'!AC43</f>
        <v>0</v>
      </c>
      <c r="AD9" s="9">
        <f>'REV-REVCALC_CWS'!AD43</f>
        <v>0</v>
      </c>
      <c r="AE9" s="9">
        <f>'REV-REVCALC_CWS'!AE43</f>
        <v>0</v>
      </c>
      <c r="AF9" s="9">
        <f>'REV-REVCALC_CWS'!AF43</f>
        <v>0</v>
      </c>
      <c r="AG9" s="9">
        <f>'REV-REVCALC_CWS'!AG43</f>
        <v>0</v>
      </c>
      <c r="AH9" s="9">
        <f>'REV-REVCALC_CWS'!AH43</f>
        <v>0</v>
      </c>
      <c r="AI9" s="9">
        <f>'REV-REVCALC_CWS'!AI43</f>
        <v>0</v>
      </c>
      <c r="AJ9" s="9">
        <f>'REV-REVCALC_CWS'!AJ43</f>
        <v>0</v>
      </c>
      <c r="AK9" s="9">
        <f>'REV-REVCALC_CWS'!AK43</f>
        <v>0</v>
      </c>
      <c r="AL9" s="9">
        <f>'REV-REVCALC_CWS'!AL43</f>
        <v>0</v>
      </c>
      <c r="AM9" s="9">
        <f>'REV-REVCALC_CWS'!AM43</f>
        <v>0</v>
      </c>
      <c r="AN9" s="9">
        <f>'REV-REVCALC_CWS'!AN43</f>
        <v>0</v>
      </c>
      <c r="AO9" s="9">
        <f>'REV-REVCALC_CWS'!AO43</f>
        <v>0</v>
      </c>
      <c r="AP9" s="9">
        <f>'REV-REVCALC_CWS'!AP43</f>
        <v>0</v>
      </c>
      <c r="AQ9" s="9">
        <f>'REV-REVCALC_CWS'!AQ43</f>
        <v>0</v>
      </c>
      <c r="AR9" s="9">
        <f>'REV-REVCALC_CWS'!AR43</f>
        <v>0</v>
      </c>
      <c r="AS9" s="9">
        <f>'REV-REVCALC_CWS'!AS43</f>
        <v>0</v>
      </c>
      <c r="AT9" s="9">
        <f>'REV-REVCALC_CWS'!AT43</f>
        <v>0</v>
      </c>
      <c r="AU9" s="9">
        <f>'REV-REVCALC_CWS'!AU43</f>
        <v>0</v>
      </c>
      <c r="AV9" s="9">
        <f>'REV-REVCALC_CWS'!AV43</f>
        <v>0</v>
      </c>
      <c r="AW9" s="9">
        <f>'REV-REVCALC_CWS'!AW43</f>
        <v>0</v>
      </c>
      <c r="AX9" s="9">
        <f>'REV-REVCALC_CWS'!AX43</f>
        <v>0</v>
      </c>
      <c r="AY9" s="9">
        <f>'REV-REVCALC_CWS'!AY43</f>
        <v>0</v>
      </c>
      <c r="AZ9" s="9">
        <f>'REV-REVCALC_CWS'!AZ43</f>
        <v>0</v>
      </c>
      <c r="BA9" s="9">
        <f>'REV-REVCALC_CWS'!BA43</f>
        <v>0</v>
      </c>
      <c r="BB9" s="9">
        <f>'REV-REVCALC_CWS'!BB43</f>
        <v>0</v>
      </c>
      <c r="BC9" s="9">
        <f>'REV-REVCALC_CWS'!BC43</f>
        <v>0</v>
      </c>
      <c r="BD9" s="9">
        <f>'REV-REVCALC_CWS'!BD43</f>
        <v>0</v>
      </c>
      <c r="BE9" s="9">
        <f>'REV-REVCALC_CWS'!BE43</f>
        <v>0</v>
      </c>
      <c r="BF9" s="9">
        <f>'REV-REVCALC_CWS'!BF43</f>
        <v>0</v>
      </c>
      <c r="BG9" s="9">
        <f>'REV-REVCALC_CWS'!BG43</f>
        <v>0</v>
      </c>
      <c r="BH9" s="9">
        <f>'REV-REVCALC_CWS'!BH43</f>
        <v>0</v>
      </c>
      <c r="BI9" s="9">
        <f>'REV-REVCALC_CWS'!BI43</f>
        <v>0</v>
      </c>
      <c r="BJ9" s="9">
        <f>'REV-REVCALC_CWS'!BJ43</f>
        <v>0</v>
      </c>
    </row>
    <row r="10" spans="1:63" x14ac:dyDescent="0.15">
      <c r="B10" s="33" t="s">
        <v>1046</v>
      </c>
      <c r="C10" s="9">
        <f>'REV-REVCALC_CWS'!C46</f>
        <v>0</v>
      </c>
      <c r="D10" s="9">
        <f>'REV-REVCALC_CWS'!D46</f>
        <v>0</v>
      </c>
      <c r="E10" s="9">
        <f>'REV-REVCALC_CWS'!E46</f>
        <v>0</v>
      </c>
      <c r="F10" s="9">
        <f>'REV-REVCALC_CWS'!F46</f>
        <v>0</v>
      </c>
      <c r="G10" s="9">
        <f>'REV-REVCALC_CWS'!G46</f>
        <v>0</v>
      </c>
      <c r="H10" s="9">
        <f>'REV-REVCALC_CWS'!H46</f>
        <v>120000</v>
      </c>
      <c r="I10" s="9">
        <f>'REV-REVCALC_CWS'!I46</f>
        <v>150000</v>
      </c>
      <c r="J10" s="9">
        <f>'REV-REVCALC_CWS'!J46</f>
        <v>180000</v>
      </c>
      <c r="K10" s="9">
        <f>'REV-REVCALC_CWS'!K46</f>
        <v>210000</v>
      </c>
      <c r="L10" s="9">
        <f>'REV-REVCALC_CWS'!L46</f>
        <v>240000</v>
      </c>
      <c r="M10" s="9">
        <f>'REV-REVCALC_CWS'!M46</f>
        <v>270000</v>
      </c>
      <c r="N10" s="9">
        <f>'REV-REVCALC_CWS'!N46</f>
        <v>240000</v>
      </c>
      <c r="O10" s="9">
        <f>'REV-REVCALC_CWS'!O46</f>
        <v>494340</v>
      </c>
      <c r="P10" s="9">
        <f>'REV-REVCALC_CWS'!P46</f>
        <v>789660</v>
      </c>
      <c r="Q10" s="9">
        <f>'REV-REVCALC_CWS'!Q46</f>
        <v>885960</v>
      </c>
      <c r="R10" s="9">
        <f>'REV-REVCALC_CWS'!R46</f>
        <v>885960</v>
      </c>
      <c r="S10" s="9">
        <f>'REV-REVCALC_CWS'!S46</f>
        <v>885960</v>
      </c>
      <c r="T10" s="9">
        <f>'REV-REVCALC_CWS'!T46</f>
        <v>885960</v>
      </c>
      <c r="U10" s="9">
        <f>'REV-REVCALC_CWS'!U46</f>
        <v>885960</v>
      </c>
      <c r="V10" s="9">
        <f>'REV-REVCALC_CWS'!V46</f>
        <v>885960</v>
      </c>
      <c r="W10" s="9">
        <f>'REV-REVCALC_CWS'!W46</f>
        <v>885960</v>
      </c>
      <c r="X10" s="9">
        <f>'REV-REVCALC_CWS'!X46</f>
        <v>885960</v>
      </c>
      <c r="Y10" s="9">
        <f>'REV-REVCALC_CWS'!Y46</f>
        <v>885960</v>
      </c>
      <c r="Z10" s="9">
        <f>'REV-REVCALC_CWS'!Z46</f>
        <v>590640</v>
      </c>
      <c r="AA10" s="9">
        <f>'REV-REVCALC_CWS'!AA46</f>
        <v>776242.20000000007</v>
      </c>
      <c r="AB10" s="9">
        <f>'REV-REVCALC_CWS'!AB46</f>
        <v>1236492</v>
      </c>
      <c r="AC10" s="9">
        <f>'REV-REVCALC_CWS'!AC46</f>
        <v>1391053.5</v>
      </c>
      <c r="AD10" s="9">
        <f>'REV-REVCALC_CWS'!AD46</f>
        <v>1391053.5</v>
      </c>
      <c r="AE10" s="9">
        <f>'REV-REVCALC_CWS'!AE46</f>
        <v>1391053.5</v>
      </c>
      <c r="AF10" s="9">
        <f>'REV-REVCALC_CWS'!AF46</f>
        <v>1391053.5</v>
      </c>
      <c r="AG10" s="9">
        <f>'REV-REVCALC_CWS'!AG46</f>
        <v>1391053.5</v>
      </c>
      <c r="AH10" s="9">
        <f>'REV-REVCALC_CWS'!AH46</f>
        <v>1391053.5</v>
      </c>
      <c r="AI10" s="9">
        <f>'REV-REVCALC_CWS'!AI46</f>
        <v>1391053.5</v>
      </c>
      <c r="AJ10" s="9">
        <f>'REV-REVCALC_CWS'!AJ46</f>
        <v>1391053.5</v>
      </c>
      <c r="AK10" s="9">
        <f>'REV-REVCALC_CWS'!AK46</f>
        <v>1391053.5</v>
      </c>
      <c r="AL10" s="9">
        <f>'REV-REVCALC_CWS'!AL46</f>
        <v>930803.70000000007</v>
      </c>
      <c r="AM10" s="9">
        <f>'REV-REVCALC_CWS'!AM46</f>
        <v>2061747.3690000002</v>
      </c>
      <c r="AN10" s="9">
        <f>'REV-REVCALC_CWS'!AN46</f>
        <v>3300265.8420000002</v>
      </c>
      <c r="AO10" s="9">
        <f>'REV-REVCALC_CWS'!AO46</f>
        <v>3711880.2900000005</v>
      </c>
      <c r="AP10" s="9">
        <f>'REV-REVCALC_CWS'!AP46</f>
        <v>3711880.2900000005</v>
      </c>
      <c r="AQ10" s="9">
        <f>'REV-REVCALC_CWS'!AQ46</f>
        <v>3711880.2900000005</v>
      </c>
      <c r="AR10" s="9">
        <f>'REV-REVCALC_CWS'!AR46</f>
        <v>3711880.2900000005</v>
      </c>
      <c r="AS10" s="9">
        <f>'REV-REVCALC_CWS'!AS46</f>
        <v>3711880.2900000005</v>
      </c>
      <c r="AT10" s="9">
        <f>'REV-REVCALC_CWS'!AT46</f>
        <v>3711880.2900000005</v>
      </c>
      <c r="AU10" s="9">
        <f>'REV-REVCALC_CWS'!AU46</f>
        <v>3711880.2900000005</v>
      </c>
      <c r="AV10" s="9">
        <f>'REV-REVCALC_CWS'!AV46</f>
        <v>3711880.2900000005</v>
      </c>
      <c r="AW10" s="9">
        <f>'REV-REVCALC_CWS'!AW46</f>
        <v>3711880.2900000005</v>
      </c>
      <c r="AX10" s="9">
        <f>'REV-REVCALC_CWS'!AX46</f>
        <v>2473361.8170000003</v>
      </c>
      <c r="AY10" s="9">
        <f>'REV-REVCALC_CWS'!AY46</f>
        <v>2272920.2813400002</v>
      </c>
      <c r="AZ10" s="9">
        <f>'REV-REVCALC_CWS'!AZ46</f>
        <v>3637458.9277500003</v>
      </c>
      <c r="BA10" s="9">
        <f>'REV-REVCALC_CWS'!BA46</f>
        <v>4089683.5512000006</v>
      </c>
      <c r="BB10" s="9">
        <f>'REV-REVCALC_CWS'!BB46</f>
        <v>4089683.5512000006</v>
      </c>
      <c r="BC10" s="9">
        <f>'REV-REVCALC_CWS'!BC46</f>
        <v>4089683.5512000006</v>
      </c>
      <c r="BD10" s="9">
        <f>'REV-REVCALC_CWS'!BD46</f>
        <v>4089683.5512000006</v>
      </c>
      <c r="BE10" s="9">
        <f>'REV-REVCALC_CWS'!BE46</f>
        <v>4089683.5512000006</v>
      </c>
      <c r="BF10" s="9">
        <f>'REV-REVCALC_CWS'!BF46</f>
        <v>4089683.5512000006</v>
      </c>
      <c r="BG10" s="9">
        <f>'REV-REVCALC_CWS'!BG46</f>
        <v>4089683.5512000006</v>
      </c>
      <c r="BH10" s="9">
        <f>'REV-REVCALC_CWS'!BH46</f>
        <v>4089683.5512000006</v>
      </c>
      <c r="BI10" s="9">
        <f>'REV-REVCALC_CWS'!BI46</f>
        <v>4089683.5512000006</v>
      </c>
      <c r="BJ10" s="9">
        <f>'REV-REVCALC_CWS'!BJ46</f>
        <v>2729077.2928200006</v>
      </c>
    </row>
    <row r="11" spans="1:63" x14ac:dyDescent="0.15">
      <c r="B11" s="33" t="s">
        <v>350</v>
      </c>
      <c r="C11" s="9">
        <f>'REV-REVCALC_CWS'!C47</f>
        <v>0</v>
      </c>
      <c r="D11" s="9">
        <f>'REV-REVCALC_CWS'!D47</f>
        <v>0</v>
      </c>
      <c r="E11" s="9">
        <f>'REV-REVCALC_CWS'!E47</f>
        <v>0</v>
      </c>
      <c r="F11" s="9">
        <f>'REV-REVCALC_CWS'!F47</f>
        <v>0</v>
      </c>
      <c r="G11" s="9">
        <f>'REV-REVCALC_CWS'!G47</f>
        <v>0</v>
      </c>
      <c r="H11" s="9">
        <f>'REV-REVCALC_CWS'!H47</f>
        <v>0</v>
      </c>
      <c r="I11" s="9">
        <f>'REV-REVCALC_CWS'!I47</f>
        <v>0</v>
      </c>
      <c r="J11" s="9">
        <f>'REV-REVCALC_CWS'!J47</f>
        <v>0</v>
      </c>
      <c r="K11" s="9">
        <f>'REV-REVCALC_CWS'!K47</f>
        <v>0</v>
      </c>
      <c r="L11" s="9">
        <f>'REV-REVCALC_CWS'!L47</f>
        <v>0</v>
      </c>
      <c r="M11" s="9">
        <f>'REV-REVCALC_CWS'!M47</f>
        <v>0</v>
      </c>
      <c r="N11" s="9">
        <f>'REV-REVCALC_CWS'!N47</f>
        <v>0</v>
      </c>
      <c r="O11" s="9">
        <f>'REV-REVCALC_CWS'!O47</f>
        <v>0</v>
      </c>
      <c r="P11" s="9">
        <f>'REV-REVCALC_CWS'!P47</f>
        <v>0</v>
      </c>
      <c r="Q11" s="9">
        <f>'REV-REVCALC_CWS'!Q47</f>
        <v>0</v>
      </c>
      <c r="R11" s="9">
        <f>'REV-REVCALC_CWS'!R47</f>
        <v>0</v>
      </c>
      <c r="S11" s="9">
        <f>'REV-REVCALC_CWS'!S47</f>
        <v>0</v>
      </c>
      <c r="T11" s="9">
        <f>'REV-REVCALC_CWS'!T47</f>
        <v>0</v>
      </c>
      <c r="U11" s="9">
        <f>'REV-REVCALC_CWS'!U47</f>
        <v>0</v>
      </c>
      <c r="V11" s="9">
        <f>'REV-REVCALC_CWS'!V47</f>
        <v>0</v>
      </c>
      <c r="W11" s="9">
        <f>'REV-REVCALC_CWS'!W47</f>
        <v>0</v>
      </c>
      <c r="X11" s="9">
        <f>'REV-REVCALC_CWS'!X47</f>
        <v>0</v>
      </c>
      <c r="Y11" s="9">
        <f>'REV-REVCALC_CWS'!Y47</f>
        <v>0</v>
      </c>
      <c r="Z11" s="9">
        <f>'REV-REVCALC_CWS'!Z47</f>
        <v>0</v>
      </c>
      <c r="AA11" s="9">
        <f>'REV-REVCALC_CWS'!AA47</f>
        <v>0</v>
      </c>
      <c r="AB11" s="9">
        <f>'REV-REVCALC_CWS'!AB47</f>
        <v>0</v>
      </c>
      <c r="AC11" s="9">
        <f>'REV-REVCALC_CWS'!AC47</f>
        <v>0</v>
      </c>
      <c r="AD11" s="9">
        <f>'REV-REVCALC_CWS'!AD47</f>
        <v>0</v>
      </c>
      <c r="AE11" s="9">
        <f>'REV-REVCALC_CWS'!AE47</f>
        <v>0</v>
      </c>
      <c r="AF11" s="9">
        <f>'REV-REVCALC_CWS'!AF47</f>
        <v>0</v>
      </c>
      <c r="AG11" s="9">
        <f>'REV-REVCALC_CWS'!AG47</f>
        <v>0</v>
      </c>
      <c r="AH11" s="9">
        <f>'REV-REVCALC_CWS'!AH47</f>
        <v>0</v>
      </c>
      <c r="AI11" s="9">
        <f>'REV-REVCALC_CWS'!AI47</f>
        <v>0</v>
      </c>
      <c r="AJ11" s="9">
        <f>'REV-REVCALC_CWS'!AJ47</f>
        <v>0</v>
      </c>
      <c r="AK11" s="9">
        <f>'REV-REVCALC_CWS'!AK47</f>
        <v>0</v>
      </c>
      <c r="AL11" s="9">
        <f>'REV-REVCALC_CWS'!AL47</f>
        <v>0</v>
      </c>
      <c r="AM11" s="9">
        <f>'REV-REVCALC_CWS'!AM47</f>
        <v>0</v>
      </c>
      <c r="AN11" s="9">
        <f>'REV-REVCALC_CWS'!AN47</f>
        <v>0</v>
      </c>
      <c r="AO11" s="9">
        <f>'REV-REVCALC_CWS'!AO47</f>
        <v>0</v>
      </c>
      <c r="AP11" s="9">
        <f>'REV-REVCALC_CWS'!AP47</f>
        <v>0</v>
      </c>
      <c r="AQ11" s="9">
        <f>'REV-REVCALC_CWS'!AQ47</f>
        <v>0</v>
      </c>
      <c r="AR11" s="9">
        <f>'REV-REVCALC_CWS'!AR47</f>
        <v>0</v>
      </c>
      <c r="AS11" s="9">
        <f>'REV-REVCALC_CWS'!AS47</f>
        <v>0</v>
      </c>
      <c r="AT11" s="9">
        <f>'REV-REVCALC_CWS'!AT47</f>
        <v>0</v>
      </c>
      <c r="AU11" s="9">
        <f>'REV-REVCALC_CWS'!AU47</f>
        <v>0</v>
      </c>
      <c r="AV11" s="9">
        <f>'REV-REVCALC_CWS'!AV47</f>
        <v>0</v>
      </c>
      <c r="AW11" s="9">
        <f>'REV-REVCALC_CWS'!AW47</f>
        <v>0</v>
      </c>
      <c r="AX11" s="9">
        <f>'REV-REVCALC_CWS'!AX47</f>
        <v>0</v>
      </c>
      <c r="AY11" s="9">
        <f>'REV-REVCALC_CWS'!AY47</f>
        <v>0</v>
      </c>
      <c r="AZ11" s="9">
        <f>'REV-REVCALC_CWS'!AZ47</f>
        <v>0</v>
      </c>
      <c r="BA11" s="9">
        <f>'REV-REVCALC_CWS'!BA47</f>
        <v>0</v>
      </c>
      <c r="BB11" s="9">
        <f>'REV-REVCALC_CWS'!BB47</f>
        <v>0</v>
      </c>
      <c r="BC11" s="9">
        <f>'REV-REVCALC_CWS'!BC47</f>
        <v>0</v>
      </c>
      <c r="BD11" s="9">
        <f>'REV-REVCALC_CWS'!BD47</f>
        <v>0</v>
      </c>
      <c r="BE11" s="9">
        <f>'REV-REVCALC_CWS'!BE47</f>
        <v>0</v>
      </c>
      <c r="BF11" s="9">
        <f>'REV-REVCALC_CWS'!BF47</f>
        <v>0</v>
      </c>
      <c r="BG11" s="9">
        <f>'REV-REVCALC_CWS'!BG47</f>
        <v>0</v>
      </c>
      <c r="BH11" s="9">
        <f>'REV-REVCALC_CWS'!BH47</f>
        <v>0</v>
      </c>
      <c r="BI11" s="9">
        <f>'REV-REVCALC_CWS'!BI47</f>
        <v>0</v>
      </c>
      <c r="BJ11" s="9">
        <f>'REV-REVCALC_CWS'!BJ47</f>
        <v>0</v>
      </c>
    </row>
    <row r="12" spans="1:63" x14ac:dyDescent="0.15">
      <c r="B12" s="33" t="s">
        <v>349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1092000</v>
      </c>
      <c r="G12" s="9">
        <f t="shared" si="0"/>
        <v>1498000</v>
      </c>
      <c r="H12" s="9">
        <f t="shared" si="0"/>
        <v>2346000</v>
      </c>
      <c r="I12" s="9">
        <f t="shared" si="0"/>
        <v>2936000</v>
      </c>
      <c r="J12" s="9">
        <f t="shared" si="0"/>
        <v>3526000</v>
      </c>
      <c r="K12" s="9">
        <f t="shared" si="0"/>
        <v>4116000</v>
      </c>
      <c r="L12" s="9">
        <f t="shared" si="0"/>
        <v>4706000</v>
      </c>
      <c r="M12" s="9">
        <f t="shared" si="0"/>
        <v>5296000</v>
      </c>
      <c r="N12" s="9">
        <f t="shared" si="0"/>
        <v>4706000</v>
      </c>
      <c r="O12" s="9">
        <f t="shared" si="0"/>
        <v>8988000</v>
      </c>
      <c r="P12" s="9">
        <f t="shared" si="0"/>
        <v>14391500</v>
      </c>
      <c r="Q12" s="9">
        <f t="shared" si="0"/>
        <v>16180540</v>
      </c>
      <c r="R12" s="9">
        <f t="shared" si="0"/>
        <v>16180540</v>
      </c>
      <c r="S12" s="9">
        <f t="shared" si="0"/>
        <v>16180540</v>
      </c>
      <c r="T12" s="9">
        <f t="shared" si="0"/>
        <v>16180540</v>
      </c>
      <c r="U12" s="9">
        <f t="shared" si="0"/>
        <v>16180540</v>
      </c>
      <c r="V12" s="9">
        <f t="shared" si="0"/>
        <v>16180540</v>
      </c>
      <c r="W12" s="9">
        <f t="shared" si="0"/>
        <v>16180540</v>
      </c>
      <c r="X12" s="9">
        <f t="shared" si="0"/>
        <v>16180540</v>
      </c>
      <c r="Y12" s="9">
        <f t="shared" si="0"/>
        <v>16180540</v>
      </c>
      <c r="Z12" s="9">
        <f t="shared" si="0"/>
        <v>10792020</v>
      </c>
      <c r="AA12" s="9">
        <f t="shared" si="0"/>
        <v>12413005.799999999</v>
      </c>
      <c r="AB12" s="9">
        <f t="shared" si="0"/>
        <v>19845696.600000001</v>
      </c>
      <c r="AC12" s="9">
        <f t="shared" si="0"/>
        <v>22324405.100000001</v>
      </c>
      <c r="AD12" s="9">
        <f t="shared" si="0"/>
        <v>22324405.100000001</v>
      </c>
      <c r="AE12" s="9">
        <f t="shared" si="0"/>
        <v>22324405.100000001</v>
      </c>
      <c r="AF12" s="9">
        <f t="shared" si="0"/>
        <v>22324405.100000001</v>
      </c>
      <c r="AG12" s="9">
        <f t="shared" si="0"/>
        <v>22324405.100000001</v>
      </c>
      <c r="AH12" s="9">
        <f t="shared" si="0"/>
        <v>22324405.100000001</v>
      </c>
      <c r="AI12" s="9">
        <f t="shared" si="0"/>
        <v>22324405.100000001</v>
      </c>
      <c r="AJ12" s="9">
        <f t="shared" si="0"/>
        <v>22324405.100000001</v>
      </c>
      <c r="AK12" s="9">
        <f t="shared" si="0"/>
        <v>22324405.100000001</v>
      </c>
      <c r="AL12" s="9">
        <f t="shared" si="0"/>
        <v>14891714.299999999</v>
      </c>
      <c r="AM12" s="9">
        <f t="shared" si="0"/>
        <v>34116222.507000007</v>
      </c>
      <c r="AN12" s="9">
        <f t="shared" si="0"/>
        <v>54597716.42400001</v>
      </c>
      <c r="AO12" s="9">
        <f t="shared" si="0"/>
        <v>61423656.020000011</v>
      </c>
      <c r="AP12" s="9">
        <f t="shared" si="0"/>
        <v>61423656.020000011</v>
      </c>
      <c r="AQ12" s="9">
        <f t="shared" si="0"/>
        <v>61423656.020000011</v>
      </c>
      <c r="AR12" s="9">
        <f t="shared" si="0"/>
        <v>61423656.020000011</v>
      </c>
      <c r="AS12" s="9">
        <f t="shared" si="0"/>
        <v>61423656.020000011</v>
      </c>
      <c r="AT12" s="9">
        <f t="shared" si="0"/>
        <v>61423656.020000011</v>
      </c>
      <c r="AU12" s="9">
        <f t="shared" si="0"/>
        <v>61423656.020000011</v>
      </c>
      <c r="AV12" s="9">
        <f t="shared" si="0"/>
        <v>61423656.020000011</v>
      </c>
      <c r="AW12" s="9">
        <f t="shared" si="0"/>
        <v>61423656.020000011</v>
      </c>
      <c r="AX12" s="9">
        <f t="shared" si="0"/>
        <v>40942162.103000008</v>
      </c>
      <c r="AY12" s="9">
        <f t="shared" si="0"/>
        <v>37598872.750840008</v>
      </c>
      <c r="AZ12" s="9">
        <f t="shared" si="0"/>
        <v>60177334.023090012</v>
      </c>
      <c r="BA12" s="9">
        <f t="shared" si="0"/>
        <v>67694749.140440017</v>
      </c>
      <c r="BB12" s="9">
        <f t="shared" si="0"/>
        <v>67694749.140440017</v>
      </c>
      <c r="BC12" s="9">
        <f t="shared" si="0"/>
        <v>67694749.140440017</v>
      </c>
      <c r="BD12" s="9">
        <f t="shared" si="0"/>
        <v>67694749.140440017</v>
      </c>
      <c r="BE12" s="9">
        <f t="shared" si="0"/>
        <v>67694749.140440017</v>
      </c>
      <c r="BF12" s="9">
        <f t="shared" si="0"/>
        <v>67694749.140440017</v>
      </c>
      <c r="BG12" s="9">
        <f t="shared" si="0"/>
        <v>67694749.140440017</v>
      </c>
      <c r="BH12" s="9">
        <f t="shared" si="0"/>
        <v>67694749.140440017</v>
      </c>
      <c r="BI12" s="9">
        <f t="shared" si="0"/>
        <v>67694749.140440017</v>
      </c>
      <c r="BJ12" s="9">
        <f t="shared" si="0"/>
        <v>45138571.400360011</v>
      </c>
      <c r="BK12" s="66">
        <f>SUM(C12:BJ12)</f>
        <v>1892724968.2522502</v>
      </c>
    </row>
    <row r="13" spans="1:63" s="37" customFormat="1" x14ac:dyDescent="0.15">
      <c r="B13" s="37" t="s">
        <v>299</v>
      </c>
      <c r="N13" s="38">
        <f>SUM(C7:N11)</f>
        <v>30222000</v>
      </c>
      <c r="Z13" s="38">
        <f>SUM(O7:Z11)</f>
        <v>179796380</v>
      </c>
      <c r="AL13" s="38">
        <f>SUM(AA7:AL11)</f>
        <v>248070062.59999993</v>
      </c>
      <c r="AX13" s="38">
        <f>SUM(AM7:AX11)</f>
        <v>682469005.21399975</v>
      </c>
      <c r="BJ13" s="38">
        <f>SUM(AY7:BJ11)</f>
        <v>752167520.43825054</v>
      </c>
      <c r="BK13" s="65">
        <f>SUM(C13:BJ13)</f>
        <v>1892724968.2522502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614</v>
      </c>
    </row>
    <row r="17" spans="2:62" x14ac:dyDescent="0.15">
      <c r="C17" s="406" t="s">
        <v>35</v>
      </c>
      <c r="D17" s="406"/>
      <c r="E17" s="406"/>
      <c r="F17" s="406"/>
      <c r="G17" s="406"/>
      <c r="H17" s="406"/>
      <c r="I17" s="406"/>
      <c r="J17" s="406"/>
      <c r="K17" s="406"/>
      <c r="L17" s="406"/>
      <c r="M17" s="406"/>
      <c r="N17" s="406"/>
      <c r="O17" s="406" t="s">
        <v>36</v>
      </c>
      <c r="P17" s="406"/>
      <c r="Q17" s="406"/>
      <c r="R17" s="406"/>
      <c r="S17" s="406"/>
      <c r="T17" s="406"/>
      <c r="U17" s="406"/>
      <c r="V17" s="406"/>
      <c r="W17" s="406"/>
      <c r="X17" s="406"/>
      <c r="Y17" s="406"/>
      <c r="Z17" s="406"/>
      <c r="AA17" s="406" t="s">
        <v>37</v>
      </c>
      <c r="AB17" s="406"/>
      <c r="AC17" s="406"/>
      <c r="AD17" s="406"/>
      <c r="AE17" s="406"/>
      <c r="AF17" s="406"/>
      <c r="AG17" s="406"/>
      <c r="AH17" s="406"/>
      <c r="AI17" s="406"/>
      <c r="AJ17" s="406"/>
      <c r="AK17" s="406"/>
      <c r="AL17" s="406"/>
      <c r="AM17" s="406" t="s">
        <v>38</v>
      </c>
      <c r="AN17" s="406"/>
      <c r="AO17" s="406"/>
      <c r="AP17" s="406"/>
      <c r="AQ17" s="406"/>
      <c r="AR17" s="406"/>
      <c r="AS17" s="406"/>
      <c r="AT17" s="406"/>
      <c r="AU17" s="406"/>
      <c r="AV17" s="406"/>
      <c r="AW17" s="406"/>
      <c r="AX17" s="406"/>
      <c r="AY17" s="406" t="s">
        <v>39</v>
      </c>
      <c r="AZ17" s="406"/>
      <c r="BA17" s="406"/>
      <c r="BB17" s="406"/>
      <c r="BC17" s="406"/>
      <c r="BD17" s="406"/>
      <c r="BE17" s="406"/>
      <c r="BF17" s="406"/>
      <c r="BG17" s="406"/>
      <c r="BH17" s="406"/>
      <c r="BI17" s="406"/>
      <c r="BJ17" s="406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349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351000</v>
      </c>
      <c r="G20" s="9">
        <f>'FIN-P&amp;L_CWS'!I129</f>
        <v>481500</v>
      </c>
      <c r="H20" s="9">
        <f>'FIN-P&amp;L_CWS'!J129</f>
        <v>1586700</v>
      </c>
      <c r="I20" s="9">
        <f>'FIN-P&amp;L_CWS'!K129</f>
        <v>1983300</v>
      </c>
      <c r="J20" s="9">
        <f>'FIN-P&amp;L_CWS'!L129</f>
        <v>2376900</v>
      </c>
      <c r="K20" s="9">
        <f>'FIN-P&amp;L_CWS'!M129</f>
        <v>2773500</v>
      </c>
      <c r="L20" s="9">
        <f>'FIN-P&amp;L_CWS'!N129</f>
        <v>3167100</v>
      </c>
      <c r="M20" s="9">
        <f>'FIN-P&amp;L_CWS'!O129</f>
        <v>3563700</v>
      </c>
      <c r="N20" s="9">
        <f>'FIN-P&amp;L_CWS'!P129</f>
        <v>3167100</v>
      </c>
      <c r="O20" s="9">
        <f>'FIN-P&amp;L_CWS'!Q129</f>
        <v>6213285</v>
      </c>
      <c r="P20" s="9">
        <f>'FIN-P&amp;L_CWS'!R129</f>
        <v>9943020</v>
      </c>
      <c r="Q20" s="9">
        <f>'FIN-P&amp;L_CWS'!S129</f>
        <v>11182785</v>
      </c>
      <c r="R20" s="9">
        <f>'FIN-P&amp;L_CWS'!T129</f>
        <v>11182785</v>
      </c>
      <c r="S20" s="9">
        <f>'FIN-P&amp;L_CWS'!U129</f>
        <v>11182785</v>
      </c>
      <c r="T20" s="9">
        <f>'FIN-P&amp;L_CWS'!V129</f>
        <v>11182785</v>
      </c>
      <c r="U20" s="9">
        <f>'FIN-P&amp;L_CWS'!W129</f>
        <v>11182785</v>
      </c>
      <c r="V20" s="9">
        <f>'FIN-P&amp;L_CWS'!X129</f>
        <v>11182785</v>
      </c>
      <c r="W20" s="9">
        <f>'FIN-P&amp;L_CWS'!Y129</f>
        <v>11182785</v>
      </c>
      <c r="X20" s="9">
        <f>'FIN-P&amp;L_CWS'!Z129</f>
        <v>11182785</v>
      </c>
      <c r="Y20" s="9">
        <f>'FIN-P&amp;L_CWS'!AA129</f>
        <v>11182785</v>
      </c>
      <c r="Z20" s="9">
        <f>'FIN-P&amp;L_CWS'!AB129</f>
        <v>7457865</v>
      </c>
      <c r="AA20" s="9">
        <f>'FIN-P&amp;L_CWS'!AC129</f>
        <v>14097363.9</v>
      </c>
      <c r="AB20" s="9">
        <f>'FIN-P&amp;L_CWS'!AD129</f>
        <v>22554817.950000007</v>
      </c>
      <c r="AC20" s="9">
        <f>'FIN-P&amp;L_CWS'!AE129</f>
        <v>25371679.500000007</v>
      </c>
      <c r="AD20" s="9">
        <f>'FIN-P&amp;L_CWS'!AF129</f>
        <v>25371679.500000007</v>
      </c>
      <c r="AE20" s="9">
        <f>'FIN-P&amp;L_CWS'!AG129</f>
        <v>25371679.500000007</v>
      </c>
      <c r="AF20" s="9">
        <f>'FIN-P&amp;L_CWS'!AH129</f>
        <v>25371679.500000007</v>
      </c>
      <c r="AG20" s="9">
        <f>'FIN-P&amp;L_CWS'!AI129</f>
        <v>25371679.500000007</v>
      </c>
      <c r="AH20" s="9">
        <f>'FIN-P&amp;L_CWS'!AJ129</f>
        <v>25371679.500000007</v>
      </c>
      <c r="AI20" s="9">
        <f>'FIN-P&amp;L_CWS'!AK129</f>
        <v>25371679.500000007</v>
      </c>
      <c r="AJ20" s="9">
        <f>'FIN-P&amp;L_CWS'!AL129</f>
        <v>25371679.500000007</v>
      </c>
      <c r="AK20" s="9">
        <f>'FIN-P&amp;L_CWS'!AM129</f>
        <v>25371679.500000007</v>
      </c>
      <c r="AL20" s="9">
        <f>'FIN-P&amp;L_CWS'!AN129</f>
        <v>16914225.449999999</v>
      </c>
      <c r="AM20" s="9">
        <f>'FIN-P&amp;L_CWS'!AO129</f>
        <v>26096802.279500004</v>
      </c>
      <c r="AN20" s="9">
        <f>'FIN-P&amp;L_CWS'!AP129</f>
        <v>41756976.237500012</v>
      </c>
      <c r="AO20" s="9">
        <f>'FIN-P&amp;L_CWS'!AQ129</f>
        <v>46976209.180500016</v>
      </c>
      <c r="AP20" s="9">
        <f>'FIN-P&amp;L_CWS'!AR129</f>
        <v>46976209.180500016</v>
      </c>
      <c r="AQ20" s="9">
        <f>'FIN-P&amp;L_CWS'!AS129</f>
        <v>46976209.180500016</v>
      </c>
      <c r="AR20" s="9">
        <f>'FIN-P&amp;L_CWS'!AT129</f>
        <v>46976209.180500016</v>
      </c>
      <c r="AS20" s="9">
        <f>'FIN-P&amp;L_CWS'!AU129</f>
        <v>46976209.180500016</v>
      </c>
      <c r="AT20" s="9">
        <f>'FIN-P&amp;L_CWS'!AV129</f>
        <v>46976209.180500016</v>
      </c>
      <c r="AU20" s="9">
        <f>'FIN-P&amp;L_CWS'!AW129</f>
        <v>46976209.180500016</v>
      </c>
      <c r="AV20" s="9">
        <f>'FIN-P&amp;L_CWS'!AX129</f>
        <v>46976209.180500016</v>
      </c>
      <c r="AW20" s="9">
        <f>'FIN-P&amp;L_CWS'!AY129</f>
        <v>46976209.180500016</v>
      </c>
      <c r="AX20" s="9">
        <f>'FIN-P&amp;L_CWS'!AZ129</f>
        <v>31316035.222500008</v>
      </c>
      <c r="AY20" s="9">
        <f>'FIN-P&amp;L_CWS'!BA129</f>
        <v>25373638.168635003</v>
      </c>
      <c r="AZ20" s="9">
        <f>'FIN-P&amp;L_CWS'!BB129</f>
        <v>40608973.036285013</v>
      </c>
      <c r="BA20" s="9">
        <f>'FIN-P&amp;L_CWS'!BC129</f>
        <v>45671872.904770017</v>
      </c>
      <c r="BB20" s="9">
        <f>'FIN-P&amp;L_CWS'!BD129</f>
        <v>45671872.904770017</v>
      </c>
      <c r="BC20" s="9">
        <f>'FIN-P&amp;L_CWS'!BE129</f>
        <v>45671872.904770017</v>
      </c>
      <c r="BD20" s="9">
        <f>'FIN-P&amp;L_CWS'!BF129</f>
        <v>45671872.904770017</v>
      </c>
      <c r="BE20" s="9">
        <f>'FIN-P&amp;L_CWS'!BG129</f>
        <v>45671872.904770017</v>
      </c>
      <c r="BF20" s="9">
        <f>'FIN-P&amp;L_CWS'!BH129</f>
        <v>45671872.904770017</v>
      </c>
      <c r="BG20" s="9">
        <f>'FIN-P&amp;L_CWS'!BI129</f>
        <v>45671872.904770017</v>
      </c>
      <c r="BH20" s="9">
        <f>'FIN-P&amp;L_CWS'!BJ129</f>
        <v>45671872.904770017</v>
      </c>
      <c r="BI20" s="9">
        <f>'FIN-P&amp;L_CWS'!BK129</f>
        <v>45671872.904770017</v>
      </c>
      <c r="BJ20" s="9">
        <f>'FIN-P&amp;L_CWS'!BL129</f>
        <v>30460838.765225008</v>
      </c>
    </row>
    <row r="21" spans="2:62" x14ac:dyDescent="0.15">
      <c r="B21" s="33" t="s">
        <v>287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13840916.666666666</v>
      </c>
      <c r="G21" s="9">
        <f>'FIN-P&amp;L_CWS'!I206</f>
        <v>8536750</v>
      </c>
      <c r="H21" s="9">
        <f>'FIN-P&amp;L_CWS'!J206</f>
        <v>9216583.3333333321</v>
      </c>
      <c r="I21" s="9">
        <f>'FIN-P&amp;L_CWS'!K206</f>
        <v>9716583.3333333321</v>
      </c>
      <c r="J21" s="9">
        <f>'FIN-P&amp;L_CWS'!L206</f>
        <v>9716583.3333333321</v>
      </c>
      <c r="K21" s="9">
        <f>'FIN-P&amp;L_CWS'!M206</f>
        <v>9716583.3333333321</v>
      </c>
      <c r="L21" s="9">
        <f>'FIN-P&amp;L_CWS'!N206</f>
        <v>9716583.3333333321</v>
      </c>
      <c r="M21" s="9">
        <f>'FIN-P&amp;L_CWS'!O206</f>
        <v>9716583.3333333321</v>
      </c>
      <c r="N21" s="9">
        <f>'FIN-P&amp;L_CWS'!P206</f>
        <v>9945583.3333333321</v>
      </c>
      <c r="O21" s="9">
        <f>'FIN-P&amp;L_CWS'!Q206</f>
        <v>12854916.666666668</v>
      </c>
      <c r="P21" s="9">
        <f>'FIN-P&amp;L_CWS'!R206</f>
        <v>12854916.666666668</v>
      </c>
      <c r="Q21" s="9">
        <f>'FIN-P&amp;L_CWS'!S206</f>
        <v>12854916.666666668</v>
      </c>
      <c r="R21" s="9">
        <f>'FIN-P&amp;L_CWS'!T206</f>
        <v>11854916.666666668</v>
      </c>
      <c r="S21" s="9">
        <f>'FIN-P&amp;L_CWS'!U206</f>
        <v>11854916.666666668</v>
      </c>
      <c r="T21" s="9">
        <f>'FIN-P&amp;L_CWS'!V206</f>
        <v>11854916.666666668</v>
      </c>
      <c r="U21" s="9">
        <f>'FIN-P&amp;L_CWS'!W206</f>
        <v>11854916.666666668</v>
      </c>
      <c r="V21" s="9">
        <f>'FIN-P&amp;L_CWS'!X206</f>
        <v>11854916.666666668</v>
      </c>
      <c r="W21" s="9">
        <f>'FIN-P&amp;L_CWS'!Y206</f>
        <v>11854916.666666668</v>
      </c>
      <c r="X21" s="9">
        <f>'FIN-P&amp;L_CWS'!Z206</f>
        <v>11854916.666666668</v>
      </c>
      <c r="Y21" s="9">
        <f>'FIN-P&amp;L_CWS'!AA206</f>
        <v>11854916.666666668</v>
      </c>
      <c r="Z21" s="9">
        <f>'FIN-P&amp;L_CWS'!AB206</f>
        <v>11854916.666666668</v>
      </c>
      <c r="AA21" s="9">
        <f>'FIN-P&amp;L_CWS'!AC206</f>
        <v>14741316.666666668</v>
      </c>
      <c r="AB21" s="9">
        <f>'FIN-P&amp;L_CWS'!AD206</f>
        <v>14741316.666666668</v>
      </c>
      <c r="AC21" s="9">
        <f>'FIN-P&amp;L_CWS'!AE206</f>
        <v>14741316.666666668</v>
      </c>
      <c r="AD21" s="9">
        <f>'FIN-P&amp;L_CWS'!AF206</f>
        <v>14741316.666666668</v>
      </c>
      <c r="AE21" s="9">
        <f>'FIN-P&amp;L_CWS'!AG206</f>
        <v>14741316.666666668</v>
      </c>
      <c r="AF21" s="9">
        <f>'FIN-P&amp;L_CWS'!AH206</f>
        <v>14741316.666666668</v>
      </c>
      <c r="AG21" s="9">
        <f>'FIN-P&amp;L_CWS'!AI206</f>
        <v>14741316.666666668</v>
      </c>
      <c r="AH21" s="9">
        <f>'FIN-P&amp;L_CWS'!AJ206</f>
        <v>14741316.666666668</v>
      </c>
      <c r="AI21" s="9">
        <f>'FIN-P&amp;L_CWS'!AK206</f>
        <v>14741316.666666668</v>
      </c>
      <c r="AJ21" s="9">
        <f>'FIN-P&amp;L_CWS'!AL206</f>
        <v>14741316.666666668</v>
      </c>
      <c r="AK21" s="9">
        <f>'FIN-P&amp;L_CWS'!AM206</f>
        <v>14741316.666666668</v>
      </c>
      <c r="AL21" s="9">
        <f>'FIN-P&amp;L_CWS'!AN206</f>
        <v>14741316.666666668</v>
      </c>
      <c r="AM21" s="9">
        <f>'FIN-P&amp;L_CWS'!AO206</f>
        <v>15445184.666666668</v>
      </c>
      <c r="AN21" s="9">
        <f>'FIN-P&amp;L_CWS'!AP206</f>
        <v>15445184.666666668</v>
      </c>
      <c r="AO21" s="9">
        <f>'FIN-P&amp;L_CWS'!AQ206</f>
        <v>15445184.666666668</v>
      </c>
      <c r="AP21" s="9">
        <f>'FIN-P&amp;L_CWS'!AR206</f>
        <v>15445184.666666668</v>
      </c>
      <c r="AQ21" s="9">
        <f>'FIN-P&amp;L_CWS'!AS206</f>
        <v>15445184.666666668</v>
      </c>
      <c r="AR21" s="9">
        <f>'FIN-P&amp;L_CWS'!AT206</f>
        <v>15445184.666666668</v>
      </c>
      <c r="AS21" s="9">
        <f>'FIN-P&amp;L_CWS'!AU206</f>
        <v>15445184.666666668</v>
      </c>
      <c r="AT21" s="9">
        <f>'FIN-P&amp;L_CWS'!AV206</f>
        <v>15445184.666666668</v>
      </c>
      <c r="AU21" s="9">
        <f>'FIN-P&amp;L_CWS'!AW206</f>
        <v>15445184.666666668</v>
      </c>
      <c r="AV21" s="9">
        <f>'FIN-P&amp;L_CWS'!AX206</f>
        <v>15445184.666666668</v>
      </c>
      <c r="AW21" s="9">
        <f>'FIN-P&amp;L_CWS'!AY206</f>
        <v>15445184.666666668</v>
      </c>
      <c r="AX21" s="9">
        <f>'FIN-P&amp;L_CWS'!AZ206</f>
        <v>15445184.666666668</v>
      </c>
      <c r="AY21" s="9">
        <f>'FIN-P&amp;L_CWS'!BA206</f>
        <v>16216473.42666667</v>
      </c>
      <c r="AZ21" s="9">
        <f>'FIN-P&amp;L_CWS'!BB206</f>
        <v>16216473.42666667</v>
      </c>
      <c r="BA21" s="9">
        <f>'FIN-P&amp;L_CWS'!BC206</f>
        <v>16216473.42666667</v>
      </c>
      <c r="BB21" s="9">
        <f>'FIN-P&amp;L_CWS'!BD206</f>
        <v>16216473.42666667</v>
      </c>
      <c r="BC21" s="9">
        <f>'FIN-P&amp;L_CWS'!BE206</f>
        <v>16216473.42666667</v>
      </c>
      <c r="BD21" s="9">
        <f>'FIN-P&amp;L_CWS'!BF206</f>
        <v>16216473.42666667</v>
      </c>
      <c r="BE21" s="9">
        <f>'FIN-P&amp;L_CWS'!BG206</f>
        <v>16216473.42666667</v>
      </c>
      <c r="BF21" s="9">
        <f>'FIN-P&amp;L_CWS'!BH206</f>
        <v>16216473.42666667</v>
      </c>
      <c r="BG21" s="9">
        <f>'FIN-P&amp;L_CWS'!BI206</f>
        <v>16216473.42666667</v>
      </c>
      <c r="BH21" s="9">
        <f>'FIN-P&amp;L_CWS'!BJ206</f>
        <v>16216473.42666667</v>
      </c>
      <c r="BI21" s="9">
        <f>'FIN-P&amp;L_CWS'!BK206</f>
        <v>16216473.42666667</v>
      </c>
      <c r="BJ21" s="9">
        <f>'FIN-P&amp;L_CWS'!BL206</f>
        <v>16216473.42666667</v>
      </c>
    </row>
    <row r="22" spans="2:62" x14ac:dyDescent="0.15">
      <c r="B22" s="33" t="s">
        <v>524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-13489916.666666666</v>
      </c>
      <c r="G22" s="9">
        <f>'FIN-P&amp;L_CWS'!I208</f>
        <v>-8055250</v>
      </c>
      <c r="H22" s="9">
        <f>'FIN-P&amp;L_CWS'!J208</f>
        <v>-7629883.3333333321</v>
      </c>
      <c r="I22" s="9">
        <f>'FIN-P&amp;L_CWS'!K208</f>
        <v>-7733283.3333333321</v>
      </c>
      <c r="J22" s="9">
        <f>'FIN-P&amp;L_CWS'!L208</f>
        <v>-7339683.3333333321</v>
      </c>
      <c r="K22" s="9">
        <f>'FIN-P&amp;L_CWS'!M208</f>
        <v>-6943083.3333333321</v>
      </c>
      <c r="L22" s="9">
        <f>'FIN-P&amp;L_CWS'!N208</f>
        <v>-6549483.3333333321</v>
      </c>
      <c r="M22" s="9">
        <f>'FIN-P&amp;L_CWS'!O208</f>
        <v>-6152883.3333333321</v>
      </c>
      <c r="N22" s="9">
        <f>'FIN-P&amp;L_CWS'!P208</f>
        <v>-6778483.3333333321</v>
      </c>
      <c r="O22" s="9">
        <f>'FIN-P&amp;L_CWS'!Q208</f>
        <v>-6641631.6666666679</v>
      </c>
      <c r="P22" s="9">
        <f>'FIN-P&amp;L_CWS'!R208</f>
        <v>-2911896.6666666679</v>
      </c>
      <c r="Q22" s="9">
        <f>'FIN-P&amp;L_CWS'!S208</f>
        <v>-1672131.6666666679</v>
      </c>
      <c r="R22" s="9">
        <f>'FIN-P&amp;L_CWS'!T208</f>
        <v>-672131.66666666791</v>
      </c>
      <c r="S22" s="9">
        <f>'FIN-P&amp;L_CWS'!U208</f>
        <v>-672131.66666666791</v>
      </c>
      <c r="T22" s="9">
        <f>'FIN-P&amp;L_CWS'!V208</f>
        <v>-672131.66666666791</v>
      </c>
      <c r="U22" s="9">
        <f>'FIN-P&amp;L_CWS'!W208</f>
        <v>-672131.66666666791</v>
      </c>
      <c r="V22" s="9">
        <f>'FIN-P&amp;L_CWS'!X208</f>
        <v>-672131.66666666791</v>
      </c>
      <c r="W22" s="9">
        <f>'FIN-P&amp;L_CWS'!Y208</f>
        <v>-672131.66666666791</v>
      </c>
      <c r="X22" s="9">
        <f>'FIN-P&amp;L_CWS'!Z208</f>
        <v>-672131.66666666791</v>
      </c>
      <c r="Y22" s="9">
        <f>'FIN-P&amp;L_CWS'!AA208</f>
        <v>-672131.66666666791</v>
      </c>
      <c r="Z22" s="9">
        <f>'FIN-P&amp;L_CWS'!AB208</f>
        <v>-4397051.6666666679</v>
      </c>
      <c r="AA22" s="9">
        <f>'FIN-P&amp;L_CWS'!AC208</f>
        <v>-643952.76666666754</v>
      </c>
      <c r="AB22" s="9">
        <f>'FIN-P&amp;L_CWS'!AD208</f>
        <v>7813501.2833333388</v>
      </c>
      <c r="AC22" s="9">
        <f>'FIN-P&amp;L_CWS'!AE208</f>
        <v>10630362.83333334</v>
      </c>
      <c r="AD22" s="9">
        <f>'FIN-P&amp;L_CWS'!AF208</f>
        <v>10630362.83333334</v>
      </c>
      <c r="AE22" s="9">
        <f>'FIN-P&amp;L_CWS'!AG208</f>
        <v>10630362.83333334</v>
      </c>
      <c r="AF22" s="9">
        <f>'FIN-P&amp;L_CWS'!AH208</f>
        <v>10630362.83333334</v>
      </c>
      <c r="AG22" s="9">
        <f>'FIN-P&amp;L_CWS'!AI208</f>
        <v>10630362.83333334</v>
      </c>
      <c r="AH22" s="9">
        <f>'FIN-P&amp;L_CWS'!AJ208</f>
        <v>10630362.83333334</v>
      </c>
      <c r="AI22" s="9">
        <f>'FIN-P&amp;L_CWS'!AK208</f>
        <v>10630362.83333334</v>
      </c>
      <c r="AJ22" s="9">
        <f>'FIN-P&amp;L_CWS'!AL208</f>
        <v>10630362.83333334</v>
      </c>
      <c r="AK22" s="9">
        <f>'FIN-P&amp;L_CWS'!AM208</f>
        <v>10630362.83333334</v>
      </c>
      <c r="AL22" s="9">
        <f>'FIN-P&amp;L_CWS'!AN208</f>
        <v>2172908.7833333313</v>
      </c>
      <c r="AM22" s="9">
        <f>'FIN-P&amp;L_CWS'!AO208</f>
        <v>10651617.612833336</v>
      </c>
      <c r="AN22" s="9">
        <f>'FIN-P&amp;L_CWS'!AP208</f>
        <v>26311791.570833344</v>
      </c>
      <c r="AO22" s="9">
        <f>'FIN-P&amp;L_CWS'!AQ208</f>
        <v>31531024.513833348</v>
      </c>
      <c r="AP22" s="9">
        <f>'FIN-P&amp;L_CWS'!AR208</f>
        <v>31531024.513833348</v>
      </c>
      <c r="AQ22" s="9">
        <f>'FIN-P&amp;L_CWS'!AS208</f>
        <v>31531024.513833348</v>
      </c>
      <c r="AR22" s="9">
        <f>'FIN-P&amp;L_CWS'!AT208</f>
        <v>31531024.513833348</v>
      </c>
      <c r="AS22" s="9">
        <f>'FIN-P&amp;L_CWS'!AU208</f>
        <v>31531024.513833348</v>
      </c>
      <c r="AT22" s="9">
        <f>'FIN-P&amp;L_CWS'!AV208</f>
        <v>31531024.513833348</v>
      </c>
      <c r="AU22" s="9">
        <f>'FIN-P&amp;L_CWS'!AW208</f>
        <v>31531024.513833348</v>
      </c>
      <c r="AV22" s="9">
        <f>'FIN-P&amp;L_CWS'!AX208</f>
        <v>31531024.513833348</v>
      </c>
      <c r="AW22" s="9">
        <f>'FIN-P&amp;L_CWS'!AY208</f>
        <v>31531024.513833348</v>
      </c>
      <c r="AX22" s="9">
        <f>'FIN-P&amp;L_CWS'!AZ208</f>
        <v>15870850.55583334</v>
      </c>
      <c r="AY22" s="9">
        <f>'FIN-P&amp;L_CWS'!BA208</f>
        <v>9157164.7419683337</v>
      </c>
      <c r="AZ22" s="9">
        <f>'FIN-P&amp;L_CWS'!BB208</f>
        <v>24392499.609618343</v>
      </c>
      <c r="BA22" s="9">
        <f>'FIN-P&amp;L_CWS'!BC208</f>
        <v>29455399.478103347</v>
      </c>
      <c r="BB22" s="9">
        <f>'FIN-P&amp;L_CWS'!BD208</f>
        <v>29455399.478103347</v>
      </c>
      <c r="BC22" s="9">
        <f>'FIN-P&amp;L_CWS'!BE208</f>
        <v>29455399.478103347</v>
      </c>
      <c r="BD22" s="9">
        <f>'FIN-P&amp;L_CWS'!BF208</f>
        <v>29455399.478103347</v>
      </c>
      <c r="BE22" s="9">
        <f>'FIN-P&amp;L_CWS'!BG208</f>
        <v>29455399.478103347</v>
      </c>
      <c r="BF22" s="9">
        <f>'FIN-P&amp;L_CWS'!BH208</f>
        <v>29455399.478103347</v>
      </c>
      <c r="BG22" s="9">
        <f>'FIN-P&amp;L_CWS'!BI208</f>
        <v>29455399.478103347</v>
      </c>
      <c r="BH22" s="9">
        <f>'FIN-P&amp;L_CWS'!BJ208</f>
        <v>29455399.478103347</v>
      </c>
      <c r="BI22" s="9">
        <f>'FIN-P&amp;L_CWS'!BK208</f>
        <v>29455399.478103347</v>
      </c>
      <c r="BJ22" s="9">
        <f>'FIN-P&amp;L_CWS'!BL208</f>
        <v>14244365.338558339</v>
      </c>
    </row>
    <row r="23" spans="2:62" x14ac:dyDescent="0.15">
      <c r="B23" s="33" t="s">
        <v>525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-13489916.666666666</v>
      </c>
      <c r="G23" s="9">
        <f>'FIN-P&amp;L_CWS'!I209</f>
        <v>-21545166.666666664</v>
      </c>
      <c r="H23" s="9">
        <f>'FIN-P&amp;L_CWS'!J209</f>
        <v>-29175049.999999996</v>
      </c>
      <c r="I23" s="9">
        <f>'FIN-P&amp;L_CWS'!K209</f>
        <v>-36908333.333333328</v>
      </c>
      <c r="J23" s="9">
        <f>'FIN-P&amp;L_CWS'!L209</f>
        <v>-44248016.666666657</v>
      </c>
      <c r="K23" s="9">
        <f>'FIN-P&amp;L_CWS'!M209</f>
        <v>-51191099.999999985</v>
      </c>
      <c r="L23" s="9">
        <f>'FIN-P&amp;L_CWS'!N209</f>
        <v>-57740583.333333313</v>
      </c>
      <c r="M23" s="9">
        <f>'FIN-P&amp;L_CWS'!O209</f>
        <v>-63893466.666666642</v>
      </c>
      <c r="N23" s="9">
        <f>'FIN-P&amp;L_CWS'!P209</f>
        <v>-70671949.99999997</v>
      </c>
      <c r="O23" s="9">
        <f>'FIN-P&amp;L_CWS'!Q209</f>
        <v>-77313581.666666642</v>
      </c>
      <c r="P23" s="9">
        <f>'FIN-P&amp;L_CWS'!R209</f>
        <v>-80225478.333333313</v>
      </c>
      <c r="Q23" s="9">
        <f>'FIN-P&amp;L_CWS'!S209</f>
        <v>-81897609.999999985</v>
      </c>
      <c r="R23" s="9">
        <f>'FIN-P&amp;L_CWS'!T209</f>
        <v>-82569741.666666657</v>
      </c>
      <c r="S23" s="9">
        <f>'FIN-P&amp;L_CWS'!U209</f>
        <v>-83241873.333333328</v>
      </c>
      <c r="T23" s="9">
        <f>'FIN-P&amp;L_CWS'!V209</f>
        <v>-83914005</v>
      </c>
      <c r="U23" s="9">
        <f>'FIN-P&amp;L_CWS'!W209</f>
        <v>-84586136.666666672</v>
      </c>
      <c r="V23" s="9">
        <f>'FIN-P&amp;L_CWS'!X209</f>
        <v>-85258268.333333343</v>
      </c>
      <c r="W23" s="9">
        <f>'FIN-P&amp;L_CWS'!Y209</f>
        <v>-85930400.000000015</v>
      </c>
      <c r="X23" s="9">
        <f>'FIN-P&amp;L_CWS'!Z209</f>
        <v>-86602531.666666687</v>
      </c>
      <c r="Y23" s="9">
        <f>'FIN-P&amp;L_CWS'!AA209</f>
        <v>-87274663.333333358</v>
      </c>
      <c r="Z23" s="9">
        <f>'FIN-P&amp;L_CWS'!AB209</f>
        <v>-91671715.00000003</v>
      </c>
      <c r="AA23" s="9">
        <f>'FIN-P&amp;L_CWS'!AC209</f>
        <v>-92315667.766666695</v>
      </c>
      <c r="AB23" s="9">
        <f>'FIN-P&amp;L_CWS'!AD209</f>
        <v>-84502166.483333349</v>
      </c>
      <c r="AC23" s="9">
        <f>'FIN-P&amp;L_CWS'!AE209</f>
        <v>-73871803.650000006</v>
      </c>
      <c r="AD23" s="9">
        <f>'FIN-P&amp;L_CWS'!AF209</f>
        <v>-63241440.816666663</v>
      </c>
      <c r="AE23" s="9">
        <f>'FIN-P&amp;L_CWS'!AG209</f>
        <v>-52611077.983333319</v>
      </c>
      <c r="AF23" s="9">
        <f>'FIN-P&amp;L_CWS'!AH209</f>
        <v>-41980715.149999976</v>
      </c>
      <c r="AG23" s="9">
        <f>'FIN-P&amp;L_CWS'!AI209</f>
        <v>-31350352.316666637</v>
      </c>
      <c r="AH23" s="9">
        <f>'FIN-P&amp;L_CWS'!AJ209</f>
        <v>-20719989.483333297</v>
      </c>
      <c r="AI23" s="9">
        <f>'FIN-P&amp;L_CWS'!AK209</f>
        <v>-10089626.649999958</v>
      </c>
      <c r="AJ23" s="9">
        <f>'FIN-P&amp;L_CWS'!AL209</f>
        <v>540736.18333338201</v>
      </c>
      <c r="AK23" s="9">
        <f>'FIN-P&amp;L_CWS'!AM209</f>
        <v>11171099.016666722</v>
      </c>
      <c r="AL23" s="9">
        <f>'FIN-P&amp;L_CWS'!AN209</f>
        <v>13344007.800000053</v>
      </c>
      <c r="AM23" s="9">
        <f>'FIN-P&amp;L_CWS'!AO209</f>
        <v>23995625.412833389</v>
      </c>
      <c r="AN23" s="9">
        <f>'FIN-P&amp;L_CWS'!AP209</f>
        <v>50307416.983666733</v>
      </c>
      <c r="AO23" s="9">
        <f>'FIN-P&amp;L_CWS'!AQ209</f>
        <v>81838441.497500077</v>
      </c>
      <c r="AP23" s="9">
        <f>'FIN-P&amp;L_CWS'!AR209</f>
        <v>113369466.01133342</v>
      </c>
      <c r="AQ23" s="9">
        <f>'FIN-P&amp;L_CWS'!AS209</f>
        <v>144900490.52516678</v>
      </c>
      <c r="AR23" s="9">
        <f>'FIN-P&amp;L_CWS'!AT209</f>
        <v>176431515.03900012</v>
      </c>
      <c r="AS23" s="9">
        <f>'FIN-P&amp;L_CWS'!AU209</f>
        <v>207962539.55283347</v>
      </c>
      <c r="AT23" s="9">
        <f>'FIN-P&amp;L_CWS'!AV209</f>
        <v>239493564.06666681</v>
      </c>
      <c r="AU23" s="9">
        <f>'FIN-P&amp;L_CWS'!AW209</f>
        <v>271024588.58050019</v>
      </c>
      <c r="AV23" s="9">
        <f>'FIN-P&amp;L_CWS'!AX209</f>
        <v>302555613.09433353</v>
      </c>
      <c r="AW23" s="9">
        <f>'FIN-P&amp;L_CWS'!AY209</f>
        <v>334086637.60816687</v>
      </c>
      <c r="AX23" s="9">
        <f>'FIN-P&amp;L_CWS'!AZ209</f>
        <v>349957488.16400021</v>
      </c>
      <c r="AY23" s="9">
        <f>'FIN-P&amp;L_CWS'!BA209</f>
        <v>359114652.90596855</v>
      </c>
      <c r="AZ23" s="9">
        <f>'FIN-P&amp;L_CWS'!BB209</f>
        <v>383507152.51558691</v>
      </c>
      <c r="BA23" s="9">
        <f>'FIN-P&amp;L_CWS'!BC209</f>
        <v>412962551.99369025</v>
      </c>
      <c r="BB23" s="9">
        <f>'FIN-P&amp;L_CWS'!BD209</f>
        <v>442417951.47179359</v>
      </c>
      <c r="BC23" s="9">
        <f>'FIN-P&amp;L_CWS'!BE209</f>
        <v>471873350.94989693</v>
      </c>
      <c r="BD23" s="9">
        <f>'FIN-P&amp;L_CWS'!BF209</f>
        <v>501328750.42800027</v>
      </c>
      <c r="BE23" s="9">
        <f>'FIN-P&amp;L_CWS'!BG209</f>
        <v>530784149.90610361</v>
      </c>
      <c r="BF23" s="9">
        <f>'FIN-P&amp;L_CWS'!BH209</f>
        <v>560239549.38420701</v>
      </c>
      <c r="BG23" s="9">
        <f>'FIN-P&amp;L_CWS'!BI209</f>
        <v>589694948.86231041</v>
      </c>
      <c r="BH23" s="9">
        <f>'FIN-P&amp;L_CWS'!BJ209</f>
        <v>619150348.34041381</v>
      </c>
      <c r="BI23" s="9">
        <f>'FIN-P&amp;L_CWS'!BK209</f>
        <v>648605747.81851721</v>
      </c>
      <c r="BJ23" s="9">
        <f>'FIN-P&amp;L_CWS'!BL209</f>
        <v>662850113.15707552</v>
      </c>
    </row>
    <row r="25" spans="2:62" x14ac:dyDescent="0.15">
      <c r="B25" s="14" t="s">
        <v>644</v>
      </c>
    </row>
    <row r="26" spans="2:62" x14ac:dyDescent="0.15">
      <c r="C26" s="406" t="s">
        <v>35</v>
      </c>
      <c r="D26" s="406"/>
      <c r="E26" s="406"/>
      <c r="F26" s="406"/>
      <c r="G26" s="406"/>
      <c r="H26" s="406"/>
      <c r="I26" s="406"/>
      <c r="J26" s="406"/>
      <c r="K26" s="406"/>
      <c r="L26" s="406"/>
      <c r="M26" s="406"/>
      <c r="N26" s="406"/>
      <c r="O26" s="406" t="s">
        <v>36</v>
      </c>
      <c r="P26" s="406"/>
      <c r="Q26" s="406"/>
      <c r="R26" s="406"/>
      <c r="S26" s="406"/>
      <c r="T26" s="406"/>
      <c r="U26" s="406"/>
      <c r="V26" s="406"/>
      <c r="W26" s="406"/>
      <c r="X26" s="406"/>
      <c r="Y26" s="406"/>
      <c r="Z26" s="406"/>
      <c r="AA26" s="406" t="s">
        <v>37</v>
      </c>
      <c r="AB26" s="406"/>
      <c r="AC26" s="406"/>
      <c r="AD26" s="406"/>
      <c r="AE26" s="406"/>
      <c r="AF26" s="406"/>
      <c r="AG26" s="406"/>
      <c r="AH26" s="406"/>
      <c r="AI26" s="406"/>
      <c r="AJ26" s="406"/>
      <c r="AK26" s="406"/>
      <c r="AL26" s="406"/>
      <c r="AM26" s="406" t="s">
        <v>38</v>
      </c>
      <c r="AN26" s="406"/>
      <c r="AO26" s="406"/>
      <c r="AP26" s="406"/>
      <c r="AQ26" s="406"/>
      <c r="AR26" s="406"/>
      <c r="AS26" s="406"/>
      <c r="AT26" s="406"/>
      <c r="AU26" s="406"/>
      <c r="AV26" s="406"/>
      <c r="AW26" s="406"/>
      <c r="AX26" s="406"/>
      <c r="AY26" s="406" t="s">
        <v>39</v>
      </c>
      <c r="AZ26" s="406"/>
      <c r="BA26" s="406"/>
      <c r="BB26" s="406"/>
      <c r="BC26" s="406"/>
      <c r="BD26" s="406"/>
      <c r="BE26" s="406"/>
      <c r="BF26" s="406"/>
      <c r="BG26" s="406"/>
      <c r="BH26" s="406"/>
      <c r="BI26" s="406"/>
      <c r="BJ26" s="406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632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351000</v>
      </c>
      <c r="G28" s="9">
        <f>COGS_DB!G13</f>
        <v>481500</v>
      </c>
      <c r="H28" s="9">
        <f>COGS_DB!H13</f>
        <v>1717500</v>
      </c>
      <c r="I28" s="9">
        <f>COGS_DB!I13</f>
        <v>2146500</v>
      </c>
      <c r="J28" s="9">
        <f>COGS_DB!J13</f>
        <v>2572500</v>
      </c>
      <c r="K28" s="9">
        <f>COGS_DB!K13</f>
        <v>3001500</v>
      </c>
      <c r="L28" s="9">
        <f>COGS_DB!L13</f>
        <v>3427500</v>
      </c>
      <c r="M28" s="9">
        <f>COGS_DB!M13</f>
        <v>3856500</v>
      </c>
      <c r="N28" s="9">
        <f>COGS_DB!N13</f>
        <v>3427500</v>
      </c>
      <c r="O28" s="9">
        <f>COGS_DB!O13</f>
        <v>6639885</v>
      </c>
      <c r="P28" s="9">
        <f>COGS_DB!P13</f>
        <v>10727820</v>
      </c>
      <c r="Q28" s="9">
        <f>COGS_DB!Q13</f>
        <v>12064785</v>
      </c>
      <c r="R28" s="9">
        <f>COGS_DB!R13</f>
        <v>12064785</v>
      </c>
      <c r="S28" s="9">
        <f>COGS_DB!S13</f>
        <v>12064785</v>
      </c>
      <c r="T28" s="9">
        <f>COGS_DB!T13</f>
        <v>12064785</v>
      </c>
      <c r="U28" s="9">
        <f>COGS_DB!U13</f>
        <v>12064785</v>
      </c>
      <c r="V28" s="9">
        <f>COGS_DB!V13</f>
        <v>12064785</v>
      </c>
      <c r="W28" s="9">
        <f>COGS_DB!W13</f>
        <v>12064785</v>
      </c>
      <c r="X28" s="9">
        <f>COGS_DB!X13</f>
        <v>12064785</v>
      </c>
      <c r="Y28" s="9">
        <f>COGS_DB!Y13</f>
        <v>12064785</v>
      </c>
      <c r="Z28" s="9">
        <f>COGS_DB!Z13</f>
        <v>8045865</v>
      </c>
      <c r="AA28" s="9">
        <f>COGS_DB!AA13</f>
        <v>15239763.9</v>
      </c>
      <c r="AB28" s="9">
        <f>COGS_DB!AB13</f>
        <v>24381217.950000007</v>
      </c>
      <c r="AC28" s="9">
        <f>COGS_DB!AC13</f>
        <v>27426079.500000007</v>
      </c>
      <c r="AD28" s="9">
        <f>COGS_DB!AD13</f>
        <v>27426079.500000007</v>
      </c>
      <c r="AE28" s="9">
        <f>COGS_DB!AE13</f>
        <v>27426079.500000007</v>
      </c>
      <c r="AF28" s="9">
        <f>COGS_DB!AF13</f>
        <v>27426079.500000007</v>
      </c>
      <c r="AG28" s="9">
        <f>COGS_DB!AG13</f>
        <v>27426079.500000007</v>
      </c>
      <c r="AH28" s="9">
        <f>COGS_DB!AH13</f>
        <v>27426079.500000007</v>
      </c>
      <c r="AI28" s="9">
        <f>COGS_DB!AI13</f>
        <v>27426079.500000007</v>
      </c>
      <c r="AJ28" s="9">
        <f>COGS_DB!AJ13</f>
        <v>27426079.500000007</v>
      </c>
      <c r="AK28" s="9">
        <f>COGS_DB!AK13</f>
        <v>27426079.500000007</v>
      </c>
      <c r="AL28" s="9">
        <f>COGS_DB!AL13</f>
        <v>18284625.449999999</v>
      </c>
      <c r="AM28" s="9">
        <f>COGS_DB!AM13</f>
        <v>20959260.687000003</v>
      </c>
      <c r="AN28" s="9">
        <f>COGS_DB!AN13</f>
        <v>33533714.560500003</v>
      </c>
      <c r="AO28" s="9">
        <f>COGS_DB!AO13</f>
        <v>37725199.18500001</v>
      </c>
      <c r="AP28" s="9">
        <f>COGS_DB!AP13</f>
        <v>37725199.18500001</v>
      </c>
      <c r="AQ28" s="9">
        <f>COGS_DB!AQ13</f>
        <v>37725199.18500001</v>
      </c>
      <c r="AR28" s="9">
        <f>COGS_DB!AR13</f>
        <v>37725199.18500001</v>
      </c>
      <c r="AS28" s="9">
        <f>COGS_DB!AS13</f>
        <v>37725199.18500001</v>
      </c>
      <c r="AT28" s="9">
        <f>COGS_DB!AT13</f>
        <v>37725199.18500001</v>
      </c>
      <c r="AU28" s="9">
        <f>COGS_DB!AU13</f>
        <v>37725199.18500001</v>
      </c>
      <c r="AV28" s="9">
        <f>COGS_DB!AV13</f>
        <v>37725199.18500001</v>
      </c>
      <c r="AW28" s="9">
        <f>COGS_DB!AW13</f>
        <v>37725199.18500001</v>
      </c>
      <c r="AX28" s="9">
        <f>COGS_DB!AX13</f>
        <v>25150745.311500005</v>
      </c>
      <c r="AY28" s="9">
        <f>COGS_DB!AY13</f>
        <v>23094914.900190003</v>
      </c>
      <c r="AZ28" s="9">
        <f>COGS_DB!AZ13</f>
        <v>36960515.093970008</v>
      </c>
      <c r="BA28" s="9">
        <f>COGS_DB!BA13</f>
        <v>41571240.059145004</v>
      </c>
      <c r="BB28" s="9">
        <f>COGS_DB!BB13</f>
        <v>41571240.059145004</v>
      </c>
      <c r="BC28" s="9">
        <f>COGS_DB!BC13</f>
        <v>41571240.059145004</v>
      </c>
      <c r="BD28" s="9">
        <f>COGS_DB!BD13</f>
        <v>41571240.059145004</v>
      </c>
      <c r="BE28" s="9">
        <f>COGS_DB!BE13</f>
        <v>41571240.059145004</v>
      </c>
      <c r="BF28" s="9">
        <f>COGS_DB!BF13</f>
        <v>41571240.059145004</v>
      </c>
      <c r="BG28" s="9">
        <f>COGS_DB!BG13</f>
        <v>41571240.059145004</v>
      </c>
      <c r="BH28" s="9">
        <f>COGS_DB!BH13</f>
        <v>41571240.059145004</v>
      </c>
      <c r="BI28" s="9">
        <f>COGS_DB!BI13</f>
        <v>41571240.059145004</v>
      </c>
      <c r="BJ28" s="9">
        <f>COGS_DB!BJ13</f>
        <v>27725301.805515002</v>
      </c>
    </row>
    <row r="29" spans="2:62" x14ac:dyDescent="0.15">
      <c r="B29" s="14" t="s">
        <v>638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351000</v>
      </c>
      <c r="G29" s="9">
        <f>COGS_DB!G15</f>
        <v>481500</v>
      </c>
      <c r="H29" s="9">
        <f>COGS_DB!H15</f>
        <v>835500</v>
      </c>
      <c r="I29" s="9">
        <f>COGS_DB!I15</f>
        <v>1045500</v>
      </c>
      <c r="J29" s="9">
        <f>COGS_DB!J15</f>
        <v>1255500</v>
      </c>
      <c r="K29" s="9">
        <f>COGS_DB!K15</f>
        <v>1465500</v>
      </c>
      <c r="L29" s="9">
        <f>COGS_DB!L15</f>
        <v>1675500</v>
      </c>
      <c r="M29" s="9">
        <f>COGS_DB!M15</f>
        <v>1885500</v>
      </c>
      <c r="N29" s="9">
        <f>COGS_DB!N15</f>
        <v>1675500</v>
      </c>
      <c r="O29" s="9">
        <f>COGS_DB!O15</f>
        <v>3269385</v>
      </c>
      <c r="P29" s="9">
        <f>COGS_DB!P15</f>
        <v>5161680</v>
      </c>
      <c r="Q29" s="9">
        <f>COGS_DB!Q15</f>
        <v>5802075</v>
      </c>
      <c r="R29" s="9">
        <f>COGS_DB!R15</f>
        <v>5802075</v>
      </c>
      <c r="S29" s="9">
        <f>COGS_DB!S15</f>
        <v>5802075</v>
      </c>
      <c r="T29" s="9">
        <f>COGS_DB!T15</f>
        <v>5802075</v>
      </c>
      <c r="U29" s="9">
        <f>COGS_DB!U15</f>
        <v>5802075</v>
      </c>
      <c r="V29" s="9">
        <f>COGS_DB!V15</f>
        <v>5802075</v>
      </c>
      <c r="W29" s="9">
        <f>COGS_DB!W15</f>
        <v>5802075</v>
      </c>
      <c r="X29" s="9">
        <f>COGS_DB!X15</f>
        <v>5802075</v>
      </c>
      <c r="Y29" s="9">
        <f>COGS_DB!Y15</f>
        <v>5802075</v>
      </c>
      <c r="Z29" s="9">
        <f>COGS_DB!Z15</f>
        <v>3869655</v>
      </c>
      <c r="AA29" s="9">
        <f>COGS_DB!AA15</f>
        <v>4516630.4999999991</v>
      </c>
      <c r="AB29" s="9">
        <f>COGS_DB!AB15</f>
        <v>7218022.0500000017</v>
      </c>
      <c r="AC29" s="9">
        <f>COGS_DB!AC15</f>
        <v>8119630.7999999998</v>
      </c>
      <c r="AD29" s="9">
        <f>COGS_DB!AD15</f>
        <v>8119630.7999999998</v>
      </c>
      <c r="AE29" s="9">
        <f>COGS_DB!AE15</f>
        <v>8119630.7999999998</v>
      </c>
      <c r="AF29" s="9">
        <f>COGS_DB!AF15</f>
        <v>8119630.7999999998</v>
      </c>
      <c r="AG29" s="9">
        <f>COGS_DB!AG15</f>
        <v>8119630.7999999998</v>
      </c>
      <c r="AH29" s="9">
        <f>COGS_DB!AH15</f>
        <v>8119630.7999999998</v>
      </c>
      <c r="AI29" s="9">
        <f>COGS_DB!AI15</f>
        <v>8119630.7999999998</v>
      </c>
      <c r="AJ29" s="9">
        <f>COGS_DB!AJ15</f>
        <v>8119630.7999999998</v>
      </c>
      <c r="AK29" s="9">
        <f>COGS_DB!AK15</f>
        <v>8119630.7999999998</v>
      </c>
      <c r="AL29" s="9">
        <f>COGS_DB!AL15</f>
        <v>5418239.2499999991</v>
      </c>
      <c r="AM29" s="9">
        <f>COGS_DB!AM15</f>
        <v>6181566.978000002</v>
      </c>
      <c r="AN29" s="9">
        <f>COGS_DB!AN15</f>
        <v>9891609.7034999989</v>
      </c>
      <c r="AO29" s="9">
        <f>COGS_DB!AO15</f>
        <v>11128290.612</v>
      </c>
      <c r="AP29" s="9">
        <f>COGS_DB!AP15</f>
        <v>11128290.612</v>
      </c>
      <c r="AQ29" s="9">
        <f>COGS_DB!AQ15</f>
        <v>11128290.612</v>
      </c>
      <c r="AR29" s="9">
        <f>COGS_DB!AR15</f>
        <v>11128290.612</v>
      </c>
      <c r="AS29" s="9">
        <f>COGS_DB!AS15</f>
        <v>11128290.612</v>
      </c>
      <c r="AT29" s="9">
        <f>COGS_DB!AT15</f>
        <v>11128290.612</v>
      </c>
      <c r="AU29" s="9">
        <f>COGS_DB!AU15</f>
        <v>11128290.612</v>
      </c>
      <c r="AV29" s="9">
        <f>COGS_DB!AV15</f>
        <v>11128290.612</v>
      </c>
      <c r="AW29" s="9">
        <f>COGS_DB!AW15</f>
        <v>11128290.612</v>
      </c>
      <c r="AX29" s="9">
        <f>COGS_DB!AX15</f>
        <v>7418247.8865000019</v>
      </c>
      <c r="AY29" s="9">
        <f>COGS_DB!AY15</f>
        <v>6810896.0679599997</v>
      </c>
      <c r="AZ29" s="9">
        <f>COGS_DB!AZ15</f>
        <v>10900579.619160004</v>
      </c>
      <c r="BA29" s="9">
        <f>COGS_DB!BA15</f>
        <v>12267084.459585004</v>
      </c>
      <c r="BB29" s="9">
        <f>COGS_DB!BB15</f>
        <v>12267084.459585004</v>
      </c>
      <c r="BC29" s="9">
        <f>COGS_DB!BC15</f>
        <v>12267084.459585004</v>
      </c>
      <c r="BD29" s="9">
        <f>COGS_DB!BD15</f>
        <v>12267084.459585004</v>
      </c>
      <c r="BE29" s="9">
        <f>COGS_DB!BE15</f>
        <v>12267084.459585004</v>
      </c>
      <c r="BF29" s="9">
        <f>COGS_DB!BF15</f>
        <v>12267084.459585004</v>
      </c>
      <c r="BG29" s="9">
        <f>COGS_DB!BG15</f>
        <v>12267084.459585004</v>
      </c>
      <c r="BH29" s="9">
        <f>COGS_DB!BH15</f>
        <v>12267084.459585004</v>
      </c>
      <c r="BI29" s="9">
        <f>COGS_DB!BI15</f>
        <v>12267084.459585004</v>
      </c>
      <c r="BJ29" s="9">
        <f>COGS_DB!BJ15</f>
        <v>8177400.9083850002</v>
      </c>
    </row>
    <row r="30" spans="2:62" x14ac:dyDescent="0.15">
      <c r="B30" s="14" t="s">
        <v>639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0</v>
      </c>
      <c r="G30" s="9">
        <f>COGS_DB!G16</f>
        <v>0</v>
      </c>
      <c r="H30" s="9">
        <f>COGS_DB!H16</f>
        <v>882000</v>
      </c>
      <c r="I30" s="9">
        <f>COGS_DB!I16</f>
        <v>1101000</v>
      </c>
      <c r="J30" s="9">
        <f>COGS_DB!J16</f>
        <v>1317000</v>
      </c>
      <c r="K30" s="9">
        <f>COGS_DB!K16</f>
        <v>1536000</v>
      </c>
      <c r="L30" s="9">
        <f>COGS_DB!L16</f>
        <v>1752000</v>
      </c>
      <c r="M30" s="9">
        <f>COGS_DB!M16</f>
        <v>1971000</v>
      </c>
      <c r="N30" s="9">
        <f>COGS_DB!N16</f>
        <v>1752000</v>
      </c>
      <c r="O30" s="9">
        <f>COGS_DB!O16</f>
        <v>3370500</v>
      </c>
      <c r="P30" s="9">
        <f>COGS_DB!P16</f>
        <v>5566140</v>
      </c>
      <c r="Q30" s="9">
        <f>COGS_DB!Q16</f>
        <v>6262710</v>
      </c>
      <c r="R30" s="9">
        <f>COGS_DB!R16</f>
        <v>6262710</v>
      </c>
      <c r="S30" s="9">
        <f>COGS_DB!S16</f>
        <v>6262710</v>
      </c>
      <c r="T30" s="9">
        <f>COGS_DB!T16</f>
        <v>6262710</v>
      </c>
      <c r="U30" s="9">
        <f>COGS_DB!U16</f>
        <v>6262710</v>
      </c>
      <c r="V30" s="9">
        <f>COGS_DB!V16</f>
        <v>6262710</v>
      </c>
      <c r="W30" s="9">
        <f>COGS_DB!W16</f>
        <v>6262710</v>
      </c>
      <c r="X30" s="9">
        <f>COGS_DB!X16</f>
        <v>6262710</v>
      </c>
      <c r="Y30" s="9">
        <f>COGS_DB!Y16</f>
        <v>6262710</v>
      </c>
      <c r="Z30" s="9">
        <f>COGS_DB!Z16</f>
        <v>4176210</v>
      </c>
      <c r="AA30" s="9">
        <f>COGS_DB!AA16</f>
        <v>10723133.4</v>
      </c>
      <c r="AB30" s="9">
        <f>COGS_DB!AB16</f>
        <v>17163195.900000006</v>
      </c>
      <c r="AC30" s="9">
        <f>COGS_DB!AC16</f>
        <v>19306448.700000007</v>
      </c>
      <c r="AD30" s="9">
        <f>COGS_DB!AD16</f>
        <v>19306448.700000007</v>
      </c>
      <c r="AE30" s="9">
        <f>COGS_DB!AE16</f>
        <v>19306448.700000007</v>
      </c>
      <c r="AF30" s="9">
        <f>COGS_DB!AF16</f>
        <v>19306448.700000007</v>
      </c>
      <c r="AG30" s="9">
        <f>COGS_DB!AG16</f>
        <v>19306448.700000007</v>
      </c>
      <c r="AH30" s="9">
        <f>COGS_DB!AH16</f>
        <v>19306448.700000007</v>
      </c>
      <c r="AI30" s="9">
        <f>COGS_DB!AI16</f>
        <v>19306448.700000007</v>
      </c>
      <c r="AJ30" s="9">
        <f>COGS_DB!AJ16</f>
        <v>19306448.700000007</v>
      </c>
      <c r="AK30" s="9">
        <f>COGS_DB!AK16</f>
        <v>19306448.700000007</v>
      </c>
      <c r="AL30" s="9">
        <f>COGS_DB!AL16</f>
        <v>12866386.200000001</v>
      </c>
      <c r="AM30" s="9">
        <f>COGS_DB!AM16</f>
        <v>14777693.709000001</v>
      </c>
      <c r="AN30" s="9">
        <f>COGS_DB!AN16</f>
        <v>23642104.857000005</v>
      </c>
      <c r="AO30" s="9">
        <f>COGS_DB!AO16</f>
        <v>26596908.573000006</v>
      </c>
      <c r="AP30" s="9">
        <f>COGS_DB!AP16</f>
        <v>26596908.573000006</v>
      </c>
      <c r="AQ30" s="9">
        <f>COGS_DB!AQ16</f>
        <v>26596908.573000006</v>
      </c>
      <c r="AR30" s="9">
        <f>COGS_DB!AR16</f>
        <v>26596908.573000006</v>
      </c>
      <c r="AS30" s="9">
        <f>COGS_DB!AS16</f>
        <v>26596908.573000006</v>
      </c>
      <c r="AT30" s="9">
        <f>COGS_DB!AT16</f>
        <v>26596908.573000006</v>
      </c>
      <c r="AU30" s="9">
        <f>COGS_DB!AU16</f>
        <v>26596908.573000006</v>
      </c>
      <c r="AV30" s="9">
        <f>COGS_DB!AV16</f>
        <v>26596908.573000006</v>
      </c>
      <c r="AW30" s="9">
        <f>COGS_DB!AW16</f>
        <v>26596908.573000006</v>
      </c>
      <c r="AX30" s="9">
        <f>COGS_DB!AX16</f>
        <v>17732497.425000004</v>
      </c>
      <c r="AY30" s="9">
        <f>COGS_DB!AY16</f>
        <v>16284018.832230002</v>
      </c>
      <c r="AZ30" s="9">
        <f>COGS_DB!AZ16</f>
        <v>26059935.474810004</v>
      </c>
      <c r="BA30" s="9">
        <f>COGS_DB!BA16</f>
        <v>29304155.599560004</v>
      </c>
      <c r="BB30" s="9">
        <f>COGS_DB!BB16</f>
        <v>29304155.599560004</v>
      </c>
      <c r="BC30" s="9">
        <f>COGS_DB!BC16</f>
        <v>29304155.599560004</v>
      </c>
      <c r="BD30" s="9">
        <f>COGS_DB!BD16</f>
        <v>29304155.599560004</v>
      </c>
      <c r="BE30" s="9">
        <f>COGS_DB!BE16</f>
        <v>29304155.599560004</v>
      </c>
      <c r="BF30" s="9">
        <f>COGS_DB!BF16</f>
        <v>29304155.599560004</v>
      </c>
      <c r="BG30" s="9">
        <f>COGS_DB!BG16</f>
        <v>29304155.599560004</v>
      </c>
      <c r="BH30" s="9">
        <f>COGS_DB!BH16</f>
        <v>29304155.599560004</v>
      </c>
      <c r="BI30" s="9">
        <f>COGS_DB!BI16</f>
        <v>29304155.599560004</v>
      </c>
      <c r="BJ30" s="9">
        <f>COGS_DB!BJ16</f>
        <v>19547900.897130001</v>
      </c>
    </row>
    <row r="31" spans="2:62" x14ac:dyDescent="0.15">
      <c r="B31" s="14" t="s">
        <v>637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0.32142857142857145</v>
      </c>
      <c r="G31" s="98">
        <f>COGS_DB!G14</f>
        <v>0.32142857142857145</v>
      </c>
      <c r="H31" s="98">
        <f>COGS_DB!H14</f>
        <v>0.43836140888208269</v>
      </c>
      <c r="I31" s="98">
        <f>COGS_DB!I14</f>
        <v>0.43832958954461915</v>
      </c>
      <c r="J31" s="98">
        <f>COGS_DB!J14</f>
        <v>0.43802145411203813</v>
      </c>
      <c r="K31" s="98">
        <f>COGS_DB!K14</f>
        <v>0.43804728546409805</v>
      </c>
      <c r="L31" s="98">
        <f>COGS_DB!L14</f>
        <v>0.43785130301481862</v>
      </c>
      <c r="M31" s="98">
        <f>COGS_DB!M14</f>
        <v>0.4378903145225389</v>
      </c>
      <c r="N31" s="98">
        <f>COGS_DB!N14</f>
        <v>0.43785130301481862</v>
      </c>
      <c r="O31" s="98">
        <f>COGS_DB!O14</f>
        <v>0.43892346866600651</v>
      </c>
      <c r="P31" s="98">
        <f>COGS_DB!P14</f>
        <v>0.44105226112968504</v>
      </c>
      <c r="Q31" s="98">
        <f>COGS_DB!Q14</f>
        <v>0.44105221983180132</v>
      </c>
      <c r="R31" s="98">
        <f>COGS_DB!R14</f>
        <v>0.44105221983180132</v>
      </c>
      <c r="S31" s="98">
        <f>COGS_DB!S14</f>
        <v>0.44105221983180132</v>
      </c>
      <c r="T31" s="98">
        <f>COGS_DB!T14</f>
        <v>0.44105221983180132</v>
      </c>
      <c r="U31" s="98">
        <f>COGS_DB!U14</f>
        <v>0.44105221983180132</v>
      </c>
      <c r="V31" s="98">
        <f>COGS_DB!V14</f>
        <v>0.44105221983180132</v>
      </c>
      <c r="W31" s="98">
        <f>COGS_DB!W14</f>
        <v>0.44105221983180132</v>
      </c>
      <c r="X31" s="98">
        <f>COGS_DB!X14</f>
        <v>0.44105221983180132</v>
      </c>
      <c r="Y31" s="98">
        <f>COGS_DB!Y14</f>
        <v>0.44105221983180132</v>
      </c>
      <c r="Z31" s="98">
        <f>COGS_DB!Z14</f>
        <v>0.44105226112968504</v>
      </c>
      <c r="AA31" s="98">
        <f>COGS_DB!AA14</f>
        <v>0.48460026212319784</v>
      </c>
      <c r="AB31" s="98">
        <f>COGS_DB!AB14</f>
        <v>0.48459437933780874</v>
      </c>
      <c r="AC31" s="98">
        <f>COGS_DB!AC14</f>
        <v>0.48460511409613216</v>
      </c>
      <c r="AD31" s="98">
        <f>COGS_DB!AD14</f>
        <v>0.48460511409613216</v>
      </c>
      <c r="AE31" s="98">
        <f>COGS_DB!AE14</f>
        <v>0.48460511409613216</v>
      </c>
      <c r="AF31" s="98">
        <f>COGS_DB!AF14</f>
        <v>0.48460511409613216</v>
      </c>
      <c r="AG31" s="98">
        <f>COGS_DB!AG14</f>
        <v>0.48460511409613216</v>
      </c>
      <c r="AH31" s="98">
        <f>COGS_DB!AH14</f>
        <v>0.48460511409613216</v>
      </c>
      <c r="AI31" s="98">
        <f>COGS_DB!AI14</f>
        <v>0.48460511409613216</v>
      </c>
      <c r="AJ31" s="98">
        <f>COGS_DB!AJ14</f>
        <v>0.48460511409613216</v>
      </c>
      <c r="AK31" s="98">
        <f>COGS_DB!AK14</f>
        <v>0.48460511409613216</v>
      </c>
      <c r="AL31" s="98">
        <f>COGS_DB!AL14</f>
        <v>0.48461538461538461</v>
      </c>
      <c r="AM31" s="98">
        <f>COGS_DB!AM14</f>
        <v>0.48423525416053431</v>
      </c>
      <c r="AN31" s="98">
        <f>COGS_DB!AN14</f>
        <v>0.48417822272534317</v>
      </c>
      <c r="AO31" s="98">
        <f>COGS_DB!AO14</f>
        <v>0.48416766241116921</v>
      </c>
      <c r="AP31" s="98">
        <f>COGS_DB!AP14</f>
        <v>0.48416766241116921</v>
      </c>
      <c r="AQ31" s="98">
        <f>COGS_DB!AQ14</f>
        <v>0.48416766241116921</v>
      </c>
      <c r="AR31" s="98">
        <f>COGS_DB!AR14</f>
        <v>0.48416766241116921</v>
      </c>
      <c r="AS31" s="98">
        <f>COGS_DB!AS14</f>
        <v>0.48416766241116921</v>
      </c>
      <c r="AT31" s="98">
        <f>COGS_DB!AT14</f>
        <v>0.48416766241116921</v>
      </c>
      <c r="AU31" s="98">
        <f>COGS_DB!AU14</f>
        <v>0.48416766241116921</v>
      </c>
      <c r="AV31" s="98">
        <f>COGS_DB!AV14</f>
        <v>0.48416766241116921</v>
      </c>
      <c r="AW31" s="98">
        <f>COGS_DB!AW14</f>
        <v>0.48416766241116921</v>
      </c>
      <c r="AX31" s="98">
        <f>COGS_DB!AX14</f>
        <v>0.48420990566037736</v>
      </c>
      <c r="AY31" s="98">
        <f>COGS_DB!AY14</f>
        <v>0.48419808728152131</v>
      </c>
      <c r="AZ31" s="98">
        <f>COGS_DB!AZ14</f>
        <v>0.48417672613630508</v>
      </c>
      <c r="BA31" s="98">
        <f>COGS_DB!BA14</f>
        <v>0.48413170910423153</v>
      </c>
      <c r="BB31" s="98">
        <f>COGS_DB!BB14</f>
        <v>0.48413170910423153</v>
      </c>
      <c r="BC31" s="98">
        <f>COGS_DB!BC14</f>
        <v>0.48413170910423153</v>
      </c>
      <c r="BD31" s="98">
        <f>COGS_DB!BD14</f>
        <v>0.48413170910423153</v>
      </c>
      <c r="BE31" s="98">
        <f>COGS_DB!BE14</f>
        <v>0.48413170910423153</v>
      </c>
      <c r="BF31" s="98">
        <f>COGS_DB!BF14</f>
        <v>0.48413170910423153</v>
      </c>
      <c r="BG31" s="98">
        <f>COGS_DB!BG14</f>
        <v>0.48413170910423153</v>
      </c>
      <c r="BH31" s="98">
        <f>COGS_DB!BH14</f>
        <v>0.48413170910423153</v>
      </c>
      <c r="BI31" s="98">
        <f>COGS_DB!BI14</f>
        <v>0.48413170910423153</v>
      </c>
      <c r="BJ31" s="98">
        <f>COGS_DB!BJ14</f>
        <v>0.48419329731709543</v>
      </c>
    </row>
    <row r="32" spans="2:62" x14ac:dyDescent="0.15">
      <c r="B32" s="14" t="s">
        <v>349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1092000</v>
      </c>
      <c r="G32" s="9">
        <f>COGS_DB!G12</f>
        <v>1498000</v>
      </c>
      <c r="H32" s="9">
        <f>COGS_DB!H12</f>
        <v>3918000</v>
      </c>
      <c r="I32" s="9">
        <f>COGS_DB!I12</f>
        <v>4897000</v>
      </c>
      <c r="J32" s="9">
        <f>COGS_DB!J12</f>
        <v>5873000</v>
      </c>
      <c r="K32" s="9">
        <f>COGS_DB!K12</f>
        <v>6852000</v>
      </c>
      <c r="L32" s="9">
        <f>COGS_DB!L12</f>
        <v>7828000</v>
      </c>
      <c r="M32" s="9">
        <f>COGS_DB!M12</f>
        <v>8807000</v>
      </c>
      <c r="N32" s="9">
        <f>COGS_DB!N12</f>
        <v>7828000</v>
      </c>
      <c r="O32" s="9">
        <f>COGS_DB!O12</f>
        <v>15127660</v>
      </c>
      <c r="P32" s="9">
        <f>COGS_DB!P12</f>
        <v>24323240</v>
      </c>
      <c r="Q32" s="9">
        <f>COGS_DB!Q12</f>
        <v>27354550</v>
      </c>
      <c r="R32" s="9">
        <f>COGS_DB!R12</f>
        <v>27354550</v>
      </c>
      <c r="S32" s="9">
        <f>COGS_DB!S12</f>
        <v>27354550</v>
      </c>
      <c r="T32" s="9">
        <f>COGS_DB!T12</f>
        <v>27354550</v>
      </c>
      <c r="U32" s="9">
        <f>COGS_DB!U12</f>
        <v>27354550</v>
      </c>
      <c r="V32" s="9">
        <f>COGS_DB!V12</f>
        <v>27354550</v>
      </c>
      <c r="W32" s="9">
        <f>COGS_DB!W12</f>
        <v>27354550</v>
      </c>
      <c r="X32" s="9">
        <f>COGS_DB!X12</f>
        <v>27354550</v>
      </c>
      <c r="Y32" s="9">
        <f>COGS_DB!Y12</f>
        <v>27354550</v>
      </c>
      <c r="Z32" s="9">
        <f>COGS_DB!Z12</f>
        <v>18242430</v>
      </c>
      <c r="AA32" s="9">
        <f>COGS_DB!AA12</f>
        <v>31448113.200000003</v>
      </c>
      <c r="AB32" s="9">
        <f>COGS_DB!AB12</f>
        <v>50312630.5</v>
      </c>
      <c r="AC32" s="9">
        <f>COGS_DB!AC12</f>
        <v>56594696.800000004</v>
      </c>
      <c r="AD32" s="9">
        <f>COGS_DB!AD12</f>
        <v>56594696.800000004</v>
      </c>
      <c r="AE32" s="9">
        <f>COGS_DB!AE12</f>
        <v>56594696.800000004</v>
      </c>
      <c r="AF32" s="9">
        <f>COGS_DB!AF12</f>
        <v>56594696.800000004</v>
      </c>
      <c r="AG32" s="9">
        <f>COGS_DB!AG12</f>
        <v>56594696.800000004</v>
      </c>
      <c r="AH32" s="9">
        <f>COGS_DB!AH12</f>
        <v>56594696.800000004</v>
      </c>
      <c r="AI32" s="9">
        <f>COGS_DB!AI12</f>
        <v>56594696.800000004</v>
      </c>
      <c r="AJ32" s="9">
        <f>COGS_DB!AJ12</f>
        <v>56594696.800000004</v>
      </c>
      <c r="AK32" s="9">
        <f>COGS_DB!AK12</f>
        <v>56594696.800000004</v>
      </c>
      <c r="AL32" s="9">
        <f>COGS_DB!AL12</f>
        <v>37730179.5</v>
      </c>
      <c r="AM32" s="9">
        <f>COGS_DB!AM12</f>
        <v>43283219.276000008</v>
      </c>
      <c r="AN32" s="9">
        <f>COGS_DB!AN12</f>
        <v>69259031.048000008</v>
      </c>
      <c r="AO32" s="9">
        <f>COGS_DB!AO12</f>
        <v>77917634.972000003</v>
      </c>
      <c r="AP32" s="9">
        <f>COGS_DB!AP12</f>
        <v>77917634.972000003</v>
      </c>
      <c r="AQ32" s="9">
        <f>COGS_DB!AQ12</f>
        <v>77917634.972000003</v>
      </c>
      <c r="AR32" s="9">
        <f>COGS_DB!AR12</f>
        <v>77917634.972000003</v>
      </c>
      <c r="AS32" s="9">
        <f>COGS_DB!AS12</f>
        <v>77917634.972000003</v>
      </c>
      <c r="AT32" s="9">
        <f>COGS_DB!AT12</f>
        <v>77917634.972000003</v>
      </c>
      <c r="AU32" s="9">
        <f>COGS_DB!AU12</f>
        <v>77917634.972000003</v>
      </c>
      <c r="AV32" s="9">
        <f>COGS_DB!AV12</f>
        <v>77917634.972000003</v>
      </c>
      <c r="AW32" s="9">
        <f>COGS_DB!AW12</f>
        <v>77917634.972000003</v>
      </c>
      <c r="AX32" s="9">
        <f>COGS_DB!AX12</f>
        <v>51941823.20000001</v>
      </c>
      <c r="AY32" s="9">
        <f>COGS_DB!AY12</f>
        <v>47697245.211880013</v>
      </c>
      <c r="AZ32" s="9">
        <f>COGS_DB!AZ12</f>
        <v>76336827.234370023</v>
      </c>
      <c r="BA32" s="9">
        <f>COGS_DB!BA12</f>
        <v>85867625.023080006</v>
      </c>
      <c r="BB32" s="9">
        <f>COGS_DB!BB12</f>
        <v>85867625.023080006</v>
      </c>
      <c r="BC32" s="9">
        <f>COGS_DB!BC12</f>
        <v>85867625.023080006</v>
      </c>
      <c r="BD32" s="9">
        <f>COGS_DB!BD12</f>
        <v>85867625.023080006</v>
      </c>
      <c r="BE32" s="9">
        <f>COGS_DB!BE12</f>
        <v>85867625.023080006</v>
      </c>
      <c r="BF32" s="9">
        <f>COGS_DB!BF12</f>
        <v>85867625.023080006</v>
      </c>
      <c r="BG32" s="9">
        <f>COGS_DB!BG12</f>
        <v>85867625.023080006</v>
      </c>
      <c r="BH32" s="9">
        <f>COGS_DB!BH12</f>
        <v>85867625.023080006</v>
      </c>
      <c r="BI32" s="9">
        <f>COGS_DB!BI12</f>
        <v>85867625.023080006</v>
      </c>
      <c r="BJ32" s="9">
        <f>COGS_DB!BJ12</f>
        <v>57260812.900840014</v>
      </c>
    </row>
    <row r="34" spans="2:66" x14ac:dyDescent="0.15">
      <c r="B34" s="14" t="s">
        <v>645</v>
      </c>
      <c r="C34" s="406"/>
      <c r="D34" s="406"/>
      <c r="E34" s="406"/>
      <c r="F34" s="406"/>
      <c r="G34" s="406"/>
      <c r="H34" s="406"/>
      <c r="I34" s="406"/>
      <c r="J34" s="406"/>
      <c r="K34" s="406"/>
      <c r="L34" s="406"/>
      <c r="M34" s="406"/>
      <c r="N34" s="406"/>
      <c r="O34" s="406" t="s">
        <v>36</v>
      </c>
      <c r="P34" s="406"/>
      <c r="Q34" s="406"/>
      <c r="R34" s="406"/>
      <c r="S34" s="406"/>
      <c r="T34" s="406"/>
      <c r="U34" s="406"/>
      <c r="V34" s="406"/>
      <c r="W34" s="406"/>
      <c r="X34" s="406"/>
      <c r="Y34" s="406"/>
      <c r="Z34" s="406"/>
      <c r="AA34" s="406" t="s">
        <v>37</v>
      </c>
      <c r="AB34" s="406"/>
      <c r="AC34" s="406"/>
      <c r="AD34" s="406"/>
      <c r="AE34" s="406"/>
      <c r="AF34" s="406"/>
      <c r="AG34" s="406"/>
      <c r="AH34" s="406"/>
      <c r="AI34" s="406"/>
      <c r="AJ34" s="406"/>
      <c r="AK34" s="406"/>
      <c r="AL34" s="406"/>
      <c r="AM34" s="406" t="s">
        <v>38</v>
      </c>
      <c r="AN34" s="406"/>
      <c r="AO34" s="406"/>
      <c r="AP34" s="406"/>
      <c r="AQ34" s="406"/>
      <c r="AR34" s="406"/>
      <c r="AS34" s="406"/>
      <c r="AT34" s="406"/>
      <c r="AU34" s="406"/>
      <c r="AV34" s="406"/>
      <c r="AW34" s="406"/>
      <c r="AX34" s="406"/>
      <c r="AY34" s="406" t="s">
        <v>39</v>
      </c>
      <c r="AZ34" s="406"/>
      <c r="BA34" s="406"/>
      <c r="BB34" s="406"/>
      <c r="BC34" s="406"/>
      <c r="BD34" s="406"/>
      <c r="BE34" s="406"/>
      <c r="BF34" s="406"/>
      <c r="BG34" s="406"/>
      <c r="BH34" s="406"/>
      <c r="BI34" s="406"/>
      <c r="BJ34" s="406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349</v>
      </c>
      <c r="C36" s="9">
        <f>COGS_DB!C3</f>
        <v>48593000</v>
      </c>
      <c r="D36" s="9">
        <f>COGS_DB!E3</f>
        <v>303884280</v>
      </c>
      <c r="E36" s="9">
        <f>COGS_DB!G3</f>
        <v>628843194.4000001</v>
      </c>
      <c r="F36" s="9">
        <f>COGS_DB!I3</f>
        <v>865742788.27200007</v>
      </c>
      <c r="G36" s="9">
        <f>COGS_DB!K3</f>
        <v>954103510.55481005</v>
      </c>
      <c r="H36" s="9"/>
      <c r="I36" s="9"/>
      <c r="J36" s="9"/>
      <c r="K36" s="9"/>
      <c r="L36" s="9"/>
      <c r="M36" s="9"/>
      <c r="N36" s="9"/>
      <c r="O36" s="9">
        <f>COGS_DB!O20</f>
        <v>8613500</v>
      </c>
      <c r="P36" s="9">
        <f>COGS_DB!P20</f>
        <v>13601840</v>
      </c>
      <c r="Q36" s="9">
        <f>COGS_DB!Q20</f>
        <v>15294580</v>
      </c>
      <c r="R36" s="9">
        <f>COGS_DB!R20</f>
        <v>15294580</v>
      </c>
      <c r="S36" s="9">
        <f>COGS_DB!S20</f>
        <v>15294580</v>
      </c>
      <c r="T36" s="9">
        <f>COGS_DB!T20</f>
        <v>15294580</v>
      </c>
      <c r="U36" s="9">
        <f>COGS_DB!U20</f>
        <v>15294580</v>
      </c>
      <c r="V36" s="9">
        <f>COGS_DB!V20</f>
        <v>15294580</v>
      </c>
      <c r="W36" s="9">
        <f>COGS_DB!W20</f>
        <v>15294580</v>
      </c>
      <c r="X36" s="9">
        <f>COGS_DB!X20</f>
        <v>15294580</v>
      </c>
      <c r="Y36" s="9">
        <f>COGS_DB!Y20</f>
        <v>15294580</v>
      </c>
      <c r="Z36" s="9">
        <f>COGS_DB!Z20</f>
        <v>10201380</v>
      </c>
      <c r="AA36" s="9">
        <f>COGS_DB!AA20</f>
        <v>11636763.6</v>
      </c>
      <c r="AB36" s="9">
        <f>COGS_DB!AB20</f>
        <v>18609204.600000001</v>
      </c>
      <c r="AC36" s="9">
        <f>COGS_DB!AC20</f>
        <v>20933351.600000001</v>
      </c>
      <c r="AD36" s="9">
        <f>COGS_DB!AD20</f>
        <v>20933351.600000001</v>
      </c>
      <c r="AE36" s="9">
        <f>COGS_DB!AE20</f>
        <v>20933351.600000001</v>
      </c>
      <c r="AF36" s="9">
        <f>COGS_DB!AF20</f>
        <v>20933351.600000001</v>
      </c>
      <c r="AG36" s="9">
        <f>COGS_DB!AG20</f>
        <v>20933351.600000001</v>
      </c>
      <c r="AH36" s="9">
        <f>COGS_DB!AH20</f>
        <v>20933351.600000001</v>
      </c>
      <c r="AI36" s="9">
        <f>COGS_DB!AI20</f>
        <v>20933351.600000001</v>
      </c>
      <c r="AJ36" s="9">
        <f>COGS_DB!AJ20</f>
        <v>20933351.600000001</v>
      </c>
      <c r="AK36" s="9">
        <f>COGS_DB!AK20</f>
        <v>20933351.600000001</v>
      </c>
      <c r="AL36" s="9">
        <f>COGS_DB!AL20</f>
        <v>13960910.6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632</v>
      </c>
      <c r="C37" s="9">
        <f>COGS_DB!C4</f>
        <v>20982000</v>
      </c>
      <c r="D37" s="9">
        <f>COGS_DB!E4</f>
        <v>133996635</v>
      </c>
      <c r="E37" s="9">
        <f>COGS_DB!G4</f>
        <v>304740322.80000001</v>
      </c>
      <c r="F37" s="9">
        <f>COGS_DB!I4</f>
        <v>419170513.22400004</v>
      </c>
      <c r="G37" s="9">
        <f>COGS_DB!K4</f>
        <v>461921892.33197993</v>
      </c>
      <c r="H37" s="9"/>
      <c r="I37" s="9"/>
      <c r="J37" s="9"/>
      <c r="K37" s="9"/>
      <c r="L37" s="9"/>
      <c r="M37" s="9"/>
      <c r="N37" s="9"/>
      <c r="O37" s="9">
        <f>COGS_DB!O21</f>
        <v>2768625</v>
      </c>
      <c r="P37" s="9">
        <f>COGS_DB!P21</f>
        <v>4372020</v>
      </c>
      <c r="Q37" s="9">
        <f>COGS_DB!Q21</f>
        <v>4916115</v>
      </c>
      <c r="R37" s="9">
        <f>COGS_DB!R21</f>
        <v>4916115</v>
      </c>
      <c r="S37" s="9">
        <f>COGS_DB!S21</f>
        <v>4916115</v>
      </c>
      <c r="T37" s="9">
        <f>COGS_DB!T21</f>
        <v>4916115</v>
      </c>
      <c r="U37" s="9">
        <f>COGS_DB!U21</f>
        <v>4916115</v>
      </c>
      <c r="V37" s="9">
        <f>COGS_DB!V21</f>
        <v>4916115</v>
      </c>
      <c r="W37" s="9">
        <f>COGS_DB!W21</f>
        <v>4916115</v>
      </c>
      <c r="X37" s="9">
        <f>COGS_DB!X21</f>
        <v>4916115</v>
      </c>
      <c r="Y37" s="9">
        <f>COGS_DB!Y21</f>
        <v>4916115</v>
      </c>
      <c r="Z37" s="9">
        <f>COGS_DB!Z21</f>
        <v>3279015</v>
      </c>
      <c r="AA37" s="9">
        <f>COGS_DB!AA21</f>
        <v>3740388.2999999989</v>
      </c>
      <c r="AB37" s="9">
        <f>COGS_DB!AB21</f>
        <v>5981530.0500000017</v>
      </c>
      <c r="AC37" s="9">
        <f>COGS_DB!AC21</f>
        <v>6728577.2999999998</v>
      </c>
      <c r="AD37" s="9">
        <f>COGS_DB!AD21</f>
        <v>6728577.2999999998</v>
      </c>
      <c r="AE37" s="9">
        <f>COGS_DB!AE21</f>
        <v>6728577.2999999998</v>
      </c>
      <c r="AF37" s="9">
        <f>COGS_DB!AF21</f>
        <v>6728577.2999999998</v>
      </c>
      <c r="AG37" s="9">
        <f>COGS_DB!AG21</f>
        <v>6728577.2999999998</v>
      </c>
      <c r="AH37" s="9">
        <f>COGS_DB!AH21</f>
        <v>6728577.2999999998</v>
      </c>
      <c r="AI37" s="9">
        <f>COGS_DB!AI21</f>
        <v>6728577.2999999998</v>
      </c>
      <c r="AJ37" s="9">
        <f>COGS_DB!AJ21</f>
        <v>6728577.2999999998</v>
      </c>
      <c r="AK37" s="9">
        <f>COGS_DB!AK21</f>
        <v>6728577.2999999998</v>
      </c>
      <c r="AL37" s="9">
        <f>COGS_DB!AL21</f>
        <v>4487435.5499999989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638</v>
      </c>
      <c r="C38" s="9">
        <f>COGS_DB!C6</f>
        <v>10671000</v>
      </c>
      <c r="D38" s="9">
        <f>COGS_DB!E6</f>
        <v>64519395</v>
      </c>
      <c r="E38" s="9">
        <f>COGS_DB!G6</f>
        <v>90229568.999999985</v>
      </c>
      <c r="F38" s="9">
        <f>COGS_DB!I6</f>
        <v>123646040.07600002</v>
      </c>
      <c r="G38" s="9">
        <f>COGS_DB!K6</f>
        <v>136292636.73177007</v>
      </c>
      <c r="H38" s="9"/>
      <c r="I38" s="9"/>
      <c r="J38" s="9"/>
      <c r="K38" s="9"/>
      <c r="L38" s="9"/>
      <c r="M38" s="9"/>
      <c r="N38" s="9"/>
      <c r="O38" s="9">
        <f>COGS_DB!O24</f>
        <v>0.35871096501526178</v>
      </c>
      <c r="P38" s="9">
        <f>COGS_DB!P24</f>
        <v>0.35866171003717473</v>
      </c>
      <c r="Q38" s="9">
        <f>COGS_DB!Q24</f>
        <v>0.35858352069832033</v>
      </c>
      <c r="R38" s="9">
        <f>COGS_DB!R24</f>
        <v>0.35858352069832033</v>
      </c>
      <c r="S38" s="9">
        <f>COGS_DB!S24</f>
        <v>0.35858352069832033</v>
      </c>
      <c r="T38" s="9">
        <f>COGS_DB!T24</f>
        <v>0.35858352069832033</v>
      </c>
      <c r="U38" s="9">
        <f>COGS_DB!U24</f>
        <v>0.35858352069832033</v>
      </c>
      <c r="V38" s="9">
        <f>COGS_DB!V24</f>
        <v>0.35858352069832033</v>
      </c>
      <c r="W38" s="9">
        <f>COGS_DB!W24</f>
        <v>0.35858352069832033</v>
      </c>
      <c r="X38" s="9">
        <f>COGS_DB!X24</f>
        <v>0.35858352069832033</v>
      </c>
      <c r="Y38" s="9">
        <f>COGS_DB!Y24</f>
        <v>0.35858352069832033</v>
      </c>
      <c r="Z38" s="9">
        <f>COGS_DB!Z24</f>
        <v>0.3585663295657347</v>
      </c>
      <c r="AA38" s="9">
        <f>COGS_DB!AA24</f>
        <v>0.36386275594908685</v>
      </c>
      <c r="AB38" s="9">
        <f>COGS_DB!AB24</f>
        <v>0.36370716510903434</v>
      </c>
      <c r="AC38" s="9">
        <f>COGS_DB!AC24</f>
        <v>0.36371095953638644</v>
      </c>
      <c r="AD38" s="9">
        <f>COGS_DB!AD24</f>
        <v>0.36371095953638644</v>
      </c>
      <c r="AE38" s="9">
        <f>COGS_DB!AE24</f>
        <v>0.36371095953638644</v>
      </c>
      <c r="AF38" s="9">
        <f>COGS_DB!AF24</f>
        <v>0.36371095953638644</v>
      </c>
      <c r="AG38" s="9">
        <f>COGS_DB!AG24</f>
        <v>0.36371095953638644</v>
      </c>
      <c r="AH38" s="9">
        <f>COGS_DB!AH24</f>
        <v>0.36371095953638644</v>
      </c>
      <c r="AI38" s="9">
        <f>COGS_DB!AI24</f>
        <v>0.36371095953638644</v>
      </c>
      <c r="AJ38" s="9">
        <f>COGS_DB!AJ24</f>
        <v>0.36371095953638644</v>
      </c>
      <c r="AK38" s="9">
        <f>COGS_DB!AK24</f>
        <v>0.36371095953638644</v>
      </c>
      <c r="AL38" s="9">
        <f>COGS_DB!AL24</f>
        <v>0.3638425463212116</v>
      </c>
      <c r="AM38" s="9">
        <f>COGS_DB!AM24</f>
        <v>0.36252604353761048</v>
      </c>
      <c r="AN38" s="9">
        <f>COGS_DB!AN24</f>
        <v>0.36245903847017097</v>
      </c>
      <c r="AO38" s="9">
        <f>COGS_DB!AO24</f>
        <v>0.36244663448110759</v>
      </c>
      <c r="AP38" s="9">
        <f>COGS_DB!AP24</f>
        <v>0.36244663448110759</v>
      </c>
      <c r="AQ38" s="9">
        <f>COGS_DB!AQ24</f>
        <v>0.36244663448110759</v>
      </c>
      <c r="AR38" s="9">
        <f>COGS_DB!AR24</f>
        <v>0.36244663448110759</v>
      </c>
      <c r="AS38" s="9">
        <f>COGS_DB!AS24</f>
        <v>0.36244663448110759</v>
      </c>
      <c r="AT38" s="9">
        <f>COGS_DB!AT24</f>
        <v>0.36244663448110759</v>
      </c>
      <c r="AU38" s="9">
        <f>COGS_DB!AU24</f>
        <v>0.36244663448110759</v>
      </c>
      <c r="AV38" s="9">
        <f>COGS_DB!AV24</f>
        <v>0.36244663448110759</v>
      </c>
      <c r="AW38" s="9">
        <f>COGS_DB!AW24</f>
        <v>0.36244663448110759</v>
      </c>
      <c r="AX38" s="9">
        <f>COGS_DB!AX24</f>
        <v>0.36249625860520801</v>
      </c>
      <c r="AY38" s="9">
        <f>COGS_DB!AY24</f>
        <v>0.36246948029298909</v>
      </c>
      <c r="AZ38" s="9">
        <f>COGS_DB!AZ24</f>
        <v>0.36241610738255037</v>
      </c>
      <c r="BA38" s="9">
        <f>COGS_DB!BA24</f>
        <v>0.36242351483231355</v>
      </c>
      <c r="BB38" s="9">
        <f>COGS_DB!BB24</f>
        <v>0.36242351483231355</v>
      </c>
      <c r="BC38" s="9">
        <f>COGS_DB!BC24</f>
        <v>0.36242351483231355</v>
      </c>
      <c r="BD38" s="9">
        <f>COGS_DB!BD24</f>
        <v>0.36242351483231355</v>
      </c>
      <c r="BE38" s="9">
        <f>COGS_DB!BE24</f>
        <v>0.36242351483231355</v>
      </c>
      <c r="BF38" s="9">
        <f>COGS_DB!BF24</f>
        <v>0.36242351483231355</v>
      </c>
      <c r="BG38" s="9">
        <f>COGS_DB!BG24</f>
        <v>0.36242351483231355</v>
      </c>
      <c r="BH38" s="9">
        <f>COGS_DB!BH24</f>
        <v>0.36242351483231355</v>
      </c>
      <c r="BI38" s="9">
        <f>COGS_DB!BI24</f>
        <v>0.36242351483231355</v>
      </c>
      <c r="BJ38" s="9">
        <f>COGS_DB!BJ24</f>
        <v>0.36247167509151118</v>
      </c>
    </row>
    <row r="39" spans="2:66" x14ac:dyDescent="0.15">
      <c r="B39" s="14" t="s">
        <v>639</v>
      </c>
      <c r="C39" s="9">
        <f>COGS_DB!C7</f>
        <v>10311000</v>
      </c>
      <c r="D39" s="9">
        <f>COGS_DB!E7</f>
        <v>69477240</v>
      </c>
      <c r="E39" s="9">
        <f>COGS_DB!G7</f>
        <v>214510753.80000007</v>
      </c>
      <c r="F39" s="9">
        <f>COGS_DB!I7</f>
        <v>295524473.14800012</v>
      </c>
      <c r="G39" s="9">
        <f>COGS_DB!K7</f>
        <v>325629255.60021007</v>
      </c>
      <c r="H39" s="98"/>
      <c r="I39" s="98"/>
      <c r="J39" s="98"/>
      <c r="K39" s="98"/>
      <c r="L39" s="98"/>
      <c r="M39" s="98"/>
      <c r="N39" s="98"/>
      <c r="O39" s="98">
        <f>COGS_DB!O22</f>
        <v>500760</v>
      </c>
      <c r="P39" s="98">
        <f>COGS_DB!P22</f>
        <v>789660</v>
      </c>
      <c r="Q39" s="98">
        <f>COGS_DB!Q22</f>
        <v>885960</v>
      </c>
      <c r="R39" s="98">
        <f>COGS_DB!R22</f>
        <v>885960</v>
      </c>
      <c r="S39" s="98">
        <f>COGS_DB!S22</f>
        <v>885960</v>
      </c>
      <c r="T39" s="98">
        <f>COGS_DB!T22</f>
        <v>885960</v>
      </c>
      <c r="U39" s="98">
        <f>COGS_DB!U22</f>
        <v>885960</v>
      </c>
      <c r="V39" s="98">
        <f>COGS_DB!V22</f>
        <v>885960</v>
      </c>
      <c r="W39" s="98">
        <f>COGS_DB!W22</f>
        <v>885960</v>
      </c>
      <c r="X39" s="98">
        <f>COGS_DB!X22</f>
        <v>885960</v>
      </c>
      <c r="Y39" s="98">
        <f>COGS_DB!Y22</f>
        <v>885960</v>
      </c>
      <c r="Z39" s="98">
        <f>COGS_DB!Z22</f>
        <v>590640</v>
      </c>
      <c r="AA39" s="98">
        <f>COGS_DB!AA22</f>
        <v>776242.20000000007</v>
      </c>
      <c r="AB39" s="98">
        <f>COGS_DB!AB22</f>
        <v>1236492</v>
      </c>
      <c r="AC39" s="98">
        <f>COGS_DB!AC22</f>
        <v>1391053.5</v>
      </c>
      <c r="AD39" s="98">
        <f>COGS_DB!AD22</f>
        <v>1391053.5</v>
      </c>
      <c r="AE39" s="98">
        <f>COGS_DB!AE22</f>
        <v>1391053.5</v>
      </c>
      <c r="AF39" s="98">
        <f>COGS_DB!AF22</f>
        <v>1391053.5</v>
      </c>
      <c r="AG39" s="98">
        <f>COGS_DB!AG22</f>
        <v>1391053.5</v>
      </c>
      <c r="AH39" s="98">
        <f>COGS_DB!AH22</f>
        <v>1391053.5</v>
      </c>
      <c r="AI39" s="98">
        <f>COGS_DB!AI22</f>
        <v>1391053.5</v>
      </c>
      <c r="AJ39" s="98">
        <f>COGS_DB!AJ22</f>
        <v>1391053.5</v>
      </c>
      <c r="AK39" s="98">
        <f>COGS_DB!AK22</f>
        <v>1391053.5</v>
      </c>
      <c r="AL39" s="98">
        <f>COGS_DB!AL22</f>
        <v>930803.70000000007</v>
      </c>
      <c r="AM39" s="98">
        <f>COGS_DB!AM22</f>
        <v>1032711.2490000001</v>
      </c>
      <c r="AN39" s="98">
        <f>COGS_DB!AN22</f>
        <v>1650132.9210000001</v>
      </c>
      <c r="AO39" s="98">
        <f>COGS_DB!AO22</f>
        <v>1855940.1450000003</v>
      </c>
      <c r="AP39" s="98">
        <f>COGS_DB!AP22</f>
        <v>1855940.1450000003</v>
      </c>
      <c r="AQ39" s="98">
        <f>COGS_DB!AQ22</f>
        <v>1855940.1450000003</v>
      </c>
      <c r="AR39" s="98">
        <f>COGS_DB!AR22</f>
        <v>1855940.1450000003</v>
      </c>
      <c r="AS39" s="98">
        <f>COGS_DB!AS22</f>
        <v>1855940.1450000003</v>
      </c>
      <c r="AT39" s="98">
        <f>COGS_DB!AT22</f>
        <v>1855940.1450000003</v>
      </c>
      <c r="AU39" s="98">
        <f>COGS_DB!AU22</f>
        <v>1855940.1450000003</v>
      </c>
      <c r="AV39" s="98">
        <f>COGS_DB!AV22</f>
        <v>1855940.1450000003</v>
      </c>
      <c r="AW39" s="98">
        <f>COGS_DB!AW22</f>
        <v>1855940.1450000003</v>
      </c>
      <c r="AX39" s="98">
        <f>COGS_DB!AX22</f>
        <v>1238518.4730000002</v>
      </c>
      <c r="AY39" s="98">
        <f>COGS_DB!AY22</f>
        <v>1136460.1406700001</v>
      </c>
      <c r="AZ39" s="98">
        <f>COGS_DB!AZ22</f>
        <v>1816763.2698600003</v>
      </c>
      <c r="BA39" s="98">
        <f>COGS_DB!BA22</f>
        <v>2044841.7756000003</v>
      </c>
      <c r="BB39" s="98">
        <f>COGS_DB!BB22</f>
        <v>2044841.7756000003</v>
      </c>
      <c r="BC39" s="98">
        <f>COGS_DB!BC22</f>
        <v>2044841.7756000003</v>
      </c>
      <c r="BD39" s="98">
        <f>COGS_DB!BD22</f>
        <v>2044841.7756000003</v>
      </c>
      <c r="BE39" s="98">
        <f>COGS_DB!BE22</f>
        <v>2044841.7756000003</v>
      </c>
      <c r="BF39" s="98">
        <f>COGS_DB!BF22</f>
        <v>2044841.7756000003</v>
      </c>
      <c r="BG39" s="98">
        <f>COGS_DB!BG22</f>
        <v>2044841.7756000003</v>
      </c>
      <c r="BH39" s="98">
        <f>COGS_DB!BH22</f>
        <v>2044841.7756000003</v>
      </c>
      <c r="BI39" s="98">
        <f>COGS_DB!BI22</f>
        <v>2044841.7756000003</v>
      </c>
      <c r="BJ39" s="98">
        <f>COGS_DB!BJ22</f>
        <v>1364538.6464100003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642</v>
      </c>
      <c r="C42" s="116">
        <f>COGS_DB!C5</f>
        <v>0.4317905871216019</v>
      </c>
      <c r="D42" s="116">
        <f>COGS_DB!E5</f>
        <v>0.44094625427810874</v>
      </c>
      <c r="E42" s="116">
        <f>COGS_DB!G5</f>
        <v>0.48460462880696792</v>
      </c>
      <c r="F42" s="116">
        <f>COGS_DB!I5</f>
        <v>0.48417442097398627</v>
      </c>
      <c r="G42" s="116">
        <f>COGS_DB!K5</f>
        <v>0.48414232546254116</v>
      </c>
      <c r="H42" s="9"/>
      <c r="I42" s="9"/>
      <c r="J42" s="9"/>
      <c r="K42" s="9"/>
      <c r="L42" s="9"/>
      <c r="M42" s="9"/>
      <c r="N42" s="9"/>
      <c r="O42" s="9">
        <f>COGS_DB!O23</f>
        <v>3269385</v>
      </c>
      <c r="P42" s="9">
        <f>COGS_DB!P23</f>
        <v>5161680</v>
      </c>
      <c r="Q42" s="9">
        <f>COGS_DB!Q23</f>
        <v>5802075</v>
      </c>
      <c r="R42" s="9">
        <f>COGS_DB!R23</f>
        <v>5802075</v>
      </c>
      <c r="S42" s="9">
        <f>COGS_DB!S23</f>
        <v>5802075</v>
      </c>
      <c r="T42" s="9">
        <f>COGS_DB!T23</f>
        <v>5802075</v>
      </c>
      <c r="U42" s="9">
        <f>COGS_DB!U23</f>
        <v>5802075</v>
      </c>
      <c r="V42" s="9">
        <f>COGS_DB!V23</f>
        <v>5802075</v>
      </c>
      <c r="W42" s="9">
        <f>COGS_DB!W23</f>
        <v>5802075</v>
      </c>
      <c r="X42" s="9">
        <f>COGS_DB!X23</f>
        <v>5802075</v>
      </c>
      <c r="Y42" s="9">
        <f>COGS_DB!Y23</f>
        <v>5802075</v>
      </c>
      <c r="Z42" s="9">
        <f>COGS_DB!Z23</f>
        <v>3869655</v>
      </c>
      <c r="AA42" s="9">
        <f>COGS_DB!AA23</f>
        <v>4516630.4999999991</v>
      </c>
      <c r="AB42" s="9">
        <f>COGS_DB!AB23</f>
        <v>7218022.0500000017</v>
      </c>
      <c r="AC42" s="9">
        <f>COGS_DB!AC23</f>
        <v>8119630.7999999998</v>
      </c>
      <c r="AD42" s="9">
        <f>COGS_DB!AD23</f>
        <v>8119630.7999999998</v>
      </c>
      <c r="AE42" s="9">
        <f>COGS_DB!AE23</f>
        <v>8119630.7999999998</v>
      </c>
      <c r="AF42" s="9">
        <f>COGS_DB!AF23</f>
        <v>8119630.7999999998</v>
      </c>
      <c r="AG42" s="9">
        <f>COGS_DB!AG23</f>
        <v>8119630.7999999998</v>
      </c>
      <c r="AH42" s="9">
        <f>COGS_DB!AH23</f>
        <v>8119630.7999999998</v>
      </c>
      <c r="AI42" s="9">
        <f>COGS_DB!AI23</f>
        <v>8119630.7999999998</v>
      </c>
      <c r="AJ42" s="9">
        <f>COGS_DB!AJ23</f>
        <v>8119630.7999999998</v>
      </c>
      <c r="AK42" s="9">
        <f>COGS_DB!AK23</f>
        <v>8119630.7999999998</v>
      </c>
      <c r="AL42" s="9">
        <f>COGS_DB!AL23</f>
        <v>5418239.2499999991</v>
      </c>
      <c r="AM42" s="9">
        <f>COGS_DB!AM23</f>
        <v>6181566.978000002</v>
      </c>
      <c r="AN42" s="9">
        <f>COGS_DB!AN23</f>
        <v>9891609.7034999989</v>
      </c>
      <c r="AO42" s="9">
        <f>COGS_DB!AO23</f>
        <v>11128290.612</v>
      </c>
      <c r="AP42" s="9">
        <f>COGS_DB!AP23</f>
        <v>11128290.612</v>
      </c>
      <c r="AQ42" s="9">
        <f>COGS_DB!AQ23</f>
        <v>11128290.612</v>
      </c>
      <c r="AR42" s="9">
        <f>COGS_DB!AR23</f>
        <v>11128290.612</v>
      </c>
      <c r="AS42" s="9">
        <f>COGS_DB!AS23</f>
        <v>11128290.612</v>
      </c>
      <c r="AT42" s="9">
        <f>COGS_DB!AT23</f>
        <v>11128290.612</v>
      </c>
      <c r="AU42" s="9">
        <f>COGS_DB!AU23</f>
        <v>11128290.612</v>
      </c>
      <c r="AV42" s="9">
        <f>COGS_DB!AV23</f>
        <v>11128290.612</v>
      </c>
      <c r="AW42" s="9">
        <f>COGS_DB!AW23</f>
        <v>11128290.612</v>
      </c>
      <c r="AX42" s="9">
        <f>COGS_DB!AX23</f>
        <v>7418247.8865000019</v>
      </c>
      <c r="AY42" s="9">
        <f>COGS_DB!AY23</f>
        <v>6810896.0679599997</v>
      </c>
      <c r="AZ42" s="9">
        <f>COGS_DB!AZ23</f>
        <v>10900579.619160004</v>
      </c>
      <c r="BA42" s="9">
        <f>COGS_DB!BA23</f>
        <v>12267084.459585004</v>
      </c>
      <c r="BB42" s="9">
        <f>COGS_DB!BB23</f>
        <v>12267084.459585004</v>
      </c>
      <c r="BC42" s="9">
        <f>COGS_DB!BC23</f>
        <v>12267084.459585004</v>
      </c>
      <c r="BD42" s="9">
        <f>COGS_DB!BD23</f>
        <v>12267084.459585004</v>
      </c>
      <c r="BE42" s="9">
        <f>COGS_DB!BE23</f>
        <v>12267084.459585004</v>
      </c>
      <c r="BF42" s="9">
        <f>COGS_DB!BF23</f>
        <v>12267084.459585004</v>
      </c>
      <c r="BG42" s="9">
        <f>COGS_DB!BG23</f>
        <v>12267084.459585004</v>
      </c>
      <c r="BH42" s="9">
        <f>COGS_DB!BH23</f>
        <v>12267084.459585004</v>
      </c>
      <c r="BI42" s="9">
        <f>COGS_DB!BI23</f>
        <v>12267084.459585004</v>
      </c>
      <c r="BJ42" s="9">
        <f>COGS_DB!BJ23</f>
        <v>8177400.9083850002</v>
      </c>
    </row>
    <row r="43" spans="2:66" x14ac:dyDescent="0.15">
      <c r="B43" s="14" t="s">
        <v>643</v>
      </c>
      <c r="C43" s="116">
        <f>COGS_DB!D6</f>
        <v>0.21959953079661679</v>
      </c>
      <c r="D43" s="116">
        <f>COGS_DB!F6</f>
        <v>0.21231567161025902</v>
      </c>
      <c r="E43" s="116">
        <f>COGS_DB!H6</f>
        <v>0.14348500517063076</v>
      </c>
      <c r="F43" s="116">
        <f>COGS_DB!J6</f>
        <v>0.14282075663927191</v>
      </c>
      <c r="G43" s="116">
        <f>COGS_DB!L6</f>
        <v>0.14284889975147042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646</v>
      </c>
      <c r="C44" s="98">
        <f>COGS_DB!D7</f>
        <v>0.21219105632498508</v>
      </c>
      <c r="D44" s="116">
        <f>COGS_DB!F7</f>
        <v>0.22863058266784975</v>
      </c>
      <c r="E44" s="98">
        <f>COGS_DB!H7</f>
        <v>0.34111962363633724</v>
      </c>
      <c r="F44" s="98">
        <f>COGS_DB!J7</f>
        <v>0.34135366433471448</v>
      </c>
      <c r="G44" s="98">
        <f>COGS_DB!L7</f>
        <v>0.34129342571107096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651</v>
      </c>
    </row>
    <row r="47" spans="2:66" x14ac:dyDescent="0.15">
      <c r="C47" s="75"/>
      <c r="D47" s="406" t="s">
        <v>35</v>
      </c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 t="s">
        <v>36</v>
      </c>
      <c r="Q47" s="406"/>
      <c r="R47" s="406"/>
      <c r="S47" s="406"/>
      <c r="T47" s="406"/>
      <c r="U47" s="406"/>
      <c r="V47" s="406"/>
      <c r="W47" s="406"/>
      <c r="X47" s="406"/>
      <c r="Y47" s="406"/>
      <c r="Z47" s="406"/>
      <c r="AA47" s="406"/>
      <c r="AB47" s="406" t="s">
        <v>37</v>
      </c>
      <c r="AC47" s="406"/>
      <c r="AD47" s="406"/>
      <c r="AE47" s="406"/>
      <c r="AF47" s="406"/>
      <c r="AG47" s="406"/>
      <c r="AH47" s="406"/>
      <c r="AI47" s="406"/>
      <c r="AJ47" s="406"/>
      <c r="AK47" s="406"/>
      <c r="AL47" s="406"/>
      <c r="AM47" s="406"/>
      <c r="AN47" s="406" t="s">
        <v>38</v>
      </c>
      <c r="AO47" s="406"/>
      <c r="AP47" s="406"/>
      <c r="AQ47" s="406"/>
      <c r="AR47" s="406"/>
      <c r="AS47" s="406"/>
      <c r="AT47" s="406"/>
      <c r="AU47" s="406"/>
      <c r="AV47" s="406"/>
      <c r="AW47" s="406"/>
      <c r="AX47" s="406"/>
      <c r="AY47" s="406"/>
      <c r="AZ47" s="406" t="s">
        <v>39</v>
      </c>
      <c r="BA47" s="406"/>
      <c r="BB47" s="406"/>
      <c r="BC47" s="406"/>
      <c r="BD47" s="406"/>
      <c r="BE47" s="406"/>
      <c r="BF47" s="406"/>
      <c r="BG47" s="406"/>
      <c r="BH47" s="406"/>
      <c r="BI47" s="406"/>
      <c r="BJ47" s="406"/>
      <c r="BK47" s="406"/>
      <c r="BM47" s="10" t="s">
        <v>628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337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1057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741000</v>
      </c>
      <c r="H50" s="9">
        <f>'COGS-INVENTORY_CWS'!H35</f>
        <v>1016500</v>
      </c>
      <c r="I50" s="9">
        <f>'COGS-INVENTORY_CWS'!I35</f>
        <v>1510500</v>
      </c>
      <c r="J50" s="9">
        <f>'COGS-INVENTORY_CWS'!J35</f>
        <v>1890500</v>
      </c>
      <c r="K50" s="9">
        <f>'COGS-INVENTORY_CWS'!K35</f>
        <v>2270500</v>
      </c>
      <c r="L50" s="9">
        <f>'COGS-INVENTORY_CWS'!L35</f>
        <v>2650500</v>
      </c>
      <c r="M50" s="9">
        <f>'COGS-INVENTORY_CWS'!M35</f>
        <v>3030500</v>
      </c>
      <c r="N50" s="9">
        <f>'COGS-INVENTORY_CWS'!N35</f>
        <v>3410500</v>
      </c>
      <c r="O50" s="9">
        <f>'COGS-INVENTORY_CWS'!O35</f>
        <v>3030500</v>
      </c>
      <c r="P50" s="9">
        <f>'COGS-INVENTORY_CWS'!P35</f>
        <v>5763555</v>
      </c>
      <c r="Q50" s="9">
        <f>'COGS-INVENTORY_CWS'!Q35</f>
        <v>9229820</v>
      </c>
      <c r="R50" s="9">
        <f>'COGS-INVENTORY_CWS'!R35</f>
        <v>10378465</v>
      </c>
      <c r="S50" s="9">
        <f>'COGS-INVENTORY_CWS'!S35</f>
        <v>10378465</v>
      </c>
      <c r="T50" s="9">
        <f>'COGS-INVENTORY_CWS'!T35</f>
        <v>10378465</v>
      </c>
      <c r="U50" s="9">
        <f>'COGS-INVENTORY_CWS'!U35</f>
        <v>10378465</v>
      </c>
      <c r="V50" s="9">
        <f>'COGS-INVENTORY_CWS'!V35</f>
        <v>10378465</v>
      </c>
      <c r="W50" s="9">
        <f>'COGS-INVENTORY_CWS'!W35</f>
        <v>10378465</v>
      </c>
      <c r="X50" s="9">
        <f>'COGS-INVENTORY_CWS'!X35</f>
        <v>10378465</v>
      </c>
      <c r="Y50" s="9">
        <f>'COGS-INVENTORY_CWS'!Y35</f>
        <v>10378465</v>
      </c>
      <c r="Z50" s="9">
        <f>'COGS-INVENTORY_CWS'!Z35</f>
        <v>10378465</v>
      </c>
      <c r="AA50" s="9">
        <f>'COGS-INVENTORY_CWS'!AA35</f>
        <v>6922365</v>
      </c>
      <c r="AB50" s="9">
        <f>'COGS-INVENTORY_CWS'!AB35</f>
        <v>8311974</v>
      </c>
      <c r="AC50" s="9">
        <f>'COGS-INVENTORY_CWS'!AC35</f>
        <v>13292289</v>
      </c>
      <c r="AD50" s="9">
        <f>'COGS-INVENTORY_CWS'!AD35</f>
        <v>14952394</v>
      </c>
      <c r="AE50" s="9">
        <f>'COGS-INVENTORY_CWS'!AE35</f>
        <v>14952394</v>
      </c>
      <c r="AF50" s="9">
        <f>'COGS-INVENTORY_CWS'!AF35</f>
        <v>14952394</v>
      </c>
      <c r="AG50" s="9">
        <f>'COGS-INVENTORY_CWS'!AG35</f>
        <v>14952394</v>
      </c>
      <c r="AH50" s="9">
        <f>'COGS-INVENTORY_CWS'!AH35</f>
        <v>14952394</v>
      </c>
      <c r="AI50" s="9">
        <f>'COGS-INVENTORY_CWS'!AI35</f>
        <v>14952394</v>
      </c>
      <c r="AJ50" s="9">
        <f>'COGS-INVENTORY_CWS'!AJ35</f>
        <v>14952394</v>
      </c>
      <c r="AK50" s="9">
        <f>'COGS-INVENTORY_CWS'!AK35</f>
        <v>14952394</v>
      </c>
      <c r="AL50" s="9">
        <f>'COGS-INVENTORY_CWS'!AL35</f>
        <v>14952394</v>
      </c>
      <c r="AM50" s="9">
        <f>'COGS-INVENTORY_CWS'!AM35</f>
        <v>9972079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741000</v>
      </c>
      <c r="H51" s="9">
        <f>'COGS-INVENTORY_CWS'!H39</f>
        <v>1016500</v>
      </c>
      <c r="I51" s="9">
        <f>'COGS-INVENTORY_CWS'!I39</f>
        <v>1510500</v>
      </c>
      <c r="J51" s="9">
        <f>'COGS-INVENTORY_CWS'!J39</f>
        <v>1890500</v>
      </c>
      <c r="K51" s="9">
        <f>'COGS-INVENTORY_CWS'!K39</f>
        <v>2270500</v>
      </c>
      <c r="L51" s="9">
        <f>'COGS-INVENTORY_CWS'!L39</f>
        <v>2650500</v>
      </c>
      <c r="M51" s="9">
        <f>'COGS-INVENTORY_CWS'!M39</f>
        <v>3030500</v>
      </c>
      <c r="N51" s="9">
        <f>'COGS-INVENTORY_CWS'!N39</f>
        <v>3410500</v>
      </c>
      <c r="O51" s="9">
        <f>'COGS-INVENTORY_CWS'!O39</f>
        <v>3030500</v>
      </c>
      <c r="P51" s="9">
        <f>'COGS-INVENTORY_CWS'!P39</f>
        <v>5763555</v>
      </c>
      <c r="Q51" s="9">
        <f>'COGS-INVENTORY_CWS'!Q39</f>
        <v>9229820</v>
      </c>
      <c r="R51" s="9">
        <f>'COGS-INVENTORY_CWS'!R39</f>
        <v>10378465</v>
      </c>
      <c r="S51" s="9">
        <f>'COGS-INVENTORY_CWS'!S39</f>
        <v>10378465</v>
      </c>
      <c r="T51" s="9">
        <f>'COGS-INVENTORY_CWS'!T39</f>
        <v>10378465</v>
      </c>
      <c r="U51" s="9">
        <f>'COGS-INVENTORY_CWS'!U39</f>
        <v>10378465</v>
      </c>
      <c r="V51" s="9">
        <f>'COGS-INVENTORY_CWS'!V39</f>
        <v>10378465</v>
      </c>
      <c r="W51" s="9">
        <f>'COGS-INVENTORY_CWS'!W39</f>
        <v>10378465</v>
      </c>
      <c r="X51" s="9">
        <f>'COGS-INVENTORY_CWS'!X39</f>
        <v>10378465</v>
      </c>
      <c r="Y51" s="9">
        <f>'COGS-INVENTORY_CWS'!Y39</f>
        <v>10378465</v>
      </c>
      <c r="Z51" s="9">
        <f>'COGS-INVENTORY_CWS'!Z39</f>
        <v>10378465</v>
      </c>
      <c r="AA51" s="9">
        <f>'COGS-INVENTORY_CWS'!AA39</f>
        <v>6922365</v>
      </c>
      <c r="AB51" s="9">
        <f>'COGS-INVENTORY_CWS'!AB39</f>
        <v>8311974</v>
      </c>
      <c r="AC51" s="9">
        <f>'COGS-INVENTORY_CWS'!AC39</f>
        <v>13292289</v>
      </c>
      <c r="AD51" s="9">
        <f>'COGS-INVENTORY_CWS'!AD39</f>
        <v>14952394</v>
      </c>
      <c r="AE51" s="9">
        <f>'COGS-INVENTORY_CWS'!AE39</f>
        <v>14952394</v>
      </c>
      <c r="AF51" s="9">
        <f>'COGS-INVENTORY_CWS'!AF39</f>
        <v>14952394</v>
      </c>
      <c r="AG51" s="9">
        <f>'COGS-INVENTORY_CWS'!AG39</f>
        <v>14952394</v>
      </c>
      <c r="AH51" s="9">
        <f>'COGS-INVENTORY_CWS'!AH39</f>
        <v>14952394</v>
      </c>
      <c r="AI51" s="9">
        <f>'COGS-INVENTORY_CWS'!AI39</f>
        <v>14952394</v>
      </c>
      <c r="AJ51" s="9">
        <f>'COGS-INVENTORY_CWS'!AJ39</f>
        <v>14952394</v>
      </c>
      <c r="AK51" s="9">
        <f>'COGS-INVENTORY_CWS'!AK39</f>
        <v>14952394</v>
      </c>
      <c r="AL51" s="9">
        <f>'COGS-INVENTORY_CWS'!AL39</f>
        <v>14952394</v>
      </c>
      <c r="AM51" s="9">
        <f>'COGS-INVENTORY_CWS'!AM39</f>
        <v>9972079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339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360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406" t="s">
        <v>35</v>
      </c>
      <c r="E55" s="406"/>
      <c r="F55" s="406"/>
      <c r="G55" s="406"/>
      <c r="H55" s="406"/>
      <c r="I55" s="406"/>
      <c r="J55" s="406"/>
      <c r="K55" s="406"/>
      <c r="L55" s="406"/>
      <c r="M55" s="406"/>
      <c r="N55" s="406"/>
      <c r="O55" s="406"/>
      <c r="P55" s="406" t="s">
        <v>36</v>
      </c>
      <c r="Q55" s="406"/>
      <c r="R55" s="406"/>
      <c r="S55" s="406"/>
      <c r="T55" s="406"/>
      <c r="U55" s="406"/>
      <c r="V55" s="406"/>
      <c r="W55" s="406"/>
      <c r="X55" s="406"/>
      <c r="Y55" s="406"/>
      <c r="Z55" s="406"/>
      <c r="AA55" s="406"/>
      <c r="AB55" s="406" t="s">
        <v>37</v>
      </c>
      <c r="AC55" s="406"/>
      <c r="AD55" s="406"/>
      <c r="AE55" s="406"/>
      <c r="AF55" s="406"/>
      <c r="AG55" s="406"/>
      <c r="AH55" s="406"/>
      <c r="AI55" s="406"/>
      <c r="AJ55" s="406"/>
      <c r="AK55" s="406"/>
      <c r="AL55" s="406"/>
      <c r="AM55" s="406"/>
      <c r="AN55" s="406" t="s">
        <v>38</v>
      </c>
      <c r="AO55" s="406"/>
      <c r="AP55" s="406"/>
      <c r="AQ55" s="406"/>
      <c r="AR55" s="406"/>
      <c r="AS55" s="406"/>
      <c r="AT55" s="406"/>
      <c r="AU55" s="406"/>
      <c r="AV55" s="406"/>
      <c r="AW55" s="406"/>
      <c r="AX55" s="406"/>
      <c r="AY55" s="406"/>
      <c r="AZ55" s="406" t="s">
        <v>39</v>
      </c>
      <c r="BA55" s="406"/>
      <c r="BB55" s="406"/>
      <c r="BC55" s="406"/>
      <c r="BD55" s="406"/>
      <c r="BE55" s="406"/>
      <c r="BF55" s="406"/>
      <c r="BG55" s="406"/>
      <c r="BH55" s="406"/>
      <c r="BI55" s="406"/>
      <c r="BJ55" s="406"/>
      <c r="BK55" s="406"/>
      <c r="BM55" s="10" t="s">
        <v>628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339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360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208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611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612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1048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513</v>
      </c>
      <c r="G72" s="169">
        <f>+'REV-SALES-FCAST_CWS'!G36</f>
        <v>513</v>
      </c>
      <c r="H72" s="169">
        <f>+'REV-SALES-FCAST_CWS'!H36</f>
        <v>513</v>
      </c>
      <c r="I72" s="169">
        <f>+'REV-SALES-FCAST_CWS'!I36</f>
        <v>513</v>
      </c>
      <c r="J72" s="169">
        <f>+'REV-SALES-FCAST_CWS'!J36</f>
        <v>513</v>
      </c>
      <c r="K72" s="169">
        <f>+'REV-SALES-FCAST_CWS'!K36</f>
        <v>513</v>
      </c>
      <c r="L72" s="169">
        <f>+'REV-SALES-FCAST_CWS'!L36</f>
        <v>513</v>
      </c>
      <c r="M72" s="169">
        <f>+'REV-SALES-FCAST_CWS'!M36</f>
        <v>513</v>
      </c>
      <c r="N72" s="169">
        <f>+'REV-SALES-FCAST_CWS'!N36</f>
        <v>342</v>
      </c>
    </row>
    <row r="73" spans="2:15" x14ac:dyDescent="0.15">
      <c r="B73" t="s">
        <v>36</v>
      </c>
      <c r="C73" s="169">
        <f>+'REV-SALES-FCAST_CWS'!C42</f>
        <v>822</v>
      </c>
      <c r="D73" s="169">
        <f>+'REV-SALES-FCAST_CWS'!D42</f>
        <v>1316</v>
      </c>
      <c r="E73" s="169">
        <f>+'REV-SALES-FCAST_CWS'!E42</f>
        <v>1480</v>
      </c>
      <c r="F73" s="169">
        <f>+'REV-SALES-FCAST_CWS'!F42</f>
        <v>1480</v>
      </c>
      <c r="G73" s="169">
        <f>+'REV-SALES-FCAST_CWS'!G42</f>
        <v>1480</v>
      </c>
      <c r="H73" s="169">
        <f>+'REV-SALES-FCAST_CWS'!H42</f>
        <v>1480</v>
      </c>
      <c r="I73" s="169">
        <f>+'REV-SALES-FCAST_CWS'!I42</f>
        <v>1480</v>
      </c>
      <c r="J73" s="169">
        <f>+'REV-SALES-FCAST_CWS'!J42</f>
        <v>1480</v>
      </c>
      <c r="K73" s="169">
        <f>+'REV-SALES-FCAST_CWS'!K42</f>
        <v>1480</v>
      </c>
      <c r="L73" s="169">
        <f>+'REV-SALES-FCAST_CWS'!L42</f>
        <v>1480</v>
      </c>
      <c r="M73" s="169">
        <f>+'REV-SALES-FCAST_CWS'!M42</f>
        <v>1480</v>
      </c>
      <c r="N73" s="169">
        <f>+'REV-SALES-FCAST_CWS'!N42</f>
        <v>987</v>
      </c>
    </row>
    <row r="74" spans="2:15" x14ac:dyDescent="0.15">
      <c r="B74" t="s">
        <v>37</v>
      </c>
      <c r="C74" s="169">
        <f>+'REV-SALES-FCAST_CWS'!C46</f>
        <v>1452</v>
      </c>
      <c r="D74" s="169">
        <f>+'REV-SALES-FCAST_CWS'!D46</f>
        <v>2323</v>
      </c>
      <c r="E74" s="169">
        <f>+'REV-SALES-FCAST_CWS'!E46</f>
        <v>2613</v>
      </c>
      <c r="F74" s="169">
        <f>+'REV-SALES-FCAST_CWS'!F46</f>
        <v>2613</v>
      </c>
      <c r="G74" s="169">
        <f>+'REV-SALES-FCAST_CWS'!G46</f>
        <v>2613</v>
      </c>
      <c r="H74" s="169">
        <f>+'REV-SALES-FCAST_CWS'!H46</f>
        <v>2613</v>
      </c>
      <c r="I74" s="169">
        <f>+'REV-SALES-FCAST_CWS'!I46</f>
        <v>2613</v>
      </c>
      <c r="J74" s="169">
        <f>+'REV-SALES-FCAST_CWS'!J46</f>
        <v>2613</v>
      </c>
      <c r="K74" s="169">
        <f>+'REV-SALES-FCAST_CWS'!K46</f>
        <v>2613</v>
      </c>
      <c r="L74" s="169">
        <f>+'REV-SALES-FCAST_CWS'!L46</f>
        <v>2613</v>
      </c>
      <c r="M74" s="169">
        <f>+'REV-SALES-FCAST_CWS'!M46</f>
        <v>2613</v>
      </c>
      <c r="N74" s="169">
        <f>+'REV-SALES-FCAST_CWS'!N46</f>
        <v>1742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7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3" width="6.1640625" customWidth="1"/>
    <col min="4" max="5" width="5.6640625" bestFit="1" customWidth="1"/>
    <col min="6" max="6" width="13.6640625" bestFit="1" customWidth="1"/>
    <col min="7" max="26" width="14.6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1240</v>
      </c>
      <c r="C1" s="366" t="s">
        <v>595</v>
      </c>
    </row>
    <row r="2" spans="1:63" x14ac:dyDescent="0.15">
      <c r="B2" s="75"/>
      <c r="C2" s="406" t="s">
        <v>35</v>
      </c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406"/>
      <c r="O2" s="406" t="s">
        <v>36</v>
      </c>
      <c r="P2" s="406"/>
      <c r="Q2" s="406"/>
      <c r="R2" s="406"/>
      <c r="S2" s="406"/>
      <c r="T2" s="406"/>
      <c r="U2" s="406"/>
      <c r="V2" s="406"/>
      <c r="W2" s="406"/>
      <c r="X2" s="406"/>
      <c r="Y2" s="406"/>
      <c r="Z2" s="406"/>
      <c r="AA2" s="406" t="s">
        <v>37</v>
      </c>
      <c r="AB2" s="406"/>
      <c r="AC2" s="406"/>
      <c r="AD2" s="406"/>
      <c r="AE2" s="406"/>
      <c r="AF2" s="406"/>
      <c r="AG2" s="406"/>
      <c r="AH2" s="406"/>
      <c r="AI2" s="406"/>
      <c r="AJ2" s="406"/>
      <c r="AK2" s="406"/>
      <c r="AL2" s="406"/>
      <c r="AM2" s="406" t="s">
        <v>38</v>
      </c>
      <c r="AN2" s="406"/>
      <c r="AO2" s="406"/>
      <c r="AP2" s="406"/>
      <c r="AQ2" s="406"/>
      <c r="AR2" s="406"/>
      <c r="AS2" s="406"/>
      <c r="AT2" s="406"/>
      <c r="AU2" s="406"/>
      <c r="AV2" s="406"/>
      <c r="AW2" s="406"/>
      <c r="AX2" s="406"/>
      <c r="AY2" s="406" t="s">
        <v>39</v>
      </c>
      <c r="AZ2" s="406"/>
      <c r="BA2" s="406"/>
      <c r="BB2" s="406"/>
      <c r="BC2" s="406"/>
      <c r="BD2" s="406"/>
      <c r="BE2" s="406"/>
      <c r="BF2" s="406"/>
      <c r="BG2" s="406"/>
      <c r="BH2" s="406"/>
      <c r="BI2" s="406"/>
      <c r="BJ2" s="406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1201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1200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8">
        <f>'REV-SALES-FCAST_CWS'!F38</f>
        <v>78</v>
      </c>
      <c r="G6" s="169">
        <f>'REV-SALES-FCAST_CWS'!G38</f>
        <v>107</v>
      </c>
      <c r="H6" s="169">
        <f>'REV-SALES-FCAST_CWS'!H38</f>
        <v>228</v>
      </c>
      <c r="I6" s="169">
        <f>'REV-SALES-FCAST_CWS'!I38</f>
        <v>285</v>
      </c>
      <c r="J6" s="169">
        <f>'REV-SALES-FCAST_CWS'!J38</f>
        <v>342</v>
      </c>
      <c r="K6" s="169">
        <f>'REV-SALES-FCAST_CWS'!K38</f>
        <v>399</v>
      </c>
      <c r="L6" s="169">
        <f>'REV-SALES-FCAST_CWS'!L38</f>
        <v>456</v>
      </c>
      <c r="M6" s="169">
        <f>'REV-SALES-FCAST_CWS'!M38</f>
        <v>513</v>
      </c>
      <c r="N6" s="169">
        <f>'REV-SALES-FCAST_CWS'!N38</f>
        <v>456</v>
      </c>
      <c r="O6" s="169">
        <f>'REV-SALES-FCAST_CWS'!C42</f>
        <v>822</v>
      </c>
      <c r="P6" s="169">
        <f>'REV-SALES-FCAST_CWS'!D42</f>
        <v>1316</v>
      </c>
      <c r="Q6" s="169">
        <f>'REV-SALES-FCAST_CWS'!E42</f>
        <v>1480</v>
      </c>
      <c r="R6" s="169">
        <f>'REV-SALES-FCAST_CWS'!F42</f>
        <v>1480</v>
      </c>
      <c r="S6" s="169">
        <f>'REV-SALES-FCAST_CWS'!G42</f>
        <v>1480</v>
      </c>
      <c r="T6" s="169">
        <f>'REV-SALES-FCAST_CWS'!H42</f>
        <v>1480</v>
      </c>
      <c r="U6" s="169">
        <f>'REV-SALES-FCAST_CWS'!I42</f>
        <v>1480</v>
      </c>
      <c r="V6" s="169">
        <f>'REV-SALES-FCAST_CWS'!J42</f>
        <v>1480</v>
      </c>
      <c r="W6" s="169">
        <f>'REV-SALES-FCAST_CWS'!K42</f>
        <v>1480</v>
      </c>
      <c r="X6" s="169">
        <f>'REV-SALES-FCAST_CWS'!L42</f>
        <v>1480</v>
      </c>
      <c r="Y6" s="169">
        <f>'REV-SALES-FCAST_CWS'!M42</f>
        <v>1480</v>
      </c>
      <c r="Z6" s="169">
        <f>'REV-SALES-FCAST_CWS'!N42</f>
        <v>987</v>
      </c>
      <c r="AA6" s="169">
        <f>'REV-SALES-FCAST_CWS'!C46</f>
        <v>1452</v>
      </c>
      <c r="AB6" s="169">
        <f>'REV-SALES-FCAST_CWS'!D46</f>
        <v>2323</v>
      </c>
      <c r="AC6" s="169">
        <f>'REV-SALES-FCAST_CWS'!E46</f>
        <v>2613</v>
      </c>
      <c r="AD6" s="169">
        <f>'REV-SALES-FCAST_CWS'!F46</f>
        <v>2613</v>
      </c>
      <c r="AE6" s="169">
        <f>'REV-SALES-FCAST_CWS'!G46</f>
        <v>2613</v>
      </c>
      <c r="AF6" s="169">
        <f>'REV-SALES-FCAST_CWS'!H46</f>
        <v>2613</v>
      </c>
      <c r="AG6" s="169">
        <f>'REV-SALES-FCAST_CWS'!I46</f>
        <v>2613</v>
      </c>
      <c r="AH6" s="169">
        <f>'REV-SALES-FCAST_CWS'!J46</f>
        <v>2613</v>
      </c>
      <c r="AI6" s="169">
        <f>'REV-SALES-FCAST_CWS'!K46</f>
        <v>2613</v>
      </c>
      <c r="AJ6" s="169">
        <f>'REV-SALES-FCAST_CWS'!L46</f>
        <v>2613</v>
      </c>
      <c r="AK6" s="169">
        <f>'REV-SALES-FCAST_CWS'!M46</f>
        <v>2613</v>
      </c>
      <c r="AL6" s="169">
        <f>'REV-SALES-FCAST_CWS'!N46</f>
        <v>1742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87">
        <v>0</v>
      </c>
      <c r="G7" s="387">
        <v>0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78</v>
      </c>
      <c r="G8" s="169">
        <f t="shared" si="2"/>
        <v>107</v>
      </c>
      <c r="H8" s="169">
        <f t="shared" si="2"/>
        <v>159</v>
      </c>
      <c r="I8" s="169">
        <f t="shared" si="2"/>
        <v>199</v>
      </c>
      <c r="J8" s="169">
        <f t="shared" si="2"/>
        <v>239</v>
      </c>
      <c r="K8" s="169">
        <f t="shared" si="2"/>
        <v>279</v>
      </c>
      <c r="L8" s="169">
        <f t="shared" si="2"/>
        <v>319</v>
      </c>
      <c r="M8" s="169">
        <f t="shared" si="2"/>
        <v>359</v>
      </c>
      <c r="N8" s="169">
        <f t="shared" si="2"/>
        <v>319</v>
      </c>
      <c r="O8" s="169">
        <f>O$6-O$9</f>
        <v>567</v>
      </c>
      <c r="P8" s="169">
        <f t="shared" ref="P8:BJ8" si="3">P$6-P$9</f>
        <v>908</v>
      </c>
      <c r="Q8" s="169">
        <f t="shared" si="3"/>
        <v>1021</v>
      </c>
      <c r="R8" s="169">
        <f t="shared" si="3"/>
        <v>1021</v>
      </c>
      <c r="S8" s="169">
        <f t="shared" si="3"/>
        <v>1021</v>
      </c>
      <c r="T8" s="169">
        <f t="shared" si="3"/>
        <v>1021</v>
      </c>
      <c r="U8" s="169">
        <f t="shared" si="3"/>
        <v>1021</v>
      </c>
      <c r="V8" s="169">
        <f t="shared" si="3"/>
        <v>1021</v>
      </c>
      <c r="W8" s="169">
        <f t="shared" si="3"/>
        <v>1021</v>
      </c>
      <c r="X8" s="169">
        <f t="shared" si="3"/>
        <v>1021</v>
      </c>
      <c r="Y8" s="169">
        <f t="shared" si="3"/>
        <v>1021</v>
      </c>
      <c r="Z8" s="169">
        <f t="shared" si="3"/>
        <v>681</v>
      </c>
      <c r="AA8" s="169">
        <f t="shared" si="3"/>
        <v>726</v>
      </c>
      <c r="AB8" s="169">
        <f t="shared" si="3"/>
        <v>1161</v>
      </c>
      <c r="AC8" s="169">
        <f t="shared" si="3"/>
        <v>1306</v>
      </c>
      <c r="AD8" s="169">
        <f t="shared" si="3"/>
        <v>1306</v>
      </c>
      <c r="AE8" s="169">
        <f t="shared" si="3"/>
        <v>1306</v>
      </c>
      <c r="AF8" s="169">
        <f t="shared" si="3"/>
        <v>1306</v>
      </c>
      <c r="AG8" s="169">
        <f t="shared" si="3"/>
        <v>1306</v>
      </c>
      <c r="AH8" s="169">
        <f t="shared" si="3"/>
        <v>1306</v>
      </c>
      <c r="AI8" s="169">
        <f t="shared" si="3"/>
        <v>1306</v>
      </c>
      <c r="AJ8" s="169">
        <f t="shared" si="3"/>
        <v>1306</v>
      </c>
      <c r="AK8" s="169">
        <f t="shared" si="3"/>
        <v>1306</v>
      </c>
      <c r="AL8" s="169">
        <f t="shared" si="3"/>
        <v>871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0</v>
      </c>
      <c r="H9" s="169">
        <f t="shared" si="4"/>
        <v>69</v>
      </c>
      <c r="I9" s="169">
        <f t="shared" si="4"/>
        <v>86</v>
      </c>
      <c r="J9" s="169">
        <f t="shared" si="4"/>
        <v>103</v>
      </c>
      <c r="K9" s="169">
        <f t="shared" si="4"/>
        <v>120</v>
      </c>
      <c r="L9" s="169">
        <f t="shared" si="4"/>
        <v>137</v>
      </c>
      <c r="M9" s="169">
        <f t="shared" si="4"/>
        <v>154</v>
      </c>
      <c r="N9" s="169">
        <f t="shared" si="4"/>
        <v>137</v>
      </c>
      <c r="O9" s="169">
        <f>ROUNDUP(O6*O$7,0)</f>
        <v>255</v>
      </c>
      <c r="P9" s="169">
        <f t="shared" ref="P9:Z9" si="5">ROUNDUP(P6*P$7,0)</f>
        <v>408</v>
      </c>
      <c r="Q9" s="169">
        <f t="shared" si="5"/>
        <v>459</v>
      </c>
      <c r="R9" s="169">
        <f t="shared" si="5"/>
        <v>459</v>
      </c>
      <c r="S9" s="169">
        <f t="shared" si="5"/>
        <v>459</v>
      </c>
      <c r="T9" s="169">
        <f t="shared" si="5"/>
        <v>459</v>
      </c>
      <c r="U9" s="169">
        <f t="shared" si="5"/>
        <v>459</v>
      </c>
      <c r="V9" s="169">
        <f t="shared" si="5"/>
        <v>459</v>
      </c>
      <c r="W9" s="169">
        <f t="shared" si="5"/>
        <v>459</v>
      </c>
      <c r="X9" s="169">
        <f t="shared" si="5"/>
        <v>459</v>
      </c>
      <c r="Y9" s="169">
        <f t="shared" si="5"/>
        <v>459</v>
      </c>
      <c r="Z9" s="169">
        <f t="shared" si="5"/>
        <v>306</v>
      </c>
      <c r="AA9" s="169">
        <f t="shared" ref="AA9:AL9" si="6">ROUNDUP(AA6*AA$7,0)</f>
        <v>726</v>
      </c>
      <c r="AB9" s="169">
        <f t="shared" si="6"/>
        <v>1162</v>
      </c>
      <c r="AC9" s="169">
        <f t="shared" si="6"/>
        <v>1307</v>
      </c>
      <c r="AD9" s="169">
        <f t="shared" si="6"/>
        <v>1307</v>
      </c>
      <c r="AE9" s="169">
        <f t="shared" si="6"/>
        <v>1307</v>
      </c>
      <c r="AF9" s="169">
        <f t="shared" si="6"/>
        <v>1307</v>
      </c>
      <c r="AG9" s="169">
        <f t="shared" si="6"/>
        <v>1307</v>
      </c>
      <c r="AH9" s="169">
        <f t="shared" si="6"/>
        <v>1307</v>
      </c>
      <c r="AI9" s="169">
        <f t="shared" si="6"/>
        <v>1307</v>
      </c>
      <c r="AJ9" s="169">
        <f t="shared" si="6"/>
        <v>1307</v>
      </c>
      <c r="AK9" s="169">
        <f t="shared" si="6"/>
        <v>1307</v>
      </c>
      <c r="AL9" s="169">
        <f t="shared" si="6"/>
        <v>871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206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8">
        <f>F$8</f>
        <v>78</v>
      </c>
      <c r="G13" s="169">
        <f t="shared" si="9"/>
        <v>107</v>
      </c>
      <c r="H13" s="169">
        <f t="shared" si="9"/>
        <v>159</v>
      </c>
      <c r="I13" s="169">
        <f t="shared" si="9"/>
        <v>199</v>
      </c>
      <c r="J13" s="169">
        <f t="shared" si="9"/>
        <v>239</v>
      </c>
      <c r="K13" s="169">
        <f t="shared" si="9"/>
        <v>279</v>
      </c>
      <c r="L13" s="169">
        <f t="shared" si="9"/>
        <v>319</v>
      </c>
      <c r="M13" s="169">
        <f t="shared" si="9"/>
        <v>359</v>
      </c>
      <c r="N13" s="169">
        <f t="shared" si="9"/>
        <v>319</v>
      </c>
      <c r="O13" s="169">
        <f t="shared" si="9"/>
        <v>567</v>
      </c>
      <c r="P13" s="169">
        <f t="shared" si="9"/>
        <v>908</v>
      </c>
      <c r="Q13" s="169">
        <f t="shared" si="9"/>
        <v>1021</v>
      </c>
      <c r="R13" s="169">
        <f t="shared" si="9"/>
        <v>1021</v>
      </c>
      <c r="S13" s="169">
        <f t="shared" si="9"/>
        <v>1021</v>
      </c>
      <c r="T13" s="169">
        <f t="shared" si="9"/>
        <v>1021</v>
      </c>
      <c r="U13" s="169">
        <f t="shared" si="9"/>
        <v>1021</v>
      </c>
      <c r="V13" s="169">
        <f t="shared" si="9"/>
        <v>1021</v>
      </c>
      <c r="W13" s="169">
        <f t="shared" si="9"/>
        <v>1021</v>
      </c>
      <c r="X13" s="169">
        <f t="shared" si="9"/>
        <v>1021</v>
      </c>
      <c r="Y13" s="169">
        <f t="shared" si="9"/>
        <v>1021</v>
      </c>
      <c r="Z13" s="169">
        <f t="shared" si="9"/>
        <v>681</v>
      </c>
      <c r="AA13" s="169">
        <f t="shared" si="9"/>
        <v>726</v>
      </c>
      <c r="AB13" s="169">
        <f t="shared" si="9"/>
        <v>1161</v>
      </c>
      <c r="AC13" s="169">
        <f t="shared" si="9"/>
        <v>1306</v>
      </c>
      <c r="AD13" s="169">
        <f t="shared" si="9"/>
        <v>1306</v>
      </c>
      <c r="AE13" s="169">
        <f t="shared" si="9"/>
        <v>1306</v>
      </c>
      <c r="AF13" s="169">
        <f t="shared" si="9"/>
        <v>1306</v>
      </c>
      <c r="AG13" s="169">
        <f t="shared" si="9"/>
        <v>1306</v>
      </c>
      <c r="AH13" s="169">
        <f t="shared" si="9"/>
        <v>1306</v>
      </c>
      <c r="AI13" s="169">
        <f t="shared" si="9"/>
        <v>1306</v>
      </c>
      <c r="AJ13" s="169">
        <f t="shared" si="9"/>
        <v>1306</v>
      </c>
      <c r="AK13" s="169">
        <f t="shared" si="9"/>
        <v>1306</v>
      </c>
      <c r="AL13" s="169">
        <f t="shared" si="9"/>
        <v>871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103814</v>
      </c>
    </row>
    <row r="14" spans="1:63" outlineLevel="1" x14ac:dyDescent="0.15">
      <c r="A14" s="47" t="s">
        <v>312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388">
        <f>'COGS-PRICE-MARGIN_CWS'!$B5*F13</f>
        <v>1092000</v>
      </c>
      <c r="G14" s="388">
        <f>'COGS-PRICE-MARGIN_CWS'!$B5*G13</f>
        <v>1498000</v>
      </c>
      <c r="H14" s="388">
        <f>'COGS-PRICE-MARGIN_CWS'!$B5*H13</f>
        <v>2226000</v>
      </c>
      <c r="I14" s="388">
        <f>'COGS-PRICE-MARGIN_CWS'!$B5*I13</f>
        <v>2786000</v>
      </c>
      <c r="J14" s="388">
        <f>'COGS-PRICE-MARGIN_CWS'!$B5*J13</f>
        <v>3346000</v>
      </c>
      <c r="K14" s="388">
        <f>'COGS-PRICE-MARGIN_CWS'!$B5*K13</f>
        <v>3906000</v>
      </c>
      <c r="L14" s="388">
        <f>'COGS-PRICE-MARGIN_CWS'!$B5*L13</f>
        <v>4466000</v>
      </c>
      <c r="M14" s="390">
        <f>'COGS-PRICE-MARGIN_CWS'!$B5*M13</f>
        <v>5026000</v>
      </c>
      <c r="N14" s="390">
        <f>'COGS-PRICE-MARGIN_CWS'!$B5*N13</f>
        <v>4466000</v>
      </c>
      <c r="O14" s="390">
        <f>'COGS-PRICE-MARGIN_CWS'!$B55*O13</f>
        <v>8493660</v>
      </c>
      <c r="P14" s="390">
        <f>'COGS-PRICE-MARGIN_CWS'!$B55*P13</f>
        <v>13601840</v>
      </c>
      <c r="Q14" s="390">
        <f>'COGS-PRICE-MARGIN_CWS'!$B55*Q13</f>
        <v>15294580</v>
      </c>
      <c r="R14" s="390">
        <f>'COGS-PRICE-MARGIN_CWS'!$B55*R13</f>
        <v>15294580</v>
      </c>
      <c r="S14" s="390">
        <f>'COGS-PRICE-MARGIN_CWS'!$B55*S13</f>
        <v>15294580</v>
      </c>
      <c r="T14" s="390">
        <f>'COGS-PRICE-MARGIN_CWS'!$B55*T13</f>
        <v>15294580</v>
      </c>
      <c r="U14" s="390">
        <f>'COGS-PRICE-MARGIN_CWS'!$B55*U13</f>
        <v>15294580</v>
      </c>
      <c r="V14" s="390">
        <f>'COGS-PRICE-MARGIN_CWS'!$B55*V13</f>
        <v>15294580</v>
      </c>
      <c r="W14" s="390">
        <f>'COGS-PRICE-MARGIN_CWS'!$B55*W13</f>
        <v>15294580</v>
      </c>
      <c r="X14" s="390">
        <f>'COGS-PRICE-MARGIN_CWS'!$B55*X13</f>
        <v>15294580</v>
      </c>
      <c r="Y14" s="390">
        <f>'COGS-PRICE-MARGIN_CWS'!$B55*Y13</f>
        <v>15294580</v>
      </c>
      <c r="Z14" s="390">
        <f>'COGS-PRICE-MARGIN_CWS'!$B55*Z13</f>
        <v>10201380</v>
      </c>
      <c r="AA14" s="390">
        <f>'COGS-PRICE-MARGIN_CWS'!$B105*AA13</f>
        <v>11636763.6</v>
      </c>
      <c r="AB14" s="390">
        <f>'COGS-PRICE-MARGIN_CWS'!$B105*AB13</f>
        <v>18609204.600000001</v>
      </c>
      <c r="AC14" s="390">
        <f>'COGS-PRICE-MARGIN_CWS'!$B105*AC13</f>
        <v>20933351.600000001</v>
      </c>
      <c r="AD14" s="390">
        <f>'COGS-PRICE-MARGIN_CWS'!$B105*AD13</f>
        <v>20933351.600000001</v>
      </c>
      <c r="AE14" s="390">
        <f>'COGS-PRICE-MARGIN_CWS'!$B105*AE13</f>
        <v>20933351.600000001</v>
      </c>
      <c r="AF14" s="390">
        <f>'COGS-PRICE-MARGIN_CWS'!$B105*AF13</f>
        <v>20933351.600000001</v>
      </c>
      <c r="AG14" s="390">
        <f>'COGS-PRICE-MARGIN_CWS'!$B105*AG13</f>
        <v>20933351.600000001</v>
      </c>
      <c r="AH14" s="390">
        <f>'COGS-PRICE-MARGIN_CWS'!$B105*AH13</f>
        <v>20933351.600000001</v>
      </c>
      <c r="AI14" s="390">
        <f>'COGS-PRICE-MARGIN_CWS'!$B105*AI13</f>
        <v>20933351.600000001</v>
      </c>
      <c r="AJ14" s="390">
        <f>'COGS-PRICE-MARGIN_CWS'!$B105*AJ13</f>
        <v>20933351.600000001</v>
      </c>
      <c r="AK14" s="390">
        <f>'COGS-PRICE-MARGIN_CWS'!$B105*AK13</f>
        <v>20933351.600000001</v>
      </c>
      <c r="AL14" s="390">
        <f>'COGS-PRICE-MARGIN_CWS'!$B105*AL13</f>
        <v>13960910.6</v>
      </c>
      <c r="AM14" s="390">
        <f>'COGS-PRICE-MARGIN_CWS'!$B155*AM13</f>
        <v>32054475.138000004</v>
      </c>
      <c r="AN14" s="390">
        <f>'COGS-PRICE-MARGIN_CWS'!$B155*AN13</f>
        <v>51297450.58200001</v>
      </c>
      <c r="AO14" s="390">
        <f>'COGS-PRICE-MARGIN_CWS'!$B155*AO13</f>
        <v>57711775.730000012</v>
      </c>
      <c r="AP14" s="390">
        <f>'COGS-PRICE-MARGIN_CWS'!$B155*AP13</f>
        <v>57711775.730000012</v>
      </c>
      <c r="AQ14" s="390">
        <f>'COGS-PRICE-MARGIN_CWS'!$B155*AQ13</f>
        <v>57711775.730000012</v>
      </c>
      <c r="AR14" s="390">
        <f>'COGS-PRICE-MARGIN_CWS'!$B155*AR13</f>
        <v>57711775.730000012</v>
      </c>
      <c r="AS14" s="390">
        <f>'COGS-PRICE-MARGIN_CWS'!$B155*AS13</f>
        <v>57711775.730000012</v>
      </c>
      <c r="AT14" s="390">
        <f>'COGS-PRICE-MARGIN_CWS'!$B155*AT13</f>
        <v>57711775.730000012</v>
      </c>
      <c r="AU14" s="390">
        <f>'COGS-PRICE-MARGIN_CWS'!$B155*AU13</f>
        <v>57711775.730000012</v>
      </c>
      <c r="AV14" s="390">
        <f>'COGS-PRICE-MARGIN_CWS'!$B155*AV13</f>
        <v>57711775.730000012</v>
      </c>
      <c r="AW14" s="390">
        <f>'COGS-PRICE-MARGIN_CWS'!$B155*AW13</f>
        <v>57711775.730000012</v>
      </c>
      <c r="AX14" s="390">
        <f>'COGS-PRICE-MARGIN_CWS'!$B155*AX13</f>
        <v>38468800.286000006</v>
      </c>
      <c r="AY14" s="390">
        <f>'COGS-PRICE-MARGIN_CWS'!$B205*AY13</f>
        <v>35325952.469500005</v>
      </c>
      <c r="AZ14" s="390">
        <f>'COGS-PRICE-MARGIN_CWS'!$B205*AZ13</f>
        <v>56539875.095340014</v>
      </c>
      <c r="BA14" s="390">
        <f>'COGS-PRICE-MARGIN_CWS'!$B205*BA13</f>
        <v>63605065.589240015</v>
      </c>
      <c r="BB14" s="390">
        <f>'COGS-PRICE-MARGIN_CWS'!$B205*BB13</f>
        <v>63605065.589240015</v>
      </c>
      <c r="BC14" s="390">
        <f>'COGS-PRICE-MARGIN_CWS'!$B205*BC13</f>
        <v>63605065.589240015</v>
      </c>
      <c r="BD14" s="390">
        <f>'COGS-PRICE-MARGIN_CWS'!$B205*BD13</f>
        <v>63605065.589240015</v>
      </c>
      <c r="BE14" s="390">
        <f>'COGS-PRICE-MARGIN_CWS'!$B205*BE13</f>
        <v>63605065.589240015</v>
      </c>
      <c r="BF14" s="390">
        <f>'COGS-PRICE-MARGIN_CWS'!$B205*BF13</f>
        <v>63605065.589240015</v>
      </c>
      <c r="BG14" s="390">
        <f>'COGS-PRICE-MARGIN_CWS'!$B205*BG13</f>
        <v>63605065.589240015</v>
      </c>
      <c r="BH14" s="390">
        <f>'COGS-PRICE-MARGIN_CWS'!$B205*BH13</f>
        <v>63605065.589240015</v>
      </c>
      <c r="BI14" s="390">
        <f>'COGS-PRICE-MARGIN_CWS'!$B205*BI13</f>
        <v>63605065.589240015</v>
      </c>
      <c r="BJ14" s="390">
        <f>'COGS-PRICE-MARGIN_CWS'!$B205*BJ13</f>
        <v>42409494.107540011</v>
      </c>
      <c r="BK14" s="391">
        <f>SUM(C14:BJ14)</f>
        <v>1779314762.7515411</v>
      </c>
    </row>
    <row r="15" spans="1:63" outlineLevel="1" x14ac:dyDescent="0.15">
      <c r="A15" s="47" t="s">
        <v>332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333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389">
        <f t="shared" si="10"/>
        <v>1092000</v>
      </c>
      <c r="G17" s="389">
        <f t="shared" si="10"/>
        <v>1498000</v>
      </c>
      <c r="H17" s="389">
        <f t="shared" si="10"/>
        <v>2226000</v>
      </c>
      <c r="I17" s="389">
        <f t="shared" si="10"/>
        <v>2786000</v>
      </c>
      <c r="J17" s="389">
        <f t="shared" si="10"/>
        <v>3346000</v>
      </c>
      <c r="K17" s="389">
        <f t="shared" si="10"/>
        <v>3906000</v>
      </c>
      <c r="L17" s="389">
        <f t="shared" si="10"/>
        <v>4466000</v>
      </c>
      <c r="M17" s="389">
        <f t="shared" si="10"/>
        <v>5026000</v>
      </c>
      <c r="N17" s="389">
        <f t="shared" si="10"/>
        <v>4466000</v>
      </c>
      <c r="O17" s="389">
        <f t="shared" si="10"/>
        <v>8493660</v>
      </c>
      <c r="P17" s="389">
        <f t="shared" si="10"/>
        <v>13601840</v>
      </c>
      <c r="Q17" s="389">
        <f t="shared" si="10"/>
        <v>15294580</v>
      </c>
      <c r="R17" s="389">
        <f t="shared" si="10"/>
        <v>15294580</v>
      </c>
      <c r="S17" s="389">
        <f t="shared" si="10"/>
        <v>15294580</v>
      </c>
      <c r="T17" s="389">
        <f t="shared" si="10"/>
        <v>15294580</v>
      </c>
      <c r="U17" s="389">
        <f t="shared" si="10"/>
        <v>15294580</v>
      </c>
      <c r="V17" s="389">
        <f t="shared" si="10"/>
        <v>15294580</v>
      </c>
      <c r="W17" s="389">
        <f t="shared" si="10"/>
        <v>15294580</v>
      </c>
      <c r="X17" s="389">
        <f t="shared" si="10"/>
        <v>15294580</v>
      </c>
      <c r="Y17" s="389">
        <f t="shared" si="10"/>
        <v>15294580</v>
      </c>
      <c r="Z17" s="389">
        <f t="shared" si="10"/>
        <v>10201380</v>
      </c>
      <c r="AA17" s="389">
        <f t="shared" si="10"/>
        <v>11636763.6</v>
      </c>
      <c r="AB17" s="389">
        <f t="shared" si="10"/>
        <v>18609204.600000001</v>
      </c>
      <c r="AC17" s="389">
        <f t="shared" si="10"/>
        <v>20933351.600000001</v>
      </c>
      <c r="AD17" s="389">
        <f t="shared" si="10"/>
        <v>20933351.600000001</v>
      </c>
      <c r="AE17" s="389">
        <f t="shared" si="10"/>
        <v>20933351.600000001</v>
      </c>
      <c r="AF17" s="389">
        <f t="shared" si="10"/>
        <v>20933351.600000001</v>
      </c>
      <c r="AG17" s="389">
        <f t="shared" si="10"/>
        <v>20933351.600000001</v>
      </c>
      <c r="AH17" s="389">
        <f t="shared" si="10"/>
        <v>20933351.600000001</v>
      </c>
      <c r="AI17" s="389">
        <f t="shared" ref="AI17:BJ17" si="11">AI14*(1-AI15)</f>
        <v>20933351.600000001</v>
      </c>
      <c r="AJ17" s="389">
        <f t="shared" si="11"/>
        <v>20933351.600000001</v>
      </c>
      <c r="AK17" s="389">
        <f t="shared" si="11"/>
        <v>20933351.600000001</v>
      </c>
      <c r="AL17" s="389">
        <f t="shared" si="11"/>
        <v>13960910.6</v>
      </c>
      <c r="AM17" s="389">
        <f t="shared" si="11"/>
        <v>32054475.138000004</v>
      </c>
      <c r="AN17" s="389">
        <f t="shared" si="11"/>
        <v>51297450.58200001</v>
      </c>
      <c r="AO17" s="389">
        <f t="shared" si="11"/>
        <v>57711775.730000012</v>
      </c>
      <c r="AP17" s="389">
        <f t="shared" si="11"/>
        <v>57711775.730000012</v>
      </c>
      <c r="AQ17" s="389">
        <f t="shared" si="11"/>
        <v>57711775.730000012</v>
      </c>
      <c r="AR17" s="389">
        <f t="shared" si="11"/>
        <v>57711775.730000012</v>
      </c>
      <c r="AS17" s="389">
        <f t="shared" si="11"/>
        <v>57711775.730000012</v>
      </c>
      <c r="AT17" s="389">
        <f t="shared" si="11"/>
        <v>57711775.730000012</v>
      </c>
      <c r="AU17" s="389">
        <f t="shared" si="11"/>
        <v>57711775.730000012</v>
      </c>
      <c r="AV17" s="389">
        <f t="shared" si="11"/>
        <v>57711775.730000012</v>
      </c>
      <c r="AW17" s="389">
        <f t="shared" si="11"/>
        <v>57711775.730000012</v>
      </c>
      <c r="AX17" s="389">
        <f t="shared" si="11"/>
        <v>38468800.286000006</v>
      </c>
      <c r="AY17" s="389">
        <f t="shared" si="11"/>
        <v>35325952.469500005</v>
      </c>
      <c r="AZ17" s="389">
        <f t="shared" si="11"/>
        <v>56539875.095340014</v>
      </c>
      <c r="BA17" s="389">
        <f t="shared" si="11"/>
        <v>63605065.589240015</v>
      </c>
      <c r="BB17" s="389">
        <f t="shared" si="11"/>
        <v>63605065.589240015</v>
      </c>
      <c r="BC17" s="389">
        <f t="shared" si="11"/>
        <v>63605065.589240015</v>
      </c>
      <c r="BD17" s="389">
        <f t="shared" si="11"/>
        <v>63605065.589240015</v>
      </c>
      <c r="BE17" s="389">
        <f t="shared" si="11"/>
        <v>63605065.589240015</v>
      </c>
      <c r="BF17" s="389">
        <f t="shared" si="11"/>
        <v>63605065.589240015</v>
      </c>
      <c r="BG17" s="389">
        <f t="shared" si="11"/>
        <v>63605065.589240015</v>
      </c>
      <c r="BH17" s="389">
        <f t="shared" si="11"/>
        <v>63605065.589240015</v>
      </c>
      <c r="BI17" s="389">
        <f t="shared" si="11"/>
        <v>63605065.589240015</v>
      </c>
      <c r="BJ17" s="389">
        <f t="shared" si="11"/>
        <v>42409494.107540011</v>
      </c>
      <c r="BK17" s="391">
        <f>SUM(C17:BJ17)</f>
        <v>1779314762.7515411</v>
      </c>
    </row>
    <row r="18" spans="1:63" outlineLevel="1" x14ac:dyDescent="0.15">
      <c r="A18" s="33"/>
    </row>
    <row r="19" spans="1:63" outlineLevel="1" x14ac:dyDescent="0.15">
      <c r="A19" s="16" t="s">
        <v>302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390">
        <f>'COGS-PRICE-MARGIN_CWS'!$E5*C13</f>
        <v>0</v>
      </c>
      <c r="D21" s="390">
        <f>'COGS-PRICE-MARGIN_CWS'!$E5*D13</f>
        <v>0</v>
      </c>
      <c r="E21" s="390">
        <f>'COGS-PRICE-MARGIN_CWS'!$E5*E13</f>
        <v>0</v>
      </c>
      <c r="F21" s="390">
        <f>CostoVentaPDiarioAN1*F13</f>
        <v>741000</v>
      </c>
      <c r="G21" s="390">
        <f>'COGS-PRICE-MARGIN_CWS'!$E5*G13</f>
        <v>1016500</v>
      </c>
      <c r="H21" s="390">
        <f>'COGS-PRICE-MARGIN_CWS'!$E5*H13</f>
        <v>1510500</v>
      </c>
      <c r="I21" s="390">
        <f>'COGS-PRICE-MARGIN_CWS'!$E5*I13</f>
        <v>1890500</v>
      </c>
      <c r="J21" s="390">
        <f>'COGS-PRICE-MARGIN_CWS'!$E5*J13</f>
        <v>2270500</v>
      </c>
      <c r="K21" s="390">
        <f>'COGS-PRICE-MARGIN_CWS'!$E5*K13</f>
        <v>2650500</v>
      </c>
      <c r="L21" s="390">
        <f>'COGS-PRICE-MARGIN_CWS'!$E5*L13</f>
        <v>3030500</v>
      </c>
      <c r="M21" s="390">
        <f>'COGS-PRICE-MARGIN_CWS'!$E5*M13</f>
        <v>3410500</v>
      </c>
      <c r="N21" s="390">
        <f>'COGS-PRICE-MARGIN_CWS'!$E5*N13</f>
        <v>3030500</v>
      </c>
      <c r="O21" s="390">
        <f>'COGS-PRICE-MARGIN_CWS'!$E55*O13</f>
        <v>5763555</v>
      </c>
      <c r="P21" s="390">
        <f>'COGS-PRICE-MARGIN_CWS'!$E55*P13</f>
        <v>9229820</v>
      </c>
      <c r="Q21" s="390">
        <f>'COGS-PRICE-MARGIN_CWS'!$E55*Q13</f>
        <v>10378465</v>
      </c>
      <c r="R21" s="390">
        <f>'COGS-PRICE-MARGIN_CWS'!$E55*R13</f>
        <v>10378465</v>
      </c>
      <c r="S21" s="390">
        <f>'COGS-PRICE-MARGIN_CWS'!$E55*S13</f>
        <v>10378465</v>
      </c>
      <c r="T21" s="390">
        <f>'COGS-PRICE-MARGIN_CWS'!$E55*T13</f>
        <v>10378465</v>
      </c>
      <c r="U21" s="390">
        <f>'COGS-PRICE-MARGIN_CWS'!$E55*U13</f>
        <v>10378465</v>
      </c>
      <c r="V21" s="390">
        <f>'COGS-PRICE-MARGIN_CWS'!$E55*V13</f>
        <v>10378465</v>
      </c>
      <c r="W21" s="390">
        <f>'COGS-PRICE-MARGIN_CWS'!$E55*W13</f>
        <v>10378465</v>
      </c>
      <c r="X21" s="390">
        <f>'COGS-PRICE-MARGIN_CWS'!$E55*X13</f>
        <v>10378465</v>
      </c>
      <c r="Y21" s="390">
        <f>'COGS-PRICE-MARGIN_CWS'!$E55*Y13</f>
        <v>10378465</v>
      </c>
      <c r="Z21" s="390">
        <f>'COGS-PRICE-MARGIN_CWS'!$E55*Z$13</f>
        <v>6922365</v>
      </c>
      <c r="AA21" s="390">
        <f>'COGS-PRICE-MARGIN_CWS'!$E105*AA$13</f>
        <v>7896375.3000000007</v>
      </c>
      <c r="AB21" s="390">
        <f>'COGS-PRICE-MARGIN_CWS'!$E105*AB$13</f>
        <v>12627674.550000001</v>
      </c>
      <c r="AC21" s="390">
        <f>'COGS-PRICE-MARGIN_CWS'!$E105*AC$13</f>
        <v>14204774.300000001</v>
      </c>
      <c r="AD21" s="390">
        <f>'COGS-PRICE-MARGIN_CWS'!$E105*AD$13</f>
        <v>14204774.300000001</v>
      </c>
      <c r="AE21" s="390">
        <f>'COGS-PRICE-MARGIN_CWS'!$E105*AE$13</f>
        <v>14204774.300000001</v>
      </c>
      <c r="AF21" s="390">
        <f>'COGS-PRICE-MARGIN_CWS'!$E105*AF$13</f>
        <v>14204774.300000001</v>
      </c>
      <c r="AG21" s="390">
        <f>'COGS-PRICE-MARGIN_CWS'!$E105*AG$13</f>
        <v>14204774.300000001</v>
      </c>
      <c r="AH21" s="390">
        <f>'COGS-PRICE-MARGIN_CWS'!$E105*AH$13</f>
        <v>14204774.300000001</v>
      </c>
      <c r="AI21" s="390">
        <f>'COGS-PRICE-MARGIN_CWS'!$E105*AI$13</f>
        <v>14204774.300000001</v>
      </c>
      <c r="AJ21" s="390">
        <f>'COGS-PRICE-MARGIN_CWS'!$E105*AJ$13</f>
        <v>14204774.300000001</v>
      </c>
      <c r="AK21" s="390">
        <f>'COGS-PRICE-MARGIN_CWS'!$E105*AK$13</f>
        <v>14204774.300000001</v>
      </c>
      <c r="AL21" s="390">
        <f>'COGS-PRICE-MARGIN_CWS'!$E105*AL$13</f>
        <v>9473475.0500000007</v>
      </c>
      <c r="AM21" s="390">
        <f>'COGS-PRICE-MARGIN_CWS'!$E155*AM$13</f>
        <v>21751250.986500002</v>
      </c>
      <c r="AN21" s="390">
        <f>'COGS-PRICE-MARGIN_CWS'!$E155*AN$13</f>
        <v>34808984.323500007</v>
      </c>
      <c r="AO21" s="390">
        <f>'COGS-PRICE-MARGIN_CWS'!$E155*AO$13</f>
        <v>39161562.102500007</v>
      </c>
      <c r="AP21" s="390">
        <f>'COGS-PRICE-MARGIN_CWS'!$E155*AP$13</f>
        <v>39161562.102500007</v>
      </c>
      <c r="AQ21" s="390">
        <f>'COGS-PRICE-MARGIN_CWS'!$E155*AQ$13</f>
        <v>39161562.102500007</v>
      </c>
      <c r="AR21" s="390">
        <f>'COGS-PRICE-MARGIN_CWS'!$E155*AR$13</f>
        <v>39161562.102500007</v>
      </c>
      <c r="AS21" s="390">
        <f>'COGS-PRICE-MARGIN_CWS'!$E155*AS$13</f>
        <v>39161562.102500007</v>
      </c>
      <c r="AT21" s="390">
        <f>'COGS-PRICE-MARGIN_CWS'!$E155*AT$13</f>
        <v>39161562.102500007</v>
      </c>
      <c r="AU21" s="390">
        <f>'COGS-PRICE-MARGIN_CWS'!$E155*AU$13</f>
        <v>39161562.102500007</v>
      </c>
      <c r="AV21" s="390">
        <f>'COGS-PRICE-MARGIN_CWS'!$E155*AV$13</f>
        <v>39161562.102500007</v>
      </c>
      <c r="AW21" s="390">
        <f>'COGS-PRICE-MARGIN_CWS'!$E155*AW$13</f>
        <v>39161562.102500007</v>
      </c>
      <c r="AX21" s="390">
        <f>'COGS-PRICE-MARGIN_CWS'!$E155*AX$13</f>
        <v>26103828.765500002</v>
      </c>
      <c r="AY21" s="390">
        <f>'COGS-PRICE-MARGIN_CWS'!$E205*AY$13</f>
        <v>23971182.032875005</v>
      </c>
      <c r="AZ21" s="390">
        <f>'COGS-PRICE-MARGIN_CWS'!$E205*AZ$13</f>
        <v>38366343.814695008</v>
      </c>
      <c r="BA21" s="390">
        <f>'COGS-PRICE-MARGIN_CWS'!$E205*BA$13</f>
        <v>43160580.22127001</v>
      </c>
      <c r="BB21" s="390">
        <f>'COGS-PRICE-MARGIN_CWS'!$E205*BB$13</f>
        <v>43160580.22127001</v>
      </c>
      <c r="BC21" s="390">
        <f>'COGS-PRICE-MARGIN_CWS'!$E205*BC$13</f>
        <v>43160580.22127001</v>
      </c>
      <c r="BD21" s="390">
        <f>'COGS-PRICE-MARGIN_CWS'!$E205*BD$13</f>
        <v>43160580.22127001</v>
      </c>
      <c r="BE21" s="390">
        <f>'COGS-PRICE-MARGIN_CWS'!$E205*BE$13</f>
        <v>43160580.22127001</v>
      </c>
      <c r="BF21" s="390">
        <f>'COGS-PRICE-MARGIN_CWS'!$E205*BF$13</f>
        <v>43160580.22127001</v>
      </c>
      <c r="BG21" s="390">
        <f>'COGS-PRICE-MARGIN_CWS'!$E205*BG$13</f>
        <v>43160580.22127001</v>
      </c>
      <c r="BH21" s="390">
        <f>'COGS-PRICE-MARGIN_CWS'!$E205*BH$13</f>
        <v>43160580.22127001</v>
      </c>
      <c r="BI21" s="390">
        <f>'COGS-PRICE-MARGIN_CWS'!$E205*BI$13</f>
        <v>43160580.22127001</v>
      </c>
      <c r="BJ21" s="390">
        <f>'COGS-PRICE-MARGIN_CWS'!$E205*BJ$13</f>
        <v>28777871.001545008</v>
      </c>
      <c r="BK21" s="391">
        <f t="shared" ref="BK21:BK26" si="12">SUM(C21:BJ21)</f>
        <v>1207392160.438545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 t="shared" si="12"/>
        <v>0</v>
      </c>
    </row>
    <row r="23" spans="1:63" outlineLevel="1" x14ac:dyDescent="0.15">
      <c r="A23" s="17" t="s">
        <v>317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 t="shared" si="12"/>
        <v>0</v>
      </c>
    </row>
    <row r="24" spans="1:63" outlineLevel="1" x14ac:dyDescent="0.15">
      <c r="A24" s="17" t="s">
        <v>315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 t="shared" si="12"/>
        <v>0</v>
      </c>
    </row>
    <row r="25" spans="1:63" outlineLevel="1" x14ac:dyDescent="0.15">
      <c r="A25" s="47" t="s">
        <v>176</v>
      </c>
      <c r="C25" s="12">
        <f>'COGS-PRICE-MARGIN_CWS'!$E15*C$13</f>
        <v>0</v>
      </c>
      <c r="D25" s="12">
        <f>'COGS-PRICE-MARGIN_CWS'!$E15*D$13</f>
        <v>0</v>
      </c>
      <c r="E25" s="12">
        <f>'COGS-PRICE-MARGIN_CWS'!$E15*E$13</f>
        <v>0</v>
      </c>
      <c r="F25" s="12">
        <f>CostoVentaDiarioLocalAN1*$F$36</f>
        <v>0</v>
      </c>
      <c r="G25" s="12">
        <f>CostoVentaDiarioLocalAN1*$F$36</f>
        <v>0</v>
      </c>
      <c r="H25" s="12">
        <f>CostoVentaDiarioLocalAN1*$F$36</f>
        <v>0</v>
      </c>
      <c r="I25" s="12">
        <f>CostoVentaDiarioLocalAN1*$F$36</f>
        <v>0</v>
      </c>
      <c r="J25" s="12">
        <f>CostoVentaDiarioLocalAN1*$F$36</f>
        <v>0</v>
      </c>
      <c r="K25" s="12">
        <f>CostoVentaDiarioLocalAN1*$F$36</f>
        <v>0</v>
      </c>
      <c r="L25" s="12">
        <f>CostoVentaDiarioLocalAN1*$F$36</f>
        <v>0</v>
      </c>
      <c r="M25" s="12">
        <f>CostoVentaDiarioLocalAN1*$F$36</f>
        <v>0</v>
      </c>
      <c r="N25" s="12">
        <f>CostoVentaDiarioLocalAN1*$F$36</f>
        <v>0</v>
      </c>
      <c r="O25" s="12">
        <f>CostoVentaDiarioLocalAN1*$F$36</f>
        <v>0</v>
      </c>
      <c r="P25" s="12">
        <f>CostoVentaDiarioLocalAN1*$F$36</f>
        <v>0</v>
      </c>
      <c r="Q25" s="12">
        <f>CostoVentaDiarioLocalAN1*$F$36</f>
        <v>0</v>
      </c>
      <c r="R25" s="12">
        <f>CostoVentaDiarioLocalAN1*$F$36</f>
        <v>0</v>
      </c>
      <c r="S25" s="12">
        <f>CostoVentaDiarioLocalAN1*$F$36</f>
        <v>0</v>
      </c>
      <c r="T25" s="12">
        <f>CostoVentaDiarioLocalAN1*$F$36</f>
        <v>0</v>
      </c>
      <c r="U25" s="12">
        <f>CostoVentaDiarioLocalAN1*$F$36</f>
        <v>0</v>
      </c>
      <c r="V25" s="12">
        <f>CostoVentaDiarioLocalAN1*$F$36</f>
        <v>0</v>
      </c>
      <c r="W25" s="12">
        <f>CostoVentaDiarioLocalAN1*$F$36</f>
        <v>0</v>
      </c>
      <c r="X25" s="12">
        <f>CostoVentaDiarioLocalAN1*$F$36</f>
        <v>0</v>
      </c>
      <c r="Y25" s="12">
        <f>CostoVentaDiarioLocalAN1*$F$36</f>
        <v>0</v>
      </c>
      <c r="Z25" s="12">
        <f>CostoVentaDiarioLocalAN1*$F$36</f>
        <v>0</v>
      </c>
      <c r="AA25" s="12">
        <f>CostoVentaDiarioLocalAN1*$F$36</f>
        <v>0</v>
      </c>
      <c r="AB25" s="12">
        <f>CostoVentaDiarioLocalAN1*$F$36</f>
        <v>0</v>
      </c>
      <c r="AC25" s="12">
        <f>CostoVentaDiarioLocalAN1*$F$36</f>
        <v>0</v>
      </c>
      <c r="AD25" s="12">
        <f>CostoVentaDiarioLocalAN1*$F$36</f>
        <v>0</v>
      </c>
      <c r="AE25" s="12">
        <f>CostoVentaDiarioLocalAN1*$F$36</f>
        <v>0</v>
      </c>
      <c r="AF25" s="12">
        <f>CostoVentaDiarioLocalAN1*$F$36</f>
        <v>0</v>
      </c>
      <c r="AG25" s="12">
        <f>CostoVentaDiarioLocalAN1*$F$36</f>
        <v>0</v>
      </c>
      <c r="AH25" s="12">
        <f>CostoVentaDiarioLocalAN1*$F$36</f>
        <v>0</v>
      </c>
      <c r="AI25" s="12">
        <f>CostoVentaDiarioLocalAN1*$F$36</f>
        <v>0</v>
      </c>
      <c r="AJ25" s="12">
        <f>CostoVentaDiarioLocalAN1*$F$36</f>
        <v>0</v>
      </c>
      <c r="AK25" s="12">
        <f>CostoVentaDiarioLocalAN1*$F$36</f>
        <v>0</v>
      </c>
      <c r="AL25" s="12">
        <f>CostoVentaDiarioLocalAN1*$F$36</f>
        <v>0</v>
      </c>
      <c r="AM25" s="12">
        <f>CostoVentaDiarioLocalAN1*$F$36</f>
        <v>0</v>
      </c>
      <c r="AN25" s="12">
        <f>CostoVentaDiarioLocalAN1*$F$36</f>
        <v>0</v>
      </c>
      <c r="AO25" s="12">
        <f>CostoVentaDiarioLocalAN1*$F$36</f>
        <v>0</v>
      </c>
      <c r="AP25" s="12">
        <f>CostoVentaDiarioLocalAN1*$F$36</f>
        <v>0</v>
      </c>
      <c r="AQ25" s="12">
        <f>CostoVentaDiarioLocalAN1*$F$36</f>
        <v>0</v>
      </c>
      <c r="AR25" s="12">
        <f>CostoVentaDiarioLocalAN1*$F$36</f>
        <v>0</v>
      </c>
      <c r="AS25" s="12">
        <f>CostoVentaDiarioLocalAN1*$F$36</f>
        <v>0</v>
      </c>
      <c r="AT25" s="12">
        <f>CostoVentaDiarioLocalAN1*$F$36</f>
        <v>0</v>
      </c>
      <c r="AU25" s="12">
        <f>CostoVentaDiarioLocalAN1*$F$36</f>
        <v>0</v>
      </c>
      <c r="AV25" s="12">
        <f>CostoVentaDiarioLocalAN1*$F$36</f>
        <v>0</v>
      </c>
      <c r="AW25" s="12">
        <f>CostoVentaDiarioLocalAN1*$F$36</f>
        <v>0</v>
      </c>
      <c r="AX25" s="12">
        <f>CostoVentaDiarioLocalAN1*$F$36</f>
        <v>0</v>
      </c>
      <c r="AY25" s="12">
        <f>CostoVentaDiarioLocalAN1*$F$36</f>
        <v>0</v>
      </c>
      <c r="AZ25" s="12">
        <f>CostoVentaDiarioLocalAN1*$F$36</f>
        <v>0</v>
      </c>
      <c r="BA25" s="12">
        <f>CostoVentaDiarioLocalAN1*$F$36</f>
        <v>0</v>
      </c>
      <c r="BB25" s="12">
        <f>CostoVentaDiarioLocalAN1*$F$36</f>
        <v>0</v>
      </c>
      <c r="BC25" s="12">
        <f>CostoVentaDiarioLocalAN1*$F$36</f>
        <v>0</v>
      </c>
      <c r="BD25" s="12">
        <f>CostoVentaDiarioLocalAN1*$F$36</f>
        <v>0</v>
      </c>
      <c r="BE25" s="12">
        <f>CostoVentaDiarioLocalAN1*$F$36</f>
        <v>0</v>
      </c>
      <c r="BF25" s="12">
        <f>CostoVentaDiarioLocalAN1*$F$36</f>
        <v>0</v>
      </c>
      <c r="BG25" s="12">
        <f>CostoVentaDiarioLocalAN1*$F$36</f>
        <v>0</v>
      </c>
      <c r="BH25" s="12">
        <f>CostoVentaDiarioLocalAN1*$F$36</f>
        <v>0</v>
      </c>
      <c r="BI25" s="12">
        <f>CostoVentaDiarioLocalAN1*$F$36</f>
        <v>0</v>
      </c>
      <c r="BJ25" s="12">
        <f>CostoVentaDiarioLocalAN1*$F$36</f>
        <v>0</v>
      </c>
      <c r="BK25" s="118">
        <f t="shared" si="12"/>
        <v>0</v>
      </c>
    </row>
    <row r="26" spans="1:63" s="390" customFormat="1" outlineLevel="1" x14ac:dyDescent="0.15">
      <c r="A26" s="417" t="s">
        <v>1268</v>
      </c>
      <c r="C26" s="390">
        <f>'COGS-PRICE-MARGIN_CWS'!$E49*C$13</f>
        <v>0</v>
      </c>
      <c r="D26" s="390">
        <f>'COGS-PRICE-MARGIN_CWS'!$E49*D$13</f>
        <v>0</v>
      </c>
      <c r="E26" s="390">
        <f>'COGS-PRICE-MARGIN_CWS'!$E49*E$13</f>
        <v>0</v>
      </c>
      <c r="F26" s="390">
        <f>CostoVentaDiarioDomicilioAN1*F$37</f>
        <v>0</v>
      </c>
      <c r="G26" s="390">
        <f>CostoVentaDiarioDomicilioAN1*G$37</f>
        <v>0</v>
      </c>
      <c r="H26" s="390">
        <f>CostoVentaDiarioDomicilioAN1*H$37</f>
        <v>48000</v>
      </c>
      <c r="I26" s="390">
        <f>CostoVentaDiarioDomicilioAN1*I$37</f>
        <v>60000</v>
      </c>
      <c r="J26" s="390">
        <f>CostoVentaDiarioDomicilioAN1*J$37</f>
        <v>72000</v>
      </c>
      <c r="K26" s="390">
        <f>CostoVentaDiarioDomicilioAN1*K$37</f>
        <v>84000</v>
      </c>
      <c r="L26" s="390">
        <f>CostoVentaDiarioDomicilioAN1*L$37</f>
        <v>96000</v>
      </c>
      <c r="M26" s="390">
        <f>CostoVentaDiarioDomicilioAN1*M$37</f>
        <v>108000</v>
      </c>
      <c r="N26" s="390">
        <f>CostoVentaDiarioDomicilioAN1*N$37</f>
        <v>96000</v>
      </c>
      <c r="O26" s="390">
        <f>CostoVentaDiarioDomicilioAN1*O$37</f>
        <v>184800</v>
      </c>
      <c r="P26" s="390">
        <f>CostoVentaDiarioDomicilioAN1*P$37</f>
        <v>295200</v>
      </c>
      <c r="Q26" s="390">
        <f>CostoVentaDiarioDomicilioAN1*Q$37</f>
        <v>331200</v>
      </c>
      <c r="R26" s="390">
        <f>CostoVentaDiarioDomicilioAN1*R$37</f>
        <v>331200</v>
      </c>
      <c r="S26" s="390">
        <f>CostoVentaDiarioDomicilioAN1*S$37</f>
        <v>331200</v>
      </c>
      <c r="T26" s="390">
        <f>CostoVentaDiarioDomicilioAN1*T$37</f>
        <v>331200</v>
      </c>
      <c r="U26" s="390">
        <f>CostoVentaDiarioDomicilioAN1*U$37</f>
        <v>331200</v>
      </c>
      <c r="V26" s="390">
        <f>CostoVentaDiarioDomicilioAN1*V$37</f>
        <v>331200</v>
      </c>
      <c r="W26" s="390">
        <f>CostoVentaDiarioDomicilioAN1*W$37</f>
        <v>331200</v>
      </c>
      <c r="X26" s="390">
        <f>CostoVentaDiarioDomicilioAN1*X$37</f>
        <v>331200</v>
      </c>
      <c r="Y26" s="390">
        <f>CostoVentaDiarioDomicilioAN1*Y$37</f>
        <v>331200</v>
      </c>
      <c r="Z26" s="390">
        <f>CostoVentaDiarioDomicilioAN1*Z$37</f>
        <v>220800</v>
      </c>
      <c r="AA26" s="390">
        <f>CostoVentaDiarioDomicilioAN1*AA$37</f>
        <v>271200</v>
      </c>
      <c r="AB26" s="390">
        <f>CostoVentaDiarioDomicilioAN1*AB$37</f>
        <v>432000</v>
      </c>
      <c r="AC26" s="390">
        <f>CostoVentaDiarioDomicilioAN1*AC$37</f>
        <v>486000</v>
      </c>
      <c r="AD26" s="390">
        <f>CostoVentaDiarioDomicilioAN1*AD$37</f>
        <v>486000</v>
      </c>
      <c r="AE26" s="390">
        <f>CostoVentaDiarioDomicilioAN1*AE$37</f>
        <v>486000</v>
      </c>
      <c r="AF26" s="390">
        <f>CostoVentaDiarioDomicilioAN1*AF$37</f>
        <v>486000</v>
      </c>
      <c r="AG26" s="390">
        <f>CostoVentaDiarioDomicilioAN1*AG$37</f>
        <v>486000</v>
      </c>
      <c r="AH26" s="390">
        <f>CostoVentaDiarioDomicilioAN1*AH$37</f>
        <v>486000</v>
      </c>
      <c r="AI26" s="390">
        <f>CostoVentaDiarioDomicilioAN1*AI$37</f>
        <v>486000</v>
      </c>
      <c r="AJ26" s="390">
        <f>CostoVentaDiarioDomicilioAN1*AJ$37</f>
        <v>486000</v>
      </c>
      <c r="AK26" s="390">
        <f>CostoVentaDiarioDomicilioAN1*AK$37</f>
        <v>486000</v>
      </c>
      <c r="AL26" s="390">
        <f>CostoVentaDiarioDomicilioAN1*AL$37</f>
        <v>325200</v>
      </c>
      <c r="AM26" s="390">
        <f>CostoVentaDiarioDomicilioAN1*AM$37</f>
        <v>673200</v>
      </c>
      <c r="AN26" s="390">
        <f>CostoVentaDiarioDomicilioAN1*AN$37</f>
        <v>1077600</v>
      </c>
      <c r="AO26" s="390">
        <f>CostoVentaDiarioDomicilioAN1*AO$37</f>
        <v>1212000</v>
      </c>
      <c r="AP26" s="390">
        <f>CostoVentaDiarioDomicilioAN1*AP$37</f>
        <v>1212000</v>
      </c>
      <c r="AQ26" s="390">
        <f>CostoVentaDiarioDomicilioAN1*AQ$37</f>
        <v>1212000</v>
      </c>
      <c r="AR26" s="390">
        <f>CostoVentaDiarioDomicilioAN1*AR$37</f>
        <v>1212000</v>
      </c>
      <c r="AS26" s="390">
        <f>CostoVentaDiarioDomicilioAN1*AS$37</f>
        <v>1212000</v>
      </c>
      <c r="AT26" s="390">
        <f>CostoVentaDiarioDomicilioAN1*AT$37</f>
        <v>1212000</v>
      </c>
      <c r="AU26" s="390">
        <f>CostoVentaDiarioDomicilioAN1*AU$37</f>
        <v>1212000</v>
      </c>
      <c r="AV26" s="390">
        <f>CostoVentaDiarioDomicilioAN1*AV$37</f>
        <v>1212000</v>
      </c>
      <c r="AW26" s="390">
        <f>CostoVentaDiarioDomicilioAN1*AW$37</f>
        <v>1212000</v>
      </c>
      <c r="AX26" s="390">
        <f>CostoVentaDiarioDomicilioAN1*AX$37</f>
        <v>807600</v>
      </c>
      <c r="AY26" s="390">
        <f>CostoVentaDiarioDomicilioAN1*AY$37</f>
        <v>693600</v>
      </c>
      <c r="AZ26" s="390">
        <f>CostoVentaDiarioDomicilioAN1*AZ$37</f>
        <v>1110000</v>
      </c>
      <c r="BA26" s="390">
        <f>CostoVentaDiarioDomicilioAN1*BA$37</f>
        <v>1248000</v>
      </c>
      <c r="BB26" s="390">
        <f>CostoVentaDiarioDomicilioAN1*BB$37</f>
        <v>1248000</v>
      </c>
      <c r="BC26" s="390">
        <f>CostoVentaDiarioDomicilioAN1*BC$37</f>
        <v>1248000</v>
      </c>
      <c r="BD26" s="390">
        <f>CostoVentaDiarioDomicilioAN1*BD$37</f>
        <v>1248000</v>
      </c>
      <c r="BE26" s="390">
        <f>CostoVentaDiarioDomicilioAN1*BE$37</f>
        <v>1248000</v>
      </c>
      <c r="BF26" s="390">
        <f>CostoVentaDiarioDomicilioAN1*BF$37</f>
        <v>1248000</v>
      </c>
      <c r="BG26" s="390">
        <f>CostoVentaDiarioDomicilioAN1*BG$37</f>
        <v>1248000</v>
      </c>
      <c r="BH26" s="390">
        <f>CostoVentaDiarioDomicilioAN1*BH$37</f>
        <v>1248000</v>
      </c>
      <c r="BI26" s="390">
        <f>CostoVentaDiarioDomicilioAN1*BI$37</f>
        <v>1248000</v>
      </c>
      <c r="BJ26" s="390">
        <f>CostoVentaDiarioDomicilioAN1*BJ$37</f>
        <v>832800</v>
      </c>
      <c r="BK26" s="391">
        <f t="shared" si="12"/>
        <v>36982800</v>
      </c>
    </row>
    <row r="27" spans="1:63" outlineLevel="1" x14ac:dyDescent="0.15">
      <c r="A27" s="1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 spans="1:63" s="14" customFormat="1" outlineLevel="1" x14ac:dyDescent="0.15">
      <c r="A28" s="16" t="s">
        <v>331</v>
      </c>
      <c r="C28" s="389">
        <f t="shared" ref="C28:AH28" si="13">SUM(C21:C26)</f>
        <v>0</v>
      </c>
      <c r="D28" s="389">
        <f t="shared" si="13"/>
        <v>0</v>
      </c>
      <c r="E28" s="389">
        <f t="shared" si="13"/>
        <v>0</v>
      </c>
      <c r="F28" s="389">
        <f t="shared" si="13"/>
        <v>741000</v>
      </c>
      <c r="G28" s="389">
        <f t="shared" si="13"/>
        <v>1016500</v>
      </c>
      <c r="H28" s="389">
        <f t="shared" si="13"/>
        <v>1558500</v>
      </c>
      <c r="I28" s="389">
        <f t="shared" si="13"/>
        <v>1950500</v>
      </c>
      <c r="J28" s="389">
        <f t="shared" si="13"/>
        <v>2342500</v>
      </c>
      <c r="K28" s="389">
        <f t="shared" si="13"/>
        <v>2734500</v>
      </c>
      <c r="L28" s="389">
        <f t="shared" si="13"/>
        <v>3126500</v>
      </c>
      <c r="M28" s="389">
        <f t="shared" si="13"/>
        <v>3518500</v>
      </c>
      <c r="N28" s="389">
        <f t="shared" si="13"/>
        <v>3126500</v>
      </c>
      <c r="O28" s="389">
        <f t="shared" si="13"/>
        <v>5948355</v>
      </c>
      <c r="P28" s="389">
        <f t="shared" si="13"/>
        <v>9525020</v>
      </c>
      <c r="Q28" s="389">
        <f t="shared" si="13"/>
        <v>10709665</v>
      </c>
      <c r="R28" s="389">
        <f t="shared" si="13"/>
        <v>10709665</v>
      </c>
      <c r="S28" s="389">
        <f t="shared" si="13"/>
        <v>10709665</v>
      </c>
      <c r="T28" s="389">
        <f t="shared" si="13"/>
        <v>10709665</v>
      </c>
      <c r="U28" s="389">
        <f t="shared" si="13"/>
        <v>10709665</v>
      </c>
      <c r="V28" s="389">
        <f t="shared" si="13"/>
        <v>10709665</v>
      </c>
      <c r="W28" s="389">
        <f t="shared" si="13"/>
        <v>10709665</v>
      </c>
      <c r="X28" s="389">
        <f t="shared" si="13"/>
        <v>10709665</v>
      </c>
      <c r="Y28" s="389">
        <f t="shared" si="13"/>
        <v>10709665</v>
      </c>
      <c r="Z28" s="389">
        <f t="shared" si="13"/>
        <v>7143165</v>
      </c>
      <c r="AA28" s="389">
        <f t="shared" si="13"/>
        <v>8167575.3000000007</v>
      </c>
      <c r="AB28" s="389">
        <f t="shared" si="13"/>
        <v>13059674.550000001</v>
      </c>
      <c r="AC28" s="389">
        <f t="shared" si="13"/>
        <v>14690774.300000001</v>
      </c>
      <c r="AD28" s="389">
        <f t="shared" si="13"/>
        <v>14690774.300000001</v>
      </c>
      <c r="AE28" s="389">
        <f t="shared" si="13"/>
        <v>14690774.300000001</v>
      </c>
      <c r="AF28" s="389">
        <f t="shared" si="13"/>
        <v>14690774.300000001</v>
      </c>
      <c r="AG28" s="389">
        <f t="shared" si="13"/>
        <v>14690774.300000001</v>
      </c>
      <c r="AH28" s="389">
        <f t="shared" si="13"/>
        <v>14690774.300000001</v>
      </c>
      <c r="AI28" s="389">
        <f t="shared" ref="AI28:BJ28" si="14">SUM(AI21:AI26)</f>
        <v>14690774.300000001</v>
      </c>
      <c r="AJ28" s="389">
        <f t="shared" si="14"/>
        <v>14690774.300000001</v>
      </c>
      <c r="AK28" s="389">
        <f t="shared" si="14"/>
        <v>14690774.300000001</v>
      </c>
      <c r="AL28" s="389">
        <f t="shared" si="14"/>
        <v>9798675.0500000007</v>
      </c>
      <c r="AM28" s="389">
        <f t="shared" si="14"/>
        <v>22424450.986500002</v>
      </c>
      <c r="AN28" s="389">
        <f t="shared" si="14"/>
        <v>35886584.323500007</v>
      </c>
      <c r="AO28" s="389">
        <f t="shared" si="14"/>
        <v>40373562.102500007</v>
      </c>
      <c r="AP28" s="389">
        <f t="shared" si="14"/>
        <v>40373562.102500007</v>
      </c>
      <c r="AQ28" s="389">
        <f t="shared" si="14"/>
        <v>40373562.102500007</v>
      </c>
      <c r="AR28" s="389">
        <f t="shared" si="14"/>
        <v>40373562.102500007</v>
      </c>
      <c r="AS28" s="389">
        <f t="shared" si="14"/>
        <v>40373562.102500007</v>
      </c>
      <c r="AT28" s="389">
        <f t="shared" si="14"/>
        <v>40373562.102500007</v>
      </c>
      <c r="AU28" s="389">
        <f t="shared" si="14"/>
        <v>40373562.102500007</v>
      </c>
      <c r="AV28" s="389">
        <f t="shared" si="14"/>
        <v>40373562.102500007</v>
      </c>
      <c r="AW28" s="389">
        <f t="shared" si="14"/>
        <v>40373562.102500007</v>
      </c>
      <c r="AX28" s="389">
        <f t="shared" si="14"/>
        <v>26911428.765500002</v>
      </c>
      <c r="AY28" s="389">
        <f t="shared" si="14"/>
        <v>24664782.032875005</v>
      </c>
      <c r="AZ28" s="389">
        <f t="shared" si="14"/>
        <v>39476343.814695008</v>
      </c>
      <c r="BA28" s="389">
        <f t="shared" si="14"/>
        <v>44408580.22127001</v>
      </c>
      <c r="BB28" s="389">
        <f t="shared" si="14"/>
        <v>44408580.22127001</v>
      </c>
      <c r="BC28" s="389">
        <f t="shared" si="14"/>
        <v>44408580.22127001</v>
      </c>
      <c r="BD28" s="389">
        <f t="shared" si="14"/>
        <v>44408580.22127001</v>
      </c>
      <c r="BE28" s="389">
        <f t="shared" si="14"/>
        <v>44408580.22127001</v>
      </c>
      <c r="BF28" s="389">
        <f t="shared" si="14"/>
        <v>44408580.22127001</v>
      </c>
      <c r="BG28" s="389">
        <f t="shared" si="14"/>
        <v>44408580.22127001</v>
      </c>
      <c r="BH28" s="389">
        <f t="shared" si="14"/>
        <v>44408580.22127001</v>
      </c>
      <c r="BI28" s="389">
        <f t="shared" si="14"/>
        <v>44408580.22127001</v>
      </c>
      <c r="BJ28" s="389">
        <f t="shared" si="14"/>
        <v>29610671.001545008</v>
      </c>
      <c r="BK28" s="391">
        <f>SUM(C28:BJ28)</f>
        <v>1244374960.4385452</v>
      </c>
    </row>
    <row r="29" spans="1:63" s="14" customFormat="1" outlineLevel="1" x14ac:dyDescent="0.15">
      <c r="A29" s="73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119"/>
    </row>
    <row r="30" spans="1:63" s="14" customFormat="1" outlineLevel="1" x14ac:dyDescent="0.15">
      <c r="A30" s="73" t="s">
        <v>328</v>
      </c>
      <c r="C30" s="389">
        <f t="shared" ref="C30:AH30" si="15">C17-C28</f>
        <v>0</v>
      </c>
      <c r="D30" s="389">
        <f t="shared" si="15"/>
        <v>0</v>
      </c>
      <c r="E30" s="389">
        <f t="shared" si="15"/>
        <v>0</v>
      </c>
      <c r="F30" s="389">
        <f t="shared" si="15"/>
        <v>351000</v>
      </c>
      <c r="G30" s="389">
        <f t="shared" si="15"/>
        <v>481500</v>
      </c>
      <c r="H30" s="389">
        <f t="shared" si="15"/>
        <v>667500</v>
      </c>
      <c r="I30" s="389">
        <f t="shared" si="15"/>
        <v>835500</v>
      </c>
      <c r="J30" s="389">
        <f t="shared" si="15"/>
        <v>1003500</v>
      </c>
      <c r="K30" s="389">
        <f t="shared" si="15"/>
        <v>1171500</v>
      </c>
      <c r="L30" s="389">
        <f t="shared" si="15"/>
        <v>1339500</v>
      </c>
      <c r="M30" s="389">
        <f t="shared" si="15"/>
        <v>1507500</v>
      </c>
      <c r="N30" s="389">
        <f t="shared" si="15"/>
        <v>1339500</v>
      </c>
      <c r="O30" s="389">
        <f t="shared" si="15"/>
        <v>2545305</v>
      </c>
      <c r="P30" s="389">
        <f t="shared" si="15"/>
        <v>4076820</v>
      </c>
      <c r="Q30" s="389">
        <f t="shared" si="15"/>
        <v>4584915</v>
      </c>
      <c r="R30" s="389">
        <f t="shared" si="15"/>
        <v>4584915</v>
      </c>
      <c r="S30" s="389">
        <f t="shared" si="15"/>
        <v>4584915</v>
      </c>
      <c r="T30" s="389">
        <f t="shared" si="15"/>
        <v>4584915</v>
      </c>
      <c r="U30" s="389">
        <f t="shared" si="15"/>
        <v>4584915</v>
      </c>
      <c r="V30" s="389">
        <f t="shared" si="15"/>
        <v>4584915</v>
      </c>
      <c r="W30" s="389">
        <f t="shared" si="15"/>
        <v>4584915</v>
      </c>
      <c r="X30" s="389">
        <f t="shared" si="15"/>
        <v>4584915</v>
      </c>
      <c r="Y30" s="389">
        <f t="shared" si="15"/>
        <v>4584915</v>
      </c>
      <c r="Z30" s="389">
        <f t="shared" si="15"/>
        <v>3058215</v>
      </c>
      <c r="AA30" s="389">
        <f t="shared" si="15"/>
        <v>3469188.2999999989</v>
      </c>
      <c r="AB30" s="389">
        <f t="shared" si="15"/>
        <v>5549530.0500000007</v>
      </c>
      <c r="AC30" s="389">
        <f t="shared" si="15"/>
        <v>6242577.3000000007</v>
      </c>
      <c r="AD30" s="389">
        <f t="shared" si="15"/>
        <v>6242577.3000000007</v>
      </c>
      <c r="AE30" s="389">
        <f t="shared" si="15"/>
        <v>6242577.3000000007</v>
      </c>
      <c r="AF30" s="389">
        <f t="shared" si="15"/>
        <v>6242577.3000000007</v>
      </c>
      <c r="AG30" s="389">
        <f t="shared" si="15"/>
        <v>6242577.3000000007</v>
      </c>
      <c r="AH30" s="389">
        <f t="shared" si="15"/>
        <v>6242577.3000000007</v>
      </c>
      <c r="AI30" s="389">
        <f t="shared" ref="AI30:BJ30" si="16">AI17-AI28</f>
        <v>6242577.3000000007</v>
      </c>
      <c r="AJ30" s="389">
        <f t="shared" si="16"/>
        <v>6242577.3000000007</v>
      </c>
      <c r="AK30" s="389">
        <f t="shared" si="16"/>
        <v>6242577.3000000007</v>
      </c>
      <c r="AL30" s="389">
        <f t="shared" si="16"/>
        <v>4162235.5499999989</v>
      </c>
      <c r="AM30" s="389">
        <f t="shared" si="16"/>
        <v>9630024.1515000015</v>
      </c>
      <c r="AN30" s="389">
        <f t="shared" si="16"/>
        <v>15410866.258500002</v>
      </c>
      <c r="AO30" s="389">
        <f t="shared" si="16"/>
        <v>17338213.627500005</v>
      </c>
      <c r="AP30" s="389">
        <f t="shared" si="16"/>
        <v>17338213.627500005</v>
      </c>
      <c r="AQ30" s="389">
        <f t="shared" si="16"/>
        <v>17338213.627500005</v>
      </c>
      <c r="AR30" s="389">
        <f t="shared" si="16"/>
        <v>17338213.627500005</v>
      </c>
      <c r="AS30" s="389">
        <f t="shared" si="16"/>
        <v>17338213.627500005</v>
      </c>
      <c r="AT30" s="389">
        <f t="shared" si="16"/>
        <v>17338213.627500005</v>
      </c>
      <c r="AU30" s="389">
        <f t="shared" si="16"/>
        <v>17338213.627500005</v>
      </c>
      <c r="AV30" s="389">
        <f t="shared" si="16"/>
        <v>17338213.627500005</v>
      </c>
      <c r="AW30" s="389">
        <f t="shared" si="16"/>
        <v>17338213.627500005</v>
      </c>
      <c r="AX30" s="389">
        <f t="shared" si="16"/>
        <v>11557371.520500004</v>
      </c>
      <c r="AY30" s="389">
        <f t="shared" si="16"/>
        <v>10661170.436625</v>
      </c>
      <c r="AZ30" s="389">
        <f t="shared" si="16"/>
        <v>17063531.280645005</v>
      </c>
      <c r="BA30" s="389">
        <f t="shared" si="16"/>
        <v>19196485.367970005</v>
      </c>
      <c r="BB30" s="389">
        <f t="shared" si="16"/>
        <v>19196485.367970005</v>
      </c>
      <c r="BC30" s="389">
        <f t="shared" si="16"/>
        <v>19196485.367970005</v>
      </c>
      <c r="BD30" s="389">
        <f t="shared" si="16"/>
        <v>19196485.367970005</v>
      </c>
      <c r="BE30" s="389">
        <f t="shared" si="16"/>
        <v>19196485.367970005</v>
      </c>
      <c r="BF30" s="389">
        <f t="shared" si="16"/>
        <v>19196485.367970005</v>
      </c>
      <c r="BG30" s="389">
        <f t="shared" si="16"/>
        <v>19196485.367970005</v>
      </c>
      <c r="BH30" s="389">
        <f t="shared" si="16"/>
        <v>19196485.367970005</v>
      </c>
      <c r="BI30" s="389">
        <f t="shared" si="16"/>
        <v>19196485.367970005</v>
      </c>
      <c r="BJ30" s="389">
        <f t="shared" si="16"/>
        <v>12798823.105995003</v>
      </c>
      <c r="BK30" s="391">
        <f>SUM(C30:BJ30)</f>
        <v>534939802.3129949</v>
      </c>
    </row>
    <row r="31" spans="1:63" s="14" customFormat="1" outlineLevel="1" x14ac:dyDescent="0.15">
      <c r="A31" s="73" t="s">
        <v>316</v>
      </c>
      <c r="C31" s="100">
        <f t="shared" ref="C31:AH31" si="17">IF(C30&gt;0,(C30/C17),0)</f>
        <v>0</v>
      </c>
      <c r="D31" s="100">
        <f t="shared" si="17"/>
        <v>0</v>
      </c>
      <c r="E31" s="100">
        <f t="shared" si="17"/>
        <v>0</v>
      </c>
      <c r="F31" s="100">
        <f t="shared" si="17"/>
        <v>0.32142857142857145</v>
      </c>
      <c r="G31" s="100">
        <f t="shared" si="17"/>
        <v>0.32142857142857145</v>
      </c>
      <c r="H31" s="100">
        <f t="shared" si="17"/>
        <v>0.29986522911051211</v>
      </c>
      <c r="I31" s="100">
        <f t="shared" si="17"/>
        <v>0.29989231873653982</v>
      </c>
      <c r="J31" s="100">
        <f t="shared" si="17"/>
        <v>0.2999103407053198</v>
      </c>
      <c r="K31" s="100">
        <f t="shared" si="17"/>
        <v>0.29992319508448539</v>
      </c>
      <c r="L31" s="100">
        <f t="shared" si="17"/>
        <v>0.29993282579489478</v>
      </c>
      <c r="M31" s="100">
        <f t="shared" si="17"/>
        <v>0.29994031038599284</v>
      </c>
      <c r="N31" s="100">
        <f t="shared" si="17"/>
        <v>0.29993282579489478</v>
      </c>
      <c r="O31" s="100">
        <f t="shared" si="17"/>
        <v>0.29967116649359637</v>
      </c>
      <c r="P31" s="100">
        <f t="shared" si="17"/>
        <v>0.29972562535656938</v>
      </c>
      <c r="Q31" s="100">
        <f t="shared" si="17"/>
        <v>0.29977384145233149</v>
      </c>
      <c r="R31" s="100">
        <f t="shared" si="17"/>
        <v>0.29977384145233149</v>
      </c>
      <c r="S31" s="100">
        <f t="shared" si="17"/>
        <v>0.29977384145233149</v>
      </c>
      <c r="T31" s="100">
        <f t="shared" si="17"/>
        <v>0.29977384145233149</v>
      </c>
      <c r="U31" s="100">
        <f t="shared" si="17"/>
        <v>0.29977384145233149</v>
      </c>
      <c r="V31" s="100">
        <f t="shared" si="17"/>
        <v>0.29977384145233149</v>
      </c>
      <c r="W31" s="100">
        <f t="shared" si="17"/>
        <v>0.29977384145233149</v>
      </c>
      <c r="X31" s="100">
        <f t="shared" si="17"/>
        <v>0.29977384145233149</v>
      </c>
      <c r="Y31" s="100">
        <f t="shared" si="17"/>
        <v>0.29977384145233149</v>
      </c>
      <c r="Z31" s="100">
        <f t="shared" si="17"/>
        <v>0.29978444092858025</v>
      </c>
      <c r="AA31" s="100">
        <f t="shared" si="17"/>
        <v>0.2981231224805494</v>
      </c>
      <c r="AB31" s="100">
        <f t="shared" si="17"/>
        <v>0.29821425306915056</v>
      </c>
      <c r="AC31" s="100">
        <f t="shared" si="17"/>
        <v>0.29821203117803652</v>
      </c>
      <c r="AD31" s="100">
        <f t="shared" si="17"/>
        <v>0.29821203117803652</v>
      </c>
      <c r="AE31" s="100">
        <f t="shared" si="17"/>
        <v>0.29821203117803652</v>
      </c>
      <c r="AF31" s="100">
        <f t="shared" si="17"/>
        <v>0.29821203117803652</v>
      </c>
      <c r="AG31" s="100">
        <f t="shared" si="17"/>
        <v>0.29821203117803652</v>
      </c>
      <c r="AH31" s="100">
        <f t="shared" si="17"/>
        <v>0.29821203117803652</v>
      </c>
      <c r="AI31" s="100">
        <f t="shared" ref="AI31:BN31" si="18">IF(AI30&gt;0,(AI30/AI17),0)</f>
        <v>0.29821203117803652</v>
      </c>
      <c r="AJ31" s="100">
        <f t="shared" si="18"/>
        <v>0.29821203117803652</v>
      </c>
      <c r="AK31" s="100">
        <f t="shared" si="18"/>
        <v>0.29821203117803652</v>
      </c>
      <c r="AL31" s="100">
        <f t="shared" si="18"/>
        <v>0.29813496191287114</v>
      </c>
      <c r="AM31" s="100">
        <f t="shared" si="18"/>
        <v>0.30042682371310397</v>
      </c>
      <c r="AN31" s="100">
        <f t="shared" si="18"/>
        <v>0.30042167951144905</v>
      </c>
      <c r="AO31" s="100">
        <f t="shared" si="18"/>
        <v>0.30042765810248967</v>
      </c>
      <c r="AP31" s="100">
        <f t="shared" si="18"/>
        <v>0.30042765810248967</v>
      </c>
      <c r="AQ31" s="100">
        <f t="shared" si="18"/>
        <v>0.30042765810248967</v>
      </c>
      <c r="AR31" s="100">
        <f t="shared" si="18"/>
        <v>0.30042765810248967</v>
      </c>
      <c r="AS31" s="100">
        <f t="shared" si="18"/>
        <v>0.30042765810248967</v>
      </c>
      <c r="AT31" s="100">
        <f t="shared" si="18"/>
        <v>0.30042765810248967</v>
      </c>
      <c r="AU31" s="100">
        <f t="shared" si="18"/>
        <v>0.30042765810248967</v>
      </c>
      <c r="AV31" s="100">
        <f t="shared" si="18"/>
        <v>0.30042765810248967</v>
      </c>
      <c r="AW31" s="100">
        <f t="shared" si="18"/>
        <v>0.30042765810248967</v>
      </c>
      <c r="AX31" s="100">
        <f t="shared" si="18"/>
        <v>0.3004349351832033</v>
      </c>
      <c r="AY31" s="100">
        <f t="shared" si="18"/>
        <v>0.30179428129587516</v>
      </c>
      <c r="AZ31" s="100">
        <f t="shared" si="18"/>
        <v>0.30179640920450801</v>
      </c>
      <c r="BA31" s="100">
        <f t="shared" si="18"/>
        <v>0.30180749269154827</v>
      </c>
      <c r="BB31" s="100">
        <f t="shared" si="18"/>
        <v>0.30180749269154827</v>
      </c>
      <c r="BC31" s="100">
        <f t="shared" si="18"/>
        <v>0.30180749269154827</v>
      </c>
      <c r="BD31" s="100">
        <f t="shared" si="18"/>
        <v>0.30180749269154827</v>
      </c>
      <c r="BE31" s="100">
        <f t="shared" si="18"/>
        <v>0.30180749269154827</v>
      </c>
      <c r="BF31" s="100">
        <f t="shared" si="18"/>
        <v>0.30180749269154827</v>
      </c>
      <c r="BG31" s="100">
        <f t="shared" si="18"/>
        <v>0.30180749269154827</v>
      </c>
      <c r="BH31" s="100">
        <f t="shared" si="18"/>
        <v>0.30180749269154827</v>
      </c>
      <c r="BI31" s="100">
        <f t="shared" si="18"/>
        <v>0.30180749269154827</v>
      </c>
      <c r="BJ31" s="100">
        <f t="shared" si="18"/>
        <v>0.30179145909027694</v>
      </c>
      <c r="BK31" s="119"/>
    </row>
    <row r="32" spans="1:63" outlineLevel="1" x14ac:dyDescent="0.15"/>
    <row r="33" spans="1:63" outlineLevel="1" x14ac:dyDescent="0.15">
      <c r="A33" s="16" t="s">
        <v>1197</v>
      </c>
    </row>
    <row r="34" spans="1:63" outlineLevel="1" x14ac:dyDescent="0.15">
      <c r="A34" s="16"/>
    </row>
    <row r="35" spans="1:63" outlineLevel="1" x14ac:dyDescent="0.15">
      <c r="A35" s="47" t="str">
        <f>'COGS-PRICE-MARGIN_CWS'!A23</f>
        <v>% Aceptación Domicilio</v>
      </c>
      <c r="C35" s="98">
        <f>'COGS-PRICE-MARGIN_CWS'!$B23</f>
        <v>0.25</v>
      </c>
      <c r="D35" s="98">
        <f>'COGS-PRICE-MARGIN_CWS'!$B23</f>
        <v>0.25</v>
      </c>
      <c r="E35" s="98">
        <f>'COGS-PRICE-MARGIN_CWS'!$B23</f>
        <v>0.25</v>
      </c>
      <c r="F35" s="387">
        <v>0</v>
      </c>
      <c r="G35" s="387">
        <v>0</v>
      </c>
      <c r="H35" s="98">
        <f>'COGS-PRICE-MARGIN_CWS'!$B23</f>
        <v>0.25</v>
      </c>
      <c r="I35" s="98">
        <f>'COGS-PRICE-MARGIN_CWS'!$B23</f>
        <v>0.25</v>
      </c>
      <c r="J35" s="98">
        <f>'COGS-PRICE-MARGIN_CWS'!$B23</f>
        <v>0.25</v>
      </c>
      <c r="K35" s="98">
        <f>'COGS-PRICE-MARGIN_CWS'!$B23</f>
        <v>0.25</v>
      </c>
      <c r="L35" s="98">
        <f>'COGS-PRICE-MARGIN_CWS'!$B23</f>
        <v>0.25</v>
      </c>
      <c r="M35" s="98">
        <f>'COGS-PRICE-MARGIN_CWS'!$B23</f>
        <v>0.25</v>
      </c>
      <c r="N35" s="98">
        <f>'COGS-PRICE-MARGIN_CWS'!$B23</f>
        <v>0.25</v>
      </c>
      <c r="O35" s="98">
        <f>'COGS-PRICE-MARGIN_CWS'!$B73</f>
        <v>0.27</v>
      </c>
      <c r="P35" s="98">
        <f>'COGS-PRICE-MARGIN_CWS'!$B73</f>
        <v>0.27</v>
      </c>
      <c r="Q35" s="98">
        <f>'COGS-PRICE-MARGIN_CWS'!$B73</f>
        <v>0.27</v>
      </c>
      <c r="R35" s="98">
        <f>'COGS-PRICE-MARGIN_CWS'!$B73</f>
        <v>0.27</v>
      </c>
      <c r="S35" s="98">
        <f>'COGS-PRICE-MARGIN_CWS'!$B73</f>
        <v>0.27</v>
      </c>
      <c r="T35" s="98">
        <f>'COGS-PRICE-MARGIN_CWS'!$B73</f>
        <v>0.27</v>
      </c>
      <c r="U35" s="98">
        <f>'COGS-PRICE-MARGIN_CWS'!$B73</f>
        <v>0.27</v>
      </c>
      <c r="V35" s="98">
        <f>'COGS-PRICE-MARGIN_CWS'!$B73</f>
        <v>0.27</v>
      </c>
      <c r="W35" s="98">
        <f>'COGS-PRICE-MARGIN_CWS'!$B73</f>
        <v>0.27</v>
      </c>
      <c r="X35" s="98">
        <f>'COGS-PRICE-MARGIN_CWS'!$B73</f>
        <v>0.27</v>
      </c>
      <c r="Y35" s="98">
        <f>'COGS-PRICE-MARGIN_CWS'!$B73</f>
        <v>0.27</v>
      </c>
      <c r="Z35" s="98">
        <f>'COGS-PRICE-MARGIN_CWS'!$B73</f>
        <v>0.27</v>
      </c>
      <c r="AA35" s="98">
        <f>'COGS-PRICE-MARGIN_CWS'!$B123</f>
        <v>0.31</v>
      </c>
      <c r="AB35" s="98">
        <f>'COGS-PRICE-MARGIN_CWS'!$B123</f>
        <v>0.31</v>
      </c>
      <c r="AC35" s="98">
        <f>'COGS-PRICE-MARGIN_CWS'!$B123</f>
        <v>0.31</v>
      </c>
      <c r="AD35" s="98">
        <f>'COGS-PRICE-MARGIN_CWS'!$B123</f>
        <v>0.31</v>
      </c>
      <c r="AE35" s="98">
        <f>'COGS-PRICE-MARGIN_CWS'!$B123</f>
        <v>0.31</v>
      </c>
      <c r="AF35" s="98">
        <f>'COGS-PRICE-MARGIN_CWS'!$B123</f>
        <v>0.31</v>
      </c>
      <c r="AG35" s="98">
        <f>'COGS-PRICE-MARGIN_CWS'!$B123</f>
        <v>0.31</v>
      </c>
      <c r="AH35" s="98">
        <f>'COGS-PRICE-MARGIN_CWS'!$B123</f>
        <v>0.31</v>
      </c>
      <c r="AI35" s="98">
        <f>'COGS-PRICE-MARGIN_CWS'!$B123</f>
        <v>0.31</v>
      </c>
      <c r="AJ35" s="98">
        <f>'COGS-PRICE-MARGIN_CWS'!$B123</f>
        <v>0.31</v>
      </c>
      <c r="AK35" s="98">
        <f>'COGS-PRICE-MARGIN_CWS'!$B123</f>
        <v>0.31</v>
      </c>
      <c r="AL35" s="98">
        <f>'COGS-PRICE-MARGIN_CWS'!$B123</f>
        <v>0.31</v>
      </c>
      <c r="AM35" s="98">
        <f>'COGS-PRICE-MARGIN_CWS'!$B173</f>
        <v>0.3</v>
      </c>
      <c r="AN35" s="98">
        <f>'COGS-PRICE-MARGIN_CWS'!$B173</f>
        <v>0.3</v>
      </c>
      <c r="AO35" s="98">
        <f>'COGS-PRICE-MARGIN_CWS'!$B173</f>
        <v>0.3</v>
      </c>
      <c r="AP35" s="98">
        <f>'COGS-PRICE-MARGIN_CWS'!$B173</f>
        <v>0.3</v>
      </c>
      <c r="AQ35" s="98">
        <f>'COGS-PRICE-MARGIN_CWS'!$B173</f>
        <v>0.3</v>
      </c>
      <c r="AR35" s="98">
        <f>'COGS-PRICE-MARGIN_CWS'!$B173</f>
        <v>0.3</v>
      </c>
      <c r="AS35" s="98">
        <f>'COGS-PRICE-MARGIN_CWS'!$B173</f>
        <v>0.3</v>
      </c>
      <c r="AT35" s="98">
        <f>'COGS-PRICE-MARGIN_CWS'!$B173</f>
        <v>0.3</v>
      </c>
      <c r="AU35" s="98">
        <f>'COGS-PRICE-MARGIN_CWS'!$B173</f>
        <v>0.3</v>
      </c>
      <c r="AV35" s="98">
        <f>'COGS-PRICE-MARGIN_CWS'!$B173</f>
        <v>0.3</v>
      </c>
      <c r="AW35" s="98">
        <f>'COGS-PRICE-MARGIN_CWS'!$B173</f>
        <v>0.3</v>
      </c>
      <c r="AX35" s="98">
        <f>'COGS-PRICE-MARGIN_CWS'!$B173</f>
        <v>0.3</v>
      </c>
      <c r="AY35" s="98">
        <f>'COGS-PRICE-MARGIN_CWS'!$B223</f>
        <v>0.3</v>
      </c>
      <c r="AZ35" s="98">
        <f>'COGS-PRICE-MARGIN_CWS'!$B223</f>
        <v>0.3</v>
      </c>
      <c r="BA35" s="98">
        <f>'COGS-PRICE-MARGIN_CWS'!$B223</f>
        <v>0.3</v>
      </c>
      <c r="BB35" s="98">
        <f>'COGS-PRICE-MARGIN_CWS'!$B223</f>
        <v>0.3</v>
      </c>
      <c r="BC35" s="98">
        <f>'COGS-PRICE-MARGIN_CWS'!$B223</f>
        <v>0.3</v>
      </c>
      <c r="BD35" s="98">
        <f>'COGS-PRICE-MARGIN_CWS'!$B223</f>
        <v>0.3</v>
      </c>
      <c r="BE35" s="98">
        <f>'COGS-PRICE-MARGIN_CWS'!$B223</f>
        <v>0.3</v>
      </c>
      <c r="BF35" s="98">
        <f>'COGS-PRICE-MARGIN_CWS'!$B223</f>
        <v>0.3</v>
      </c>
      <c r="BG35" s="98">
        <f>'COGS-PRICE-MARGIN_CWS'!$B223</f>
        <v>0.3</v>
      </c>
      <c r="BH35" s="98">
        <f>'COGS-PRICE-MARGIN_CWS'!$B223</f>
        <v>0.3</v>
      </c>
      <c r="BI35" s="98">
        <f>'COGS-PRICE-MARGIN_CWS'!$B223</f>
        <v>0.3</v>
      </c>
      <c r="BJ35" s="98">
        <f>'COGS-PRICE-MARGIN_CWS'!$B223</f>
        <v>0.3</v>
      </c>
    </row>
    <row r="36" spans="1:63" s="102" customFormat="1" outlineLevel="1" x14ac:dyDescent="0.15">
      <c r="A36" s="298" t="str">
        <f xml:space="preserve"> 'COGS-PRICE-MARGIN_CWS'!A11 &amp; " Units"</f>
        <v>Local Services Units</v>
      </c>
      <c r="C36" s="169">
        <f t="shared" ref="C36:AH36" si="19">C13-C37</f>
        <v>0</v>
      </c>
      <c r="D36" s="169">
        <f t="shared" si="19"/>
        <v>0</v>
      </c>
      <c r="E36" s="169">
        <f t="shared" si="19"/>
        <v>0</v>
      </c>
      <c r="F36" s="169">
        <f t="shared" si="19"/>
        <v>78</v>
      </c>
      <c r="G36" s="169">
        <f t="shared" si="19"/>
        <v>107</v>
      </c>
      <c r="H36" s="169">
        <f t="shared" si="19"/>
        <v>119</v>
      </c>
      <c r="I36" s="169">
        <f t="shared" si="19"/>
        <v>149</v>
      </c>
      <c r="J36" s="169">
        <f t="shared" si="19"/>
        <v>179</v>
      </c>
      <c r="K36" s="169">
        <f t="shared" si="19"/>
        <v>209</v>
      </c>
      <c r="L36" s="169">
        <f t="shared" si="19"/>
        <v>239</v>
      </c>
      <c r="M36" s="169">
        <f t="shared" si="19"/>
        <v>269</v>
      </c>
      <c r="N36" s="169">
        <f t="shared" si="19"/>
        <v>239</v>
      </c>
      <c r="O36" s="169">
        <f t="shared" si="19"/>
        <v>413</v>
      </c>
      <c r="P36" s="169">
        <f t="shared" si="19"/>
        <v>662</v>
      </c>
      <c r="Q36" s="169">
        <f t="shared" si="19"/>
        <v>745</v>
      </c>
      <c r="R36" s="169">
        <f t="shared" si="19"/>
        <v>745</v>
      </c>
      <c r="S36" s="169">
        <f t="shared" si="19"/>
        <v>745</v>
      </c>
      <c r="T36" s="169">
        <f t="shared" si="19"/>
        <v>745</v>
      </c>
      <c r="U36" s="169">
        <f t="shared" si="19"/>
        <v>745</v>
      </c>
      <c r="V36" s="169">
        <f t="shared" si="19"/>
        <v>745</v>
      </c>
      <c r="W36" s="169">
        <f t="shared" si="19"/>
        <v>745</v>
      </c>
      <c r="X36" s="169">
        <f t="shared" si="19"/>
        <v>745</v>
      </c>
      <c r="Y36" s="169">
        <f t="shared" si="19"/>
        <v>745</v>
      </c>
      <c r="Z36" s="169">
        <f t="shared" si="19"/>
        <v>497</v>
      </c>
      <c r="AA36" s="102">
        <f t="shared" si="19"/>
        <v>500</v>
      </c>
      <c r="AB36" s="102">
        <f t="shared" si="19"/>
        <v>801</v>
      </c>
      <c r="AC36" s="102">
        <f t="shared" si="19"/>
        <v>901</v>
      </c>
      <c r="AD36" s="102">
        <f t="shared" si="19"/>
        <v>901</v>
      </c>
      <c r="AE36" s="102">
        <f t="shared" si="19"/>
        <v>901</v>
      </c>
      <c r="AF36" s="102">
        <f t="shared" si="19"/>
        <v>901</v>
      </c>
      <c r="AG36" s="102">
        <f t="shared" si="19"/>
        <v>901</v>
      </c>
      <c r="AH36" s="102">
        <f t="shared" si="19"/>
        <v>901</v>
      </c>
      <c r="AI36" s="102">
        <f t="shared" ref="AI36:BN36" si="20">AI13-AI37</f>
        <v>901</v>
      </c>
      <c r="AJ36" s="102">
        <f t="shared" si="20"/>
        <v>901</v>
      </c>
      <c r="AK36" s="102">
        <f t="shared" si="20"/>
        <v>901</v>
      </c>
      <c r="AL36" s="102">
        <f t="shared" si="20"/>
        <v>600</v>
      </c>
      <c r="AM36" s="102">
        <f t="shared" si="20"/>
        <v>1308</v>
      </c>
      <c r="AN36" s="102">
        <f t="shared" si="20"/>
        <v>2093</v>
      </c>
      <c r="AO36" s="102">
        <f t="shared" si="20"/>
        <v>2355</v>
      </c>
      <c r="AP36" s="102">
        <f t="shared" si="20"/>
        <v>2355</v>
      </c>
      <c r="AQ36" s="102">
        <f t="shared" si="20"/>
        <v>2355</v>
      </c>
      <c r="AR36" s="102">
        <f t="shared" si="20"/>
        <v>2355</v>
      </c>
      <c r="AS36" s="102">
        <f t="shared" si="20"/>
        <v>2355</v>
      </c>
      <c r="AT36" s="102">
        <f t="shared" si="20"/>
        <v>2355</v>
      </c>
      <c r="AU36" s="102">
        <f t="shared" si="20"/>
        <v>2355</v>
      </c>
      <c r="AV36" s="102">
        <f t="shared" si="20"/>
        <v>2355</v>
      </c>
      <c r="AW36" s="102">
        <f t="shared" si="20"/>
        <v>2355</v>
      </c>
      <c r="AX36" s="102">
        <f t="shared" si="20"/>
        <v>1570</v>
      </c>
      <c r="AY36" s="102">
        <f t="shared" si="20"/>
        <v>1347</v>
      </c>
      <c r="AZ36" s="102">
        <f t="shared" si="20"/>
        <v>2156</v>
      </c>
      <c r="BA36" s="102">
        <f t="shared" si="20"/>
        <v>2426</v>
      </c>
      <c r="BB36" s="102">
        <f t="shared" si="20"/>
        <v>2426</v>
      </c>
      <c r="BC36" s="102">
        <f t="shared" si="20"/>
        <v>2426</v>
      </c>
      <c r="BD36" s="102">
        <f t="shared" si="20"/>
        <v>2426</v>
      </c>
      <c r="BE36" s="102">
        <f t="shared" si="20"/>
        <v>2426</v>
      </c>
      <c r="BF36" s="102">
        <f t="shared" si="20"/>
        <v>2426</v>
      </c>
      <c r="BG36" s="102">
        <f t="shared" si="20"/>
        <v>2426</v>
      </c>
      <c r="BH36" s="102">
        <f t="shared" si="20"/>
        <v>2426</v>
      </c>
      <c r="BI36" s="102">
        <f t="shared" si="20"/>
        <v>2426</v>
      </c>
      <c r="BJ36" s="102">
        <f t="shared" si="20"/>
        <v>1617</v>
      </c>
      <c r="BK36" s="103">
        <f>SUM(C36:BJ36)</f>
        <v>72995</v>
      </c>
    </row>
    <row r="37" spans="1:63" s="102" customFormat="1" outlineLevel="1" x14ac:dyDescent="0.15">
      <c r="A37" s="298" t="str">
        <f xml:space="preserve"> 'COGS-PRICE-MARGIN_CWS'!A19 &amp; " Units"</f>
        <v>Domicilio Services Units</v>
      </c>
      <c r="C37" s="169">
        <f t="shared" ref="C37:AH37" si="21">ROUNDUP(+C13*C35,0)</f>
        <v>0</v>
      </c>
      <c r="D37" s="169">
        <f t="shared" si="21"/>
        <v>0</v>
      </c>
      <c r="E37" s="169">
        <f t="shared" si="21"/>
        <v>0</v>
      </c>
      <c r="F37" s="169">
        <f t="shared" si="21"/>
        <v>0</v>
      </c>
      <c r="G37" s="169">
        <f t="shared" si="21"/>
        <v>0</v>
      </c>
      <c r="H37" s="169">
        <f t="shared" si="21"/>
        <v>40</v>
      </c>
      <c r="I37" s="169">
        <f t="shared" si="21"/>
        <v>50</v>
      </c>
      <c r="J37" s="169">
        <f t="shared" si="21"/>
        <v>60</v>
      </c>
      <c r="K37" s="169">
        <f t="shared" si="21"/>
        <v>70</v>
      </c>
      <c r="L37" s="169">
        <f t="shared" si="21"/>
        <v>80</v>
      </c>
      <c r="M37" s="169">
        <f t="shared" si="21"/>
        <v>90</v>
      </c>
      <c r="N37" s="169">
        <f t="shared" si="21"/>
        <v>80</v>
      </c>
      <c r="O37" s="169">
        <f t="shared" si="21"/>
        <v>154</v>
      </c>
      <c r="P37" s="169">
        <f t="shared" si="21"/>
        <v>246</v>
      </c>
      <c r="Q37" s="169">
        <f t="shared" si="21"/>
        <v>276</v>
      </c>
      <c r="R37" s="169">
        <f t="shared" si="21"/>
        <v>276</v>
      </c>
      <c r="S37" s="169">
        <f t="shared" si="21"/>
        <v>276</v>
      </c>
      <c r="T37" s="169">
        <f t="shared" si="21"/>
        <v>276</v>
      </c>
      <c r="U37" s="169">
        <f t="shared" si="21"/>
        <v>276</v>
      </c>
      <c r="V37" s="169">
        <f t="shared" si="21"/>
        <v>276</v>
      </c>
      <c r="W37" s="169">
        <f t="shared" si="21"/>
        <v>276</v>
      </c>
      <c r="X37" s="169">
        <f t="shared" si="21"/>
        <v>276</v>
      </c>
      <c r="Y37" s="169">
        <f t="shared" si="21"/>
        <v>276</v>
      </c>
      <c r="Z37" s="169">
        <f t="shared" si="21"/>
        <v>184</v>
      </c>
      <c r="AA37" s="102">
        <f t="shared" si="21"/>
        <v>226</v>
      </c>
      <c r="AB37" s="102">
        <f t="shared" si="21"/>
        <v>360</v>
      </c>
      <c r="AC37" s="102">
        <f t="shared" si="21"/>
        <v>405</v>
      </c>
      <c r="AD37" s="102">
        <f t="shared" si="21"/>
        <v>405</v>
      </c>
      <c r="AE37" s="102">
        <f t="shared" si="21"/>
        <v>405</v>
      </c>
      <c r="AF37" s="102">
        <f t="shared" si="21"/>
        <v>405</v>
      </c>
      <c r="AG37" s="102">
        <f t="shared" si="21"/>
        <v>405</v>
      </c>
      <c r="AH37" s="102">
        <f t="shared" si="21"/>
        <v>405</v>
      </c>
      <c r="AI37" s="102">
        <f t="shared" ref="AI37:BJ37" si="22">ROUNDUP(+AI13*AI35,0)</f>
        <v>405</v>
      </c>
      <c r="AJ37" s="102">
        <f t="shared" si="22"/>
        <v>405</v>
      </c>
      <c r="AK37" s="102">
        <f t="shared" si="22"/>
        <v>405</v>
      </c>
      <c r="AL37" s="102">
        <f t="shared" si="22"/>
        <v>271</v>
      </c>
      <c r="AM37" s="102">
        <f t="shared" si="22"/>
        <v>561</v>
      </c>
      <c r="AN37" s="102">
        <f t="shared" si="22"/>
        <v>898</v>
      </c>
      <c r="AO37" s="102">
        <f t="shared" si="22"/>
        <v>1010</v>
      </c>
      <c r="AP37" s="102">
        <f t="shared" si="22"/>
        <v>1010</v>
      </c>
      <c r="AQ37" s="102">
        <f t="shared" si="22"/>
        <v>1010</v>
      </c>
      <c r="AR37" s="102">
        <f t="shared" si="22"/>
        <v>1010</v>
      </c>
      <c r="AS37" s="102">
        <f t="shared" si="22"/>
        <v>1010</v>
      </c>
      <c r="AT37" s="102">
        <f t="shared" si="22"/>
        <v>1010</v>
      </c>
      <c r="AU37" s="102">
        <f t="shared" si="22"/>
        <v>1010</v>
      </c>
      <c r="AV37" s="102">
        <f t="shared" si="22"/>
        <v>1010</v>
      </c>
      <c r="AW37" s="102">
        <f t="shared" si="22"/>
        <v>1010</v>
      </c>
      <c r="AX37" s="102">
        <f t="shared" si="22"/>
        <v>673</v>
      </c>
      <c r="AY37" s="102">
        <f t="shared" si="22"/>
        <v>578</v>
      </c>
      <c r="AZ37" s="102">
        <f t="shared" si="22"/>
        <v>925</v>
      </c>
      <c r="BA37" s="102">
        <f t="shared" si="22"/>
        <v>1040</v>
      </c>
      <c r="BB37" s="102">
        <f t="shared" si="22"/>
        <v>1040</v>
      </c>
      <c r="BC37" s="102">
        <f t="shared" si="22"/>
        <v>1040</v>
      </c>
      <c r="BD37" s="102">
        <f t="shared" si="22"/>
        <v>1040</v>
      </c>
      <c r="BE37" s="102">
        <f t="shared" si="22"/>
        <v>1040</v>
      </c>
      <c r="BF37" s="102">
        <f t="shared" si="22"/>
        <v>1040</v>
      </c>
      <c r="BG37" s="102">
        <f t="shared" si="22"/>
        <v>1040</v>
      </c>
      <c r="BH37" s="102">
        <f t="shared" si="22"/>
        <v>1040</v>
      </c>
      <c r="BI37" s="102">
        <f t="shared" si="22"/>
        <v>1040</v>
      </c>
      <c r="BJ37" s="102">
        <f t="shared" si="22"/>
        <v>694</v>
      </c>
      <c r="BK37" s="103">
        <f>SUM(C37:BJ37)</f>
        <v>30819</v>
      </c>
    </row>
    <row r="38" spans="1:63" outlineLevel="1" x14ac:dyDescent="0.15">
      <c r="A38" s="47"/>
    </row>
    <row r="39" spans="1:63" outlineLevel="1" x14ac:dyDescent="0.15">
      <c r="A39" s="14" t="str">
        <f>"Ingreso "&amp; A36</f>
        <v>Ingreso Local Services Units</v>
      </c>
    </row>
    <row r="40" spans="1:63" outlineLevel="1" x14ac:dyDescent="0.15">
      <c r="A40" s="47" t="str">
        <f>'COGS-PRICE-MARGIN_CWS'!A12</f>
        <v>Servicio</v>
      </c>
      <c r="C40" s="90">
        <f>'COGS-PRICE-MARGIN_CWS'!$B12*C36</f>
        <v>0</v>
      </c>
      <c r="D40" s="90">
        <f>'COGS-PRICE-MARGIN_CWS'!$B12*D36</f>
        <v>0</v>
      </c>
      <c r="E40" s="90">
        <f>'COGS-PRICE-MARGIN_CWS'!$B12*E36</f>
        <v>0</v>
      </c>
      <c r="F40" s="90">
        <f>'COGS-PRICE-MARGIN_CWS'!$B12*F36</f>
        <v>0</v>
      </c>
      <c r="G40" s="90">
        <f>'COGS-PRICE-MARGIN_CWS'!$B12*G36</f>
        <v>0</v>
      </c>
      <c r="H40" s="90">
        <f>'COGS-PRICE-MARGIN_CWS'!$B12*H36</f>
        <v>0</v>
      </c>
      <c r="I40" s="90">
        <f>'COGS-PRICE-MARGIN_CWS'!$B12*I36</f>
        <v>0</v>
      </c>
      <c r="J40" s="90">
        <f>'COGS-PRICE-MARGIN_CWS'!$B12*J36</f>
        <v>0</v>
      </c>
      <c r="K40" s="90">
        <f>'COGS-PRICE-MARGIN_CWS'!$B12*K36</f>
        <v>0</v>
      </c>
      <c r="L40" s="90">
        <f>'COGS-PRICE-MARGIN_CWS'!$B12*L36</f>
        <v>0</v>
      </c>
      <c r="M40" s="90">
        <f>'COGS-PRICE-MARGIN_CWS'!$B12*M36</f>
        <v>0</v>
      </c>
      <c r="N40" s="90">
        <f>'COGS-PRICE-MARGIN_CWS'!$B12*N36</f>
        <v>0</v>
      </c>
      <c r="O40" s="90">
        <f>'COGS-PRICE-MARGIN_CWS'!$B62*O36</f>
        <v>0</v>
      </c>
      <c r="P40" s="90">
        <f>'COGS-PRICE-MARGIN_CWS'!$B62*P36</f>
        <v>0</v>
      </c>
      <c r="Q40" s="90">
        <f>'COGS-PRICE-MARGIN_CWS'!$B62*Q36</f>
        <v>0</v>
      </c>
      <c r="R40" s="90">
        <f>'COGS-PRICE-MARGIN_CWS'!$B62*R36</f>
        <v>0</v>
      </c>
      <c r="S40" s="90">
        <f>'COGS-PRICE-MARGIN_CWS'!$B62*S36</f>
        <v>0</v>
      </c>
      <c r="T40" s="90">
        <f>'COGS-PRICE-MARGIN_CWS'!$B62*T36</f>
        <v>0</v>
      </c>
      <c r="U40" s="90">
        <f>'COGS-PRICE-MARGIN_CWS'!$B62*U36</f>
        <v>0</v>
      </c>
      <c r="V40" s="90">
        <f>'COGS-PRICE-MARGIN_CWS'!$B62*V36</f>
        <v>0</v>
      </c>
      <c r="W40" s="90">
        <f>'COGS-PRICE-MARGIN_CWS'!$B62*W36</f>
        <v>0</v>
      </c>
      <c r="X40" s="90">
        <f>'COGS-PRICE-MARGIN_CWS'!$B62*X36</f>
        <v>0</v>
      </c>
      <c r="Y40" s="90">
        <f>'COGS-PRICE-MARGIN_CWS'!$B62*Y36</f>
        <v>0</v>
      </c>
      <c r="Z40" s="90">
        <f>'COGS-PRICE-MARGIN_CWS'!$B62*Z36</f>
        <v>0</v>
      </c>
      <c r="AA40" s="90">
        <f>'COGS-PRICE-MARGIN_CWS'!$B112*AA36</f>
        <v>0</v>
      </c>
      <c r="AB40" s="90">
        <f>'COGS-PRICE-MARGIN_CWS'!$B112*AB36</f>
        <v>0</v>
      </c>
      <c r="AC40" s="90">
        <f>'COGS-PRICE-MARGIN_CWS'!$B112*AC36</f>
        <v>0</v>
      </c>
      <c r="AD40" s="90">
        <f>'COGS-PRICE-MARGIN_CWS'!$B112*AD36</f>
        <v>0</v>
      </c>
      <c r="AE40" s="90">
        <f>'COGS-PRICE-MARGIN_CWS'!$B112*AE36</f>
        <v>0</v>
      </c>
      <c r="AF40" s="90">
        <f>'COGS-PRICE-MARGIN_CWS'!$B112*AF36</f>
        <v>0</v>
      </c>
      <c r="AG40" s="90">
        <f>'COGS-PRICE-MARGIN_CWS'!$B112*AG36</f>
        <v>0</v>
      </c>
      <c r="AH40" s="90">
        <f>'COGS-PRICE-MARGIN_CWS'!$B112*AH36</f>
        <v>0</v>
      </c>
      <c r="AI40" s="90">
        <f>'COGS-PRICE-MARGIN_CWS'!$B112*AI36</f>
        <v>0</v>
      </c>
      <c r="AJ40" s="90">
        <f>'COGS-PRICE-MARGIN_CWS'!$B112*AJ36</f>
        <v>0</v>
      </c>
      <c r="AK40" s="90">
        <f>'COGS-PRICE-MARGIN_CWS'!$B112*AK36</f>
        <v>0</v>
      </c>
      <c r="AL40" s="90">
        <f>'COGS-PRICE-MARGIN_CWS'!$B112*AL36</f>
        <v>0</v>
      </c>
      <c r="AM40" s="90">
        <f>'COGS-PRICE-MARGIN_CWS'!$B162*AM36</f>
        <v>0</v>
      </c>
      <c r="AN40" s="90">
        <f>'COGS-PRICE-MARGIN_CWS'!$B162*AN36</f>
        <v>0</v>
      </c>
      <c r="AO40" s="90">
        <f>'COGS-PRICE-MARGIN_CWS'!$B162*AO36</f>
        <v>0</v>
      </c>
      <c r="AP40" s="90">
        <f>'COGS-PRICE-MARGIN_CWS'!$B162*AP36</f>
        <v>0</v>
      </c>
      <c r="AQ40" s="90">
        <f>'COGS-PRICE-MARGIN_CWS'!$B162*AQ36</f>
        <v>0</v>
      </c>
      <c r="AR40" s="90">
        <f>'COGS-PRICE-MARGIN_CWS'!$B162*AR36</f>
        <v>0</v>
      </c>
      <c r="AS40" s="90">
        <f>'COGS-PRICE-MARGIN_CWS'!$B162*AS36</f>
        <v>0</v>
      </c>
      <c r="AT40" s="90">
        <f>'COGS-PRICE-MARGIN_CWS'!$B162*AT36</f>
        <v>0</v>
      </c>
      <c r="AU40" s="90">
        <f>'COGS-PRICE-MARGIN_CWS'!$B162*AU36</f>
        <v>0</v>
      </c>
      <c r="AV40" s="90">
        <f>'COGS-PRICE-MARGIN_CWS'!$B162*AV36</f>
        <v>0</v>
      </c>
      <c r="AW40" s="90">
        <f>'COGS-PRICE-MARGIN_CWS'!$B162*AW36</f>
        <v>0</v>
      </c>
      <c r="AX40" s="90">
        <f>'COGS-PRICE-MARGIN_CWS'!$B162*AX36</f>
        <v>0</v>
      </c>
      <c r="AY40" s="90">
        <f>'COGS-PRICE-MARGIN_CWS'!$B212*AY36</f>
        <v>0</v>
      </c>
      <c r="AZ40" s="90">
        <f>'COGS-PRICE-MARGIN_CWS'!$B212*AZ36</f>
        <v>0</v>
      </c>
      <c r="BA40" s="90">
        <f>'COGS-PRICE-MARGIN_CWS'!$B212*BA36</f>
        <v>0</v>
      </c>
      <c r="BB40" s="90">
        <f>'COGS-PRICE-MARGIN_CWS'!$B212*BB36</f>
        <v>0</v>
      </c>
      <c r="BC40" s="90">
        <f>'COGS-PRICE-MARGIN_CWS'!$B212*BC36</f>
        <v>0</v>
      </c>
      <c r="BD40" s="90">
        <f>'COGS-PRICE-MARGIN_CWS'!$B212*BD36</f>
        <v>0</v>
      </c>
      <c r="BE40" s="90">
        <f>'COGS-PRICE-MARGIN_CWS'!$B212*BE36</f>
        <v>0</v>
      </c>
      <c r="BF40" s="90">
        <f>'COGS-PRICE-MARGIN_CWS'!$B212*BF36</f>
        <v>0</v>
      </c>
      <c r="BG40" s="90">
        <f>'COGS-PRICE-MARGIN_CWS'!$B212*BG36</f>
        <v>0</v>
      </c>
      <c r="BH40" s="90">
        <f>'COGS-PRICE-MARGIN_CWS'!$B212*BH36</f>
        <v>0</v>
      </c>
      <c r="BI40" s="90">
        <f>'COGS-PRICE-MARGIN_CWS'!$B212*BI36</f>
        <v>0</v>
      </c>
      <c r="BJ40" s="90">
        <f>'COGS-PRICE-MARGIN_CWS'!$B212*BJ36</f>
        <v>0</v>
      </c>
      <c r="BK40" s="118">
        <f>SUM(C40:BJ40)</f>
        <v>0</v>
      </c>
    </row>
    <row r="41" spans="1:63" outlineLevel="1" x14ac:dyDescent="0.15">
      <c r="A41" s="47" t="s">
        <v>330</v>
      </c>
      <c r="C41" s="98">
        <f>'COGS-PRICE-MARGIN_CWS'!$C12</f>
        <v>0</v>
      </c>
      <c r="D41" s="98">
        <f>'COGS-PRICE-MARGIN_CWS'!$C12</f>
        <v>0</v>
      </c>
      <c r="E41" s="98">
        <f>'COGS-PRICE-MARGIN_CWS'!$C12</f>
        <v>0</v>
      </c>
      <c r="F41" s="98">
        <f>'COGS-PRICE-MARGIN_CWS'!$C12</f>
        <v>0</v>
      </c>
      <c r="G41" s="98">
        <f>'COGS-PRICE-MARGIN_CWS'!$C12</f>
        <v>0</v>
      </c>
      <c r="H41" s="98">
        <f>'COGS-PRICE-MARGIN_CWS'!$C12</f>
        <v>0</v>
      </c>
      <c r="I41" s="98">
        <f>'COGS-PRICE-MARGIN_CWS'!$C12</f>
        <v>0</v>
      </c>
      <c r="J41" s="98">
        <f>'COGS-PRICE-MARGIN_CWS'!$C12</f>
        <v>0</v>
      </c>
      <c r="K41" s="98">
        <f>'COGS-PRICE-MARGIN_CWS'!$C12</f>
        <v>0</v>
      </c>
      <c r="L41" s="98">
        <f>'COGS-PRICE-MARGIN_CWS'!$C12</f>
        <v>0</v>
      </c>
      <c r="M41" s="98">
        <f>'COGS-PRICE-MARGIN_CWS'!$C12</f>
        <v>0</v>
      </c>
      <c r="N41" s="98">
        <f>'COGS-PRICE-MARGIN_CWS'!$C12</f>
        <v>0</v>
      </c>
      <c r="O41" s="98">
        <f>'COGS-PRICE-MARGIN_CWS'!$C62</f>
        <v>0</v>
      </c>
      <c r="P41" s="98">
        <f>'COGS-PRICE-MARGIN_CWS'!$C62</f>
        <v>0</v>
      </c>
      <c r="Q41" s="98">
        <f>'COGS-PRICE-MARGIN_CWS'!$C62</f>
        <v>0</v>
      </c>
      <c r="R41" s="98">
        <f>'COGS-PRICE-MARGIN_CWS'!$C62</f>
        <v>0</v>
      </c>
      <c r="S41" s="98">
        <f>'COGS-PRICE-MARGIN_CWS'!$C62</f>
        <v>0</v>
      </c>
      <c r="T41" s="98">
        <f>'COGS-PRICE-MARGIN_CWS'!$C62</f>
        <v>0</v>
      </c>
      <c r="U41" s="98">
        <f>'COGS-PRICE-MARGIN_CWS'!$C62</f>
        <v>0</v>
      </c>
      <c r="V41" s="98">
        <f>'COGS-PRICE-MARGIN_CWS'!$C62</f>
        <v>0</v>
      </c>
      <c r="W41" s="98">
        <f>'COGS-PRICE-MARGIN_CWS'!$C62</f>
        <v>0</v>
      </c>
      <c r="X41" s="98">
        <f>'COGS-PRICE-MARGIN_CWS'!$C62</f>
        <v>0</v>
      </c>
      <c r="Y41" s="98">
        <f>'COGS-PRICE-MARGIN_CWS'!$C62</f>
        <v>0</v>
      </c>
      <c r="Z41" s="98">
        <f>'COGS-PRICE-MARGIN_CWS'!$C62</f>
        <v>0</v>
      </c>
      <c r="AA41" s="98">
        <f>'COGS-PRICE-MARGIN_CWS'!$C112</f>
        <v>0</v>
      </c>
      <c r="AB41" s="98">
        <f>'COGS-PRICE-MARGIN_CWS'!$C112</f>
        <v>0</v>
      </c>
      <c r="AC41" s="98">
        <f>'COGS-PRICE-MARGIN_CWS'!$C112</f>
        <v>0</v>
      </c>
      <c r="AD41" s="98">
        <f>'COGS-PRICE-MARGIN_CWS'!$C112</f>
        <v>0</v>
      </c>
      <c r="AE41" s="98">
        <f>'COGS-PRICE-MARGIN_CWS'!$C112</f>
        <v>0</v>
      </c>
      <c r="AF41" s="98">
        <f>'COGS-PRICE-MARGIN_CWS'!$C112</f>
        <v>0</v>
      </c>
      <c r="AG41" s="98">
        <f>'COGS-PRICE-MARGIN_CWS'!$C112</f>
        <v>0</v>
      </c>
      <c r="AH41" s="98">
        <f>'COGS-PRICE-MARGIN_CWS'!$C112</f>
        <v>0</v>
      </c>
      <c r="AI41" s="98">
        <f>'COGS-PRICE-MARGIN_CWS'!$C112</f>
        <v>0</v>
      </c>
      <c r="AJ41" s="98">
        <f>'COGS-PRICE-MARGIN_CWS'!$C112</f>
        <v>0</v>
      </c>
      <c r="AK41" s="98">
        <f>'COGS-PRICE-MARGIN_CWS'!$C112</f>
        <v>0</v>
      </c>
      <c r="AL41" s="98">
        <f>'COGS-PRICE-MARGIN_CWS'!$C112</f>
        <v>0</v>
      </c>
      <c r="AM41" s="98">
        <f>'COGS-PRICE-MARGIN_CWS'!$C162</f>
        <v>0</v>
      </c>
      <c r="AN41" s="98">
        <f>'COGS-PRICE-MARGIN_CWS'!$C162</f>
        <v>0</v>
      </c>
      <c r="AO41" s="98">
        <f>'COGS-PRICE-MARGIN_CWS'!$C162</f>
        <v>0</v>
      </c>
      <c r="AP41" s="98">
        <f>'COGS-PRICE-MARGIN_CWS'!$C162</f>
        <v>0</v>
      </c>
      <c r="AQ41" s="98">
        <f>'COGS-PRICE-MARGIN_CWS'!$C162</f>
        <v>0</v>
      </c>
      <c r="AR41" s="98">
        <f>'COGS-PRICE-MARGIN_CWS'!$C162</f>
        <v>0</v>
      </c>
      <c r="AS41" s="98">
        <f>'COGS-PRICE-MARGIN_CWS'!$C162</f>
        <v>0</v>
      </c>
      <c r="AT41" s="98">
        <f>'COGS-PRICE-MARGIN_CWS'!$C162</f>
        <v>0</v>
      </c>
      <c r="AU41" s="98">
        <f>'COGS-PRICE-MARGIN_CWS'!$C162</f>
        <v>0</v>
      </c>
      <c r="AV41" s="98">
        <f>'COGS-PRICE-MARGIN_CWS'!$C162</f>
        <v>0</v>
      </c>
      <c r="AW41" s="98">
        <f>'COGS-PRICE-MARGIN_CWS'!$C162</f>
        <v>0</v>
      </c>
      <c r="AX41" s="98">
        <f>'COGS-PRICE-MARGIN_CWS'!$C162</f>
        <v>0</v>
      </c>
      <c r="AY41" s="98">
        <f>'COGS-PRICE-MARGIN_CWS'!$C212</f>
        <v>0</v>
      </c>
      <c r="AZ41" s="98">
        <f>'COGS-PRICE-MARGIN_CWS'!$C212</f>
        <v>0</v>
      </c>
      <c r="BA41" s="98">
        <f>'COGS-PRICE-MARGIN_CWS'!$C212</f>
        <v>0</v>
      </c>
      <c r="BB41" s="98">
        <f>'COGS-PRICE-MARGIN_CWS'!$C212</f>
        <v>0</v>
      </c>
      <c r="BC41" s="98">
        <f>'COGS-PRICE-MARGIN_CWS'!$C212</f>
        <v>0</v>
      </c>
      <c r="BD41" s="98">
        <f>'COGS-PRICE-MARGIN_CWS'!$C212</f>
        <v>0</v>
      </c>
      <c r="BE41" s="98">
        <f>'COGS-PRICE-MARGIN_CWS'!$C212</f>
        <v>0</v>
      </c>
      <c r="BF41" s="98">
        <f>'COGS-PRICE-MARGIN_CWS'!$C212</f>
        <v>0</v>
      </c>
      <c r="BG41" s="98">
        <f>'COGS-PRICE-MARGIN_CWS'!$C212</f>
        <v>0</v>
      </c>
      <c r="BH41" s="98">
        <f>'COGS-PRICE-MARGIN_CWS'!$C212</f>
        <v>0</v>
      </c>
      <c r="BI41" s="98">
        <f>'COGS-PRICE-MARGIN_CWS'!$C212</f>
        <v>0</v>
      </c>
      <c r="BJ41" s="98">
        <f>'COGS-PRICE-MARGIN_CWS'!$C212</f>
        <v>0</v>
      </c>
    </row>
    <row r="42" spans="1:63" outlineLevel="1" x14ac:dyDescent="0.15">
      <c r="A42" s="47" t="str">
        <f>A40 &amp; " Ingreso"</f>
        <v>Servicio Ingreso</v>
      </c>
      <c r="C42" s="12">
        <f t="shared" ref="C42:AH42" si="23">C40*(1-C41)</f>
        <v>0</v>
      </c>
      <c r="D42" s="12">
        <f t="shared" si="23"/>
        <v>0</v>
      </c>
      <c r="E42" s="12">
        <f t="shared" si="23"/>
        <v>0</v>
      </c>
      <c r="F42" s="12">
        <f t="shared" si="23"/>
        <v>0</v>
      </c>
      <c r="G42" s="12">
        <f t="shared" si="23"/>
        <v>0</v>
      </c>
      <c r="H42" s="12">
        <f t="shared" si="23"/>
        <v>0</v>
      </c>
      <c r="I42" s="12">
        <f t="shared" si="23"/>
        <v>0</v>
      </c>
      <c r="J42" s="12">
        <f t="shared" si="23"/>
        <v>0</v>
      </c>
      <c r="K42" s="12">
        <f t="shared" si="23"/>
        <v>0</v>
      </c>
      <c r="L42" s="12">
        <f t="shared" si="23"/>
        <v>0</v>
      </c>
      <c r="M42" s="12">
        <f t="shared" si="23"/>
        <v>0</v>
      </c>
      <c r="N42" s="12">
        <f t="shared" si="23"/>
        <v>0</v>
      </c>
      <c r="O42" s="90">
        <f t="shared" si="23"/>
        <v>0</v>
      </c>
      <c r="P42" s="90">
        <f t="shared" si="23"/>
        <v>0</v>
      </c>
      <c r="Q42" s="90">
        <f t="shared" si="23"/>
        <v>0</v>
      </c>
      <c r="R42" s="90">
        <f t="shared" si="23"/>
        <v>0</v>
      </c>
      <c r="S42" s="90">
        <f t="shared" si="23"/>
        <v>0</v>
      </c>
      <c r="T42" s="90">
        <f t="shared" si="23"/>
        <v>0</v>
      </c>
      <c r="U42" s="90">
        <f t="shared" si="23"/>
        <v>0</v>
      </c>
      <c r="V42" s="90">
        <f t="shared" si="23"/>
        <v>0</v>
      </c>
      <c r="W42" s="90">
        <f t="shared" si="23"/>
        <v>0</v>
      </c>
      <c r="X42" s="90">
        <f t="shared" si="23"/>
        <v>0</v>
      </c>
      <c r="Y42" s="90">
        <f t="shared" si="23"/>
        <v>0</v>
      </c>
      <c r="Z42" s="90">
        <f t="shared" si="23"/>
        <v>0</v>
      </c>
      <c r="AA42" s="90">
        <f t="shared" si="23"/>
        <v>0</v>
      </c>
      <c r="AB42" s="90">
        <f t="shared" si="23"/>
        <v>0</v>
      </c>
      <c r="AC42" s="90">
        <f t="shared" si="23"/>
        <v>0</v>
      </c>
      <c r="AD42" s="90">
        <f t="shared" si="23"/>
        <v>0</v>
      </c>
      <c r="AE42" s="90">
        <f t="shared" si="23"/>
        <v>0</v>
      </c>
      <c r="AF42" s="90">
        <f t="shared" si="23"/>
        <v>0</v>
      </c>
      <c r="AG42" s="90">
        <f t="shared" si="23"/>
        <v>0</v>
      </c>
      <c r="AH42" s="90">
        <f t="shared" si="23"/>
        <v>0</v>
      </c>
      <c r="AI42" s="90">
        <f t="shared" ref="AI42:BJ42" si="24">AI40*(1-AI41)</f>
        <v>0</v>
      </c>
      <c r="AJ42" s="90">
        <f t="shared" si="24"/>
        <v>0</v>
      </c>
      <c r="AK42" s="90">
        <f t="shared" si="24"/>
        <v>0</v>
      </c>
      <c r="AL42" s="90">
        <f t="shared" si="24"/>
        <v>0</v>
      </c>
      <c r="AM42" s="90">
        <f t="shared" si="24"/>
        <v>0</v>
      </c>
      <c r="AN42" s="90">
        <f t="shared" si="24"/>
        <v>0</v>
      </c>
      <c r="AO42" s="90">
        <f t="shared" si="24"/>
        <v>0</v>
      </c>
      <c r="AP42" s="90">
        <f t="shared" si="24"/>
        <v>0</v>
      </c>
      <c r="AQ42" s="90">
        <f t="shared" si="24"/>
        <v>0</v>
      </c>
      <c r="AR42" s="90">
        <f t="shared" si="24"/>
        <v>0</v>
      </c>
      <c r="AS42" s="90">
        <f t="shared" si="24"/>
        <v>0</v>
      </c>
      <c r="AT42" s="90">
        <f t="shared" si="24"/>
        <v>0</v>
      </c>
      <c r="AU42" s="90">
        <f t="shared" si="24"/>
        <v>0</v>
      </c>
      <c r="AV42" s="90">
        <f t="shared" si="24"/>
        <v>0</v>
      </c>
      <c r="AW42" s="90">
        <f t="shared" si="24"/>
        <v>0</v>
      </c>
      <c r="AX42" s="90">
        <f t="shared" si="24"/>
        <v>0</v>
      </c>
      <c r="AY42" s="90">
        <f t="shared" si="24"/>
        <v>0</v>
      </c>
      <c r="AZ42" s="90">
        <f t="shared" si="24"/>
        <v>0</v>
      </c>
      <c r="BA42" s="90">
        <f t="shared" si="24"/>
        <v>0</v>
      </c>
      <c r="BB42" s="90">
        <f t="shared" si="24"/>
        <v>0</v>
      </c>
      <c r="BC42" s="90">
        <f t="shared" si="24"/>
        <v>0</v>
      </c>
      <c r="BD42" s="90">
        <f t="shared" si="24"/>
        <v>0</v>
      </c>
      <c r="BE42" s="90">
        <f t="shared" si="24"/>
        <v>0</v>
      </c>
      <c r="BF42" s="90">
        <f t="shared" si="24"/>
        <v>0</v>
      </c>
      <c r="BG42" s="90">
        <f t="shared" si="24"/>
        <v>0</v>
      </c>
      <c r="BH42" s="90">
        <f t="shared" si="24"/>
        <v>0</v>
      </c>
      <c r="BI42" s="90">
        <f t="shared" si="24"/>
        <v>0</v>
      </c>
      <c r="BJ42" s="90">
        <f t="shared" si="24"/>
        <v>0</v>
      </c>
      <c r="BK42" s="118">
        <f>SUM(C42:BJ42)</f>
        <v>0</v>
      </c>
    </row>
    <row r="43" spans="1:63" outlineLevel="1" x14ac:dyDescent="0.15">
      <c r="A43" s="47" t="s">
        <v>343</v>
      </c>
      <c r="C43" s="12">
        <f>'REV-REC-MAINT_CWS'!F68</f>
        <v>0</v>
      </c>
      <c r="D43" s="12">
        <f>'REV-REC-MAINT_CWS'!G68</f>
        <v>0</v>
      </c>
      <c r="E43" s="12">
        <f>'REV-REC-MAINT_CWS'!H68</f>
        <v>0</v>
      </c>
      <c r="F43" s="12">
        <f>'REV-REC-MAINT_CWS'!I68</f>
        <v>0</v>
      </c>
      <c r="G43" s="12">
        <f>'REV-REC-MAINT_CWS'!J68</f>
        <v>0</v>
      </c>
      <c r="H43" s="12">
        <f>'REV-REC-MAINT_CWS'!K68</f>
        <v>0</v>
      </c>
      <c r="I43" s="12">
        <f>'REV-REC-MAINT_CWS'!L68</f>
        <v>0</v>
      </c>
      <c r="J43" s="12">
        <f>'REV-REC-MAINT_CWS'!M68</f>
        <v>0</v>
      </c>
      <c r="K43" s="12">
        <f>'REV-REC-MAINT_CWS'!N68</f>
        <v>0</v>
      </c>
      <c r="L43" s="12">
        <f>'REV-REC-MAINT_CWS'!O68</f>
        <v>0</v>
      </c>
      <c r="M43" s="12">
        <f>'REV-REC-MAINT_CWS'!P68</f>
        <v>0</v>
      </c>
      <c r="N43" s="12">
        <f>'REV-REC-MAINT_CWS'!Q68</f>
        <v>0</v>
      </c>
      <c r="O43" s="90">
        <f>'REV-REC-MAINT_CWS'!R68</f>
        <v>0</v>
      </c>
      <c r="P43" s="90">
        <f>'REV-REC-MAINT_CWS'!S68</f>
        <v>0</v>
      </c>
      <c r="Q43" s="90">
        <f>'REV-REC-MAINT_CWS'!T68</f>
        <v>0</v>
      </c>
      <c r="R43" s="90">
        <f>'REV-REC-MAINT_CWS'!U68</f>
        <v>0</v>
      </c>
      <c r="S43" s="90">
        <f>'REV-REC-MAINT_CWS'!V68</f>
        <v>0</v>
      </c>
      <c r="T43" s="90">
        <f>'REV-REC-MAINT_CWS'!W68</f>
        <v>0</v>
      </c>
      <c r="U43" s="90">
        <f>'REV-REC-MAINT_CWS'!X68</f>
        <v>0</v>
      </c>
      <c r="V43" s="90">
        <f>'REV-REC-MAINT_CWS'!Y68</f>
        <v>0</v>
      </c>
      <c r="W43" s="90">
        <f>'REV-REC-MAINT_CWS'!Z68</f>
        <v>0</v>
      </c>
      <c r="X43" s="90">
        <f>'REV-REC-MAINT_CWS'!AA68</f>
        <v>0</v>
      </c>
      <c r="Y43" s="90">
        <f>'REV-REC-MAINT_CWS'!AB68</f>
        <v>0</v>
      </c>
      <c r="Z43" s="90">
        <f>'REV-REC-MAINT_CWS'!AC68</f>
        <v>0</v>
      </c>
      <c r="AA43" s="90">
        <f>'REV-REC-MAINT_CWS'!AD68</f>
        <v>0</v>
      </c>
      <c r="AB43" s="90">
        <f>'REV-REC-MAINT_CWS'!AE68</f>
        <v>0</v>
      </c>
      <c r="AC43" s="90">
        <f>'REV-REC-MAINT_CWS'!AF68</f>
        <v>0</v>
      </c>
      <c r="AD43" s="90">
        <f>'REV-REC-MAINT_CWS'!AG68</f>
        <v>0</v>
      </c>
      <c r="AE43" s="90">
        <f>'REV-REC-MAINT_CWS'!AH68</f>
        <v>0</v>
      </c>
      <c r="AF43" s="90">
        <f>'REV-REC-MAINT_CWS'!AI68</f>
        <v>0</v>
      </c>
      <c r="AG43" s="90">
        <f>'REV-REC-MAINT_CWS'!AJ68</f>
        <v>0</v>
      </c>
      <c r="AH43" s="90">
        <f>'REV-REC-MAINT_CWS'!AK68</f>
        <v>0</v>
      </c>
      <c r="AI43" s="90">
        <f>'REV-REC-MAINT_CWS'!AL68</f>
        <v>0</v>
      </c>
      <c r="AJ43" s="90">
        <f>'REV-REC-MAINT_CWS'!AM68</f>
        <v>0</v>
      </c>
      <c r="AK43" s="90">
        <f>'REV-REC-MAINT_CWS'!AN68</f>
        <v>0</v>
      </c>
      <c r="AL43" s="90">
        <f>'REV-REC-MAINT_CWS'!AO68</f>
        <v>0</v>
      </c>
      <c r="AM43" s="90">
        <f>'REV-REC-MAINT_CWS'!$AO$68</f>
        <v>0</v>
      </c>
      <c r="AN43" s="90">
        <f>'REV-REC-MAINT_CWS'!$AO$68</f>
        <v>0</v>
      </c>
      <c r="AO43" s="90">
        <f>'REV-REC-MAINT_CWS'!$AO$68</f>
        <v>0</v>
      </c>
      <c r="AP43" s="90">
        <f>'REV-REC-MAINT_CWS'!$AO$68</f>
        <v>0</v>
      </c>
      <c r="AQ43" s="90">
        <f>'REV-REC-MAINT_CWS'!$AO$68</f>
        <v>0</v>
      </c>
      <c r="AR43" s="90">
        <f>'REV-REC-MAINT_CWS'!$AO$68</f>
        <v>0</v>
      </c>
      <c r="AS43" s="90">
        <f>'REV-REC-MAINT_CWS'!$AO$68</f>
        <v>0</v>
      </c>
      <c r="AT43" s="90">
        <f>'REV-REC-MAINT_CWS'!$AO$68</f>
        <v>0</v>
      </c>
      <c r="AU43" s="90">
        <f>'REV-REC-MAINT_CWS'!$AO$68</f>
        <v>0</v>
      </c>
      <c r="AV43" s="90">
        <f>'REV-REC-MAINT_CWS'!$AO$68</f>
        <v>0</v>
      </c>
      <c r="AW43" s="90">
        <f>'REV-REC-MAINT_CWS'!$AO$68</f>
        <v>0</v>
      </c>
      <c r="AX43" s="90">
        <f>'REV-REC-MAINT_CWS'!$AO$68</f>
        <v>0</v>
      </c>
      <c r="AY43" s="90">
        <f>'REV-REC-MAINT_CWS'!$AO$68</f>
        <v>0</v>
      </c>
      <c r="AZ43" s="90">
        <f>'REV-REC-MAINT_CWS'!$AO$68</f>
        <v>0</v>
      </c>
      <c r="BA43" s="90">
        <f>'REV-REC-MAINT_CWS'!$AO$68</f>
        <v>0</v>
      </c>
      <c r="BB43" s="90">
        <f>'REV-REC-MAINT_CWS'!$AO$68</f>
        <v>0</v>
      </c>
      <c r="BC43" s="90">
        <f>'REV-REC-MAINT_CWS'!$AO$68</f>
        <v>0</v>
      </c>
      <c r="BD43" s="90">
        <f>'REV-REC-MAINT_CWS'!$AO$68</f>
        <v>0</v>
      </c>
      <c r="BE43" s="90">
        <f>'REV-REC-MAINT_CWS'!$AO$68</f>
        <v>0</v>
      </c>
      <c r="BF43" s="90">
        <f>'REV-REC-MAINT_CWS'!$AO$68</f>
        <v>0</v>
      </c>
      <c r="BG43" s="90">
        <f>'REV-REC-MAINT_CWS'!$AO$68</f>
        <v>0</v>
      </c>
      <c r="BH43" s="90">
        <f>'REV-REC-MAINT_CWS'!$AO$68</f>
        <v>0</v>
      </c>
      <c r="BI43" s="90">
        <f>'REV-REC-MAINT_CWS'!$AO$68</f>
        <v>0</v>
      </c>
      <c r="BJ43" s="90">
        <f>'REV-REC-MAINT_CWS'!$AO$68</f>
        <v>0</v>
      </c>
      <c r="BK43" s="118">
        <f>SUM(C43:BJ43)</f>
        <v>0</v>
      </c>
    </row>
    <row r="44" spans="1:63" outlineLevel="1" x14ac:dyDescent="0.15"/>
    <row r="45" spans="1:63" outlineLevel="1" x14ac:dyDescent="0.15">
      <c r="A45" s="16" t="str">
        <f>"Ingreso "&amp; A37</f>
        <v>Ingreso Domicilio Services Units</v>
      </c>
    </row>
    <row r="46" spans="1:63" outlineLevel="1" x14ac:dyDescent="0.15">
      <c r="A46" s="47" t="str">
        <f>'COGS-PRICE-MARGIN_CWS'!A20</f>
        <v>Envío</v>
      </c>
      <c r="C46" s="402">
        <f>'COGS-PRICE-MARGIN_CWS'!$B20*C37</f>
        <v>0</v>
      </c>
      <c r="D46" s="402">
        <f>'COGS-PRICE-MARGIN_CWS'!$B20*D37</f>
        <v>0</v>
      </c>
      <c r="E46" s="402">
        <f>'COGS-PRICE-MARGIN_CWS'!$B20*E37</f>
        <v>0</v>
      </c>
      <c r="F46" s="402">
        <f>'COGS-PRICE-MARGIN_CWS'!$B20*F37</f>
        <v>0</v>
      </c>
      <c r="G46" s="402">
        <f>'COGS-PRICE-MARGIN_CWS'!$B20*G37</f>
        <v>0</v>
      </c>
      <c r="H46" s="402">
        <f>'COGS-PRICE-MARGIN_CWS'!$B20*H37</f>
        <v>120000</v>
      </c>
      <c r="I46" s="402">
        <f>'COGS-PRICE-MARGIN_CWS'!$B20*I37</f>
        <v>150000</v>
      </c>
      <c r="J46" s="402">
        <f>'COGS-PRICE-MARGIN_CWS'!$B20*J37</f>
        <v>180000</v>
      </c>
      <c r="K46" s="402">
        <f>'COGS-PRICE-MARGIN_CWS'!$B20*K37</f>
        <v>210000</v>
      </c>
      <c r="L46" s="402">
        <f>'COGS-PRICE-MARGIN_CWS'!$B20*L37</f>
        <v>240000</v>
      </c>
      <c r="M46" s="402">
        <f>'COGS-PRICE-MARGIN_CWS'!$B20*M37</f>
        <v>270000</v>
      </c>
      <c r="N46" s="402">
        <f>'COGS-PRICE-MARGIN_CWS'!$B20*N37</f>
        <v>240000</v>
      </c>
      <c r="O46" s="402">
        <f>'COGS-PRICE-MARGIN_CWS'!$B70*O37</f>
        <v>494340</v>
      </c>
      <c r="P46" s="402">
        <f>'COGS-PRICE-MARGIN_CWS'!$B70*P37</f>
        <v>789660</v>
      </c>
      <c r="Q46" s="402">
        <f>'COGS-PRICE-MARGIN_CWS'!$B70*Q37</f>
        <v>885960</v>
      </c>
      <c r="R46" s="402">
        <f>'COGS-PRICE-MARGIN_CWS'!$B70*R37</f>
        <v>885960</v>
      </c>
      <c r="S46" s="402">
        <f>'COGS-PRICE-MARGIN_CWS'!$B70*S37</f>
        <v>885960</v>
      </c>
      <c r="T46" s="402">
        <f>'COGS-PRICE-MARGIN_CWS'!$B70*T37</f>
        <v>885960</v>
      </c>
      <c r="U46" s="402">
        <f>'COGS-PRICE-MARGIN_CWS'!$B70*U37</f>
        <v>885960</v>
      </c>
      <c r="V46" s="402">
        <f>'COGS-PRICE-MARGIN_CWS'!$B70*V37</f>
        <v>885960</v>
      </c>
      <c r="W46" s="402">
        <f>'COGS-PRICE-MARGIN_CWS'!$B70*W37</f>
        <v>885960</v>
      </c>
      <c r="X46" s="402">
        <f>'COGS-PRICE-MARGIN_CWS'!$B70*X37</f>
        <v>885960</v>
      </c>
      <c r="Y46" s="402">
        <f>'COGS-PRICE-MARGIN_CWS'!$B70*Y37</f>
        <v>885960</v>
      </c>
      <c r="Z46" s="402">
        <f>'COGS-PRICE-MARGIN_CWS'!$B70*Z37</f>
        <v>590640</v>
      </c>
      <c r="AA46" s="402">
        <f>'COGS-PRICE-MARGIN_CWS'!$B120*AA37</f>
        <v>776242.20000000007</v>
      </c>
      <c r="AB46" s="402">
        <f>'COGS-PRICE-MARGIN_CWS'!$B120*AB37</f>
        <v>1236492</v>
      </c>
      <c r="AC46" s="402">
        <f>'COGS-PRICE-MARGIN_CWS'!$B120*AC37</f>
        <v>1391053.5</v>
      </c>
      <c r="AD46" s="402">
        <f>'COGS-PRICE-MARGIN_CWS'!$B120*AD37</f>
        <v>1391053.5</v>
      </c>
      <c r="AE46" s="402">
        <f>'COGS-PRICE-MARGIN_CWS'!$B120*AE37</f>
        <v>1391053.5</v>
      </c>
      <c r="AF46" s="402">
        <f>'COGS-PRICE-MARGIN_CWS'!$B120*AF37</f>
        <v>1391053.5</v>
      </c>
      <c r="AG46" s="402">
        <f>'COGS-PRICE-MARGIN_CWS'!$B120*AG37</f>
        <v>1391053.5</v>
      </c>
      <c r="AH46" s="402">
        <f>'COGS-PRICE-MARGIN_CWS'!$B120*AH37</f>
        <v>1391053.5</v>
      </c>
      <c r="AI46" s="402">
        <f>'COGS-PRICE-MARGIN_CWS'!$B120*AI37</f>
        <v>1391053.5</v>
      </c>
      <c r="AJ46" s="402">
        <f>'COGS-PRICE-MARGIN_CWS'!$B120*AJ37</f>
        <v>1391053.5</v>
      </c>
      <c r="AK46" s="402">
        <f>'COGS-PRICE-MARGIN_CWS'!$B120*AK37</f>
        <v>1391053.5</v>
      </c>
      <c r="AL46" s="402">
        <f>'COGS-PRICE-MARGIN_CWS'!$B120*AL37</f>
        <v>930803.70000000007</v>
      </c>
      <c r="AM46" s="402">
        <f>'COGS-PRICE-MARGIN_CWS'!$B170*AM37</f>
        <v>2061747.3690000002</v>
      </c>
      <c r="AN46" s="402">
        <f>'COGS-PRICE-MARGIN_CWS'!$B170*AN37</f>
        <v>3300265.8420000002</v>
      </c>
      <c r="AO46" s="402">
        <f>'COGS-PRICE-MARGIN_CWS'!$B170*AO37</f>
        <v>3711880.2900000005</v>
      </c>
      <c r="AP46" s="402">
        <f>'COGS-PRICE-MARGIN_CWS'!$B170*AP37</f>
        <v>3711880.2900000005</v>
      </c>
      <c r="AQ46" s="402">
        <f>'COGS-PRICE-MARGIN_CWS'!$B170*AQ37</f>
        <v>3711880.2900000005</v>
      </c>
      <c r="AR46" s="402">
        <f>'COGS-PRICE-MARGIN_CWS'!$B170*AR37</f>
        <v>3711880.2900000005</v>
      </c>
      <c r="AS46" s="402">
        <f>'COGS-PRICE-MARGIN_CWS'!$B170*AS37</f>
        <v>3711880.2900000005</v>
      </c>
      <c r="AT46" s="402">
        <f>'COGS-PRICE-MARGIN_CWS'!$B170*AT37</f>
        <v>3711880.2900000005</v>
      </c>
      <c r="AU46" s="402">
        <f>'COGS-PRICE-MARGIN_CWS'!$B170*AU37</f>
        <v>3711880.2900000005</v>
      </c>
      <c r="AV46" s="402">
        <f>'COGS-PRICE-MARGIN_CWS'!$B170*AV37</f>
        <v>3711880.2900000005</v>
      </c>
      <c r="AW46" s="402">
        <f>'COGS-PRICE-MARGIN_CWS'!$B170*AW37</f>
        <v>3711880.2900000005</v>
      </c>
      <c r="AX46" s="402">
        <f>'COGS-PRICE-MARGIN_CWS'!$B170*AX37</f>
        <v>2473361.8170000003</v>
      </c>
      <c r="AY46" s="402">
        <f>'COGS-PRICE-MARGIN_CWS'!$B220*AY37</f>
        <v>2272920.2813400002</v>
      </c>
      <c r="AZ46" s="402">
        <f>'COGS-PRICE-MARGIN_CWS'!$B220*AZ37</f>
        <v>3637458.9277500003</v>
      </c>
      <c r="BA46" s="402">
        <f>'COGS-PRICE-MARGIN_CWS'!$B220*BA37</f>
        <v>4089683.5512000006</v>
      </c>
      <c r="BB46" s="402">
        <f>'COGS-PRICE-MARGIN_CWS'!$B220*BB37</f>
        <v>4089683.5512000006</v>
      </c>
      <c r="BC46" s="402">
        <f>'COGS-PRICE-MARGIN_CWS'!$B220*BC37</f>
        <v>4089683.5512000006</v>
      </c>
      <c r="BD46" s="402">
        <f>'COGS-PRICE-MARGIN_CWS'!$B220*BD37</f>
        <v>4089683.5512000006</v>
      </c>
      <c r="BE46" s="402">
        <f>'COGS-PRICE-MARGIN_CWS'!$B220*BE37</f>
        <v>4089683.5512000006</v>
      </c>
      <c r="BF46" s="402">
        <f>'COGS-PRICE-MARGIN_CWS'!$B220*BF37</f>
        <v>4089683.5512000006</v>
      </c>
      <c r="BG46" s="402">
        <f>'COGS-PRICE-MARGIN_CWS'!$B220*BG37</f>
        <v>4089683.5512000006</v>
      </c>
      <c r="BH46" s="402">
        <f>'COGS-PRICE-MARGIN_CWS'!$B220*BH37</f>
        <v>4089683.5512000006</v>
      </c>
      <c r="BI46" s="402">
        <f>'COGS-PRICE-MARGIN_CWS'!$B220*BI37</f>
        <v>4089683.5512000006</v>
      </c>
      <c r="BJ46" s="402">
        <f>'COGS-PRICE-MARGIN_CWS'!$B220*BJ37</f>
        <v>2729077.2928200006</v>
      </c>
      <c r="BK46" s="391">
        <f>SUM(C46:BJ46)</f>
        <v>113410205.50071003</v>
      </c>
    </row>
    <row r="47" spans="1:63" outlineLevel="1" x14ac:dyDescent="0.15">
      <c r="A47" s="47" t="s">
        <v>342</v>
      </c>
      <c r="C47" s="12">
        <f>'REV-REC-MAINT_CWS'!F141</f>
        <v>0</v>
      </c>
      <c r="D47" s="12">
        <f>'REV-REC-MAINT_CWS'!G141</f>
        <v>0</v>
      </c>
      <c r="E47" s="12">
        <f>'REV-REC-MAINT_CWS'!H141</f>
        <v>0</v>
      </c>
      <c r="F47" s="12">
        <f>'REV-REC-MAINT_CWS'!I141</f>
        <v>0</v>
      </c>
      <c r="G47" s="12">
        <f>'REV-REC-MAINT_CWS'!J141</f>
        <v>0</v>
      </c>
      <c r="H47" s="12">
        <f>'REV-REC-MAINT_CWS'!K141</f>
        <v>0</v>
      </c>
      <c r="I47" s="12">
        <f>'REV-REC-MAINT_CWS'!L141</f>
        <v>0</v>
      </c>
      <c r="J47" s="12">
        <f>'REV-REC-MAINT_CWS'!M141</f>
        <v>0</v>
      </c>
      <c r="K47" s="12">
        <f>'REV-REC-MAINT_CWS'!N141</f>
        <v>0</v>
      </c>
      <c r="L47" s="12">
        <f>'REV-REC-MAINT_CWS'!O141</f>
        <v>0</v>
      </c>
      <c r="M47" s="12">
        <f>'REV-REC-MAINT_CWS'!P141</f>
        <v>0</v>
      </c>
      <c r="N47" s="12">
        <f>'REV-REC-MAINT_CWS'!Q141</f>
        <v>0</v>
      </c>
      <c r="O47" s="12">
        <f>'REV-REC-MAINT_CWS'!R141</f>
        <v>0</v>
      </c>
      <c r="P47" s="12">
        <f>'REV-REC-MAINT_CWS'!S141</f>
        <v>0</v>
      </c>
      <c r="Q47" s="12">
        <f>'REV-REC-MAINT_CWS'!T141</f>
        <v>0</v>
      </c>
      <c r="R47" s="12">
        <f>'REV-REC-MAINT_CWS'!U141</f>
        <v>0</v>
      </c>
      <c r="S47" s="12">
        <f>'REV-REC-MAINT_CWS'!V141</f>
        <v>0</v>
      </c>
      <c r="T47" s="12">
        <f>'REV-REC-MAINT_CWS'!W141</f>
        <v>0</v>
      </c>
      <c r="U47" s="12">
        <f>'REV-REC-MAINT_CWS'!X141</f>
        <v>0</v>
      </c>
      <c r="V47" s="12">
        <f>'REV-REC-MAINT_CWS'!Y141</f>
        <v>0</v>
      </c>
      <c r="W47" s="12">
        <f>'REV-REC-MAINT_CWS'!Z141</f>
        <v>0</v>
      </c>
      <c r="X47" s="12">
        <f>'REV-REC-MAINT_CWS'!AA141</f>
        <v>0</v>
      </c>
      <c r="Y47" s="12">
        <f>'REV-REC-MAINT_CWS'!AB141</f>
        <v>0</v>
      </c>
      <c r="Z47" s="12">
        <f>'REV-REC-MAINT_CWS'!AC141</f>
        <v>0</v>
      </c>
      <c r="AA47" s="12">
        <f>'REV-REC-MAINT_CWS'!AD141</f>
        <v>0</v>
      </c>
      <c r="AB47" s="12">
        <f>'REV-REC-MAINT_CWS'!AE141</f>
        <v>0</v>
      </c>
      <c r="AC47" s="12">
        <f>'REV-REC-MAINT_CWS'!AF141</f>
        <v>0</v>
      </c>
      <c r="AD47" s="12">
        <f>'REV-REC-MAINT_CWS'!AG141</f>
        <v>0</v>
      </c>
      <c r="AE47" s="12">
        <f>'REV-REC-MAINT_CWS'!AH141</f>
        <v>0</v>
      </c>
      <c r="AF47" s="12">
        <f>'REV-REC-MAINT_CWS'!AI141</f>
        <v>0</v>
      </c>
      <c r="AG47" s="12">
        <f>'REV-REC-MAINT_CWS'!AJ141</f>
        <v>0</v>
      </c>
      <c r="AH47" s="12">
        <f>'REV-REC-MAINT_CWS'!AK141</f>
        <v>0</v>
      </c>
      <c r="AI47" s="12">
        <f>'REV-REC-MAINT_CWS'!AL141</f>
        <v>0</v>
      </c>
      <c r="AJ47" s="12">
        <f>'REV-REC-MAINT_CWS'!AM141</f>
        <v>0</v>
      </c>
      <c r="AK47" s="12">
        <f>'REV-REC-MAINT_CWS'!AN141</f>
        <v>0</v>
      </c>
      <c r="AL47" s="12">
        <f>'REV-REC-MAINT_CWS'!AO141</f>
        <v>0</v>
      </c>
      <c r="AM47" s="12">
        <f>'REV-REC-MAINT_CWS'!$AO$141</f>
        <v>0</v>
      </c>
      <c r="AN47" s="12">
        <f>'REV-REC-MAINT_CWS'!$AO$141</f>
        <v>0</v>
      </c>
      <c r="AO47" s="12">
        <f>'REV-REC-MAINT_CWS'!$AO$141</f>
        <v>0</v>
      </c>
      <c r="AP47" s="12">
        <f>'REV-REC-MAINT_CWS'!$AO$141</f>
        <v>0</v>
      </c>
      <c r="AQ47" s="12">
        <f>'REV-REC-MAINT_CWS'!$AO$141</f>
        <v>0</v>
      </c>
      <c r="AR47" s="12">
        <f>'REV-REC-MAINT_CWS'!$AO$141</f>
        <v>0</v>
      </c>
      <c r="AS47" s="12">
        <f>'REV-REC-MAINT_CWS'!$AO$141</f>
        <v>0</v>
      </c>
      <c r="AT47" s="12">
        <f>'REV-REC-MAINT_CWS'!$AO$141</f>
        <v>0</v>
      </c>
      <c r="AU47" s="12">
        <f>'REV-REC-MAINT_CWS'!$AO$141</f>
        <v>0</v>
      </c>
      <c r="AV47" s="12">
        <f>'REV-REC-MAINT_CWS'!$AO$141</f>
        <v>0</v>
      </c>
      <c r="AW47" s="12">
        <f>'REV-REC-MAINT_CWS'!$AO$141</f>
        <v>0</v>
      </c>
      <c r="AX47" s="12">
        <f>'REV-REC-MAINT_CWS'!$AO$141</f>
        <v>0</v>
      </c>
      <c r="AY47" s="12">
        <f>'REV-REC-MAINT_CWS'!$AO$141</f>
        <v>0</v>
      </c>
      <c r="AZ47" s="12">
        <f>'REV-REC-MAINT_CWS'!$AO$141</f>
        <v>0</v>
      </c>
      <c r="BA47" s="12">
        <f>'REV-REC-MAINT_CWS'!$AO$141</f>
        <v>0</v>
      </c>
      <c r="BB47" s="12">
        <f>'REV-REC-MAINT_CWS'!$AO$141</f>
        <v>0</v>
      </c>
      <c r="BC47" s="12">
        <f>'REV-REC-MAINT_CWS'!$AO$141</f>
        <v>0</v>
      </c>
      <c r="BD47" s="12">
        <f>'REV-REC-MAINT_CWS'!$AO$141</f>
        <v>0</v>
      </c>
      <c r="BE47" s="12">
        <f>'REV-REC-MAINT_CWS'!$AO$141</f>
        <v>0</v>
      </c>
      <c r="BF47" s="12">
        <f>'REV-REC-MAINT_CWS'!$AO$141</f>
        <v>0</v>
      </c>
      <c r="BG47" s="12">
        <f>'REV-REC-MAINT_CWS'!$AO$141</f>
        <v>0</v>
      </c>
      <c r="BH47" s="12">
        <f>'REV-REC-MAINT_CWS'!$AO$141</f>
        <v>0</v>
      </c>
      <c r="BI47" s="12">
        <f>'REV-REC-MAINT_CWS'!$AO$141</f>
        <v>0</v>
      </c>
      <c r="BJ47" s="12">
        <f>'REV-REC-MAINT_CWS'!$AO$141</f>
        <v>0</v>
      </c>
      <c r="BK47" s="118">
        <f>SUM(C47:BJ47)</f>
        <v>0</v>
      </c>
    </row>
    <row r="48" spans="1:63" outlineLevel="1" x14ac:dyDescent="0.15">
      <c r="A48" s="47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50" spans="1:63" x14ac:dyDescent="0.15">
      <c r="A50" s="371" t="str">
        <f>'COGS-PRICE-MARGIN_CWS'!$A$28</f>
        <v>Producto Fusión</v>
      </c>
      <c r="B50" s="10"/>
      <c r="C50" s="10"/>
      <c r="D50" s="10"/>
      <c r="E50" s="10"/>
      <c r="F50" s="10"/>
      <c r="G50" s="10"/>
    </row>
    <row r="51" spans="1:63" outlineLevel="1" x14ac:dyDescent="0.15">
      <c r="A51" s="33"/>
      <c r="B51" s="10"/>
      <c r="C51" s="10"/>
      <c r="D51" s="10"/>
      <c r="E51" s="10"/>
      <c r="F51" s="10"/>
      <c r="G51" s="10"/>
    </row>
    <row r="52" spans="1:63" s="169" customFormat="1" outlineLevel="1" x14ac:dyDescent="0.15">
      <c r="A52" s="315" t="s">
        <v>206</v>
      </c>
      <c r="C52" s="169">
        <f>C$9</f>
        <v>0</v>
      </c>
      <c r="D52" s="169">
        <f t="shared" ref="D52:BJ52" si="25">D$9</f>
        <v>0</v>
      </c>
      <c r="E52" s="169">
        <f t="shared" si="25"/>
        <v>0</v>
      </c>
      <c r="F52" s="169">
        <f t="shared" si="25"/>
        <v>0</v>
      </c>
      <c r="G52" s="169">
        <f t="shared" si="25"/>
        <v>0</v>
      </c>
      <c r="H52" s="169">
        <f t="shared" si="25"/>
        <v>69</v>
      </c>
      <c r="I52" s="169">
        <f t="shared" si="25"/>
        <v>86</v>
      </c>
      <c r="J52" s="169">
        <f t="shared" si="25"/>
        <v>103</v>
      </c>
      <c r="K52" s="169">
        <f t="shared" si="25"/>
        <v>120</v>
      </c>
      <c r="L52" s="169">
        <f t="shared" si="25"/>
        <v>137</v>
      </c>
      <c r="M52" s="169">
        <f t="shared" si="25"/>
        <v>154</v>
      </c>
      <c r="N52" s="169">
        <f t="shared" si="25"/>
        <v>137</v>
      </c>
      <c r="O52" s="169">
        <f t="shared" si="25"/>
        <v>255</v>
      </c>
      <c r="P52" s="169">
        <f t="shared" si="25"/>
        <v>408</v>
      </c>
      <c r="Q52" s="169">
        <f t="shared" si="25"/>
        <v>459</v>
      </c>
      <c r="R52" s="169">
        <f t="shared" si="25"/>
        <v>459</v>
      </c>
      <c r="S52" s="169">
        <f t="shared" si="25"/>
        <v>459</v>
      </c>
      <c r="T52" s="169">
        <f t="shared" si="25"/>
        <v>459</v>
      </c>
      <c r="U52" s="169">
        <f t="shared" si="25"/>
        <v>459</v>
      </c>
      <c r="V52" s="169">
        <f t="shared" si="25"/>
        <v>459</v>
      </c>
      <c r="W52" s="169">
        <f t="shared" si="25"/>
        <v>459</v>
      </c>
      <c r="X52" s="169">
        <f t="shared" si="25"/>
        <v>459</v>
      </c>
      <c r="Y52" s="169">
        <f t="shared" si="25"/>
        <v>459</v>
      </c>
      <c r="Z52" s="169">
        <f t="shared" si="25"/>
        <v>306</v>
      </c>
      <c r="AA52" s="169">
        <f t="shared" si="25"/>
        <v>726</v>
      </c>
      <c r="AB52" s="169">
        <f t="shared" si="25"/>
        <v>1162</v>
      </c>
      <c r="AC52" s="169">
        <f t="shared" si="25"/>
        <v>1307</v>
      </c>
      <c r="AD52" s="169">
        <f t="shared" si="25"/>
        <v>1307</v>
      </c>
      <c r="AE52" s="169">
        <f t="shared" si="25"/>
        <v>1307</v>
      </c>
      <c r="AF52" s="169">
        <f t="shared" si="25"/>
        <v>1307</v>
      </c>
      <c r="AG52" s="169">
        <f t="shared" si="25"/>
        <v>1307</v>
      </c>
      <c r="AH52" s="169">
        <f t="shared" si="25"/>
        <v>1307</v>
      </c>
      <c r="AI52" s="169">
        <f t="shared" si="25"/>
        <v>1307</v>
      </c>
      <c r="AJ52" s="169">
        <f t="shared" si="25"/>
        <v>1307</v>
      </c>
      <c r="AK52" s="169">
        <f t="shared" si="25"/>
        <v>1307</v>
      </c>
      <c r="AL52" s="169">
        <f t="shared" si="25"/>
        <v>871</v>
      </c>
      <c r="AM52" s="169">
        <f t="shared" si="25"/>
        <v>935</v>
      </c>
      <c r="AN52" s="169">
        <f t="shared" si="25"/>
        <v>1496</v>
      </c>
      <c r="AO52" s="169">
        <f t="shared" si="25"/>
        <v>1683</v>
      </c>
      <c r="AP52" s="169">
        <f t="shared" si="25"/>
        <v>1683</v>
      </c>
      <c r="AQ52" s="169">
        <f t="shared" si="25"/>
        <v>1683</v>
      </c>
      <c r="AR52" s="169">
        <f t="shared" si="25"/>
        <v>1683</v>
      </c>
      <c r="AS52" s="169">
        <f t="shared" si="25"/>
        <v>1683</v>
      </c>
      <c r="AT52" s="169">
        <f t="shared" si="25"/>
        <v>1683</v>
      </c>
      <c r="AU52" s="169">
        <f t="shared" si="25"/>
        <v>1683</v>
      </c>
      <c r="AV52" s="169">
        <f t="shared" si="25"/>
        <v>1683</v>
      </c>
      <c r="AW52" s="169">
        <f t="shared" si="25"/>
        <v>1683</v>
      </c>
      <c r="AX52" s="169">
        <f t="shared" si="25"/>
        <v>1122</v>
      </c>
      <c r="AY52" s="169">
        <f t="shared" si="25"/>
        <v>963</v>
      </c>
      <c r="AZ52" s="169">
        <f t="shared" si="25"/>
        <v>1541</v>
      </c>
      <c r="BA52" s="169">
        <f t="shared" si="25"/>
        <v>1733</v>
      </c>
      <c r="BB52" s="169">
        <f t="shared" si="25"/>
        <v>1733</v>
      </c>
      <c r="BC52" s="169">
        <f t="shared" si="25"/>
        <v>1733</v>
      </c>
      <c r="BD52" s="169">
        <f t="shared" si="25"/>
        <v>1733</v>
      </c>
      <c r="BE52" s="169">
        <f t="shared" si="25"/>
        <v>1733</v>
      </c>
      <c r="BF52" s="169">
        <f t="shared" si="25"/>
        <v>1733</v>
      </c>
      <c r="BG52" s="169">
        <f t="shared" si="25"/>
        <v>1733</v>
      </c>
      <c r="BH52" s="169">
        <f t="shared" si="25"/>
        <v>1733</v>
      </c>
      <c r="BI52" s="169">
        <f t="shared" si="25"/>
        <v>1733</v>
      </c>
      <c r="BJ52" s="169">
        <f t="shared" si="25"/>
        <v>1156</v>
      </c>
      <c r="BK52" s="316">
        <f>SUM(C52:BJ52)</f>
        <v>58385</v>
      </c>
    </row>
    <row r="53" spans="1:63" outlineLevel="1" x14ac:dyDescent="0.15">
      <c r="A53" s="47" t="s">
        <v>312</v>
      </c>
      <c r="C53" s="392">
        <f>'COGS-PRICE-MARGIN_CWS'!$B29*C52</f>
        <v>0</v>
      </c>
      <c r="D53" s="392">
        <f>'COGS-PRICE-MARGIN_CWS'!$B29*D52</f>
        <v>0</v>
      </c>
      <c r="E53" s="392">
        <f>'COGS-PRICE-MARGIN_CWS'!$B29*E52</f>
        <v>0</v>
      </c>
      <c r="F53" s="390">
        <f>'COGS-PRICE-MARGIN_CWS'!$B29*F52</f>
        <v>0</v>
      </c>
      <c r="G53" s="390">
        <f>'COGS-PRICE-MARGIN_CWS'!$B29*G52</f>
        <v>0</v>
      </c>
      <c r="H53" s="390">
        <f>'COGS-PRICE-MARGIN_CWS'!$B29*H52</f>
        <v>1518000</v>
      </c>
      <c r="I53" s="390">
        <f>'COGS-PRICE-MARGIN_CWS'!$B29*I52</f>
        <v>1892000</v>
      </c>
      <c r="J53" s="390">
        <f>'COGS-PRICE-MARGIN_CWS'!$B29*J52</f>
        <v>2266000</v>
      </c>
      <c r="K53" s="390">
        <f>'COGS-PRICE-MARGIN_CWS'!$B29*K52</f>
        <v>2640000</v>
      </c>
      <c r="L53" s="390">
        <f>'COGS-PRICE-MARGIN_CWS'!$B29*L52</f>
        <v>3014000</v>
      </c>
      <c r="M53" s="390">
        <f>'COGS-PRICE-MARGIN_CWS'!$B29*M52</f>
        <v>3388000</v>
      </c>
      <c r="N53" s="390">
        <f>'COGS-PRICE-MARGIN_CWS'!$B29*N52</f>
        <v>3014000</v>
      </c>
      <c r="O53" s="390">
        <f>'COGS-PRICE-MARGIN_CWS'!$B79*O52</f>
        <v>6002700</v>
      </c>
      <c r="P53" s="390">
        <f>'COGS-PRICE-MARGIN_CWS'!$B79*P52</f>
        <v>9604320</v>
      </c>
      <c r="Q53" s="390">
        <f>'COGS-PRICE-MARGIN_CWS'!$B79*Q52</f>
        <v>10804860</v>
      </c>
      <c r="R53" s="390">
        <f>'COGS-PRICE-MARGIN_CWS'!$B79*R52</f>
        <v>10804860</v>
      </c>
      <c r="S53" s="390">
        <f>'COGS-PRICE-MARGIN_CWS'!$B79*S52</f>
        <v>10804860</v>
      </c>
      <c r="T53" s="390">
        <f>'COGS-PRICE-MARGIN_CWS'!$B79*T52</f>
        <v>10804860</v>
      </c>
      <c r="U53" s="390">
        <f>'COGS-PRICE-MARGIN_CWS'!$B79*U52</f>
        <v>10804860</v>
      </c>
      <c r="V53" s="390">
        <f>'COGS-PRICE-MARGIN_CWS'!$B79*V52</f>
        <v>10804860</v>
      </c>
      <c r="W53" s="390">
        <f>'COGS-PRICE-MARGIN_CWS'!$B79*W52</f>
        <v>10804860</v>
      </c>
      <c r="X53" s="390">
        <f>'COGS-PRICE-MARGIN_CWS'!$B79*X52</f>
        <v>10804860</v>
      </c>
      <c r="Y53" s="390">
        <f>'COGS-PRICE-MARGIN_CWS'!$B79*Y52</f>
        <v>10804860</v>
      </c>
      <c r="Z53" s="390">
        <f>'COGS-PRICE-MARGIN_CWS'!$B79*Z52</f>
        <v>7203240</v>
      </c>
      <c r="AA53" s="390">
        <f>'COGS-PRICE-MARGIN_CWS'!$B129*AA52</f>
        <v>18286342.800000001</v>
      </c>
      <c r="AB53" s="390">
        <f>'COGS-PRICE-MARGIN_CWS'!$B129*AB52</f>
        <v>29268223.600000005</v>
      </c>
      <c r="AC53" s="390">
        <f>'COGS-PRICE-MARGIN_CWS'!$B129*AC52</f>
        <v>32920454.600000005</v>
      </c>
      <c r="AD53" s="390">
        <f>'COGS-PRICE-MARGIN_CWS'!$B129*AD52</f>
        <v>32920454.600000005</v>
      </c>
      <c r="AE53" s="390">
        <f>'COGS-PRICE-MARGIN_CWS'!$B129*AE52</f>
        <v>32920454.600000005</v>
      </c>
      <c r="AF53" s="390">
        <f>'COGS-PRICE-MARGIN_CWS'!$B129*AF52</f>
        <v>32920454.600000005</v>
      </c>
      <c r="AG53" s="390">
        <f>'COGS-PRICE-MARGIN_CWS'!$B129*AG52</f>
        <v>32920454.600000005</v>
      </c>
      <c r="AH53" s="390">
        <f>'COGS-PRICE-MARGIN_CWS'!$B129*AH52</f>
        <v>32920454.600000005</v>
      </c>
      <c r="AI53" s="390">
        <f>'COGS-PRICE-MARGIN_CWS'!$B129*AI52</f>
        <v>32920454.600000005</v>
      </c>
      <c r="AJ53" s="390">
        <f>'COGS-PRICE-MARGIN_CWS'!$B129*AJ52</f>
        <v>32920454.600000005</v>
      </c>
      <c r="AK53" s="390">
        <f>'COGS-PRICE-MARGIN_CWS'!$B129*AK52</f>
        <v>32920454.600000005</v>
      </c>
      <c r="AL53" s="390">
        <f>'COGS-PRICE-MARGIN_CWS'!$B129*AL52</f>
        <v>21938573.800000001</v>
      </c>
      <c r="AM53" s="390">
        <f>'COGS-PRICE-MARGIN_CWS'!$B179*AM52</f>
        <v>25199134.510000002</v>
      </c>
      <c r="AN53" s="390">
        <f>'COGS-PRICE-MARGIN_CWS'!$B179*AN52</f>
        <v>40318615.216000006</v>
      </c>
      <c r="AO53" s="390">
        <f>'COGS-PRICE-MARGIN_CWS'!$B179*AO52</f>
        <v>45358442.118000008</v>
      </c>
      <c r="AP53" s="390">
        <f>'COGS-PRICE-MARGIN_CWS'!$B179*AP52</f>
        <v>45358442.118000008</v>
      </c>
      <c r="AQ53" s="390">
        <f>'COGS-PRICE-MARGIN_CWS'!$B179*AQ52</f>
        <v>45358442.118000008</v>
      </c>
      <c r="AR53" s="390">
        <f>'COGS-PRICE-MARGIN_CWS'!$B179*AR52</f>
        <v>45358442.118000008</v>
      </c>
      <c r="AS53" s="390">
        <f>'COGS-PRICE-MARGIN_CWS'!$B179*AS52</f>
        <v>45358442.118000008</v>
      </c>
      <c r="AT53" s="390">
        <f>'COGS-PRICE-MARGIN_CWS'!$B179*AT52</f>
        <v>45358442.118000008</v>
      </c>
      <c r="AU53" s="390">
        <f>'COGS-PRICE-MARGIN_CWS'!$B179*AU52</f>
        <v>45358442.118000008</v>
      </c>
      <c r="AV53" s="390">
        <f>'COGS-PRICE-MARGIN_CWS'!$B179*AV52</f>
        <v>45358442.118000008</v>
      </c>
      <c r="AW53" s="390">
        <f>'COGS-PRICE-MARGIN_CWS'!$B179*AW52</f>
        <v>45358442.118000008</v>
      </c>
      <c r="AX53" s="390">
        <f>'COGS-PRICE-MARGIN_CWS'!$B179*AX52</f>
        <v>30238961.412000004</v>
      </c>
      <c r="AY53" s="390">
        <f>'COGS-PRICE-MARGIN_CWS'!$B129*AY52</f>
        <v>24255851.400000002</v>
      </c>
      <c r="AZ53" s="390">
        <f>'COGS-PRICE-MARGIN_CWS'!$B129*AZ52</f>
        <v>38814399.800000004</v>
      </c>
      <c r="BA53" s="390">
        <f>'COGS-PRICE-MARGIN_CWS'!$B129*BA52</f>
        <v>43650457.400000006</v>
      </c>
      <c r="BB53" s="390">
        <f>'COGS-PRICE-MARGIN_CWS'!$B129*BB52</f>
        <v>43650457.400000006</v>
      </c>
      <c r="BC53" s="390">
        <f>'COGS-PRICE-MARGIN_CWS'!$B129*BC52</f>
        <v>43650457.400000006</v>
      </c>
      <c r="BD53" s="390">
        <f>'COGS-PRICE-MARGIN_CWS'!$B129*BD52</f>
        <v>43650457.400000006</v>
      </c>
      <c r="BE53" s="390">
        <f>'COGS-PRICE-MARGIN_CWS'!$B129*BE52</f>
        <v>43650457.400000006</v>
      </c>
      <c r="BF53" s="390">
        <f>'COGS-PRICE-MARGIN_CWS'!$B129*BF52</f>
        <v>43650457.400000006</v>
      </c>
      <c r="BG53" s="390">
        <f>'COGS-PRICE-MARGIN_CWS'!$B129*BG52</f>
        <v>43650457.400000006</v>
      </c>
      <c r="BH53" s="390">
        <f>'COGS-PRICE-MARGIN_CWS'!$B129*BH52</f>
        <v>43650457.400000006</v>
      </c>
      <c r="BI53" s="390">
        <f>'COGS-PRICE-MARGIN_CWS'!$B129*BI52</f>
        <v>43650457.400000006</v>
      </c>
      <c r="BJ53" s="390">
        <f>'COGS-PRICE-MARGIN_CWS'!$B129*BJ52</f>
        <v>29117096.800000004</v>
      </c>
      <c r="BK53" s="391">
        <f>SUM(C53:BJ53)</f>
        <v>1492587386.400001</v>
      </c>
    </row>
    <row r="54" spans="1:63" outlineLevel="1" x14ac:dyDescent="0.15">
      <c r="A54" s="47" t="s">
        <v>332</v>
      </c>
      <c r="C54" s="98">
        <f>'COGS-PRICE-MARGIN_CWS'!$C$29</f>
        <v>0</v>
      </c>
      <c r="D54" s="98">
        <f>'COGS-PRICE-MARGIN_CWS'!$C29</f>
        <v>0</v>
      </c>
      <c r="E54" s="98">
        <f>'COGS-PRICE-MARGIN_CWS'!$C29</f>
        <v>0</v>
      </c>
      <c r="F54" s="98">
        <f>'COGS-PRICE-MARGIN_CWS'!$C29</f>
        <v>0</v>
      </c>
      <c r="G54" s="98">
        <f>'COGS-PRICE-MARGIN_CWS'!$C29</f>
        <v>0</v>
      </c>
      <c r="H54" s="98">
        <f>'COGS-PRICE-MARGIN_CWS'!$C29</f>
        <v>0</v>
      </c>
      <c r="I54" s="98">
        <f>'COGS-PRICE-MARGIN_CWS'!$C29</f>
        <v>0</v>
      </c>
      <c r="J54" s="98">
        <f>'COGS-PRICE-MARGIN_CWS'!$C29</f>
        <v>0</v>
      </c>
      <c r="K54" s="98">
        <f>'COGS-PRICE-MARGIN_CWS'!$C29</f>
        <v>0</v>
      </c>
      <c r="L54" s="98">
        <f>'COGS-PRICE-MARGIN_CWS'!$C29</f>
        <v>0</v>
      </c>
      <c r="M54" s="98">
        <f>'COGS-PRICE-MARGIN_CWS'!$C29</f>
        <v>0</v>
      </c>
      <c r="N54" s="98">
        <f>'COGS-PRICE-MARGIN_CWS'!$C29</f>
        <v>0</v>
      </c>
      <c r="O54" s="116">
        <f>'COGS-PRICE-MARGIN_CWS'!$C79</f>
        <v>0</v>
      </c>
      <c r="P54" s="116">
        <f>'COGS-PRICE-MARGIN_CWS'!$C79</f>
        <v>0</v>
      </c>
      <c r="Q54" s="116">
        <f>'COGS-PRICE-MARGIN_CWS'!$C79</f>
        <v>0</v>
      </c>
      <c r="R54" s="116">
        <f>'COGS-PRICE-MARGIN_CWS'!$C79</f>
        <v>0</v>
      </c>
      <c r="S54" s="116">
        <f>'COGS-PRICE-MARGIN_CWS'!$C79</f>
        <v>0</v>
      </c>
      <c r="T54" s="116">
        <f>'COGS-PRICE-MARGIN_CWS'!$C79</f>
        <v>0</v>
      </c>
      <c r="U54" s="116">
        <f>'COGS-PRICE-MARGIN_CWS'!$C79</f>
        <v>0</v>
      </c>
      <c r="V54" s="116">
        <f>'COGS-PRICE-MARGIN_CWS'!$C79</f>
        <v>0</v>
      </c>
      <c r="W54" s="116">
        <f>'COGS-PRICE-MARGIN_CWS'!$C79</f>
        <v>0</v>
      </c>
      <c r="X54" s="116">
        <f>'COGS-PRICE-MARGIN_CWS'!$C79</f>
        <v>0</v>
      </c>
      <c r="Y54" s="116">
        <f>'COGS-PRICE-MARGIN_CWS'!$C79</f>
        <v>0</v>
      </c>
      <c r="Z54" s="116">
        <f>'COGS-PRICE-MARGIN_CWS'!$C79</f>
        <v>0</v>
      </c>
      <c r="AA54" s="116">
        <f>'COGS-PRICE-MARGIN_CWS'!$C129</f>
        <v>0</v>
      </c>
      <c r="AB54" s="116">
        <f>'COGS-PRICE-MARGIN_CWS'!$C129</f>
        <v>0</v>
      </c>
      <c r="AC54" s="116">
        <f>'COGS-PRICE-MARGIN_CWS'!$C129</f>
        <v>0</v>
      </c>
      <c r="AD54" s="116">
        <f>'COGS-PRICE-MARGIN_CWS'!$C129</f>
        <v>0</v>
      </c>
      <c r="AE54" s="116">
        <f>'COGS-PRICE-MARGIN_CWS'!$C129</f>
        <v>0</v>
      </c>
      <c r="AF54" s="116">
        <f>'COGS-PRICE-MARGIN_CWS'!$C129</f>
        <v>0</v>
      </c>
      <c r="AG54" s="116">
        <f>'COGS-PRICE-MARGIN_CWS'!$C129</f>
        <v>0</v>
      </c>
      <c r="AH54" s="116">
        <f>'COGS-PRICE-MARGIN_CWS'!$C129</f>
        <v>0</v>
      </c>
      <c r="AI54" s="116">
        <f>'COGS-PRICE-MARGIN_CWS'!$C129</f>
        <v>0</v>
      </c>
      <c r="AJ54" s="116">
        <f>'COGS-PRICE-MARGIN_CWS'!$C129</f>
        <v>0</v>
      </c>
      <c r="AK54" s="116">
        <f>'COGS-PRICE-MARGIN_CWS'!$C129</f>
        <v>0</v>
      </c>
      <c r="AL54" s="116">
        <f>'COGS-PRICE-MARGIN_CWS'!$C129</f>
        <v>0</v>
      </c>
      <c r="AM54" s="98">
        <f>'COGS-PRICE-MARGIN_CWS'!$C179</f>
        <v>0</v>
      </c>
      <c r="AN54" s="98">
        <f>'COGS-PRICE-MARGIN_CWS'!$C179</f>
        <v>0</v>
      </c>
      <c r="AO54" s="98">
        <f>'COGS-PRICE-MARGIN_CWS'!$C179</f>
        <v>0</v>
      </c>
      <c r="AP54" s="98">
        <f>'COGS-PRICE-MARGIN_CWS'!$C179</f>
        <v>0</v>
      </c>
      <c r="AQ54" s="98">
        <f>'COGS-PRICE-MARGIN_CWS'!$C179</f>
        <v>0</v>
      </c>
      <c r="AR54" s="98">
        <f>'COGS-PRICE-MARGIN_CWS'!$C179</f>
        <v>0</v>
      </c>
      <c r="AS54" s="98">
        <f>'COGS-PRICE-MARGIN_CWS'!$C179</f>
        <v>0</v>
      </c>
      <c r="AT54" s="98">
        <f>'COGS-PRICE-MARGIN_CWS'!$C179</f>
        <v>0</v>
      </c>
      <c r="AU54" s="98">
        <f>'COGS-PRICE-MARGIN_CWS'!$C179</f>
        <v>0</v>
      </c>
      <c r="AV54" s="98">
        <f>'COGS-PRICE-MARGIN_CWS'!$C179</f>
        <v>0</v>
      </c>
      <c r="AW54" s="98">
        <f>'COGS-PRICE-MARGIN_CWS'!$C179</f>
        <v>0</v>
      </c>
      <c r="AX54" s="98">
        <f>'COGS-PRICE-MARGIN_CWS'!$C179</f>
        <v>0</v>
      </c>
      <c r="AY54" s="98">
        <f>'COGS-PRICE-MARGIN_CWS'!$C129</f>
        <v>0</v>
      </c>
      <c r="AZ54" s="98">
        <f>'COGS-PRICE-MARGIN_CWS'!$C129</f>
        <v>0</v>
      </c>
      <c r="BA54" s="98">
        <f>'COGS-PRICE-MARGIN_CWS'!$C129</f>
        <v>0</v>
      </c>
      <c r="BB54" s="98">
        <f>'COGS-PRICE-MARGIN_CWS'!$C129</f>
        <v>0</v>
      </c>
      <c r="BC54" s="98">
        <f>'COGS-PRICE-MARGIN_CWS'!$C129</f>
        <v>0</v>
      </c>
      <c r="BD54" s="98">
        <f>'COGS-PRICE-MARGIN_CWS'!$C129</f>
        <v>0</v>
      </c>
      <c r="BE54" s="98">
        <f>'COGS-PRICE-MARGIN_CWS'!$C129</f>
        <v>0</v>
      </c>
      <c r="BF54" s="98">
        <f>'COGS-PRICE-MARGIN_CWS'!$C129</f>
        <v>0</v>
      </c>
      <c r="BG54" s="98">
        <f>'COGS-PRICE-MARGIN_CWS'!$C129</f>
        <v>0</v>
      </c>
      <c r="BH54" s="98">
        <f>'COGS-PRICE-MARGIN_CWS'!$C129</f>
        <v>0</v>
      </c>
      <c r="BI54" s="98">
        <f>'COGS-PRICE-MARGIN_CWS'!$C129</f>
        <v>0</v>
      </c>
      <c r="BJ54" s="98">
        <f>'COGS-PRICE-MARGIN_CWS'!$C129</f>
        <v>0</v>
      </c>
      <c r="BK54" s="35">
        <f>COLUMNS(C54:BJ54)</f>
        <v>60</v>
      </c>
    </row>
    <row r="55" spans="1:63" outlineLevel="1" x14ac:dyDescent="0.15">
      <c r="A55" s="47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</row>
    <row r="56" spans="1:63" s="14" customFormat="1" outlineLevel="1" x14ac:dyDescent="0.15">
      <c r="A56" s="16" t="s">
        <v>333</v>
      </c>
      <c r="C56" s="393">
        <f t="shared" ref="C56:BJ56" si="26">C53*(1-C54)</f>
        <v>0</v>
      </c>
      <c r="D56" s="393">
        <f t="shared" si="26"/>
        <v>0</v>
      </c>
      <c r="E56" s="393">
        <f t="shared" si="26"/>
        <v>0</v>
      </c>
      <c r="F56" s="389">
        <f t="shared" si="26"/>
        <v>0</v>
      </c>
      <c r="G56" s="389">
        <f t="shared" si="26"/>
        <v>0</v>
      </c>
      <c r="H56" s="389">
        <f t="shared" si="26"/>
        <v>1518000</v>
      </c>
      <c r="I56" s="389">
        <f t="shared" si="26"/>
        <v>1892000</v>
      </c>
      <c r="J56" s="389">
        <f t="shared" si="26"/>
        <v>2266000</v>
      </c>
      <c r="K56" s="389">
        <f t="shared" si="26"/>
        <v>2640000</v>
      </c>
      <c r="L56" s="389">
        <f t="shared" si="26"/>
        <v>3014000</v>
      </c>
      <c r="M56" s="389">
        <f t="shared" si="26"/>
        <v>3388000</v>
      </c>
      <c r="N56" s="389">
        <f t="shared" si="26"/>
        <v>3014000</v>
      </c>
      <c r="O56" s="389">
        <f t="shared" si="26"/>
        <v>6002700</v>
      </c>
      <c r="P56" s="389">
        <f t="shared" si="26"/>
        <v>9604320</v>
      </c>
      <c r="Q56" s="389">
        <f t="shared" si="26"/>
        <v>10804860</v>
      </c>
      <c r="R56" s="389">
        <f t="shared" si="26"/>
        <v>10804860</v>
      </c>
      <c r="S56" s="389">
        <f t="shared" si="26"/>
        <v>10804860</v>
      </c>
      <c r="T56" s="389">
        <f t="shared" si="26"/>
        <v>10804860</v>
      </c>
      <c r="U56" s="389">
        <f t="shared" si="26"/>
        <v>10804860</v>
      </c>
      <c r="V56" s="389">
        <f t="shared" si="26"/>
        <v>10804860</v>
      </c>
      <c r="W56" s="389">
        <f t="shared" si="26"/>
        <v>10804860</v>
      </c>
      <c r="X56" s="389">
        <f t="shared" si="26"/>
        <v>10804860</v>
      </c>
      <c r="Y56" s="389">
        <f t="shared" si="26"/>
        <v>10804860</v>
      </c>
      <c r="Z56" s="389">
        <f t="shared" si="26"/>
        <v>7203240</v>
      </c>
      <c r="AA56" s="389">
        <f t="shared" si="26"/>
        <v>18286342.800000001</v>
      </c>
      <c r="AB56" s="389">
        <f t="shared" si="26"/>
        <v>29268223.600000005</v>
      </c>
      <c r="AC56" s="389">
        <f t="shared" si="26"/>
        <v>32920454.600000005</v>
      </c>
      <c r="AD56" s="389">
        <f t="shared" si="26"/>
        <v>32920454.600000005</v>
      </c>
      <c r="AE56" s="389">
        <f t="shared" si="26"/>
        <v>32920454.600000005</v>
      </c>
      <c r="AF56" s="389">
        <f t="shared" si="26"/>
        <v>32920454.600000005</v>
      </c>
      <c r="AG56" s="389">
        <f t="shared" si="26"/>
        <v>32920454.600000005</v>
      </c>
      <c r="AH56" s="389">
        <f t="shared" si="26"/>
        <v>32920454.600000005</v>
      </c>
      <c r="AI56" s="389">
        <f t="shared" si="26"/>
        <v>32920454.600000005</v>
      </c>
      <c r="AJ56" s="389">
        <f t="shared" si="26"/>
        <v>32920454.600000005</v>
      </c>
      <c r="AK56" s="389">
        <f t="shared" si="26"/>
        <v>32920454.600000005</v>
      </c>
      <c r="AL56" s="389">
        <f t="shared" si="26"/>
        <v>21938573.800000001</v>
      </c>
      <c r="AM56" s="389">
        <f t="shared" si="26"/>
        <v>25199134.510000002</v>
      </c>
      <c r="AN56" s="389">
        <f t="shared" si="26"/>
        <v>40318615.216000006</v>
      </c>
      <c r="AO56" s="389">
        <f t="shared" si="26"/>
        <v>45358442.118000008</v>
      </c>
      <c r="AP56" s="389">
        <f t="shared" si="26"/>
        <v>45358442.118000008</v>
      </c>
      <c r="AQ56" s="389">
        <f t="shared" si="26"/>
        <v>45358442.118000008</v>
      </c>
      <c r="AR56" s="389">
        <f t="shared" si="26"/>
        <v>45358442.118000008</v>
      </c>
      <c r="AS56" s="389">
        <f t="shared" si="26"/>
        <v>45358442.118000008</v>
      </c>
      <c r="AT56" s="389">
        <f t="shared" si="26"/>
        <v>45358442.118000008</v>
      </c>
      <c r="AU56" s="389">
        <f t="shared" si="26"/>
        <v>45358442.118000008</v>
      </c>
      <c r="AV56" s="389">
        <f t="shared" si="26"/>
        <v>45358442.118000008</v>
      </c>
      <c r="AW56" s="389">
        <f t="shared" si="26"/>
        <v>45358442.118000008</v>
      </c>
      <c r="AX56" s="389">
        <f t="shared" si="26"/>
        <v>30238961.412000004</v>
      </c>
      <c r="AY56" s="389">
        <f t="shared" si="26"/>
        <v>24255851.400000002</v>
      </c>
      <c r="AZ56" s="389">
        <f t="shared" si="26"/>
        <v>38814399.800000004</v>
      </c>
      <c r="BA56" s="389">
        <f t="shared" si="26"/>
        <v>43650457.400000006</v>
      </c>
      <c r="BB56" s="389">
        <f t="shared" si="26"/>
        <v>43650457.400000006</v>
      </c>
      <c r="BC56" s="389">
        <f t="shared" si="26"/>
        <v>43650457.400000006</v>
      </c>
      <c r="BD56" s="389">
        <f t="shared" si="26"/>
        <v>43650457.400000006</v>
      </c>
      <c r="BE56" s="389">
        <f t="shared" si="26"/>
        <v>43650457.400000006</v>
      </c>
      <c r="BF56" s="389">
        <f t="shared" si="26"/>
        <v>43650457.400000006</v>
      </c>
      <c r="BG56" s="389">
        <f t="shared" si="26"/>
        <v>43650457.400000006</v>
      </c>
      <c r="BH56" s="389">
        <f t="shared" si="26"/>
        <v>43650457.400000006</v>
      </c>
      <c r="BI56" s="389">
        <f t="shared" si="26"/>
        <v>43650457.400000006</v>
      </c>
      <c r="BJ56" s="389">
        <f t="shared" si="26"/>
        <v>29117096.800000004</v>
      </c>
      <c r="BK56" s="391">
        <f>SUM(C56:BJ56)</f>
        <v>1492587386.400001</v>
      </c>
    </row>
    <row r="57" spans="1:63" outlineLevel="1" x14ac:dyDescent="0.15">
      <c r="A57" s="33"/>
    </row>
    <row r="58" spans="1:63" outlineLevel="1" x14ac:dyDescent="0.15">
      <c r="A58" s="16" t="s">
        <v>302</v>
      </c>
    </row>
    <row r="59" spans="1:63" outlineLevel="1" x14ac:dyDescent="0.15">
      <c r="A59" s="16"/>
    </row>
    <row r="60" spans="1:63" outlineLevel="1" x14ac:dyDescent="0.15">
      <c r="A60" s="47" t="str">
        <f>'COGS-PRICE-MARGIN_CWS'!$A$29</f>
        <v>Plato servicio</v>
      </c>
      <c r="C60" s="404" t="s">
        <v>1269</v>
      </c>
      <c r="D60" s="392">
        <f>'COGS-PRICE-MARGIN_CWS'!$E29*D52</f>
        <v>0</v>
      </c>
      <c r="E60" s="392">
        <f>'COGS-PRICE-MARGIN_CWS'!$E29*E52</f>
        <v>0</v>
      </c>
      <c r="F60" s="390">
        <f>'COGS-PRICE-MARGIN_CWS'!$E29*F52</f>
        <v>0</v>
      </c>
      <c r="G60" s="390">
        <f>'COGS-PRICE-MARGIN_CWS'!$E29*G52</f>
        <v>0</v>
      </c>
      <c r="H60" s="390">
        <f>'COGS-PRICE-MARGIN_CWS'!$E29*H52</f>
        <v>690000</v>
      </c>
      <c r="I60" s="390">
        <f>'COGS-PRICE-MARGIN_CWS'!$E29*I52</f>
        <v>860000</v>
      </c>
      <c r="J60" s="390">
        <f>'COGS-PRICE-MARGIN_CWS'!$E29*J52</f>
        <v>1030000</v>
      </c>
      <c r="K60" s="390">
        <f>'COGS-PRICE-MARGIN_CWS'!$E29*K52</f>
        <v>1200000</v>
      </c>
      <c r="L60" s="390">
        <f>'COGS-PRICE-MARGIN_CWS'!$E29*L52</f>
        <v>1370000</v>
      </c>
      <c r="M60" s="390">
        <f>'COGS-PRICE-MARGIN_CWS'!$E29*M52</f>
        <v>1540000</v>
      </c>
      <c r="N60" s="390">
        <f>'COGS-PRICE-MARGIN_CWS'!$E29*N52</f>
        <v>1370000</v>
      </c>
      <c r="O60" s="390">
        <f>'COGS-PRICE-MARGIN_CWS'!$E79*O52</f>
        <v>2728500</v>
      </c>
      <c r="P60" s="390">
        <f>'COGS-PRICE-MARGIN_CWS'!$E79*P52</f>
        <v>4365600</v>
      </c>
      <c r="Q60" s="390">
        <f>'COGS-PRICE-MARGIN_CWS'!$E79*Q52</f>
        <v>4911300</v>
      </c>
      <c r="R60" s="390">
        <f>'COGS-PRICE-MARGIN_CWS'!$E79*R52</f>
        <v>4911300</v>
      </c>
      <c r="S60" s="390">
        <f>'COGS-PRICE-MARGIN_CWS'!$E79*S52</f>
        <v>4911300</v>
      </c>
      <c r="T60" s="390">
        <f>'COGS-PRICE-MARGIN_CWS'!$E79*T52</f>
        <v>4911300</v>
      </c>
      <c r="U60" s="390">
        <f>'COGS-PRICE-MARGIN_CWS'!$E79*U52</f>
        <v>4911300</v>
      </c>
      <c r="V60" s="390">
        <f>'COGS-PRICE-MARGIN_CWS'!$E79*V52</f>
        <v>4911300</v>
      </c>
      <c r="W60" s="390">
        <f>'COGS-PRICE-MARGIN_CWS'!$E79*W52</f>
        <v>4911300</v>
      </c>
      <c r="X60" s="390">
        <f>'COGS-PRICE-MARGIN_CWS'!$E79*X52</f>
        <v>4911300</v>
      </c>
      <c r="Y60" s="390">
        <f>'COGS-PRICE-MARGIN_CWS'!$E79*Y52</f>
        <v>4911300</v>
      </c>
      <c r="Z60" s="390">
        <f>'COGS-PRICE-MARGIN_CWS'!$E79*Z$52</f>
        <v>3274200</v>
      </c>
      <c r="AA60" s="390">
        <f>'COGS-PRICE-MARGIN_CWS'!$E129*AA$52</f>
        <v>8311974</v>
      </c>
      <c r="AB60" s="390">
        <f>'COGS-PRICE-MARGIN_CWS'!$E129*AB$52</f>
        <v>13303738</v>
      </c>
      <c r="AC60" s="390">
        <f>'COGS-PRICE-MARGIN_CWS'!$E129*AC$52</f>
        <v>14963843</v>
      </c>
      <c r="AD60" s="390">
        <f>'COGS-PRICE-MARGIN_CWS'!$E129*AD$52</f>
        <v>14963843</v>
      </c>
      <c r="AE60" s="390">
        <f>'COGS-PRICE-MARGIN_CWS'!$E129*AE$52</f>
        <v>14963843</v>
      </c>
      <c r="AF60" s="390">
        <f>'COGS-PRICE-MARGIN_CWS'!$E129*AF$52</f>
        <v>14963843</v>
      </c>
      <c r="AG60" s="390">
        <f>'COGS-PRICE-MARGIN_CWS'!$E129*AG$52</f>
        <v>14963843</v>
      </c>
      <c r="AH60" s="390">
        <f>'COGS-PRICE-MARGIN_CWS'!$E129*AH$52</f>
        <v>14963843</v>
      </c>
      <c r="AI60" s="390">
        <f>'COGS-PRICE-MARGIN_CWS'!$E129*AI$52</f>
        <v>14963843</v>
      </c>
      <c r="AJ60" s="390">
        <f>'COGS-PRICE-MARGIN_CWS'!$E129*AJ$52</f>
        <v>14963843</v>
      </c>
      <c r="AK60" s="390">
        <f>'COGS-PRICE-MARGIN_CWS'!$E129*AK$52</f>
        <v>14963843</v>
      </c>
      <c r="AL60" s="390">
        <f>'COGS-PRICE-MARGIN_CWS'!$E129*AL$52</f>
        <v>9972079</v>
      </c>
      <c r="AM60" s="390">
        <f>'COGS-PRICE-MARGIN_CWS'!$E129*AM$52</f>
        <v>10704815</v>
      </c>
      <c r="AN60" s="390">
        <f>'COGS-PRICE-MARGIN_CWS'!$E129*AN$52</f>
        <v>17127704</v>
      </c>
      <c r="AO60" s="390">
        <f>'COGS-PRICE-MARGIN_CWS'!$E129*AO$52</f>
        <v>19268667</v>
      </c>
      <c r="AP60" s="390">
        <f>'COGS-PRICE-MARGIN_CWS'!$E129*AP$52</f>
        <v>19268667</v>
      </c>
      <c r="AQ60" s="390">
        <f>'COGS-PRICE-MARGIN_CWS'!$E129*AQ$52</f>
        <v>19268667</v>
      </c>
      <c r="AR60" s="390">
        <f>'COGS-PRICE-MARGIN_CWS'!$E129*AR$52</f>
        <v>19268667</v>
      </c>
      <c r="AS60" s="390">
        <f>'COGS-PRICE-MARGIN_CWS'!$E129*AS$52</f>
        <v>19268667</v>
      </c>
      <c r="AT60" s="390">
        <f>'COGS-PRICE-MARGIN_CWS'!$E129*AT$52</f>
        <v>19268667</v>
      </c>
      <c r="AU60" s="390">
        <f>'COGS-PRICE-MARGIN_CWS'!$E129*AU$52</f>
        <v>19268667</v>
      </c>
      <c r="AV60" s="390">
        <f>'COGS-PRICE-MARGIN_CWS'!$E129*AV$52</f>
        <v>19268667</v>
      </c>
      <c r="AW60" s="390">
        <f>'COGS-PRICE-MARGIN_CWS'!$E129*AW$52</f>
        <v>19268667</v>
      </c>
      <c r="AX60" s="390">
        <f>'COGS-PRICE-MARGIN_CWS'!$E129*AX$52</f>
        <v>12845778</v>
      </c>
      <c r="AY60" s="390">
        <f>'COGS-PRICE-MARGIN_CWS'!$E179*AY$52</f>
        <v>11797164.09</v>
      </c>
      <c r="AZ60" s="390">
        <f>'COGS-PRICE-MARGIN_CWS'!$E179*AZ$52</f>
        <v>18877912.629999999</v>
      </c>
      <c r="BA60" s="390">
        <f>'COGS-PRICE-MARGIN_CWS'!$E179*BA$52</f>
        <v>21229995.190000001</v>
      </c>
      <c r="BB60" s="390">
        <f>'COGS-PRICE-MARGIN_CWS'!$E179*BB$52</f>
        <v>21229995.190000001</v>
      </c>
      <c r="BC60" s="390">
        <f>'COGS-PRICE-MARGIN_CWS'!$E179*BC$52</f>
        <v>21229995.190000001</v>
      </c>
      <c r="BD60" s="390">
        <f>'COGS-PRICE-MARGIN_CWS'!$E179*BD$52</f>
        <v>21229995.190000001</v>
      </c>
      <c r="BE60" s="390">
        <f>'COGS-PRICE-MARGIN_CWS'!$E179*BE$52</f>
        <v>21229995.190000001</v>
      </c>
      <c r="BF60" s="390">
        <f>'COGS-PRICE-MARGIN_CWS'!$E179*BF$52</f>
        <v>21229995.190000001</v>
      </c>
      <c r="BG60" s="390">
        <f>'COGS-PRICE-MARGIN_CWS'!$E179*BG$52</f>
        <v>21229995.190000001</v>
      </c>
      <c r="BH60" s="390">
        <f>'COGS-PRICE-MARGIN_CWS'!$E179*BH$52</f>
        <v>21229995.190000001</v>
      </c>
      <c r="BI60" s="390">
        <f>'COGS-PRICE-MARGIN_CWS'!$E179*BI$52</f>
        <v>21229995.190000001</v>
      </c>
      <c r="BJ60" s="390">
        <f>'COGS-PRICE-MARGIN_CWS'!$E179*BJ$52</f>
        <v>14161497.08</v>
      </c>
      <c r="BK60" s="391">
        <f t="shared" ref="BK60:BK65" si="27">SUM(C60:BJ60)</f>
        <v>678895208.51000035</v>
      </c>
    </row>
    <row r="61" spans="1:63" outlineLevel="1" x14ac:dyDescent="0.15">
      <c r="A61" s="47" t="str">
        <f>'COGS-PRICE-MARGIN_CWS'!$A$30</f>
        <v>Aderezos</v>
      </c>
      <c r="C61" s="392">
        <f>'COGS-PRICE-MARGIN_CWS'!$E30*C52</f>
        <v>0</v>
      </c>
      <c r="D61" s="392">
        <f>'COGS-PRICE-MARGIN_CWS'!$E30*D52</f>
        <v>0</v>
      </c>
      <c r="E61" s="392">
        <f>'COGS-PRICE-MARGIN_CWS'!$E30*E52</f>
        <v>0</v>
      </c>
      <c r="F61" s="390">
        <f>'COGS-PRICE-MARGIN_CWS'!$E30*F52</f>
        <v>0</v>
      </c>
      <c r="G61" s="390">
        <f>'COGS-PRICE-MARGIN_CWS'!$E30*G52</f>
        <v>0</v>
      </c>
      <c r="H61" s="390">
        <f>'COGS-PRICE-MARGIN_CWS'!$E30*H52</f>
        <v>0</v>
      </c>
      <c r="I61" s="390">
        <f>'COGS-PRICE-MARGIN_CWS'!$E30*I52</f>
        <v>0</v>
      </c>
      <c r="J61" s="390">
        <f>'COGS-PRICE-MARGIN_CWS'!$E30*J52</f>
        <v>0</v>
      </c>
      <c r="K61" s="390">
        <f>'COGS-PRICE-MARGIN_CWS'!$E30*K52</f>
        <v>0</v>
      </c>
      <c r="L61" s="390">
        <f>'COGS-PRICE-MARGIN_CWS'!$E30*L52</f>
        <v>0</v>
      </c>
      <c r="M61" s="390">
        <f>'COGS-PRICE-MARGIN_CWS'!$E30*M52</f>
        <v>0</v>
      </c>
      <c r="N61" s="390">
        <f>'COGS-PRICE-MARGIN_CWS'!$E30*N52</f>
        <v>0</v>
      </c>
      <c r="O61" s="390">
        <f>'COGS-PRICE-MARGIN_CWS'!$E80*O52</f>
        <v>0</v>
      </c>
      <c r="P61" s="390">
        <f>'COGS-PRICE-MARGIN_CWS'!$E80*P52</f>
        <v>0</v>
      </c>
      <c r="Q61" s="390">
        <f>'COGS-PRICE-MARGIN_CWS'!$E80*Q52</f>
        <v>0</v>
      </c>
      <c r="R61" s="390">
        <f>'COGS-PRICE-MARGIN_CWS'!$E80*R52</f>
        <v>0</v>
      </c>
      <c r="S61" s="390">
        <f>'COGS-PRICE-MARGIN_CWS'!$E80*S52</f>
        <v>0</v>
      </c>
      <c r="T61" s="390">
        <f>'COGS-PRICE-MARGIN_CWS'!$E80*T52</f>
        <v>0</v>
      </c>
      <c r="U61" s="390">
        <f>'COGS-PRICE-MARGIN_CWS'!$E80*U52</f>
        <v>0</v>
      </c>
      <c r="V61" s="390">
        <f>'COGS-PRICE-MARGIN_CWS'!$E80*V52</f>
        <v>0</v>
      </c>
      <c r="W61" s="390">
        <f>'COGS-PRICE-MARGIN_CWS'!$E80*W52</f>
        <v>0</v>
      </c>
      <c r="X61" s="390">
        <f>'COGS-PRICE-MARGIN_CWS'!$E80*X52</f>
        <v>0</v>
      </c>
      <c r="Y61" s="390">
        <f>'COGS-PRICE-MARGIN_CWS'!$E80*Y52</f>
        <v>0</v>
      </c>
      <c r="Z61" s="390">
        <f>'COGS-PRICE-MARGIN_CWS'!$E80*Z52</f>
        <v>0</v>
      </c>
      <c r="AA61" s="390">
        <f>'COGS-PRICE-MARGIN_CWS'!$E130*AA$52</f>
        <v>0</v>
      </c>
      <c r="AB61" s="390">
        <f>'COGS-PRICE-MARGIN_CWS'!$E130*AB$52</f>
        <v>0</v>
      </c>
      <c r="AC61" s="390">
        <f>'COGS-PRICE-MARGIN_CWS'!$E130*AC$52</f>
        <v>0</v>
      </c>
      <c r="AD61" s="390">
        <f>'COGS-PRICE-MARGIN_CWS'!$E130*AD$52</f>
        <v>0</v>
      </c>
      <c r="AE61" s="390">
        <f>'COGS-PRICE-MARGIN_CWS'!$E130*AE$52</f>
        <v>0</v>
      </c>
      <c r="AF61" s="390">
        <f>'COGS-PRICE-MARGIN_CWS'!$E130*AF$52</f>
        <v>0</v>
      </c>
      <c r="AG61" s="390">
        <f>'COGS-PRICE-MARGIN_CWS'!$E130*AG$52</f>
        <v>0</v>
      </c>
      <c r="AH61" s="390">
        <f>'COGS-PRICE-MARGIN_CWS'!$E130*AH$52</f>
        <v>0</v>
      </c>
      <c r="AI61" s="390">
        <f>'COGS-PRICE-MARGIN_CWS'!$E130*AI$52</f>
        <v>0</v>
      </c>
      <c r="AJ61" s="390">
        <f>'COGS-PRICE-MARGIN_CWS'!$E130*AJ$52</f>
        <v>0</v>
      </c>
      <c r="AK61" s="390">
        <f>'COGS-PRICE-MARGIN_CWS'!$E130*AK$52</f>
        <v>0</v>
      </c>
      <c r="AL61" s="390">
        <f>'COGS-PRICE-MARGIN_CWS'!$E130*AL$52</f>
        <v>0</v>
      </c>
      <c r="AM61" s="390">
        <f>'COGS-PRICE-MARGIN_CWS'!$E130*AM$52</f>
        <v>0</v>
      </c>
      <c r="AN61" s="390">
        <f>'COGS-PRICE-MARGIN_CWS'!$E130*AN$52</f>
        <v>0</v>
      </c>
      <c r="AO61" s="390">
        <f>'COGS-PRICE-MARGIN_CWS'!$E130*AO$52</f>
        <v>0</v>
      </c>
      <c r="AP61" s="390">
        <f>'COGS-PRICE-MARGIN_CWS'!$E130*AP$52</f>
        <v>0</v>
      </c>
      <c r="AQ61" s="390">
        <f>'COGS-PRICE-MARGIN_CWS'!$E130*AQ$52</f>
        <v>0</v>
      </c>
      <c r="AR61" s="390">
        <f>'COGS-PRICE-MARGIN_CWS'!$E130*AR$52</f>
        <v>0</v>
      </c>
      <c r="AS61" s="390">
        <f>'COGS-PRICE-MARGIN_CWS'!$E130*AS$52</f>
        <v>0</v>
      </c>
      <c r="AT61" s="390">
        <f>'COGS-PRICE-MARGIN_CWS'!$E130*AT$52</f>
        <v>0</v>
      </c>
      <c r="AU61" s="390">
        <f>'COGS-PRICE-MARGIN_CWS'!$E130*AU$52</f>
        <v>0</v>
      </c>
      <c r="AV61" s="390">
        <f>'COGS-PRICE-MARGIN_CWS'!$E130*AV$52</f>
        <v>0</v>
      </c>
      <c r="AW61" s="390">
        <f>'COGS-PRICE-MARGIN_CWS'!$E130*AW$52</f>
        <v>0</v>
      </c>
      <c r="AX61" s="390">
        <f>'COGS-PRICE-MARGIN_CWS'!$E130*AX$52</f>
        <v>0</v>
      </c>
      <c r="AY61" s="390">
        <f>'COGS-PRICE-MARGIN_CWS'!$E180*AY$52</f>
        <v>0</v>
      </c>
      <c r="AZ61" s="390">
        <f>'COGS-PRICE-MARGIN_CWS'!$E180*AZ$52</f>
        <v>0</v>
      </c>
      <c r="BA61" s="390">
        <f>'COGS-PRICE-MARGIN_CWS'!$E180*BA$52</f>
        <v>0</v>
      </c>
      <c r="BB61" s="390">
        <f>'COGS-PRICE-MARGIN_CWS'!$E180*BB$52</f>
        <v>0</v>
      </c>
      <c r="BC61" s="390">
        <f>'COGS-PRICE-MARGIN_CWS'!$E180*BC$52</f>
        <v>0</v>
      </c>
      <c r="BD61" s="390">
        <f>'COGS-PRICE-MARGIN_CWS'!$E180*BD$52</f>
        <v>0</v>
      </c>
      <c r="BE61" s="390">
        <f>'COGS-PRICE-MARGIN_CWS'!$E180*BE$52</f>
        <v>0</v>
      </c>
      <c r="BF61" s="390">
        <f>'COGS-PRICE-MARGIN_CWS'!$E180*BF$52</f>
        <v>0</v>
      </c>
      <c r="BG61" s="390">
        <f>'COGS-PRICE-MARGIN_CWS'!$E180*BG$52</f>
        <v>0</v>
      </c>
      <c r="BH61" s="390">
        <f>'COGS-PRICE-MARGIN_CWS'!$E180*BH$52</f>
        <v>0</v>
      </c>
      <c r="BI61" s="390">
        <f>'COGS-PRICE-MARGIN_CWS'!$E180*BI$52</f>
        <v>0</v>
      </c>
      <c r="BJ61" s="390">
        <f>'COGS-PRICE-MARGIN_CWS'!$E180*BJ$52</f>
        <v>0</v>
      </c>
      <c r="BK61" s="391">
        <f t="shared" si="27"/>
        <v>0</v>
      </c>
    </row>
    <row r="62" spans="1:63" outlineLevel="1" x14ac:dyDescent="0.15">
      <c r="A62" s="17" t="s">
        <v>317</v>
      </c>
      <c r="C62" s="392">
        <f>'COGS-PRICE-MARGIN_CWS'!$E31*C$52</f>
        <v>0</v>
      </c>
      <c r="D62" s="392">
        <f>'COGS-PRICE-MARGIN_CWS'!$E31*D52</f>
        <v>0</v>
      </c>
      <c r="E62" s="392">
        <f>'COGS-PRICE-MARGIN_CWS'!$E31*E52</f>
        <v>0</v>
      </c>
      <c r="F62" s="390">
        <f>'COGS-PRICE-MARGIN_CWS'!$E31*F52</f>
        <v>0</v>
      </c>
      <c r="G62" s="390">
        <f>'COGS-PRICE-MARGIN_CWS'!$E31*G52</f>
        <v>0</v>
      </c>
      <c r="H62" s="390">
        <f>'COGS-PRICE-MARGIN_CWS'!$E31*H52</f>
        <v>0</v>
      </c>
      <c r="I62" s="390">
        <f>'COGS-PRICE-MARGIN_CWS'!$E31*I52</f>
        <v>0</v>
      </c>
      <c r="J62" s="390">
        <f>'COGS-PRICE-MARGIN_CWS'!$E31*J52</f>
        <v>0</v>
      </c>
      <c r="K62" s="390">
        <f>'COGS-PRICE-MARGIN_CWS'!$E31*K52</f>
        <v>0</v>
      </c>
      <c r="L62" s="390">
        <f>'COGS-PRICE-MARGIN_CWS'!$E31*L52</f>
        <v>0</v>
      </c>
      <c r="M62" s="390">
        <f>'COGS-PRICE-MARGIN_CWS'!$E31*M52</f>
        <v>0</v>
      </c>
      <c r="N62" s="390">
        <f>'COGS-PRICE-MARGIN_CWS'!$E31*N52</f>
        <v>0</v>
      </c>
      <c r="O62" s="390">
        <f>'COGS-PRICE-MARGIN_CWS'!$E81*O52</f>
        <v>0</v>
      </c>
      <c r="P62" s="390">
        <f>'COGS-PRICE-MARGIN_CWS'!$E81*P52</f>
        <v>0</v>
      </c>
      <c r="Q62" s="390">
        <f>'COGS-PRICE-MARGIN_CWS'!$E81*Q52</f>
        <v>0</v>
      </c>
      <c r="R62" s="390">
        <f>'COGS-PRICE-MARGIN_CWS'!$E81*R52</f>
        <v>0</v>
      </c>
      <c r="S62" s="390">
        <f>'COGS-PRICE-MARGIN_CWS'!$E81*S52</f>
        <v>0</v>
      </c>
      <c r="T62" s="390">
        <f>'COGS-PRICE-MARGIN_CWS'!$E81*T52</f>
        <v>0</v>
      </c>
      <c r="U62" s="390">
        <f>'COGS-PRICE-MARGIN_CWS'!$E81*U52</f>
        <v>0</v>
      </c>
      <c r="V62" s="390">
        <f>'COGS-PRICE-MARGIN_CWS'!$E81*V52</f>
        <v>0</v>
      </c>
      <c r="W62" s="390">
        <f>'COGS-PRICE-MARGIN_CWS'!$E81*W52</f>
        <v>0</v>
      </c>
      <c r="X62" s="390">
        <f>'COGS-PRICE-MARGIN_CWS'!$E81*X52</f>
        <v>0</v>
      </c>
      <c r="Y62" s="390">
        <f>'COGS-PRICE-MARGIN_CWS'!$E81*Y52</f>
        <v>0</v>
      </c>
      <c r="Z62" s="390">
        <f>'COGS-PRICE-MARGIN_CWS'!$E81*Z52</f>
        <v>0</v>
      </c>
      <c r="AA62" s="390">
        <f>'COGS-PRICE-MARGIN_CWS'!$E131*AA$52</f>
        <v>0</v>
      </c>
      <c r="AB62" s="390">
        <f>'COGS-PRICE-MARGIN_CWS'!$E131*AB$52</f>
        <v>0</v>
      </c>
      <c r="AC62" s="390">
        <f>'COGS-PRICE-MARGIN_CWS'!$E131*AC$52</f>
        <v>0</v>
      </c>
      <c r="AD62" s="390">
        <f>'COGS-PRICE-MARGIN_CWS'!$E131*AD$52</f>
        <v>0</v>
      </c>
      <c r="AE62" s="390">
        <f>'COGS-PRICE-MARGIN_CWS'!$E131*AE$52</f>
        <v>0</v>
      </c>
      <c r="AF62" s="390">
        <f>'COGS-PRICE-MARGIN_CWS'!$E131*AF$52</f>
        <v>0</v>
      </c>
      <c r="AG62" s="390">
        <f>'COGS-PRICE-MARGIN_CWS'!$E131*AG$52</f>
        <v>0</v>
      </c>
      <c r="AH62" s="390">
        <f>'COGS-PRICE-MARGIN_CWS'!$E131*AH$52</f>
        <v>0</v>
      </c>
      <c r="AI62" s="390">
        <f>'COGS-PRICE-MARGIN_CWS'!$E131*AI$52</f>
        <v>0</v>
      </c>
      <c r="AJ62" s="390">
        <f>'COGS-PRICE-MARGIN_CWS'!$E131*AJ$52</f>
        <v>0</v>
      </c>
      <c r="AK62" s="390">
        <f>'COGS-PRICE-MARGIN_CWS'!$E131*AK$52</f>
        <v>0</v>
      </c>
      <c r="AL62" s="390">
        <f>'COGS-PRICE-MARGIN_CWS'!$E131*AL$52</f>
        <v>0</v>
      </c>
      <c r="AM62" s="390">
        <f>'COGS-PRICE-MARGIN_CWS'!$E131*AM$52</f>
        <v>0</v>
      </c>
      <c r="AN62" s="390">
        <f>'COGS-PRICE-MARGIN_CWS'!$E131*AN$52</f>
        <v>0</v>
      </c>
      <c r="AO62" s="390">
        <f>'COGS-PRICE-MARGIN_CWS'!$E131*AO$52</f>
        <v>0</v>
      </c>
      <c r="AP62" s="390">
        <f>'COGS-PRICE-MARGIN_CWS'!$E131*AP$52</f>
        <v>0</v>
      </c>
      <c r="AQ62" s="390">
        <f>'COGS-PRICE-MARGIN_CWS'!$E131*AQ$52</f>
        <v>0</v>
      </c>
      <c r="AR62" s="390">
        <f>'COGS-PRICE-MARGIN_CWS'!$E131*AR$52</f>
        <v>0</v>
      </c>
      <c r="AS62" s="390">
        <f>'COGS-PRICE-MARGIN_CWS'!$E131*AS$52</f>
        <v>0</v>
      </c>
      <c r="AT62" s="390">
        <f>'COGS-PRICE-MARGIN_CWS'!$E131*AT$52</f>
        <v>0</v>
      </c>
      <c r="AU62" s="390">
        <f>'COGS-PRICE-MARGIN_CWS'!$E131*AU$52</f>
        <v>0</v>
      </c>
      <c r="AV62" s="390">
        <f>'COGS-PRICE-MARGIN_CWS'!$E131*AV$52</f>
        <v>0</v>
      </c>
      <c r="AW62" s="390">
        <f>'COGS-PRICE-MARGIN_CWS'!$E131*AW$52</f>
        <v>0</v>
      </c>
      <c r="AX62" s="390">
        <f>'COGS-PRICE-MARGIN_CWS'!$E131*AX$52</f>
        <v>0</v>
      </c>
      <c r="AY62" s="390">
        <f>'COGS-PRICE-MARGIN_CWS'!$E181*AY$52</f>
        <v>0</v>
      </c>
      <c r="AZ62" s="390">
        <f>'COGS-PRICE-MARGIN_CWS'!$E181*AZ$52</f>
        <v>0</v>
      </c>
      <c r="BA62" s="390">
        <f>'COGS-PRICE-MARGIN_CWS'!$E181*BA$52</f>
        <v>0</v>
      </c>
      <c r="BB62" s="390">
        <f>'COGS-PRICE-MARGIN_CWS'!$E181*BB$52</f>
        <v>0</v>
      </c>
      <c r="BC62" s="390">
        <f>'COGS-PRICE-MARGIN_CWS'!$E181*BC$52</f>
        <v>0</v>
      </c>
      <c r="BD62" s="390">
        <f>'COGS-PRICE-MARGIN_CWS'!$E181*BD$52</f>
        <v>0</v>
      </c>
      <c r="BE62" s="390">
        <f>'COGS-PRICE-MARGIN_CWS'!$E181*BE$52</f>
        <v>0</v>
      </c>
      <c r="BF62" s="390">
        <f>'COGS-PRICE-MARGIN_CWS'!$E181*BF$52</f>
        <v>0</v>
      </c>
      <c r="BG62" s="390">
        <f>'COGS-PRICE-MARGIN_CWS'!$E181*BG$52</f>
        <v>0</v>
      </c>
      <c r="BH62" s="390">
        <f>'COGS-PRICE-MARGIN_CWS'!$E181*BH$52</f>
        <v>0</v>
      </c>
      <c r="BI62" s="390">
        <f>'COGS-PRICE-MARGIN_CWS'!$E181*BI$52</f>
        <v>0</v>
      </c>
      <c r="BJ62" s="390">
        <f>'COGS-PRICE-MARGIN_CWS'!$E181*BJ$52</f>
        <v>0</v>
      </c>
      <c r="BK62" s="391">
        <f t="shared" si="27"/>
        <v>0</v>
      </c>
    </row>
    <row r="63" spans="1:63" outlineLevel="1" x14ac:dyDescent="0.15">
      <c r="A63" s="17" t="s">
        <v>315</v>
      </c>
      <c r="C63" s="392">
        <f>'COGS-PRICE-MARGIN_CWS'!$E32*C52</f>
        <v>0</v>
      </c>
      <c r="D63" s="392">
        <f>'COGS-PRICE-MARGIN_CWS'!$E32*D52</f>
        <v>0</v>
      </c>
      <c r="E63" s="392">
        <f>'COGS-PRICE-MARGIN_CWS'!$E32*E52</f>
        <v>0</v>
      </c>
      <c r="F63" s="390">
        <f>'COGS-PRICE-MARGIN_CWS'!$E32*F52</f>
        <v>0</v>
      </c>
      <c r="G63" s="390">
        <f>'COGS-PRICE-MARGIN_CWS'!$E32*G52</f>
        <v>0</v>
      </c>
      <c r="H63" s="390">
        <f>'COGS-PRICE-MARGIN_CWS'!$E32*H52</f>
        <v>0</v>
      </c>
      <c r="I63" s="390">
        <f>'COGS-PRICE-MARGIN_CWS'!$E32*I52</f>
        <v>0</v>
      </c>
      <c r="J63" s="390">
        <f>'COGS-PRICE-MARGIN_CWS'!$E32*J52</f>
        <v>0</v>
      </c>
      <c r="K63" s="390">
        <f>'COGS-PRICE-MARGIN_CWS'!$E32*K52</f>
        <v>0</v>
      </c>
      <c r="L63" s="390">
        <f>'COGS-PRICE-MARGIN_CWS'!$E32*L52</f>
        <v>0</v>
      </c>
      <c r="M63" s="390">
        <f>'COGS-PRICE-MARGIN_CWS'!$E32*M52</f>
        <v>0</v>
      </c>
      <c r="N63" s="390">
        <f>'COGS-PRICE-MARGIN_CWS'!$E32*N52</f>
        <v>0</v>
      </c>
      <c r="O63" s="390">
        <f>'COGS-PRICE-MARGIN_CWS'!$E82*O52</f>
        <v>0</v>
      </c>
      <c r="P63" s="390">
        <f>'COGS-PRICE-MARGIN_CWS'!$E82*P52</f>
        <v>0</v>
      </c>
      <c r="Q63" s="390">
        <f>'COGS-PRICE-MARGIN_CWS'!$E82*Q52</f>
        <v>0</v>
      </c>
      <c r="R63" s="390">
        <f>'COGS-PRICE-MARGIN_CWS'!$E82*R52</f>
        <v>0</v>
      </c>
      <c r="S63" s="390">
        <f>'COGS-PRICE-MARGIN_CWS'!$E82*S52</f>
        <v>0</v>
      </c>
      <c r="T63" s="390">
        <f>'COGS-PRICE-MARGIN_CWS'!$E82*T52</f>
        <v>0</v>
      </c>
      <c r="U63" s="390">
        <f>'COGS-PRICE-MARGIN_CWS'!$E82*U52</f>
        <v>0</v>
      </c>
      <c r="V63" s="390">
        <f>'COGS-PRICE-MARGIN_CWS'!$E82*V52</f>
        <v>0</v>
      </c>
      <c r="W63" s="390">
        <f>'COGS-PRICE-MARGIN_CWS'!$E82*W52</f>
        <v>0</v>
      </c>
      <c r="X63" s="390">
        <f>'COGS-PRICE-MARGIN_CWS'!$E82*X52</f>
        <v>0</v>
      </c>
      <c r="Y63" s="390">
        <f>'COGS-PRICE-MARGIN_CWS'!$E82*Y52</f>
        <v>0</v>
      </c>
      <c r="Z63" s="390">
        <f>'COGS-PRICE-MARGIN_CWS'!$E82*Z52</f>
        <v>0</v>
      </c>
      <c r="AA63" s="390">
        <f>'COGS-PRICE-MARGIN_CWS'!$E132*AA$52</f>
        <v>0</v>
      </c>
      <c r="AB63" s="390">
        <f>'COGS-PRICE-MARGIN_CWS'!$E132*AB$52</f>
        <v>0</v>
      </c>
      <c r="AC63" s="390">
        <f>'COGS-PRICE-MARGIN_CWS'!$E132*AC$52</f>
        <v>0</v>
      </c>
      <c r="AD63" s="390">
        <f>'COGS-PRICE-MARGIN_CWS'!$E132*AD$52</f>
        <v>0</v>
      </c>
      <c r="AE63" s="390">
        <f>'COGS-PRICE-MARGIN_CWS'!$E132*AE$52</f>
        <v>0</v>
      </c>
      <c r="AF63" s="390">
        <f>'COGS-PRICE-MARGIN_CWS'!$E132*AF$52</f>
        <v>0</v>
      </c>
      <c r="AG63" s="390">
        <f>'COGS-PRICE-MARGIN_CWS'!$E132*AG$52</f>
        <v>0</v>
      </c>
      <c r="AH63" s="390">
        <f>'COGS-PRICE-MARGIN_CWS'!$E132*AH$52</f>
        <v>0</v>
      </c>
      <c r="AI63" s="390">
        <f>'COGS-PRICE-MARGIN_CWS'!$E132*AI$52</f>
        <v>0</v>
      </c>
      <c r="AJ63" s="390">
        <f>'COGS-PRICE-MARGIN_CWS'!$E132*AJ$52</f>
        <v>0</v>
      </c>
      <c r="AK63" s="390">
        <f>'COGS-PRICE-MARGIN_CWS'!$E132*AK$52</f>
        <v>0</v>
      </c>
      <c r="AL63" s="390">
        <f>'COGS-PRICE-MARGIN_CWS'!$E132*AL$52</f>
        <v>0</v>
      </c>
      <c r="AM63" s="390">
        <f>'COGS-PRICE-MARGIN_CWS'!$E132*AM$52</f>
        <v>0</v>
      </c>
      <c r="AN63" s="390">
        <f>'COGS-PRICE-MARGIN_CWS'!$E132*AN$52</f>
        <v>0</v>
      </c>
      <c r="AO63" s="390">
        <f>'COGS-PRICE-MARGIN_CWS'!$E132*AO$52</f>
        <v>0</v>
      </c>
      <c r="AP63" s="390">
        <f>'COGS-PRICE-MARGIN_CWS'!$E132*AP$52</f>
        <v>0</v>
      </c>
      <c r="AQ63" s="390">
        <f>'COGS-PRICE-MARGIN_CWS'!$E132*AQ$52</f>
        <v>0</v>
      </c>
      <c r="AR63" s="390">
        <f>'COGS-PRICE-MARGIN_CWS'!$E132*AR$52</f>
        <v>0</v>
      </c>
      <c r="AS63" s="390">
        <f>'COGS-PRICE-MARGIN_CWS'!$E132*AS$52</f>
        <v>0</v>
      </c>
      <c r="AT63" s="390">
        <f>'COGS-PRICE-MARGIN_CWS'!$E132*AT$52</f>
        <v>0</v>
      </c>
      <c r="AU63" s="390">
        <f>'COGS-PRICE-MARGIN_CWS'!$E132*AU$52</f>
        <v>0</v>
      </c>
      <c r="AV63" s="390">
        <f>'COGS-PRICE-MARGIN_CWS'!$E132*AV$52</f>
        <v>0</v>
      </c>
      <c r="AW63" s="390">
        <f>'COGS-PRICE-MARGIN_CWS'!$E132*AW$52</f>
        <v>0</v>
      </c>
      <c r="AX63" s="390">
        <f>'COGS-PRICE-MARGIN_CWS'!$E132*AX$52</f>
        <v>0</v>
      </c>
      <c r="AY63" s="390">
        <f>'COGS-PRICE-MARGIN_CWS'!$E182*AY$52</f>
        <v>0</v>
      </c>
      <c r="AZ63" s="390">
        <f>'COGS-PRICE-MARGIN_CWS'!$E182*AZ$52</f>
        <v>0</v>
      </c>
      <c r="BA63" s="390">
        <f>'COGS-PRICE-MARGIN_CWS'!$E182*BA$52</f>
        <v>0</v>
      </c>
      <c r="BB63" s="390">
        <f>'COGS-PRICE-MARGIN_CWS'!$E182*BB$52</f>
        <v>0</v>
      </c>
      <c r="BC63" s="390">
        <f>'COGS-PRICE-MARGIN_CWS'!$E182*BC$52</f>
        <v>0</v>
      </c>
      <c r="BD63" s="390">
        <f>'COGS-PRICE-MARGIN_CWS'!$E182*BD$52</f>
        <v>0</v>
      </c>
      <c r="BE63" s="390">
        <f>'COGS-PRICE-MARGIN_CWS'!$E182*BE$52</f>
        <v>0</v>
      </c>
      <c r="BF63" s="390">
        <f>'COGS-PRICE-MARGIN_CWS'!$E182*BF$52</f>
        <v>0</v>
      </c>
      <c r="BG63" s="390">
        <f>'COGS-PRICE-MARGIN_CWS'!$E182*BG$52</f>
        <v>0</v>
      </c>
      <c r="BH63" s="390">
        <f>'COGS-PRICE-MARGIN_CWS'!$E182*BH$52</f>
        <v>0</v>
      </c>
      <c r="BI63" s="390">
        <f>'COGS-PRICE-MARGIN_CWS'!$E182*BI$52</f>
        <v>0</v>
      </c>
      <c r="BJ63" s="390">
        <f>'COGS-PRICE-MARGIN_CWS'!$E182*BJ$52</f>
        <v>0</v>
      </c>
      <c r="BK63" s="391">
        <f t="shared" si="27"/>
        <v>0</v>
      </c>
    </row>
    <row r="64" spans="1:63" outlineLevel="1" x14ac:dyDescent="0.15">
      <c r="A64" s="47" t="s">
        <v>176</v>
      </c>
      <c r="C64" s="392">
        <f>'COGS-PRICE-MARGIN_CWS'!$E40*C$52</f>
        <v>0</v>
      </c>
      <c r="D64" s="392">
        <f>'COGS-PRICE-MARGIN_CWS'!$E40*D$52</f>
        <v>0</v>
      </c>
      <c r="E64" s="392">
        <f>'COGS-PRICE-MARGIN_CWS'!$E40*E$52</f>
        <v>0</v>
      </c>
      <c r="F64" s="392">
        <f>'COGS-PRICE-MARGIN_CWS'!$E40*F$52</f>
        <v>0</v>
      </c>
      <c r="G64" s="392">
        <f>'COGS-PRICE-MARGIN_CWS'!$E40*G$52</f>
        <v>0</v>
      </c>
      <c r="H64" s="392">
        <f>'COGS-PRICE-MARGIN_CWS'!$E40*H$52</f>
        <v>0</v>
      </c>
      <c r="I64" s="392">
        <f>'COGS-PRICE-MARGIN_CWS'!$E40*I$52</f>
        <v>0</v>
      </c>
      <c r="J64" s="392">
        <f>'COGS-PRICE-MARGIN_CWS'!$E40*J$52</f>
        <v>0</v>
      </c>
      <c r="K64" s="392">
        <f>'COGS-PRICE-MARGIN_CWS'!$E40*K$52</f>
        <v>0</v>
      </c>
      <c r="L64" s="392">
        <f>'COGS-PRICE-MARGIN_CWS'!$E40*L$52</f>
        <v>0</v>
      </c>
      <c r="M64" s="392">
        <f>'COGS-PRICE-MARGIN_CWS'!$E40*M$52</f>
        <v>0</v>
      </c>
      <c r="N64" s="392">
        <f>'COGS-PRICE-MARGIN_CWS'!$E40*N$52</f>
        <v>0</v>
      </c>
      <c r="O64" s="392">
        <f>'COGS-PRICE-MARGIN_CWS'!$E40*O$52</f>
        <v>0</v>
      </c>
      <c r="P64" s="392">
        <f>'COGS-PRICE-MARGIN_CWS'!$E40*P$52</f>
        <v>0</v>
      </c>
      <c r="Q64" s="392">
        <f>'COGS-PRICE-MARGIN_CWS'!$E40*Q$52</f>
        <v>0</v>
      </c>
      <c r="R64" s="392">
        <f>'COGS-PRICE-MARGIN_CWS'!$E40*R$52</f>
        <v>0</v>
      </c>
      <c r="S64" s="392">
        <f>'COGS-PRICE-MARGIN_CWS'!$E40*S$52</f>
        <v>0</v>
      </c>
      <c r="T64" s="392">
        <f>'COGS-PRICE-MARGIN_CWS'!$E40*T$52</f>
        <v>0</v>
      </c>
      <c r="U64" s="392">
        <f>'COGS-PRICE-MARGIN_CWS'!$E40*U$52</f>
        <v>0</v>
      </c>
      <c r="V64" s="392">
        <f>'COGS-PRICE-MARGIN_CWS'!$E40*V$52</f>
        <v>0</v>
      </c>
      <c r="W64" s="392">
        <f>'COGS-PRICE-MARGIN_CWS'!$E40*W$52</f>
        <v>0</v>
      </c>
      <c r="X64" s="392">
        <f>'COGS-PRICE-MARGIN_CWS'!$E40*X$52</f>
        <v>0</v>
      </c>
      <c r="Y64" s="392">
        <f>'COGS-PRICE-MARGIN_CWS'!$E40*Y$52</f>
        <v>0</v>
      </c>
      <c r="Z64" s="392">
        <f>'COGS-PRICE-MARGIN_CWS'!$E40*Z$52</f>
        <v>0</v>
      </c>
      <c r="AA64" s="392">
        <f>'COGS-PRICE-MARGIN_CWS'!$E40*AA$52</f>
        <v>0</v>
      </c>
      <c r="AB64" s="392">
        <f>'COGS-PRICE-MARGIN_CWS'!$E40*AB$52</f>
        <v>0</v>
      </c>
      <c r="AC64" s="392">
        <f>'COGS-PRICE-MARGIN_CWS'!$E40*AC$52</f>
        <v>0</v>
      </c>
      <c r="AD64" s="392">
        <f>'COGS-PRICE-MARGIN_CWS'!$E40*AD$52</f>
        <v>0</v>
      </c>
      <c r="AE64" s="392">
        <f>'COGS-PRICE-MARGIN_CWS'!$E40*AE$52</f>
        <v>0</v>
      </c>
      <c r="AF64" s="392">
        <f>'COGS-PRICE-MARGIN_CWS'!$E40*AF$52</f>
        <v>0</v>
      </c>
      <c r="AG64" s="392">
        <f>'COGS-PRICE-MARGIN_CWS'!$E40*AG$52</f>
        <v>0</v>
      </c>
      <c r="AH64" s="392">
        <f>'COGS-PRICE-MARGIN_CWS'!$E40*AH$52</f>
        <v>0</v>
      </c>
      <c r="AI64" s="392">
        <f>'COGS-PRICE-MARGIN_CWS'!$E40*AI$52</f>
        <v>0</v>
      </c>
      <c r="AJ64" s="392">
        <f>'COGS-PRICE-MARGIN_CWS'!$E40*AJ$52</f>
        <v>0</v>
      </c>
      <c r="AK64" s="392">
        <f>'COGS-PRICE-MARGIN_CWS'!$E40*AK$52</f>
        <v>0</v>
      </c>
      <c r="AL64" s="392">
        <f>'COGS-PRICE-MARGIN_CWS'!$E40*AL$52</f>
        <v>0</v>
      </c>
      <c r="AM64" s="392">
        <f>'COGS-PRICE-MARGIN_CWS'!$E40*AM$52</f>
        <v>0</v>
      </c>
      <c r="AN64" s="392">
        <f>'COGS-PRICE-MARGIN_CWS'!$E40*AN$52</f>
        <v>0</v>
      </c>
      <c r="AO64" s="392">
        <f>'COGS-PRICE-MARGIN_CWS'!$E40*AO$52</f>
        <v>0</v>
      </c>
      <c r="AP64" s="392">
        <f>'COGS-PRICE-MARGIN_CWS'!$E40*AP$52</f>
        <v>0</v>
      </c>
      <c r="AQ64" s="392">
        <f>'COGS-PRICE-MARGIN_CWS'!$E40*AQ$52</f>
        <v>0</v>
      </c>
      <c r="AR64" s="392">
        <f>'COGS-PRICE-MARGIN_CWS'!$E40*AR$52</f>
        <v>0</v>
      </c>
      <c r="AS64" s="392">
        <f>'COGS-PRICE-MARGIN_CWS'!$E40*AS$52</f>
        <v>0</v>
      </c>
      <c r="AT64" s="392">
        <f>'COGS-PRICE-MARGIN_CWS'!$E40*AT$52</f>
        <v>0</v>
      </c>
      <c r="AU64" s="392">
        <f>'COGS-PRICE-MARGIN_CWS'!$E40*AU$52</f>
        <v>0</v>
      </c>
      <c r="AV64" s="392">
        <f>'COGS-PRICE-MARGIN_CWS'!$E40*AV$52</f>
        <v>0</v>
      </c>
      <c r="AW64" s="392">
        <f>'COGS-PRICE-MARGIN_CWS'!$E40*AW$52</f>
        <v>0</v>
      </c>
      <c r="AX64" s="392">
        <f>'COGS-PRICE-MARGIN_CWS'!$E40*AX$52</f>
        <v>0</v>
      </c>
      <c r="AY64" s="392">
        <f>'COGS-PRICE-MARGIN_CWS'!$E40*AY$52</f>
        <v>0</v>
      </c>
      <c r="AZ64" s="392">
        <f>'COGS-PRICE-MARGIN_CWS'!$E40*AZ$52</f>
        <v>0</v>
      </c>
      <c r="BA64" s="392">
        <f>'COGS-PRICE-MARGIN_CWS'!$E40*BA$52</f>
        <v>0</v>
      </c>
      <c r="BB64" s="392">
        <f>'COGS-PRICE-MARGIN_CWS'!$E40*BB$52</f>
        <v>0</v>
      </c>
      <c r="BC64" s="392">
        <f>'COGS-PRICE-MARGIN_CWS'!$E40*BC$52</f>
        <v>0</v>
      </c>
      <c r="BD64" s="392">
        <f>'COGS-PRICE-MARGIN_CWS'!$E40*BD$52</f>
        <v>0</v>
      </c>
      <c r="BE64" s="392">
        <f>'COGS-PRICE-MARGIN_CWS'!$E40*BE$52</f>
        <v>0</v>
      </c>
      <c r="BF64" s="392">
        <f>'COGS-PRICE-MARGIN_CWS'!$E40*BF$52</f>
        <v>0</v>
      </c>
      <c r="BG64" s="392">
        <f>'COGS-PRICE-MARGIN_CWS'!$E40*BG$52</f>
        <v>0</v>
      </c>
      <c r="BH64" s="392">
        <f>'COGS-PRICE-MARGIN_CWS'!$E40*BH$52</f>
        <v>0</v>
      </c>
      <c r="BI64" s="392">
        <f>'COGS-PRICE-MARGIN_CWS'!$E40*BI$52</f>
        <v>0</v>
      </c>
      <c r="BJ64" s="392">
        <f>'COGS-PRICE-MARGIN_CWS'!$E40*BJ$52</f>
        <v>0</v>
      </c>
      <c r="BK64" s="391">
        <f t="shared" si="27"/>
        <v>0</v>
      </c>
    </row>
    <row r="65" spans="1:63" outlineLevel="1" x14ac:dyDescent="0.15">
      <c r="A65" s="47" t="s">
        <v>1268</v>
      </c>
      <c r="C65" s="392">
        <f>'COGS-PRICE-MARGIN_CWS'!$E49*C$52</f>
        <v>0</v>
      </c>
      <c r="D65" s="392">
        <f>'COGS-PRICE-MARGIN_CWS'!$E49*D$52</f>
        <v>0</v>
      </c>
      <c r="E65" s="392">
        <f>'COGS-PRICE-MARGIN_CWS'!$E49*E$52</f>
        <v>0</v>
      </c>
      <c r="F65" s="392">
        <f>'COGS-PRICE-MARGIN_CWS'!$E49*F$52</f>
        <v>0</v>
      </c>
      <c r="G65" s="392">
        <f>'COGS-PRICE-MARGIN_CWS'!$E49*G$52</f>
        <v>0</v>
      </c>
      <c r="H65" s="392">
        <f>'COGS-PRICE-MARGIN_CWS'!$E49*H$52</f>
        <v>82800</v>
      </c>
      <c r="I65" s="392">
        <f>'COGS-PRICE-MARGIN_CWS'!$E49*I$52</f>
        <v>103200</v>
      </c>
      <c r="J65" s="392">
        <f>'COGS-PRICE-MARGIN_CWS'!$E49*J$52</f>
        <v>123600</v>
      </c>
      <c r="K65" s="392">
        <f>'COGS-PRICE-MARGIN_CWS'!$E49*K$52</f>
        <v>144000</v>
      </c>
      <c r="L65" s="392">
        <f>'COGS-PRICE-MARGIN_CWS'!$E49*L$52</f>
        <v>164400</v>
      </c>
      <c r="M65" s="392">
        <f>'COGS-PRICE-MARGIN_CWS'!$E49*M$52</f>
        <v>184800</v>
      </c>
      <c r="N65" s="392">
        <f>'COGS-PRICE-MARGIN_CWS'!$E49*N$52</f>
        <v>164400</v>
      </c>
      <c r="O65" s="392">
        <f>'COGS-PRICE-MARGIN_CWS'!$E49*O$52</f>
        <v>306000</v>
      </c>
      <c r="P65" s="392">
        <f>'COGS-PRICE-MARGIN_CWS'!$E49*P$52</f>
        <v>489600</v>
      </c>
      <c r="Q65" s="392">
        <f>'COGS-PRICE-MARGIN_CWS'!$E49*Q$52</f>
        <v>550800</v>
      </c>
      <c r="R65" s="392">
        <f>'COGS-PRICE-MARGIN_CWS'!$E49*R$52</f>
        <v>550800</v>
      </c>
      <c r="S65" s="392">
        <f>'COGS-PRICE-MARGIN_CWS'!$E49*S$52</f>
        <v>550800</v>
      </c>
      <c r="T65" s="392">
        <f>'COGS-PRICE-MARGIN_CWS'!$E49*T$52</f>
        <v>550800</v>
      </c>
      <c r="U65" s="392">
        <f>'COGS-PRICE-MARGIN_CWS'!$E49*U$52</f>
        <v>550800</v>
      </c>
      <c r="V65" s="392">
        <f>'COGS-PRICE-MARGIN_CWS'!$E49*V$52</f>
        <v>550800</v>
      </c>
      <c r="W65" s="392">
        <f>'COGS-PRICE-MARGIN_CWS'!$E49*W$52</f>
        <v>550800</v>
      </c>
      <c r="X65" s="392">
        <f>'COGS-PRICE-MARGIN_CWS'!$E49*X$52</f>
        <v>550800</v>
      </c>
      <c r="Y65" s="392">
        <f>'COGS-PRICE-MARGIN_CWS'!$E49*Y$52</f>
        <v>550800</v>
      </c>
      <c r="Z65" s="392">
        <f>'COGS-PRICE-MARGIN_CWS'!$E49*Z$52</f>
        <v>367200</v>
      </c>
      <c r="AA65" s="392">
        <f>'COGS-PRICE-MARGIN_CWS'!$E49*AA$52</f>
        <v>871200</v>
      </c>
      <c r="AB65" s="392">
        <f>'COGS-PRICE-MARGIN_CWS'!$E49*AB$52</f>
        <v>1394400</v>
      </c>
      <c r="AC65" s="392">
        <f>'COGS-PRICE-MARGIN_CWS'!$E49*AC$52</f>
        <v>1568400</v>
      </c>
      <c r="AD65" s="392">
        <f>'COGS-PRICE-MARGIN_CWS'!$E49*AD$52</f>
        <v>1568400</v>
      </c>
      <c r="AE65" s="392">
        <f>'COGS-PRICE-MARGIN_CWS'!$E49*AE$52</f>
        <v>1568400</v>
      </c>
      <c r="AF65" s="392">
        <f>'COGS-PRICE-MARGIN_CWS'!$E49*AF$52</f>
        <v>1568400</v>
      </c>
      <c r="AG65" s="392">
        <f>'COGS-PRICE-MARGIN_CWS'!$E49*AG$52</f>
        <v>1568400</v>
      </c>
      <c r="AH65" s="392">
        <f>'COGS-PRICE-MARGIN_CWS'!$E49*AH$52</f>
        <v>1568400</v>
      </c>
      <c r="AI65" s="392">
        <f>'COGS-PRICE-MARGIN_CWS'!$E49*AI$52</f>
        <v>1568400</v>
      </c>
      <c r="AJ65" s="392">
        <f>'COGS-PRICE-MARGIN_CWS'!$E49*AJ$52</f>
        <v>1568400</v>
      </c>
      <c r="AK65" s="392">
        <f>'COGS-PRICE-MARGIN_CWS'!$E49*AK$52</f>
        <v>1568400</v>
      </c>
      <c r="AL65" s="392">
        <f>'COGS-PRICE-MARGIN_CWS'!$E49*AL$52</f>
        <v>1045200</v>
      </c>
      <c r="AM65" s="392">
        <f>'COGS-PRICE-MARGIN_CWS'!$E49*AM$52</f>
        <v>1122000</v>
      </c>
      <c r="AN65" s="392">
        <f>'COGS-PRICE-MARGIN_CWS'!$E49*AN$52</f>
        <v>1795200</v>
      </c>
      <c r="AO65" s="392">
        <f>'COGS-PRICE-MARGIN_CWS'!$E49*AO$52</f>
        <v>2019600</v>
      </c>
      <c r="AP65" s="392">
        <f>'COGS-PRICE-MARGIN_CWS'!$E49*AP$52</f>
        <v>2019600</v>
      </c>
      <c r="AQ65" s="392">
        <f>'COGS-PRICE-MARGIN_CWS'!$E49*AQ$52</f>
        <v>2019600</v>
      </c>
      <c r="AR65" s="392">
        <f>'COGS-PRICE-MARGIN_CWS'!$E49*AR$52</f>
        <v>2019600</v>
      </c>
      <c r="AS65" s="392">
        <f>'COGS-PRICE-MARGIN_CWS'!$E49*AS$52</f>
        <v>2019600</v>
      </c>
      <c r="AT65" s="392">
        <f>'COGS-PRICE-MARGIN_CWS'!$E49*AT$52</f>
        <v>2019600</v>
      </c>
      <c r="AU65" s="392">
        <f>'COGS-PRICE-MARGIN_CWS'!$E49*AU$52</f>
        <v>2019600</v>
      </c>
      <c r="AV65" s="392">
        <f>'COGS-PRICE-MARGIN_CWS'!$E49*AV$52</f>
        <v>2019600</v>
      </c>
      <c r="AW65" s="392">
        <f>'COGS-PRICE-MARGIN_CWS'!$E49*AW$52</f>
        <v>2019600</v>
      </c>
      <c r="AX65" s="392">
        <f>'COGS-PRICE-MARGIN_CWS'!$E49*AX$52</f>
        <v>1346400</v>
      </c>
      <c r="AY65" s="392">
        <f>'COGS-PRICE-MARGIN_CWS'!$E49*AY$52</f>
        <v>1155600</v>
      </c>
      <c r="AZ65" s="392">
        <f>'COGS-PRICE-MARGIN_CWS'!$E49*AZ$52</f>
        <v>1849200</v>
      </c>
      <c r="BA65" s="392">
        <f>'COGS-PRICE-MARGIN_CWS'!$E49*BA$52</f>
        <v>2079600</v>
      </c>
      <c r="BB65" s="392">
        <f>'COGS-PRICE-MARGIN_CWS'!$E49*BB$52</f>
        <v>2079600</v>
      </c>
      <c r="BC65" s="392">
        <f>'COGS-PRICE-MARGIN_CWS'!$E49*BC$52</f>
        <v>2079600</v>
      </c>
      <c r="BD65" s="392">
        <f>'COGS-PRICE-MARGIN_CWS'!$E49*BD$52</f>
        <v>2079600</v>
      </c>
      <c r="BE65" s="392">
        <f>'COGS-PRICE-MARGIN_CWS'!$E49*BE$52</f>
        <v>2079600</v>
      </c>
      <c r="BF65" s="392">
        <f>'COGS-PRICE-MARGIN_CWS'!$E49*BF$52</f>
        <v>2079600</v>
      </c>
      <c r="BG65" s="392">
        <f>'COGS-PRICE-MARGIN_CWS'!$E49*BG$52</f>
        <v>2079600</v>
      </c>
      <c r="BH65" s="392">
        <f>'COGS-PRICE-MARGIN_CWS'!$E49*BH$52</f>
        <v>2079600</v>
      </c>
      <c r="BI65" s="392">
        <f>'COGS-PRICE-MARGIN_CWS'!$E49*BI$52</f>
        <v>2079600</v>
      </c>
      <c r="BJ65" s="392">
        <f>'COGS-PRICE-MARGIN_CWS'!$E49*BJ$52</f>
        <v>1387200</v>
      </c>
      <c r="BK65" s="391">
        <f t="shared" si="27"/>
        <v>70062000</v>
      </c>
    </row>
    <row r="66" spans="1:63" outlineLevel="1" x14ac:dyDescent="0.15">
      <c r="A66" s="1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</row>
    <row r="67" spans="1:63" s="14" customFormat="1" outlineLevel="1" x14ac:dyDescent="0.15">
      <c r="A67" s="16" t="s">
        <v>331</v>
      </c>
      <c r="C67" s="393">
        <f t="shared" ref="C67:AH67" si="28">SUM(C60:C65)</f>
        <v>0</v>
      </c>
      <c r="D67" s="393">
        <f t="shared" si="28"/>
        <v>0</v>
      </c>
      <c r="E67" s="393">
        <f t="shared" si="28"/>
        <v>0</v>
      </c>
      <c r="F67" s="389">
        <f t="shared" si="28"/>
        <v>0</v>
      </c>
      <c r="G67" s="389">
        <f t="shared" si="28"/>
        <v>0</v>
      </c>
      <c r="H67" s="389">
        <f t="shared" si="28"/>
        <v>772800</v>
      </c>
      <c r="I67" s="389">
        <f t="shared" si="28"/>
        <v>963200</v>
      </c>
      <c r="J67" s="389">
        <f t="shared" si="28"/>
        <v>1153600</v>
      </c>
      <c r="K67" s="389">
        <f t="shared" si="28"/>
        <v>1344000</v>
      </c>
      <c r="L67" s="389">
        <f t="shared" si="28"/>
        <v>1534400</v>
      </c>
      <c r="M67" s="389">
        <f t="shared" si="28"/>
        <v>1724800</v>
      </c>
      <c r="N67" s="389">
        <f t="shared" si="28"/>
        <v>1534400</v>
      </c>
      <c r="O67" s="389">
        <f t="shared" si="28"/>
        <v>3034500</v>
      </c>
      <c r="P67" s="389">
        <f t="shared" si="28"/>
        <v>4855200</v>
      </c>
      <c r="Q67" s="389">
        <f t="shared" si="28"/>
        <v>5462100</v>
      </c>
      <c r="R67" s="389">
        <f t="shared" si="28"/>
        <v>5462100</v>
      </c>
      <c r="S67" s="389">
        <f t="shared" si="28"/>
        <v>5462100</v>
      </c>
      <c r="T67" s="389">
        <f t="shared" si="28"/>
        <v>5462100</v>
      </c>
      <c r="U67" s="389">
        <f t="shared" si="28"/>
        <v>5462100</v>
      </c>
      <c r="V67" s="389">
        <f t="shared" si="28"/>
        <v>5462100</v>
      </c>
      <c r="W67" s="389">
        <f t="shared" si="28"/>
        <v>5462100</v>
      </c>
      <c r="X67" s="389">
        <f t="shared" si="28"/>
        <v>5462100</v>
      </c>
      <c r="Y67" s="389">
        <f t="shared" si="28"/>
        <v>5462100</v>
      </c>
      <c r="Z67" s="389">
        <f t="shared" si="28"/>
        <v>3641400</v>
      </c>
      <c r="AA67" s="389">
        <f t="shared" si="28"/>
        <v>9183174</v>
      </c>
      <c r="AB67" s="389">
        <f t="shared" si="28"/>
        <v>14698138</v>
      </c>
      <c r="AC67" s="389">
        <f t="shared" si="28"/>
        <v>16532243</v>
      </c>
      <c r="AD67" s="389">
        <f t="shared" si="28"/>
        <v>16532243</v>
      </c>
      <c r="AE67" s="389">
        <f t="shared" si="28"/>
        <v>16532243</v>
      </c>
      <c r="AF67" s="389">
        <f t="shared" si="28"/>
        <v>16532243</v>
      </c>
      <c r="AG67" s="389">
        <f t="shared" si="28"/>
        <v>16532243</v>
      </c>
      <c r="AH67" s="389">
        <f t="shared" si="28"/>
        <v>16532243</v>
      </c>
      <c r="AI67" s="389">
        <f t="shared" ref="AI67:BJ67" si="29">SUM(AI60:AI65)</f>
        <v>16532243</v>
      </c>
      <c r="AJ67" s="389">
        <f t="shared" si="29"/>
        <v>16532243</v>
      </c>
      <c r="AK67" s="389">
        <f t="shared" si="29"/>
        <v>16532243</v>
      </c>
      <c r="AL67" s="389">
        <f t="shared" si="29"/>
        <v>11017279</v>
      </c>
      <c r="AM67" s="389">
        <f t="shared" si="29"/>
        <v>11826815</v>
      </c>
      <c r="AN67" s="389">
        <f t="shared" si="29"/>
        <v>18922904</v>
      </c>
      <c r="AO67" s="389">
        <f t="shared" si="29"/>
        <v>21288267</v>
      </c>
      <c r="AP67" s="389">
        <f t="shared" si="29"/>
        <v>21288267</v>
      </c>
      <c r="AQ67" s="389">
        <f t="shared" si="29"/>
        <v>21288267</v>
      </c>
      <c r="AR67" s="389">
        <f t="shared" si="29"/>
        <v>21288267</v>
      </c>
      <c r="AS67" s="389">
        <f t="shared" si="29"/>
        <v>21288267</v>
      </c>
      <c r="AT67" s="389">
        <f t="shared" si="29"/>
        <v>21288267</v>
      </c>
      <c r="AU67" s="389">
        <f t="shared" si="29"/>
        <v>21288267</v>
      </c>
      <c r="AV67" s="389">
        <f t="shared" si="29"/>
        <v>21288267</v>
      </c>
      <c r="AW67" s="389">
        <f t="shared" si="29"/>
        <v>21288267</v>
      </c>
      <c r="AX67" s="389">
        <f t="shared" si="29"/>
        <v>14192178</v>
      </c>
      <c r="AY67" s="389">
        <f t="shared" si="29"/>
        <v>12952764.09</v>
      </c>
      <c r="AZ67" s="389">
        <f t="shared" si="29"/>
        <v>20727112.629999999</v>
      </c>
      <c r="BA67" s="389">
        <f t="shared" si="29"/>
        <v>23309595.190000001</v>
      </c>
      <c r="BB67" s="389">
        <f t="shared" si="29"/>
        <v>23309595.190000001</v>
      </c>
      <c r="BC67" s="389">
        <f t="shared" si="29"/>
        <v>23309595.190000001</v>
      </c>
      <c r="BD67" s="389">
        <f t="shared" si="29"/>
        <v>23309595.190000001</v>
      </c>
      <c r="BE67" s="389">
        <f t="shared" si="29"/>
        <v>23309595.190000001</v>
      </c>
      <c r="BF67" s="389">
        <f t="shared" si="29"/>
        <v>23309595.190000001</v>
      </c>
      <c r="BG67" s="389">
        <f t="shared" si="29"/>
        <v>23309595.190000001</v>
      </c>
      <c r="BH67" s="389">
        <f t="shared" si="29"/>
        <v>23309595.190000001</v>
      </c>
      <c r="BI67" s="389">
        <f t="shared" si="29"/>
        <v>23309595.190000001</v>
      </c>
      <c r="BJ67" s="389">
        <f t="shared" si="29"/>
        <v>15548697.08</v>
      </c>
      <c r="BK67" s="391">
        <f>SUM(C67:BJ67)</f>
        <v>748957208.51000047</v>
      </c>
    </row>
    <row r="68" spans="1:63" s="14" customFormat="1" outlineLevel="1" x14ac:dyDescent="0.15">
      <c r="A68" s="73"/>
      <c r="C68" s="389"/>
      <c r="D68" s="389"/>
      <c r="E68" s="389"/>
      <c r="F68" s="389"/>
      <c r="G68" s="389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Z68" s="389"/>
      <c r="AA68" s="389"/>
      <c r="AB68" s="389"/>
      <c r="AC68" s="389"/>
      <c r="AD68" s="389"/>
      <c r="AE68" s="389"/>
      <c r="AF68" s="389"/>
      <c r="AG68" s="389"/>
      <c r="AH68" s="389"/>
      <c r="AI68" s="389"/>
      <c r="AJ68" s="389"/>
      <c r="AK68" s="389"/>
      <c r="AL68" s="389"/>
      <c r="AM68" s="389"/>
      <c r="AN68" s="389"/>
      <c r="AO68" s="389"/>
      <c r="AP68" s="389"/>
      <c r="AQ68" s="389"/>
      <c r="AR68" s="389"/>
      <c r="AS68" s="389"/>
      <c r="AT68" s="389"/>
      <c r="AU68" s="389"/>
      <c r="AV68" s="389"/>
      <c r="AW68" s="389"/>
      <c r="AX68" s="389"/>
      <c r="AY68" s="389"/>
      <c r="AZ68" s="389"/>
      <c r="BA68" s="389"/>
      <c r="BB68" s="389"/>
      <c r="BC68" s="389"/>
      <c r="BD68" s="389"/>
      <c r="BE68" s="389"/>
      <c r="BF68" s="389"/>
      <c r="BG68" s="389"/>
      <c r="BH68" s="389"/>
      <c r="BI68" s="389"/>
      <c r="BJ68" s="389"/>
      <c r="BK68" s="394"/>
    </row>
    <row r="69" spans="1:63" s="14" customFormat="1" outlineLevel="1" x14ac:dyDescent="0.15">
      <c r="A69" s="73" t="s">
        <v>328</v>
      </c>
      <c r="C69" s="393">
        <f t="shared" ref="C69:AH69" si="30">C56-C67</f>
        <v>0</v>
      </c>
      <c r="D69" s="393">
        <f t="shared" si="30"/>
        <v>0</v>
      </c>
      <c r="E69" s="393">
        <f t="shared" si="30"/>
        <v>0</v>
      </c>
      <c r="F69" s="389">
        <f t="shared" si="30"/>
        <v>0</v>
      </c>
      <c r="G69" s="389">
        <f t="shared" si="30"/>
        <v>0</v>
      </c>
      <c r="H69" s="389">
        <f t="shared" si="30"/>
        <v>745200</v>
      </c>
      <c r="I69" s="389">
        <f t="shared" si="30"/>
        <v>928800</v>
      </c>
      <c r="J69" s="389">
        <f t="shared" si="30"/>
        <v>1112400</v>
      </c>
      <c r="K69" s="389">
        <f t="shared" si="30"/>
        <v>1296000</v>
      </c>
      <c r="L69" s="389">
        <f t="shared" si="30"/>
        <v>1479600</v>
      </c>
      <c r="M69" s="389">
        <f t="shared" si="30"/>
        <v>1663200</v>
      </c>
      <c r="N69" s="389">
        <f t="shared" si="30"/>
        <v>1479600</v>
      </c>
      <c r="O69" s="389">
        <f t="shared" si="30"/>
        <v>2968200</v>
      </c>
      <c r="P69" s="389">
        <f t="shared" si="30"/>
        <v>4749120</v>
      </c>
      <c r="Q69" s="389">
        <f t="shared" si="30"/>
        <v>5342760</v>
      </c>
      <c r="R69" s="389">
        <f t="shared" si="30"/>
        <v>5342760</v>
      </c>
      <c r="S69" s="389">
        <f t="shared" si="30"/>
        <v>5342760</v>
      </c>
      <c r="T69" s="389">
        <f t="shared" si="30"/>
        <v>5342760</v>
      </c>
      <c r="U69" s="389">
        <f t="shared" si="30"/>
        <v>5342760</v>
      </c>
      <c r="V69" s="389">
        <f t="shared" si="30"/>
        <v>5342760</v>
      </c>
      <c r="W69" s="389">
        <f t="shared" si="30"/>
        <v>5342760</v>
      </c>
      <c r="X69" s="389">
        <f t="shared" si="30"/>
        <v>5342760</v>
      </c>
      <c r="Y69" s="389">
        <f t="shared" si="30"/>
        <v>5342760</v>
      </c>
      <c r="Z69" s="389">
        <f t="shared" si="30"/>
        <v>3561840</v>
      </c>
      <c r="AA69" s="389">
        <f t="shared" si="30"/>
        <v>9103168.8000000007</v>
      </c>
      <c r="AB69" s="389">
        <f t="shared" si="30"/>
        <v>14570085.600000005</v>
      </c>
      <c r="AC69" s="389">
        <f t="shared" si="30"/>
        <v>16388211.600000005</v>
      </c>
      <c r="AD69" s="389">
        <f t="shared" si="30"/>
        <v>16388211.600000005</v>
      </c>
      <c r="AE69" s="389">
        <f t="shared" si="30"/>
        <v>16388211.600000005</v>
      </c>
      <c r="AF69" s="389">
        <f t="shared" si="30"/>
        <v>16388211.600000005</v>
      </c>
      <c r="AG69" s="389">
        <f t="shared" si="30"/>
        <v>16388211.600000005</v>
      </c>
      <c r="AH69" s="389">
        <f t="shared" si="30"/>
        <v>16388211.600000005</v>
      </c>
      <c r="AI69" s="389">
        <f t="shared" ref="AI69:BJ69" si="31">AI56-AI67</f>
        <v>16388211.600000005</v>
      </c>
      <c r="AJ69" s="389">
        <f t="shared" si="31"/>
        <v>16388211.600000005</v>
      </c>
      <c r="AK69" s="389">
        <f t="shared" si="31"/>
        <v>16388211.600000005</v>
      </c>
      <c r="AL69" s="389">
        <f t="shared" si="31"/>
        <v>10921294.800000001</v>
      </c>
      <c r="AM69" s="389">
        <f t="shared" si="31"/>
        <v>13372319.510000002</v>
      </c>
      <c r="AN69" s="389">
        <f t="shared" si="31"/>
        <v>21395711.216000006</v>
      </c>
      <c r="AO69" s="389">
        <f t="shared" si="31"/>
        <v>24070175.118000008</v>
      </c>
      <c r="AP69" s="389">
        <f t="shared" si="31"/>
        <v>24070175.118000008</v>
      </c>
      <c r="AQ69" s="389">
        <f t="shared" si="31"/>
        <v>24070175.118000008</v>
      </c>
      <c r="AR69" s="389">
        <f t="shared" si="31"/>
        <v>24070175.118000008</v>
      </c>
      <c r="AS69" s="389">
        <f t="shared" si="31"/>
        <v>24070175.118000008</v>
      </c>
      <c r="AT69" s="389">
        <f t="shared" si="31"/>
        <v>24070175.118000008</v>
      </c>
      <c r="AU69" s="389">
        <f t="shared" si="31"/>
        <v>24070175.118000008</v>
      </c>
      <c r="AV69" s="389">
        <f t="shared" si="31"/>
        <v>24070175.118000008</v>
      </c>
      <c r="AW69" s="389">
        <f t="shared" si="31"/>
        <v>24070175.118000008</v>
      </c>
      <c r="AX69" s="389">
        <f t="shared" si="31"/>
        <v>16046783.412000004</v>
      </c>
      <c r="AY69" s="389">
        <f t="shared" si="31"/>
        <v>11303087.310000002</v>
      </c>
      <c r="AZ69" s="389">
        <f t="shared" si="31"/>
        <v>18087287.170000006</v>
      </c>
      <c r="BA69" s="389">
        <f t="shared" si="31"/>
        <v>20340862.210000005</v>
      </c>
      <c r="BB69" s="389">
        <f t="shared" si="31"/>
        <v>20340862.210000005</v>
      </c>
      <c r="BC69" s="389">
        <f t="shared" si="31"/>
        <v>20340862.210000005</v>
      </c>
      <c r="BD69" s="389">
        <f t="shared" si="31"/>
        <v>20340862.210000005</v>
      </c>
      <c r="BE69" s="389">
        <f t="shared" si="31"/>
        <v>20340862.210000005</v>
      </c>
      <c r="BF69" s="389">
        <f t="shared" si="31"/>
        <v>20340862.210000005</v>
      </c>
      <c r="BG69" s="389">
        <f t="shared" si="31"/>
        <v>20340862.210000005</v>
      </c>
      <c r="BH69" s="389">
        <f t="shared" si="31"/>
        <v>20340862.210000005</v>
      </c>
      <c r="BI69" s="389">
        <f t="shared" si="31"/>
        <v>20340862.210000005</v>
      </c>
      <c r="BJ69" s="389">
        <f t="shared" si="31"/>
        <v>13568399.720000004</v>
      </c>
      <c r="BK69" s="391">
        <f>SUM(C69:BJ69)</f>
        <v>743630177.89000058</v>
      </c>
    </row>
    <row r="70" spans="1:63" s="14" customFormat="1" outlineLevel="1" x14ac:dyDescent="0.15">
      <c r="A70" s="73" t="s">
        <v>316</v>
      </c>
      <c r="C70" s="100">
        <f t="shared" ref="C70:AH70" si="32">IF(C69&gt;0,(C69/C56),0)</f>
        <v>0</v>
      </c>
      <c r="D70" s="100">
        <f t="shared" si="32"/>
        <v>0</v>
      </c>
      <c r="E70" s="100">
        <f t="shared" si="32"/>
        <v>0</v>
      </c>
      <c r="F70" s="100">
        <f t="shared" si="32"/>
        <v>0</v>
      </c>
      <c r="G70" s="100">
        <f t="shared" si="32"/>
        <v>0</v>
      </c>
      <c r="H70" s="100">
        <f t="shared" si="32"/>
        <v>0.49090909090909091</v>
      </c>
      <c r="I70" s="100">
        <f t="shared" si="32"/>
        <v>0.49090909090909091</v>
      </c>
      <c r="J70" s="100">
        <f t="shared" si="32"/>
        <v>0.49090909090909091</v>
      </c>
      <c r="K70" s="100">
        <f t="shared" si="32"/>
        <v>0.49090909090909091</v>
      </c>
      <c r="L70" s="100">
        <f t="shared" si="32"/>
        <v>0.49090909090909091</v>
      </c>
      <c r="M70" s="100">
        <f t="shared" si="32"/>
        <v>0.49090909090909091</v>
      </c>
      <c r="N70" s="100">
        <f t="shared" si="32"/>
        <v>0.49090909090909091</v>
      </c>
      <c r="O70" s="100">
        <f t="shared" si="32"/>
        <v>0.49447748513169076</v>
      </c>
      <c r="P70" s="100">
        <f t="shared" si="32"/>
        <v>0.49447748513169076</v>
      </c>
      <c r="Q70" s="100">
        <f t="shared" si="32"/>
        <v>0.49447748513169076</v>
      </c>
      <c r="R70" s="100">
        <f t="shared" si="32"/>
        <v>0.49447748513169076</v>
      </c>
      <c r="S70" s="100">
        <f t="shared" si="32"/>
        <v>0.49447748513169076</v>
      </c>
      <c r="T70" s="100">
        <f t="shared" si="32"/>
        <v>0.49447748513169076</v>
      </c>
      <c r="U70" s="100">
        <f t="shared" si="32"/>
        <v>0.49447748513169076</v>
      </c>
      <c r="V70" s="100">
        <f t="shared" si="32"/>
        <v>0.49447748513169076</v>
      </c>
      <c r="W70" s="100">
        <f t="shared" si="32"/>
        <v>0.49447748513169076</v>
      </c>
      <c r="X70" s="100">
        <f t="shared" si="32"/>
        <v>0.49447748513169076</v>
      </c>
      <c r="Y70" s="100">
        <f t="shared" si="32"/>
        <v>0.49447748513169076</v>
      </c>
      <c r="Z70" s="100">
        <f t="shared" si="32"/>
        <v>0.49447748513169076</v>
      </c>
      <c r="AA70" s="100">
        <f t="shared" si="32"/>
        <v>0.49781243300327938</v>
      </c>
      <c r="AB70" s="100">
        <f t="shared" si="32"/>
        <v>0.49781243300327943</v>
      </c>
      <c r="AC70" s="100">
        <f t="shared" si="32"/>
        <v>0.49781243300327943</v>
      </c>
      <c r="AD70" s="100">
        <f t="shared" si="32"/>
        <v>0.49781243300327943</v>
      </c>
      <c r="AE70" s="100">
        <f t="shared" si="32"/>
        <v>0.49781243300327943</v>
      </c>
      <c r="AF70" s="100">
        <f t="shared" si="32"/>
        <v>0.49781243300327943</v>
      </c>
      <c r="AG70" s="100">
        <f t="shared" si="32"/>
        <v>0.49781243300327943</v>
      </c>
      <c r="AH70" s="100">
        <f t="shared" si="32"/>
        <v>0.49781243300327943</v>
      </c>
      <c r="AI70" s="100">
        <f t="shared" ref="AI70:BN70" si="33">IF(AI69&gt;0,(AI69/AI56),0)</f>
        <v>0.49781243300327943</v>
      </c>
      <c r="AJ70" s="100">
        <f t="shared" si="33"/>
        <v>0.49781243300327943</v>
      </c>
      <c r="AK70" s="100">
        <f t="shared" si="33"/>
        <v>0.49781243300327943</v>
      </c>
      <c r="AL70" s="100">
        <f t="shared" si="33"/>
        <v>0.49781243300327938</v>
      </c>
      <c r="AM70" s="100">
        <f t="shared" si="33"/>
        <v>0.53066582523670969</v>
      </c>
      <c r="AN70" s="100">
        <f t="shared" si="33"/>
        <v>0.5306658252367098</v>
      </c>
      <c r="AO70" s="100">
        <f t="shared" si="33"/>
        <v>0.5306658252367098</v>
      </c>
      <c r="AP70" s="100">
        <f t="shared" si="33"/>
        <v>0.5306658252367098</v>
      </c>
      <c r="AQ70" s="100">
        <f t="shared" si="33"/>
        <v>0.5306658252367098</v>
      </c>
      <c r="AR70" s="100">
        <f t="shared" si="33"/>
        <v>0.5306658252367098</v>
      </c>
      <c r="AS70" s="100">
        <f t="shared" si="33"/>
        <v>0.5306658252367098</v>
      </c>
      <c r="AT70" s="100">
        <f t="shared" si="33"/>
        <v>0.5306658252367098</v>
      </c>
      <c r="AU70" s="100">
        <f t="shared" si="33"/>
        <v>0.5306658252367098</v>
      </c>
      <c r="AV70" s="100">
        <f t="shared" si="33"/>
        <v>0.5306658252367098</v>
      </c>
      <c r="AW70" s="100">
        <f t="shared" si="33"/>
        <v>0.5306658252367098</v>
      </c>
      <c r="AX70" s="100">
        <f t="shared" si="33"/>
        <v>0.5306658252367098</v>
      </c>
      <c r="AY70" s="100">
        <f t="shared" si="33"/>
        <v>0.46599425118509763</v>
      </c>
      <c r="AZ70" s="100">
        <f t="shared" si="33"/>
        <v>0.46599425118509763</v>
      </c>
      <c r="BA70" s="100">
        <f t="shared" si="33"/>
        <v>0.46599425118509757</v>
      </c>
      <c r="BB70" s="100">
        <f t="shared" si="33"/>
        <v>0.46599425118509757</v>
      </c>
      <c r="BC70" s="100">
        <f t="shared" si="33"/>
        <v>0.46599425118509757</v>
      </c>
      <c r="BD70" s="100">
        <f t="shared" si="33"/>
        <v>0.46599425118509757</v>
      </c>
      <c r="BE70" s="100">
        <f t="shared" si="33"/>
        <v>0.46599425118509757</v>
      </c>
      <c r="BF70" s="100">
        <f t="shared" si="33"/>
        <v>0.46599425118509757</v>
      </c>
      <c r="BG70" s="100">
        <f t="shared" si="33"/>
        <v>0.46599425118509757</v>
      </c>
      <c r="BH70" s="100">
        <f t="shared" si="33"/>
        <v>0.46599425118509757</v>
      </c>
      <c r="BI70" s="100">
        <f t="shared" si="33"/>
        <v>0.46599425118509757</v>
      </c>
      <c r="BJ70" s="100">
        <f t="shared" si="33"/>
        <v>0.46599425118509763</v>
      </c>
      <c r="BK70" s="119"/>
    </row>
    <row r="71" spans="1:63" outlineLevel="1" x14ac:dyDescent="0.15"/>
    <row r="72" spans="1:63" outlineLevel="1" x14ac:dyDescent="0.15">
      <c r="A72" s="16" t="s">
        <v>1197</v>
      </c>
    </row>
    <row r="73" spans="1:63" outlineLevel="1" x14ac:dyDescent="0.15">
      <c r="A73" s="16"/>
    </row>
    <row r="74" spans="1:63" outlineLevel="1" x14ac:dyDescent="0.15">
      <c r="A74" s="47" t="str">
        <f>A35</f>
        <v>% Aceptación Domicilio</v>
      </c>
      <c r="C74" s="98">
        <f>'COGS-PRICE-MARGIN_CWS'!$B$48</f>
        <v>0.26</v>
      </c>
      <c r="D74" s="98">
        <f>'COGS-PRICE-MARGIN_CWS'!$B48</f>
        <v>0.26</v>
      </c>
      <c r="E74" s="98">
        <f>'COGS-PRICE-MARGIN_CWS'!$B48</f>
        <v>0.26</v>
      </c>
      <c r="F74" s="98">
        <f>'COGS-PRICE-MARGIN_CWS'!$B48</f>
        <v>0.26</v>
      </c>
      <c r="G74" s="98">
        <f>'COGS-PRICE-MARGIN_CWS'!$B48</f>
        <v>0.26</v>
      </c>
      <c r="H74" s="98">
        <f>'COGS-PRICE-MARGIN_CWS'!$B48</f>
        <v>0.26</v>
      </c>
      <c r="I74" s="98">
        <f>'COGS-PRICE-MARGIN_CWS'!$B48</f>
        <v>0.26</v>
      </c>
      <c r="J74" s="98">
        <f>'COGS-PRICE-MARGIN_CWS'!$B48</f>
        <v>0.26</v>
      </c>
      <c r="K74" s="98">
        <f>'COGS-PRICE-MARGIN_CWS'!$B48</f>
        <v>0.26</v>
      </c>
      <c r="L74" s="98">
        <f>'COGS-PRICE-MARGIN_CWS'!$B48</f>
        <v>0.26</v>
      </c>
      <c r="M74" s="98">
        <f>'COGS-PRICE-MARGIN_CWS'!$B48</f>
        <v>0.26</v>
      </c>
      <c r="N74" s="98">
        <f>'COGS-PRICE-MARGIN_CWS'!$B48</f>
        <v>0.26</v>
      </c>
      <c r="O74" s="98">
        <f>'COGS-PRICE-MARGIN_CWS'!$B98</f>
        <v>0.25</v>
      </c>
      <c r="P74" s="98">
        <f>'COGS-PRICE-MARGIN_CWS'!$B98</f>
        <v>0.25</v>
      </c>
      <c r="Q74" s="98">
        <f>'COGS-PRICE-MARGIN_CWS'!$B98</f>
        <v>0.25</v>
      </c>
      <c r="R74" s="98">
        <f>'COGS-PRICE-MARGIN_CWS'!$B98</f>
        <v>0.25</v>
      </c>
      <c r="S74" s="98">
        <f>'COGS-PRICE-MARGIN_CWS'!$B98</f>
        <v>0.25</v>
      </c>
      <c r="T74" s="98">
        <f>'COGS-PRICE-MARGIN_CWS'!$B98</f>
        <v>0.25</v>
      </c>
      <c r="U74" s="98">
        <f>'COGS-PRICE-MARGIN_CWS'!$B98</f>
        <v>0.25</v>
      </c>
      <c r="V74" s="98">
        <f>'COGS-PRICE-MARGIN_CWS'!$B98</f>
        <v>0.25</v>
      </c>
      <c r="W74" s="98">
        <f>'COGS-PRICE-MARGIN_CWS'!$B98</f>
        <v>0.25</v>
      </c>
      <c r="X74" s="98">
        <f>'COGS-PRICE-MARGIN_CWS'!$B98</f>
        <v>0.25</v>
      </c>
      <c r="Y74" s="98">
        <f>'COGS-PRICE-MARGIN_CWS'!$B98</f>
        <v>0.25</v>
      </c>
      <c r="Z74" s="98">
        <f>'COGS-PRICE-MARGIN_CWS'!$B98</f>
        <v>0.25</v>
      </c>
      <c r="AA74" s="98">
        <f>'COGS-PRICE-MARGIN_CWS'!$B148</f>
        <v>0.3</v>
      </c>
      <c r="AB74" s="98">
        <f>'COGS-PRICE-MARGIN_CWS'!$B148</f>
        <v>0.3</v>
      </c>
      <c r="AC74" s="98">
        <f>'COGS-PRICE-MARGIN_CWS'!$B148</f>
        <v>0.3</v>
      </c>
      <c r="AD74" s="98">
        <f>'COGS-PRICE-MARGIN_CWS'!$B148</f>
        <v>0.3</v>
      </c>
      <c r="AE74" s="98">
        <f>'COGS-PRICE-MARGIN_CWS'!$B148</f>
        <v>0.3</v>
      </c>
      <c r="AF74" s="98">
        <f>'COGS-PRICE-MARGIN_CWS'!$B148</f>
        <v>0.3</v>
      </c>
      <c r="AG74" s="98">
        <f>'COGS-PRICE-MARGIN_CWS'!$B148</f>
        <v>0.3</v>
      </c>
      <c r="AH74" s="98">
        <f>'COGS-PRICE-MARGIN_CWS'!$B148</f>
        <v>0.3</v>
      </c>
      <c r="AI74" s="98">
        <f>'COGS-PRICE-MARGIN_CWS'!$B148</f>
        <v>0.3</v>
      </c>
      <c r="AJ74" s="98">
        <f>'COGS-PRICE-MARGIN_CWS'!$B148</f>
        <v>0.3</v>
      </c>
      <c r="AK74" s="98">
        <f>'COGS-PRICE-MARGIN_CWS'!$B148</f>
        <v>0.3</v>
      </c>
      <c r="AL74" s="98">
        <f>'COGS-PRICE-MARGIN_CWS'!$B148</f>
        <v>0.3</v>
      </c>
      <c r="AM74" s="98">
        <f>'COGS-PRICE-MARGIN_CWS'!$B198</f>
        <v>0.3</v>
      </c>
      <c r="AN74" s="98">
        <f>'COGS-PRICE-MARGIN_CWS'!$B198</f>
        <v>0.3</v>
      </c>
      <c r="AO74" s="98">
        <f>'COGS-PRICE-MARGIN_CWS'!$B198</f>
        <v>0.3</v>
      </c>
      <c r="AP74" s="98">
        <f>'COGS-PRICE-MARGIN_CWS'!$B198</f>
        <v>0.3</v>
      </c>
      <c r="AQ74" s="98">
        <f>'COGS-PRICE-MARGIN_CWS'!$B198</f>
        <v>0.3</v>
      </c>
      <c r="AR74" s="98">
        <f>'COGS-PRICE-MARGIN_CWS'!$B198</f>
        <v>0.3</v>
      </c>
      <c r="AS74" s="98">
        <f>'COGS-PRICE-MARGIN_CWS'!$B198</f>
        <v>0.3</v>
      </c>
      <c r="AT74" s="98">
        <f>'COGS-PRICE-MARGIN_CWS'!$B198</f>
        <v>0.3</v>
      </c>
      <c r="AU74" s="98">
        <f>'COGS-PRICE-MARGIN_CWS'!$B198</f>
        <v>0.3</v>
      </c>
      <c r="AV74" s="98">
        <f>'COGS-PRICE-MARGIN_CWS'!$B198</f>
        <v>0.3</v>
      </c>
      <c r="AW74" s="98">
        <f>'COGS-PRICE-MARGIN_CWS'!$B198</f>
        <v>0.3</v>
      </c>
      <c r="AX74" s="98">
        <f>'COGS-PRICE-MARGIN_CWS'!$B198</f>
        <v>0.3</v>
      </c>
      <c r="AY74" s="98">
        <f>'COGS-PRICE-MARGIN_CWS'!$B248</f>
        <v>0.3</v>
      </c>
      <c r="AZ74" s="98">
        <f>'COGS-PRICE-MARGIN_CWS'!$B248</f>
        <v>0.3</v>
      </c>
      <c r="BA74" s="98">
        <f>'COGS-PRICE-MARGIN_CWS'!$B248</f>
        <v>0.3</v>
      </c>
      <c r="BB74" s="98">
        <f>'COGS-PRICE-MARGIN_CWS'!$B248</f>
        <v>0.3</v>
      </c>
      <c r="BC74" s="98">
        <f>'COGS-PRICE-MARGIN_CWS'!$B248</f>
        <v>0.3</v>
      </c>
      <c r="BD74" s="98">
        <f>'COGS-PRICE-MARGIN_CWS'!$B248</f>
        <v>0.3</v>
      </c>
      <c r="BE74" s="98">
        <f>'COGS-PRICE-MARGIN_CWS'!$B248</f>
        <v>0.3</v>
      </c>
      <c r="BF74" s="98">
        <f>'COGS-PRICE-MARGIN_CWS'!$B248</f>
        <v>0.3</v>
      </c>
      <c r="BG74" s="98">
        <f>'COGS-PRICE-MARGIN_CWS'!$B248</f>
        <v>0.3</v>
      </c>
      <c r="BH74" s="98">
        <f>'COGS-PRICE-MARGIN_CWS'!$B248</f>
        <v>0.3</v>
      </c>
      <c r="BI74" s="98">
        <f>'COGS-PRICE-MARGIN_CWS'!$B248</f>
        <v>0.3</v>
      </c>
      <c r="BJ74" s="98">
        <f>'COGS-PRICE-MARGIN_CWS'!$B248</f>
        <v>0.3</v>
      </c>
    </row>
    <row r="75" spans="1:63" s="102" customFormat="1" outlineLevel="1" x14ac:dyDescent="0.15">
      <c r="A75" s="298" t="str">
        <f xml:space="preserve"> 'COGS-PRICE-MARGIN_CWS'!$A$36 &amp; " Units"</f>
        <v>Local Services Units</v>
      </c>
      <c r="C75" s="169">
        <f t="shared" ref="C75:AH75" si="34">C52-C76</f>
        <v>0</v>
      </c>
      <c r="D75" s="169">
        <f t="shared" si="34"/>
        <v>0</v>
      </c>
      <c r="E75" s="169">
        <f t="shared" si="34"/>
        <v>0</v>
      </c>
      <c r="F75" s="169">
        <f t="shared" si="34"/>
        <v>0</v>
      </c>
      <c r="G75" s="169">
        <f t="shared" si="34"/>
        <v>0</v>
      </c>
      <c r="H75" s="169">
        <f t="shared" si="34"/>
        <v>51</v>
      </c>
      <c r="I75" s="169">
        <f t="shared" si="34"/>
        <v>63</v>
      </c>
      <c r="J75" s="169">
        <f t="shared" si="34"/>
        <v>76</v>
      </c>
      <c r="K75" s="169">
        <f t="shared" si="34"/>
        <v>88</v>
      </c>
      <c r="L75" s="169">
        <f t="shared" si="34"/>
        <v>101</v>
      </c>
      <c r="M75" s="169">
        <f t="shared" si="34"/>
        <v>113</v>
      </c>
      <c r="N75" s="169">
        <f t="shared" si="34"/>
        <v>101</v>
      </c>
      <c r="O75" s="102">
        <f t="shared" si="34"/>
        <v>191</v>
      </c>
      <c r="P75" s="102">
        <f t="shared" si="34"/>
        <v>306</v>
      </c>
      <c r="Q75" s="102">
        <f t="shared" si="34"/>
        <v>344</v>
      </c>
      <c r="R75" s="102">
        <f t="shared" si="34"/>
        <v>344</v>
      </c>
      <c r="S75" s="102">
        <f t="shared" si="34"/>
        <v>344</v>
      </c>
      <c r="T75" s="102">
        <f t="shared" si="34"/>
        <v>344</v>
      </c>
      <c r="U75" s="102">
        <f t="shared" si="34"/>
        <v>344</v>
      </c>
      <c r="V75" s="102">
        <f t="shared" si="34"/>
        <v>344</v>
      </c>
      <c r="W75" s="102">
        <f t="shared" si="34"/>
        <v>344</v>
      </c>
      <c r="X75" s="102">
        <f t="shared" si="34"/>
        <v>344</v>
      </c>
      <c r="Y75" s="102">
        <f t="shared" si="34"/>
        <v>344</v>
      </c>
      <c r="Z75" s="102">
        <f t="shared" si="34"/>
        <v>229</v>
      </c>
      <c r="AA75" s="102">
        <f t="shared" si="34"/>
        <v>508</v>
      </c>
      <c r="AB75" s="102">
        <f t="shared" si="34"/>
        <v>813</v>
      </c>
      <c r="AC75" s="102">
        <f t="shared" si="34"/>
        <v>914</v>
      </c>
      <c r="AD75" s="102">
        <f t="shared" si="34"/>
        <v>914</v>
      </c>
      <c r="AE75" s="102">
        <f t="shared" si="34"/>
        <v>914</v>
      </c>
      <c r="AF75" s="102">
        <f t="shared" si="34"/>
        <v>914</v>
      </c>
      <c r="AG75" s="102">
        <f t="shared" si="34"/>
        <v>914</v>
      </c>
      <c r="AH75" s="102">
        <f t="shared" si="34"/>
        <v>914</v>
      </c>
      <c r="AI75" s="102">
        <f t="shared" ref="AI75:BN75" si="35">AI52-AI76</f>
        <v>914</v>
      </c>
      <c r="AJ75" s="102">
        <f t="shared" si="35"/>
        <v>914</v>
      </c>
      <c r="AK75" s="102">
        <f t="shared" si="35"/>
        <v>914</v>
      </c>
      <c r="AL75" s="102">
        <f t="shared" si="35"/>
        <v>609</v>
      </c>
      <c r="AM75" s="102">
        <f t="shared" si="35"/>
        <v>654</v>
      </c>
      <c r="AN75" s="102">
        <f t="shared" si="35"/>
        <v>1047</v>
      </c>
      <c r="AO75" s="102">
        <f t="shared" si="35"/>
        <v>1178</v>
      </c>
      <c r="AP75" s="102">
        <f t="shared" si="35"/>
        <v>1178</v>
      </c>
      <c r="AQ75" s="102">
        <f t="shared" si="35"/>
        <v>1178</v>
      </c>
      <c r="AR75" s="102">
        <f t="shared" si="35"/>
        <v>1178</v>
      </c>
      <c r="AS75" s="102">
        <f t="shared" si="35"/>
        <v>1178</v>
      </c>
      <c r="AT75" s="102">
        <f t="shared" si="35"/>
        <v>1178</v>
      </c>
      <c r="AU75" s="102">
        <f t="shared" si="35"/>
        <v>1178</v>
      </c>
      <c r="AV75" s="102">
        <f t="shared" si="35"/>
        <v>1178</v>
      </c>
      <c r="AW75" s="102">
        <f t="shared" si="35"/>
        <v>1178</v>
      </c>
      <c r="AX75" s="102">
        <f t="shared" si="35"/>
        <v>785</v>
      </c>
      <c r="AY75" s="102">
        <f t="shared" si="35"/>
        <v>674</v>
      </c>
      <c r="AZ75" s="102">
        <f t="shared" si="35"/>
        <v>1078</v>
      </c>
      <c r="BA75" s="102">
        <f t="shared" si="35"/>
        <v>1213</v>
      </c>
      <c r="BB75" s="102">
        <f t="shared" si="35"/>
        <v>1213</v>
      </c>
      <c r="BC75" s="102">
        <f t="shared" si="35"/>
        <v>1213</v>
      </c>
      <c r="BD75" s="102">
        <f t="shared" si="35"/>
        <v>1213</v>
      </c>
      <c r="BE75" s="102">
        <f t="shared" si="35"/>
        <v>1213</v>
      </c>
      <c r="BF75" s="102">
        <f t="shared" si="35"/>
        <v>1213</v>
      </c>
      <c r="BG75" s="102">
        <f t="shared" si="35"/>
        <v>1213</v>
      </c>
      <c r="BH75" s="102">
        <f t="shared" si="35"/>
        <v>1213</v>
      </c>
      <c r="BI75" s="102">
        <f t="shared" si="35"/>
        <v>1213</v>
      </c>
      <c r="BJ75" s="102">
        <f t="shared" si="35"/>
        <v>809</v>
      </c>
      <c r="BK75" s="103">
        <f>SUM(C75:BJ75)</f>
        <v>41137</v>
      </c>
    </row>
    <row r="76" spans="1:63" s="102" customFormat="1" outlineLevel="1" x14ac:dyDescent="0.15">
      <c r="A76" s="298" t="str">
        <f xml:space="preserve"> 'COGS-PRICE-MARGIN_CWS'!$A$44 &amp; " Units"</f>
        <v>Domicilio Services Units</v>
      </c>
      <c r="C76" s="169">
        <f t="shared" ref="C76:AH76" si="36">ROUNDUP(+C52*C74,0)</f>
        <v>0</v>
      </c>
      <c r="D76" s="169">
        <f t="shared" si="36"/>
        <v>0</v>
      </c>
      <c r="E76" s="169">
        <f t="shared" si="36"/>
        <v>0</v>
      </c>
      <c r="F76" s="169">
        <f t="shared" si="36"/>
        <v>0</v>
      </c>
      <c r="G76" s="169">
        <f t="shared" si="36"/>
        <v>0</v>
      </c>
      <c r="H76" s="169">
        <f t="shared" si="36"/>
        <v>18</v>
      </c>
      <c r="I76" s="169">
        <f t="shared" si="36"/>
        <v>23</v>
      </c>
      <c r="J76" s="169">
        <f t="shared" si="36"/>
        <v>27</v>
      </c>
      <c r="K76" s="169">
        <f t="shared" si="36"/>
        <v>32</v>
      </c>
      <c r="L76" s="169">
        <f t="shared" si="36"/>
        <v>36</v>
      </c>
      <c r="M76" s="169">
        <f t="shared" si="36"/>
        <v>41</v>
      </c>
      <c r="N76" s="169">
        <f t="shared" si="36"/>
        <v>36</v>
      </c>
      <c r="O76" s="102">
        <f t="shared" si="36"/>
        <v>64</v>
      </c>
      <c r="P76" s="102">
        <f t="shared" si="36"/>
        <v>102</v>
      </c>
      <c r="Q76" s="102">
        <f t="shared" si="36"/>
        <v>115</v>
      </c>
      <c r="R76" s="102">
        <f t="shared" si="36"/>
        <v>115</v>
      </c>
      <c r="S76" s="102">
        <f t="shared" si="36"/>
        <v>115</v>
      </c>
      <c r="T76" s="102">
        <f t="shared" si="36"/>
        <v>115</v>
      </c>
      <c r="U76" s="102">
        <f t="shared" si="36"/>
        <v>115</v>
      </c>
      <c r="V76" s="102">
        <f t="shared" si="36"/>
        <v>115</v>
      </c>
      <c r="W76" s="102">
        <f t="shared" si="36"/>
        <v>115</v>
      </c>
      <c r="X76" s="102">
        <f t="shared" si="36"/>
        <v>115</v>
      </c>
      <c r="Y76" s="102">
        <f t="shared" si="36"/>
        <v>115</v>
      </c>
      <c r="Z76" s="102">
        <f t="shared" si="36"/>
        <v>77</v>
      </c>
      <c r="AA76" s="102">
        <f t="shared" si="36"/>
        <v>218</v>
      </c>
      <c r="AB76" s="102">
        <f t="shared" si="36"/>
        <v>349</v>
      </c>
      <c r="AC76" s="102">
        <f t="shared" si="36"/>
        <v>393</v>
      </c>
      <c r="AD76" s="102">
        <f t="shared" si="36"/>
        <v>393</v>
      </c>
      <c r="AE76" s="102">
        <f t="shared" si="36"/>
        <v>393</v>
      </c>
      <c r="AF76" s="102">
        <f t="shared" si="36"/>
        <v>393</v>
      </c>
      <c r="AG76" s="102">
        <f t="shared" si="36"/>
        <v>393</v>
      </c>
      <c r="AH76" s="102">
        <f t="shared" si="36"/>
        <v>393</v>
      </c>
      <c r="AI76" s="102">
        <f t="shared" ref="AI76:BJ76" si="37">ROUNDUP(+AI52*AI74,0)</f>
        <v>393</v>
      </c>
      <c r="AJ76" s="102">
        <f t="shared" si="37"/>
        <v>393</v>
      </c>
      <c r="AK76" s="102">
        <f t="shared" si="37"/>
        <v>393</v>
      </c>
      <c r="AL76" s="102">
        <f t="shared" si="37"/>
        <v>262</v>
      </c>
      <c r="AM76" s="102">
        <f t="shared" si="37"/>
        <v>281</v>
      </c>
      <c r="AN76" s="102">
        <f t="shared" si="37"/>
        <v>449</v>
      </c>
      <c r="AO76" s="102">
        <f t="shared" si="37"/>
        <v>505</v>
      </c>
      <c r="AP76" s="102">
        <f t="shared" si="37"/>
        <v>505</v>
      </c>
      <c r="AQ76" s="102">
        <f t="shared" si="37"/>
        <v>505</v>
      </c>
      <c r="AR76" s="102">
        <f t="shared" si="37"/>
        <v>505</v>
      </c>
      <c r="AS76" s="102">
        <f t="shared" si="37"/>
        <v>505</v>
      </c>
      <c r="AT76" s="102">
        <f t="shared" si="37"/>
        <v>505</v>
      </c>
      <c r="AU76" s="102">
        <f t="shared" si="37"/>
        <v>505</v>
      </c>
      <c r="AV76" s="102">
        <f t="shared" si="37"/>
        <v>505</v>
      </c>
      <c r="AW76" s="102">
        <f t="shared" si="37"/>
        <v>505</v>
      </c>
      <c r="AX76" s="102">
        <f t="shared" si="37"/>
        <v>337</v>
      </c>
      <c r="AY76" s="102">
        <f t="shared" si="37"/>
        <v>289</v>
      </c>
      <c r="AZ76" s="102">
        <f t="shared" si="37"/>
        <v>463</v>
      </c>
      <c r="BA76" s="102">
        <f t="shared" si="37"/>
        <v>520</v>
      </c>
      <c r="BB76" s="102">
        <f t="shared" si="37"/>
        <v>520</v>
      </c>
      <c r="BC76" s="102">
        <f t="shared" si="37"/>
        <v>520</v>
      </c>
      <c r="BD76" s="102">
        <f t="shared" si="37"/>
        <v>520</v>
      </c>
      <c r="BE76" s="102">
        <f t="shared" si="37"/>
        <v>520</v>
      </c>
      <c r="BF76" s="102">
        <f t="shared" si="37"/>
        <v>520</v>
      </c>
      <c r="BG76" s="102">
        <f t="shared" si="37"/>
        <v>520</v>
      </c>
      <c r="BH76" s="102">
        <f t="shared" si="37"/>
        <v>520</v>
      </c>
      <c r="BI76" s="102">
        <f t="shared" si="37"/>
        <v>520</v>
      </c>
      <c r="BJ76" s="102">
        <f t="shared" si="37"/>
        <v>347</v>
      </c>
      <c r="BK76" s="103">
        <f>SUM(C76:BJ76)</f>
        <v>17248</v>
      </c>
    </row>
    <row r="77" spans="1:63" outlineLevel="1" x14ac:dyDescent="0.15">
      <c r="A77" s="47"/>
      <c r="C77" s="169"/>
    </row>
    <row r="78" spans="1:63" outlineLevel="1" x14ac:dyDescent="0.15">
      <c r="A78" s="14" t="str">
        <f>"Ingreso " &amp; A75</f>
        <v>Ingreso Local Services Units</v>
      </c>
    </row>
    <row r="79" spans="1:63" outlineLevel="1" x14ac:dyDescent="0.15">
      <c r="A79" s="47" t="str">
        <f>'COGS-PRICE-MARGIN_CWS'!A37</f>
        <v>Servicio</v>
      </c>
      <c r="C79" s="169">
        <f>'COGS-PRICE-MARGIN_CWS'!$B40*C75</f>
        <v>0</v>
      </c>
      <c r="D79" s="169">
        <f>'COGS-PRICE-MARGIN_CWS'!$B40*D75</f>
        <v>0</v>
      </c>
      <c r="E79" s="169">
        <f>'COGS-PRICE-MARGIN_CWS'!$B40*E75</f>
        <v>0</v>
      </c>
      <c r="F79" s="169">
        <f>'COGS-PRICE-MARGIN_CWS'!$B40*F75</f>
        <v>0</v>
      </c>
      <c r="G79" s="169">
        <f>'COGS-PRICE-MARGIN_CWS'!$B40*G75</f>
        <v>0</v>
      </c>
      <c r="H79" s="169">
        <f>'COGS-PRICE-MARGIN_CWS'!$B40*H75</f>
        <v>0</v>
      </c>
      <c r="I79" s="169">
        <f>'COGS-PRICE-MARGIN_CWS'!$B40*I75</f>
        <v>0</v>
      </c>
      <c r="J79" s="169">
        <f>'COGS-PRICE-MARGIN_CWS'!$B40*J75</f>
        <v>0</v>
      </c>
      <c r="K79" s="169">
        <f>'COGS-PRICE-MARGIN_CWS'!$B40*K75</f>
        <v>0</v>
      </c>
      <c r="L79" s="169">
        <f>'COGS-PRICE-MARGIN_CWS'!$B40*L75</f>
        <v>0</v>
      </c>
      <c r="M79" s="169">
        <f>'COGS-PRICE-MARGIN_CWS'!$B40*M75</f>
        <v>0</v>
      </c>
      <c r="N79" s="169">
        <f>'COGS-PRICE-MARGIN_CWS'!$B40*N75</f>
        <v>0</v>
      </c>
      <c r="O79" s="169">
        <f>'COGS-PRICE-MARGIN_CWS'!$B87*O75</f>
        <v>0</v>
      </c>
      <c r="P79" s="169">
        <f>'COGS-PRICE-MARGIN_CWS'!$B87*P75</f>
        <v>0</v>
      </c>
      <c r="Q79" s="169">
        <f>'COGS-PRICE-MARGIN_CWS'!$B87*Q75</f>
        <v>0</v>
      </c>
      <c r="R79" s="169">
        <f>'COGS-PRICE-MARGIN_CWS'!$B87*R75</f>
        <v>0</v>
      </c>
      <c r="S79" s="169">
        <f>'COGS-PRICE-MARGIN_CWS'!$B87*S75</f>
        <v>0</v>
      </c>
      <c r="T79" s="169">
        <f>'COGS-PRICE-MARGIN_CWS'!$B87*T75</f>
        <v>0</v>
      </c>
      <c r="U79" s="169">
        <f>'COGS-PRICE-MARGIN_CWS'!$B87*U75</f>
        <v>0</v>
      </c>
      <c r="V79" s="169">
        <f>'COGS-PRICE-MARGIN_CWS'!$B87*V75</f>
        <v>0</v>
      </c>
      <c r="W79" s="169">
        <f>'COGS-PRICE-MARGIN_CWS'!$B87*W75</f>
        <v>0</v>
      </c>
      <c r="X79" s="169">
        <f>'COGS-PRICE-MARGIN_CWS'!$B87*X75</f>
        <v>0</v>
      </c>
      <c r="Y79" s="169">
        <f>'COGS-PRICE-MARGIN_CWS'!$B87*Y75</f>
        <v>0</v>
      </c>
      <c r="Z79" s="169">
        <f>'COGS-PRICE-MARGIN_CWS'!$B87*Z75</f>
        <v>0</v>
      </c>
      <c r="AA79" s="90">
        <f>'COGS-PRICE-MARGIN_CWS'!$B137*AA75</f>
        <v>0</v>
      </c>
      <c r="AB79" s="90">
        <f>'COGS-PRICE-MARGIN_CWS'!$B137*AB75</f>
        <v>0</v>
      </c>
      <c r="AC79" s="90">
        <f>'COGS-PRICE-MARGIN_CWS'!$B137*AC75</f>
        <v>0</v>
      </c>
      <c r="AD79" s="90">
        <f>'COGS-PRICE-MARGIN_CWS'!$B137*AD75</f>
        <v>0</v>
      </c>
      <c r="AE79" s="90">
        <f>'COGS-PRICE-MARGIN_CWS'!$B137*AE75</f>
        <v>0</v>
      </c>
      <c r="AF79" s="90">
        <f>'COGS-PRICE-MARGIN_CWS'!$B137*AF75</f>
        <v>0</v>
      </c>
      <c r="AG79" s="90">
        <f>'COGS-PRICE-MARGIN_CWS'!$B137*AG75</f>
        <v>0</v>
      </c>
      <c r="AH79" s="90">
        <f>'COGS-PRICE-MARGIN_CWS'!$B137*AH75</f>
        <v>0</v>
      </c>
      <c r="AI79" s="90">
        <f>'COGS-PRICE-MARGIN_CWS'!$B137*AI75</f>
        <v>0</v>
      </c>
      <c r="AJ79" s="90">
        <f>'COGS-PRICE-MARGIN_CWS'!$B137*AJ75</f>
        <v>0</v>
      </c>
      <c r="AK79" s="90">
        <f>'COGS-PRICE-MARGIN_CWS'!$B137*AK75</f>
        <v>0</v>
      </c>
      <c r="AL79" s="90">
        <f>'COGS-PRICE-MARGIN_CWS'!$B137*AL75</f>
        <v>0</v>
      </c>
      <c r="AM79" s="90">
        <f>'COGS-PRICE-MARGIN_CWS'!$B187*AM75</f>
        <v>0</v>
      </c>
      <c r="AN79" s="90">
        <f>'COGS-PRICE-MARGIN_CWS'!$B187*AN75</f>
        <v>0</v>
      </c>
      <c r="AO79" s="90">
        <f>'COGS-PRICE-MARGIN_CWS'!$B187*AO75</f>
        <v>0</v>
      </c>
      <c r="AP79" s="90">
        <f>'COGS-PRICE-MARGIN_CWS'!$B187*AP75</f>
        <v>0</v>
      </c>
      <c r="AQ79" s="90">
        <f>'COGS-PRICE-MARGIN_CWS'!$B187*AQ75</f>
        <v>0</v>
      </c>
      <c r="AR79" s="90">
        <f>'COGS-PRICE-MARGIN_CWS'!$B187*AR75</f>
        <v>0</v>
      </c>
      <c r="AS79" s="90">
        <f>'COGS-PRICE-MARGIN_CWS'!$B187*AS75</f>
        <v>0</v>
      </c>
      <c r="AT79" s="90">
        <f>'COGS-PRICE-MARGIN_CWS'!$B187*AT75</f>
        <v>0</v>
      </c>
      <c r="AU79" s="90">
        <f>'COGS-PRICE-MARGIN_CWS'!$B187*AU75</f>
        <v>0</v>
      </c>
      <c r="AV79" s="90">
        <f>'COGS-PRICE-MARGIN_CWS'!$B187*AV75</f>
        <v>0</v>
      </c>
      <c r="AW79" s="90">
        <f>'COGS-PRICE-MARGIN_CWS'!$B187*AW75</f>
        <v>0</v>
      </c>
      <c r="AX79" s="90">
        <f>'COGS-PRICE-MARGIN_CWS'!$B187*AX75</f>
        <v>0</v>
      </c>
      <c r="AY79" s="90">
        <f>'COGS-PRICE-MARGIN_CWS'!$B237*AY75</f>
        <v>0</v>
      </c>
      <c r="AZ79" s="90">
        <f>'COGS-PRICE-MARGIN_CWS'!$B237*AZ75</f>
        <v>0</v>
      </c>
      <c r="BA79" s="90">
        <f>'COGS-PRICE-MARGIN_CWS'!$B237*BA75</f>
        <v>0</v>
      </c>
      <c r="BB79" s="90">
        <f>'COGS-PRICE-MARGIN_CWS'!$B237*BB75</f>
        <v>0</v>
      </c>
      <c r="BC79" s="90">
        <f>'COGS-PRICE-MARGIN_CWS'!$B237*BC75</f>
        <v>0</v>
      </c>
      <c r="BD79" s="90">
        <f>'COGS-PRICE-MARGIN_CWS'!$B237*BD75</f>
        <v>0</v>
      </c>
      <c r="BE79" s="90">
        <f>'COGS-PRICE-MARGIN_CWS'!$B237*BE75</f>
        <v>0</v>
      </c>
      <c r="BF79" s="90">
        <f>'COGS-PRICE-MARGIN_CWS'!$B237*BF75</f>
        <v>0</v>
      </c>
      <c r="BG79" s="90">
        <f>'COGS-PRICE-MARGIN_CWS'!$B237*BG75</f>
        <v>0</v>
      </c>
      <c r="BH79" s="90">
        <f>'COGS-PRICE-MARGIN_CWS'!$B237*BH75</f>
        <v>0</v>
      </c>
      <c r="BI79" s="90">
        <f>'COGS-PRICE-MARGIN_CWS'!$B237*BI75</f>
        <v>0</v>
      </c>
      <c r="BJ79" s="90">
        <f>'COGS-PRICE-MARGIN_CWS'!$B237*BJ75</f>
        <v>0</v>
      </c>
      <c r="BK79" s="118">
        <f>SUM(C79:BJ79)</f>
        <v>0</v>
      </c>
    </row>
    <row r="80" spans="1:63" outlineLevel="1" x14ac:dyDescent="0.15">
      <c r="A80" s="47" t="s">
        <v>330</v>
      </c>
      <c r="C80" s="98">
        <f>'COGS-PRICE-MARGIN_CWS'!$C$37</f>
        <v>0</v>
      </c>
      <c r="D80" s="98">
        <f>'COGS-PRICE-MARGIN_CWS'!$C37</f>
        <v>0</v>
      </c>
      <c r="E80" s="98">
        <f>'COGS-PRICE-MARGIN_CWS'!$C37</f>
        <v>0</v>
      </c>
      <c r="F80" s="98">
        <f>'COGS-PRICE-MARGIN_CWS'!$C37</f>
        <v>0</v>
      </c>
      <c r="G80" s="98">
        <f>'COGS-PRICE-MARGIN_CWS'!$C37</f>
        <v>0</v>
      </c>
      <c r="H80" s="98">
        <f>'COGS-PRICE-MARGIN_CWS'!$C37</f>
        <v>0</v>
      </c>
      <c r="I80" s="98">
        <f>'COGS-PRICE-MARGIN_CWS'!$C37</f>
        <v>0</v>
      </c>
      <c r="J80" s="98">
        <f>'COGS-PRICE-MARGIN_CWS'!$C37</f>
        <v>0</v>
      </c>
      <c r="K80" s="98">
        <f>'COGS-PRICE-MARGIN_CWS'!$C37</f>
        <v>0</v>
      </c>
      <c r="L80" s="98">
        <f>'COGS-PRICE-MARGIN_CWS'!$C37</f>
        <v>0</v>
      </c>
      <c r="M80" s="98">
        <f>'COGS-PRICE-MARGIN_CWS'!$C37</f>
        <v>0</v>
      </c>
      <c r="N80" s="98">
        <f>'COGS-PRICE-MARGIN_CWS'!$C37</f>
        <v>0</v>
      </c>
      <c r="O80" s="98">
        <f>'COGS-PRICE-MARGIN_CWS'!$C87</f>
        <v>0</v>
      </c>
      <c r="P80" s="98">
        <f>'COGS-PRICE-MARGIN_CWS'!$C87</f>
        <v>0</v>
      </c>
      <c r="Q80" s="98">
        <f>'COGS-PRICE-MARGIN_CWS'!$C87</f>
        <v>0</v>
      </c>
      <c r="R80" s="98">
        <f>'COGS-PRICE-MARGIN_CWS'!$C87</f>
        <v>0</v>
      </c>
      <c r="S80" s="98">
        <f>'COGS-PRICE-MARGIN_CWS'!$C87</f>
        <v>0</v>
      </c>
      <c r="T80" s="98">
        <f>'COGS-PRICE-MARGIN_CWS'!$C87</f>
        <v>0</v>
      </c>
      <c r="U80" s="98">
        <f>'COGS-PRICE-MARGIN_CWS'!$C87</f>
        <v>0</v>
      </c>
      <c r="V80" s="98">
        <f>'COGS-PRICE-MARGIN_CWS'!$C87</f>
        <v>0</v>
      </c>
      <c r="W80" s="98">
        <f>'COGS-PRICE-MARGIN_CWS'!$C87</f>
        <v>0</v>
      </c>
      <c r="X80" s="98">
        <f>'COGS-PRICE-MARGIN_CWS'!$C87</f>
        <v>0</v>
      </c>
      <c r="Y80" s="98">
        <f>'COGS-PRICE-MARGIN_CWS'!$C87</f>
        <v>0</v>
      </c>
      <c r="Z80" s="98">
        <f>'COGS-PRICE-MARGIN_CWS'!$C87</f>
        <v>0</v>
      </c>
      <c r="AA80" s="98">
        <f>'COGS-PRICE-MARGIN_CWS'!$C137</f>
        <v>0</v>
      </c>
      <c r="AB80" s="98">
        <f>'COGS-PRICE-MARGIN_CWS'!$C137</f>
        <v>0</v>
      </c>
      <c r="AC80" s="98">
        <f>'COGS-PRICE-MARGIN_CWS'!$C137</f>
        <v>0</v>
      </c>
      <c r="AD80" s="98">
        <f>'COGS-PRICE-MARGIN_CWS'!$C137</f>
        <v>0</v>
      </c>
      <c r="AE80" s="98">
        <f>'COGS-PRICE-MARGIN_CWS'!$C137</f>
        <v>0</v>
      </c>
      <c r="AF80" s="98">
        <f>'COGS-PRICE-MARGIN_CWS'!$C137</f>
        <v>0</v>
      </c>
      <c r="AG80" s="98">
        <f>'COGS-PRICE-MARGIN_CWS'!$C137</f>
        <v>0</v>
      </c>
      <c r="AH80" s="98">
        <f>'COGS-PRICE-MARGIN_CWS'!$C137</f>
        <v>0</v>
      </c>
      <c r="AI80" s="98">
        <f>'COGS-PRICE-MARGIN_CWS'!$C137</f>
        <v>0</v>
      </c>
      <c r="AJ80" s="98">
        <f>'COGS-PRICE-MARGIN_CWS'!$C137</f>
        <v>0</v>
      </c>
      <c r="AK80" s="98">
        <f>'COGS-PRICE-MARGIN_CWS'!$C137</f>
        <v>0</v>
      </c>
      <c r="AL80" s="98">
        <f>'COGS-PRICE-MARGIN_CWS'!$C137</f>
        <v>0</v>
      </c>
      <c r="AM80" s="98">
        <f>'COGS-PRICE-MARGIN_CWS'!$C187</f>
        <v>0</v>
      </c>
      <c r="AN80" s="98">
        <f>'COGS-PRICE-MARGIN_CWS'!$C187</f>
        <v>0</v>
      </c>
      <c r="AO80" s="98">
        <f>'COGS-PRICE-MARGIN_CWS'!$C187</f>
        <v>0</v>
      </c>
      <c r="AP80" s="98">
        <f>'COGS-PRICE-MARGIN_CWS'!$C187</f>
        <v>0</v>
      </c>
      <c r="AQ80" s="98">
        <f>'COGS-PRICE-MARGIN_CWS'!$C187</f>
        <v>0</v>
      </c>
      <c r="AR80" s="98">
        <f>'COGS-PRICE-MARGIN_CWS'!$C187</f>
        <v>0</v>
      </c>
      <c r="AS80" s="98">
        <f>'COGS-PRICE-MARGIN_CWS'!$C187</f>
        <v>0</v>
      </c>
      <c r="AT80" s="98">
        <f>'COGS-PRICE-MARGIN_CWS'!$C187</f>
        <v>0</v>
      </c>
      <c r="AU80" s="98">
        <f>'COGS-PRICE-MARGIN_CWS'!$C187</f>
        <v>0</v>
      </c>
      <c r="AV80" s="98">
        <f>'COGS-PRICE-MARGIN_CWS'!$C187</f>
        <v>0</v>
      </c>
      <c r="AW80" s="98">
        <f>'COGS-PRICE-MARGIN_CWS'!$C187</f>
        <v>0</v>
      </c>
      <c r="AX80" s="98">
        <f>'COGS-PRICE-MARGIN_CWS'!$C187</f>
        <v>0</v>
      </c>
      <c r="AY80" s="98">
        <f>'COGS-PRICE-MARGIN_CWS'!$C237</f>
        <v>0</v>
      </c>
      <c r="AZ80" s="98">
        <f>'COGS-PRICE-MARGIN_CWS'!$C237</f>
        <v>0</v>
      </c>
      <c r="BA80" s="98">
        <f>'COGS-PRICE-MARGIN_CWS'!$C237</f>
        <v>0</v>
      </c>
      <c r="BB80" s="98">
        <f>'COGS-PRICE-MARGIN_CWS'!$C237</f>
        <v>0</v>
      </c>
      <c r="BC80" s="98">
        <f>'COGS-PRICE-MARGIN_CWS'!$C237</f>
        <v>0</v>
      </c>
      <c r="BD80" s="98">
        <f>'COGS-PRICE-MARGIN_CWS'!$C237</f>
        <v>0</v>
      </c>
      <c r="BE80" s="98">
        <f>'COGS-PRICE-MARGIN_CWS'!$C237</f>
        <v>0</v>
      </c>
      <c r="BF80" s="98">
        <f>'COGS-PRICE-MARGIN_CWS'!$C237</f>
        <v>0</v>
      </c>
      <c r="BG80" s="98">
        <f>'COGS-PRICE-MARGIN_CWS'!$C237</f>
        <v>0</v>
      </c>
      <c r="BH80" s="98">
        <f>'COGS-PRICE-MARGIN_CWS'!$C237</f>
        <v>0</v>
      </c>
      <c r="BI80" s="98">
        <f>'COGS-PRICE-MARGIN_CWS'!$C237</f>
        <v>0</v>
      </c>
      <c r="BJ80" s="98">
        <f>'COGS-PRICE-MARGIN_CWS'!$C237</f>
        <v>0</v>
      </c>
    </row>
    <row r="81" spans="1:64" outlineLevel="1" x14ac:dyDescent="0.15">
      <c r="A81" s="47" t="str">
        <f>A79 &amp; " Ingreso"</f>
        <v>Servicio Ingreso</v>
      </c>
      <c r="C81" s="169">
        <f t="shared" ref="C81:BJ81" si="38">C79*(1-C80)</f>
        <v>0</v>
      </c>
      <c r="D81" s="169">
        <f t="shared" si="38"/>
        <v>0</v>
      </c>
      <c r="E81" s="169">
        <f t="shared" si="38"/>
        <v>0</v>
      </c>
      <c r="F81" s="169">
        <f t="shared" si="38"/>
        <v>0</v>
      </c>
      <c r="G81" s="169">
        <f t="shared" si="38"/>
        <v>0</v>
      </c>
      <c r="H81" s="169">
        <f t="shared" si="38"/>
        <v>0</v>
      </c>
      <c r="I81" s="169">
        <f t="shared" si="38"/>
        <v>0</v>
      </c>
      <c r="J81" s="169">
        <f t="shared" si="38"/>
        <v>0</v>
      </c>
      <c r="K81" s="169">
        <f t="shared" si="38"/>
        <v>0</v>
      </c>
      <c r="L81" s="169">
        <f t="shared" si="38"/>
        <v>0</v>
      </c>
      <c r="M81" s="169">
        <f t="shared" si="38"/>
        <v>0</v>
      </c>
      <c r="N81" s="169">
        <f t="shared" si="38"/>
        <v>0</v>
      </c>
      <c r="O81" s="169">
        <f t="shared" si="38"/>
        <v>0</v>
      </c>
      <c r="P81" s="169">
        <f t="shared" si="38"/>
        <v>0</v>
      </c>
      <c r="Q81" s="169">
        <f t="shared" si="38"/>
        <v>0</v>
      </c>
      <c r="R81" s="169">
        <f t="shared" si="38"/>
        <v>0</v>
      </c>
      <c r="S81" s="169">
        <f t="shared" ref="S81:AH81" si="39">S79*(1-S80)</f>
        <v>0</v>
      </c>
      <c r="T81" s="169">
        <f t="shared" si="39"/>
        <v>0</v>
      </c>
      <c r="U81" s="169">
        <f t="shared" si="39"/>
        <v>0</v>
      </c>
      <c r="V81" s="169">
        <f t="shared" si="39"/>
        <v>0</v>
      </c>
      <c r="W81" s="169">
        <f t="shared" si="39"/>
        <v>0</v>
      </c>
      <c r="X81" s="169">
        <f t="shared" si="39"/>
        <v>0</v>
      </c>
      <c r="Y81" s="169">
        <f t="shared" si="39"/>
        <v>0</v>
      </c>
      <c r="Z81" s="169">
        <f t="shared" si="39"/>
        <v>0</v>
      </c>
      <c r="AA81" s="169">
        <f t="shared" si="39"/>
        <v>0</v>
      </c>
      <c r="AB81" s="169">
        <f t="shared" si="39"/>
        <v>0</v>
      </c>
      <c r="AC81" s="169">
        <f t="shared" si="39"/>
        <v>0</v>
      </c>
      <c r="AD81" s="169">
        <f t="shared" si="39"/>
        <v>0</v>
      </c>
      <c r="AE81" s="169">
        <f t="shared" si="39"/>
        <v>0</v>
      </c>
      <c r="AF81" s="169">
        <f t="shared" si="39"/>
        <v>0</v>
      </c>
      <c r="AG81" s="169">
        <f t="shared" si="39"/>
        <v>0</v>
      </c>
      <c r="AH81" s="169">
        <f t="shared" si="39"/>
        <v>0</v>
      </c>
      <c r="AI81" s="169">
        <f t="shared" ref="AI81:AL81" si="40">AI79*(1-AI80)</f>
        <v>0</v>
      </c>
      <c r="AJ81" s="169">
        <f t="shared" si="40"/>
        <v>0</v>
      </c>
      <c r="AK81" s="169">
        <f t="shared" si="40"/>
        <v>0</v>
      </c>
      <c r="AL81" s="169">
        <f t="shared" si="40"/>
        <v>0</v>
      </c>
      <c r="AM81" s="90">
        <f t="shared" si="38"/>
        <v>0</v>
      </c>
      <c r="AN81" s="90">
        <f t="shared" si="38"/>
        <v>0</v>
      </c>
      <c r="AO81" s="90">
        <f t="shared" si="38"/>
        <v>0</v>
      </c>
      <c r="AP81" s="90">
        <f t="shared" si="38"/>
        <v>0</v>
      </c>
      <c r="AQ81" s="90">
        <f t="shared" si="38"/>
        <v>0</v>
      </c>
      <c r="AR81" s="90">
        <f t="shared" si="38"/>
        <v>0</v>
      </c>
      <c r="AS81" s="90">
        <f t="shared" si="38"/>
        <v>0</v>
      </c>
      <c r="AT81" s="90">
        <f t="shared" si="38"/>
        <v>0</v>
      </c>
      <c r="AU81" s="90">
        <f t="shared" si="38"/>
        <v>0</v>
      </c>
      <c r="AV81" s="90">
        <f t="shared" si="38"/>
        <v>0</v>
      </c>
      <c r="AW81" s="90">
        <f t="shared" si="38"/>
        <v>0</v>
      </c>
      <c r="AX81" s="90">
        <f t="shared" si="38"/>
        <v>0</v>
      </c>
      <c r="AY81" s="90">
        <f t="shared" si="38"/>
        <v>0</v>
      </c>
      <c r="AZ81" s="90">
        <f t="shared" si="38"/>
        <v>0</v>
      </c>
      <c r="BA81" s="90">
        <f t="shared" si="38"/>
        <v>0</v>
      </c>
      <c r="BB81" s="90">
        <f t="shared" si="38"/>
        <v>0</v>
      </c>
      <c r="BC81" s="90">
        <f t="shared" si="38"/>
        <v>0</v>
      </c>
      <c r="BD81" s="90">
        <f t="shared" si="38"/>
        <v>0</v>
      </c>
      <c r="BE81" s="90">
        <f t="shared" si="38"/>
        <v>0</v>
      </c>
      <c r="BF81" s="90">
        <f t="shared" si="38"/>
        <v>0</v>
      </c>
      <c r="BG81" s="90">
        <f t="shared" si="38"/>
        <v>0</v>
      </c>
      <c r="BH81" s="90">
        <f t="shared" si="38"/>
        <v>0</v>
      </c>
      <c r="BI81" s="90">
        <f t="shared" si="38"/>
        <v>0</v>
      </c>
      <c r="BJ81" s="90">
        <f t="shared" si="38"/>
        <v>0</v>
      </c>
      <c r="BK81" s="118">
        <f>SUM(C81:BJ81)</f>
        <v>0</v>
      </c>
    </row>
    <row r="82" spans="1:64" outlineLevel="1" x14ac:dyDescent="0.15">
      <c r="A82" s="47" t="s">
        <v>343</v>
      </c>
      <c r="C82" s="169">
        <f>'REV-REC-MAINT_CWS'!F104</f>
        <v>0</v>
      </c>
      <c r="D82" s="169">
        <f>'REV-REC-MAINT_CWS'!G104</f>
        <v>0</v>
      </c>
      <c r="E82" s="169">
        <f>'REV-REC-MAINT_CWS'!H104</f>
        <v>0</v>
      </c>
      <c r="F82" s="169">
        <f>'REV-REC-MAINT_CWS'!$I$104</f>
        <v>0</v>
      </c>
      <c r="G82" s="169">
        <f>'REV-REC-MAINT_CWS'!$I$104</f>
        <v>0</v>
      </c>
      <c r="H82" s="169">
        <f>'REV-REC-MAINT_CWS'!$I$104</f>
        <v>0</v>
      </c>
      <c r="I82" s="169">
        <f>'REV-REC-MAINT_CWS'!$I$104</f>
        <v>0</v>
      </c>
      <c r="J82" s="169">
        <f>'REV-REC-MAINT_CWS'!$I$104</f>
        <v>0</v>
      </c>
      <c r="K82" s="169">
        <f>'REV-REC-MAINT_CWS'!$I$104</f>
        <v>0</v>
      </c>
      <c r="L82" s="169">
        <f>'REV-REC-MAINT_CWS'!$I$104</f>
        <v>0</v>
      </c>
      <c r="M82" s="169">
        <f>'REV-REC-MAINT_CWS'!$I$104</f>
        <v>0</v>
      </c>
      <c r="N82" s="169">
        <f>'REV-REC-MAINT_CWS'!$I$104</f>
        <v>0</v>
      </c>
      <c r="O82" s="169">
        <f>'REV-REC-MAINT_CWS'!$I$104</f>
        <v>0</v>
      </c>
      <c r="P82" s="169">
        <f>'REV-REC-MAINT_CWS'!$I$104</f>
        <v>0</v>
      </c>
      <c r="Q82" s="169">
        <f>'REV-REC-MAINT_CWS'!$I$104</f>
        <v>0</v>
      </c>
      <c r="R82" s="169">
        <f>'REV-REC-MAINT_CWS'!$I$104</f>
        <v>0</v>
      </c>
      <c r="S82" s="169">
        <f>'REV-REC-MAINT_CWS'!$I$104</f>
        <v>0</v>
      </c>
      <c r="T82" s="169">
        <f>'REV-REC-MAINT_CWS'!$I$104</f>
        <v>0</v>
      </c>
      <c r="U82" s="169">
        <f>'REV-REC-MAINT_CWS'!$I$104</f>
        <v>0</v>
      </c>
      <c r="V82" s="169">
        <f>'REV-REC-MAINT_CWS'!$I$104</f>
        <v>0</v>
      </c>
      <c r="W82" s="169">
        <f>'REV-REC-MAINT_CWS'!$I$104</f>
        <v>0</v>
      </c>
      <c r="X82" s="169">
        <f>'REV-REC-MAINT_CWS'!$I$104</f>
        <v>0</v>
      </c>
      <c r="Y82" s="169">
        <f>'REV-REC-MAINT_CWS'!$I$104</f>
        <v>0</v>
      </c>
      <c r="Z82" s="169">
        <f>'REV-REC-MAINT_CWS'!$I$104</f>
        <v>0</v>
      </c>
      <c r="AA82" s="169">
        <f>'REV-REC-MAINT_CWS'!$I$104</f>
        <v>0</v>
      </c>
      <c r="AB82" s="169">
        <f>'REV-REC-MAINT_CWS'!$I$104</f>
        <v>0</v>
      </c>
      <c r="AC82" s="169">
        <f>'REV-REC-MAINT_CWS'!$I$104</f>
        <v>0</v>
      </c>
      <c r="AD82" s="169">
        <f>'REV-REC-MAINT_CWS'!$I$104</f>
        <v>0</v>
      </c>
      <c r="AE82" s="169">
        <f>'REV-REC-MAINT_CWS'!$I$104</f>
        <v>0</v>
      </c>
      <c r="AF82" s="169">
        <f>'REV-REC-MAINT_CWS'!$I$104</f>
        <v>0</v>
      </c>
      <c r="AG82" s="169">
        <f>'REV-REC-MAINT_CWS'!$I$104</f>
        <v>0</v>
      </c>
      <c r="AH82" s="169">
        <f>'REV-REC-MAINT_CWS'!$I$104</f>
        <v>0</v>
      </c>
      <c r="AI82" s="169">
        <f>'REV-REC-MAINT_CWS'!$I$104</f>
        <v>0</v>
      </c>
      <c r="AJ82" s="169">
        <f>'REV-REC-MAINT_CWS'!$I$104</f>
        <v>0</v>
      </c>
      <c r="AK82" s="169">
        <f>'REV-REC-MAINT_CWS'!$I$104</f>
        <v>0</v>
      </c>
      <c r="AL82" s="169">
        <f>'REV-REC-MAINT_CWS'!$I$104</f>
        <v>0</v>
      </c>
      <c r="AM82" s="169">
        <f>'REV-REC-MAINT_CWS'!$I$104</f>
        <v>0</v>
      </c>
      <c r="AN82" s="169">
        <f>'REV-REC-MAINT_CWS'!$I$104</f>
        <v>0</v>
      </c>
      <c r="AO82" s="169">
        <f>'REV-REC-MAINT_CWS'!$I$104</f>
        <v>0</v>
      </c>
      <c r="AP82" s="169">
        <f>'REV-REC-MAINT_CWS'!$I$104</f>
        <v>0</v>
      </c>
      <c r="AQ82" s="169">
        <f>'REV-REC-MAINT_CWS'!$I$104</f>
        <v>0</v>
      </c>
      <c r="AR82" s="169">
        <f>'REV-REC-MAINT_CWS'!$I$104</f>
        <v>0</v>
      </c>
      <c r="AS82" s="169">
        <f>'REV-REC-MAINT_CWS'!$I$104</f>
        <v>0</v>
      </c>
      <c r="AT82" s="169">
        <f>'REV-REC-MAINT_CWS'!$I$104</f>
        <v>0</v>
      </c>
      <c r="AU82" s="169">
        <f>'REV-REC-MAINT_CWS'!$I$104</f>
        <v>0</v>
      </c>
      <c r="AV82" s="169">
        <f>'REV-REC-MAINT_CWS'!$I$104</f>
        <v>0</v>
      </c>
      <c r="AW82" s="169">
        <f>'REV-REC-MAINT_CWS'!$I$104</f>
        <v>0</v>
      </c>
      <c r="AX82" s="169">
        <f>'REV-REC-MAINT_CWS'!$I$104</f>
        <v>0</v>
      </c>
      <c r="AY82" s="169">
        <f>'REV-REC-MAINT_CWS'!$I$104</f>
        <v>0</v>
      </c>
      <c r="AZ82" s="169">
        <f>'REV-REC-MAINT_CWS'!$I$104</f>
        <v>0</v>
      </c>
      <c r="BA82" s="169">
        <f>'REV-REC-MAINT_CWS'!$I$104</f>
        <v>0</v>
      </c>
      <c r="BB82" s="169">
        <f>'REV-REC-MAINT_CWS'!$I$104</f>
        <v>0</v>
      </c>
      <c r="BC82" s="169">
        <f>'REV-REC-MAINT_CWS'!$I$104</f>
        <v>0</v>
      </c>
      <c r="BD82" s="169">
        <f>'REV-REC-MAINT_CWS'!$I$104</f>
        <v>0</v>
      </c>
      <c r="BE82" s="169">
        <f>'REV-REC-MAINT_CWS'!$I$104</f>
        <v>0</v>
      </c>
      <c r="BF82" s="169">
        <f>'REV-REC-MAINT_CWS'!$I$104</f>
        <v>0</v>
      </c>
      <c r="BG82" s="169">
        <f>'REV-REC-MAINT_CWS'!$I$104</f>
        <v>0</v>
      </c>
      <c r="BH82" s="169">
        <f>'REV-REC-MAINT_CWS'!$I$104</f>
        <v>0</v>
      </c>
      <c r="BI82" s="169">
        <f>'REV-REC-MAINT_CWS'!$I$104</f>
        <v>0</v>
      </c>
      <c r="BJ82" s="169">
        <f>'REV-REC-MAINT_CWS'!$I$104</f>
        <v>0</v>
      </c>
      <c r="BK82" s="118">
        <f>SUM(C82:BJ82)</f>
        <v>0</v>
      </c>
    </row>
    <row r="83" spans="1:64" outlineLevel="1" x14ac:dyDescent="0.15"/>
    <row r="84" spans="1:64" outlineLevel="1" x14ac:dyDescent="0.15">
      <c r="A84" s="16" t="str">
        <f>"Ingreso " &amp; A76</f>
        <v>Ingreso Domicilio Services Units</v>
      </c>
    </row>
    <row r="85" spans="1:64" outlineLevel="1" x14ac:dyDescent="0.15">
      <c r="A85" s="47" t="str">
        <f>'COGS-PRICE-MARGIN_CWS'!A45</f>
        <v>Envío</v>
      </c>
      <c r="C85" s="392">
        <f>'COGS-PRICE-MARGIN_CWS'!$B49*C76</f>
        <v>0</v>
      </c>
      <c r="D85" s="392">
        <f>'COGS-PRICE-MARGIN_CWS'!$B49*D76</f>
        <v>0</v>
      </c>
      <c r="E85" s="392">
        <f>'COGS-PRICE-MARGIN_CWS'!$B49*E76</f>
        <v>0</v>
      </c>
      <c r="F85" s="402">
        <f>'COGS-PRICE-MARGIN_CWS'!$B49*F76</f>
        <v>0</v>
      </c>
      <c r="G85" s="402">
        <f>'COGS-PRICE-MARGIN_CWS'!$B49*G76</f>
        <v>0</v>
      </c>
      <c r="H85" s="402">
        <f>'COGS-PRICE-MARGIN_CWS'!$B49*H76</f>
        <v>54000</v>
      </c>
      <c r="I85" s="402">
        <f>'COGS-PRICE-MARGIN_CWS'!$B49*I76</f>
        <v>69000</v>
      </c>
      <c r="J85" s="402">
        <f>'COGS-PRICE-MARGIN_CWS'!$B49*J76</f>
        <v>81000</v>
      </c>
      <c r="K85" s="402">
        <f>'COGS-PRICE-MARGIN_CWS'!$B49*K76</f>
        <v>96000</v>
      </c>
      <c r="L85" s="402">
        <f>'COGS-PRICE-MARGIN_CWS'!$B49*L76</f>
        <v>108000</v>
      </c>
      <c r="M85" s="402">
        <f>'COGS-PRICE-MARGIN_CWS'!$B49*M76</f>
        <v>123000</v>
      </c>
      <c r="N85" s="402">
        <f>'COGS-PRICE-MARGIN_CWS'!$B49*N76</f>
        <v>108000</v>
      </c>
      <c r="O85" s="392">
        <f>'COGS-PRICE-MARGIN_CWS'!$B95*O76</f>
        <v>205440</v>
      </c>
      <c r="P85" s="392">
        <f>'COGS-PRICE-MARGIN_CWS'!$B95*P76</f>
        <v>327420</v>
      </c>
      <c r="Q85" s="392">
        <f>'COGS-PRICE-MARGIN_CWS'!$B95*Q76</f>
        <v>369150</v>
      </c>
      <c r="R85" s="392">
        <f>'COGS-PRICE-MARGIN_CWS'!$B95*R76</f>
        <v>369150</v>
      </c>
      <c r="S85" s="392">
        <f>'COGS-PRICE-MARGIN_CWS'!$B95*S76</f>
        <v>369150</v>
      </c>
      <c r="T85" s="392">
        <f>'COGS-PRICE-MARGIN_CWS'!$B95*T76</f>
        <v>369150</v>
      </c>
      <c r="U85" s="392">
        <f>'COGS-PRICE-MARGIN_CWS'!$B95*U76</f>
        <v>369150</v>
      </c>
      <c r="V85" s="392">
        <f>'COGS-PRICE-MARGIN_CWS'!$B95*V76</f>
        <v>369150</v>
      </c>
      <c r="W85" s="392">
        <f>'COGS-PRICE-MARGIN_CWS'!$B95*W76</f>
        <v>369150</v>
      </c>
      <c r="X85" s="392">
        <f>'COGS-PRICE-MARGIN_CWS'!$B95*X76</f>
        <v>369150</v>
      </c>
      <c r="Y85" s="392">
        <f>'COGS-PRICE-MARGIN_CWS'!$B95*Y76</f>
        <v>369150</v>
      </c>
      <c r="Z85" s="392">
        <f>'COGS-PRICE-MARGIN_CWS'!$B95*Z76</f>
        <v>247170</v>
      </c>
      <c r="AA85" s="402">
        <f>'COGS-PRICE-MARGIN_CWS'!$B145*AA76</f>
        <v>748764.60000000009</v>
      </c>
      <c r="AB85" s="402">
        <f>'COGS-PRICE-MARGIN_CWS'!$B145*AB76</f>
        <v>1198710.3</v>
      </c>
      <c r="AC85" s="402">
        <f>'COGS-PRICE-MARGIN_CWS'!$B145*AC76</f>
        <v>1349837.1</v>
      </c>
      <c r="AD85" s="402">
        <f>'COGS-PRICE-MARGIN_CWS'!$B145*AD76</f>
        <v>1349837.1</v>
      </c>
      <c r="AE85" s="402">
        <f>'COGS-PRICE-MARGIN_CWS'!$B145*AE76</f>
        <v>1349837.1</v>
      </c>
      <c r="AF85" s="402">
        <f>'COGS-PRICE-MARGIN_CWS'!$B145*AF76</f>
        <v>1349837.1</v>
      </c>
      <c r="AG85" s="402">
        <f>'COGS-PRICE-MARGIN_CWS'!$B145*AG76</f>
        <v>1349837.1</v>
      </c>
      <c r="AH85" s="402">
        <f>'COGS-PRICE-MARGIN_CWS'!$B145*AH76</f>
        <v>1349837.1</v>
      </c>
      <c r="AI85" s="402">
        <f>'COGS-PRICE-MARGIN_CWS'!$B145*AI76</f>
        <v>1349837.1</v>
      </c>
      <c r="AJ85" s="402">
        <f>'COGS-PRICE-MARGIN_CWS'!$B145*AJ76</f>
        <v>1349837.1</v>
      </c>
      <c r="AK85" s="402">
        <f>'COGS-PRICE-MARGIN_CWS'!$B145*AK76</f>
        <v>1349837.1</v>
      </c>
      <c r="AL85" s="402">
        <f>'COGS-PRICE-MARGIN_CWS'!$B145*AL76</f>
        <v>899891.4</v>
      </c>
      <c r="AM85" s="402">
        <f>'COGS-PRICE-MARGIN_CWS'!$B195*AM76</f>
        <v>1032711.2490000001</v>
      </c>
      <c r="AN85" s="402">
        <f>'COGS-PRICE-MARGIN_CWS'!$B195*AN76</f>
        <v>1650132.9210000001</v>
      </c>
      <c r="AO85" s="402">
        <f>'COGS-PRICE-MARGIN_CWS'!$B195*AO76</f>
        <v>1855940.1450000003</v>
      </c>
      <c r="AP85" s="402">
        <f>'COGS-PRICE-MARGIN_CWS'!$B195*AP76</f>
        <v>1855940.1450000003</v>
      </c>
      <c r="AQ85" s="402">
        <f>'COGS-PRICE-MARGIN_CWS'!$B195*AQ76</f>
        <v>1855940.1450000003</v>
      </c>
      <c r="AR85" s="402">
        <f>'COGS-PRICE-MARGIN_CWS'!$B195*AR76</f>
        <v>1855940.1450000003</v>
      </c>
      <c r="AS85" s="402">
        <f>'COGS-PRICE-MARGIN_CWS'!$B195*AS76</f>
        <v>1855940.1450000003</v>
      </c>
      <c r="AT85" s="402">
        <f>'COGS-PRICE-MARGIN_CWS'!$B195*AT76</f>
        <v>1855940.1450000003</v>
      </c>
      <c r="AU85" s="402">
        <f>'COGS-PRICE-MARGIN_CWS'!$B195*AU76</f>
        <v>1855940.1450000003</v>
      </c>
      <c r="AV85" s="402">
        <f>'COGS-PRICE-MARGIN_CWS'!$B195*AV76</f>
        <v>1855940.1450000003</v>
      </c>
      <c r="AW85" s="402">
        <f>'COGS-PRICE-MARGIN_CWS'!$B195*AW76</f>
        <v>1855940.1450000003</v>
      </c>
      <c r="AX85" s="402">
        <f>'COGS-PRICE-MARGIN_CWS'!$B195*AX76</f>
        <v>1238518.4730000002</v>
      </c>
      <c r="AY85" s="402">
        <f>'COGS-PRICE-MARGIN_CWS'!$B245*AY76</f>
        <v>1136460.1406700001</v>
      </c>
      <c r="AZ85" s="402">
        <f>'COGS-PRICE-MARGIN_CWS'!$B245*AZ76</f>
        <v>1820695.6578900001</v>
      </c>
      <c r="BA85" s="402">
        <f>'COGS-PRICE-MARGIN_CWS'!$B245*BA76</f>
        <v>2044841.7756000003</v>
      </c>
      <c r="BB85" s="402">
        <f>'COGS-PRICE-MARGIN_CWS'!$B245*BB76</f>
        <v>2044841.7756000003</v>
      </c>
      <c r="BC85" s="402">
        <f>'COGS-PRICE-MARGIN_CWS'!$B245*BC76</f>
        <v>2044841.7756000003</v>
      </c>
      <c r="BD85" s="402">
        <f>'COGS-PRICE-MARGIN_CWS'!$B245*BD76</f>
        <v>2044841.7756000003</v>
      </c>
      <c r="BE85" s="402">
        <f>'COGS-PRICE-MARGIN_CWS'!$B245*BE76</f>
        <v>2044841.7756000003</v>
      </c>
      <c r="BF85" s="402">
        <f>'COGS-PRICE-MARGIN_CWS'!$B245*BF76</f>
        <v>2044841.7756000003</v>
      </c>
      <c r="BG85" s="402">
        <f>'COGS-PRICE-MARGIN_CWS'!$B245*BG76</f>
        <v>2044841.7756000003</v>
      </c>
      <c r="BH85" s="402">
        <f>'COGS-PRICE-MARGIN_CWS'!$B245*BH76</f>
        <v>2044841.7756000003</v>
      </c>
      <c r="BI85" s="402">
        <f>'COGS-PRICE-MARGIN_CWS'!$B245*BI76</f>
        <v>2044841.7756000003</v>
      </c>
      <c r="BJ85" s="402">
        <f>'COGS-PRICE-MARGIN_CWS'!$B245*BJ76</f>
        <v>1364538.6464100003</v>
      </c>
      <c r="BK85" s="391">
        <f>SUM(C85:BJ85)</f>
        <v>63087374.573370025</v>
      </c>
    </row>
    <row r="86" spans="1:64" outlineLevel="1" x14ac:dyDescent="0.15">
      <c r="A86" s="47" t="s">
        <v>342</v>
      </c>
      <c r="C86" s="12">
        <f>'REV-REC-MAINT_CWS'!F177</f>
        <v>0</v>
      </c>
      <c r="D86" s="12">
        <f>'REV-REC-MAINT_CWS'!G177</f>
        <v>0</v>
      </c>
      <c r="E86" s="12">
        <f>'REV-REC-MAINT_CWS'!H177</f>
        <v>0</v>
      </c>
      <c r="F86" s="12">
        <f>'REV-REC-MAINT_CWS'!I177</f>
        <v>0</v>
      </c>
      <c r="G86" s="12">
        <f>'REV-REC-MAINT_CWS'!J177</f>
        <v>0</v>
      </c>
      <c r="H86" s="12">
        <f>'REV-REC-MAINT_CWS'!K177</f>
        <v>0</v>
      </c>
      <c r="I86" s="12">
        <f>'REV-REC-MAINT_CWS'!L177</f>
        <v>0</v>
      </c>
      <c r="J86" s="12">
        <f>'REV-REC-MAINT_CWS'!M177</f>
        <v>0</v>
      </c>
      <c r="K86" s="12">
        <f>'REV-REC-MAINT_CWS'!N177</f>
        <v>0</v>
      </c>
      <c r="L86" s="12">
        <f>'REV-REC-MAINT_CWS'!O177</f>
        <v>0</v>
      </c>
      <c r="M86" s="12">
        <f>'REV-REC-MAINT_CWS'!P177</f>
        <v>0</v>
      </c>
      <c r="N86" s="12">
        <f>'REV-REC-MAINT_CWS'!Q177</f>
        <v>0</v>
      </c>
      <c r="O86" s="12">
        <f>'REV-REC-MAINT_CWS'!R177</f>
        <v>0</v>
      </c>
      <c r="P86" s="12">
        <f>'REV-REC-MAINT_CWS'!S177</f>
        <v>0</v>
      </c>
      <c r="Q86" s="12">
        <f>'REV-REC-MAINT_CWS'!T177</f>
        <v>0</v>
      </c>
      <c r="R86" s="12">
        <f>'REV-REC-MAINT_CWS'!U177</f>
        <v>0</v>
      </c>
      <c r="S86" s="12">
        <f>'REV-REC-MAINT_CWS'!V177</f>
        <v>0</v>
      </c>
      <c r="T86" s="12">
        <f>'REV-REC-MAINT_CWS'!W177</f>
        <v>0</v>
      </c>
      <c r="U86" s="12">
        <f>'REV-REC-MAINT_CWS'!X177</f>
        <v>0</v>
      </c>
      <c r="V86" s="12">
        <f>'REV-REC-MAINT_CWS'!Y177</f>
        <v>0</v>
      </c>
      <c r="W86" s="12">
        <f>'REV-REC-MAINT_CWS'!Z177</f>
        <v>0</v>
      </c>
      <c r="X86" s="12">
        <f>'REV-REC-MAINT_CWS'!AA177</f>
        <v>0</v>
      </c>
      <c r="Y86" s="12">
        <f>'REV-REC-MAINT_CWS'!AB177</f>
        <v>0</v>
      </c>
      <c r="Z86" s="12">
        <f>'REV-REC-MAINT_CWS'!AC177</f>
        <v>0</v>
      </c>
      <c r="AA86" s="12">
        <f>'REV-REC-MAINT_CWS'!AD177</f>
        <v>0</v>
      </c>
      <c r="AB86" s="12">
        <f>'REV-REC-MAINT_CWS'!AE177</f>
        <v>0</v>
      </c>
      <c r="AC86" s="12">
        <f>'REV-REC-MAINT_CWS'!AF177</f>
        <v>0</v>
      </c>
      <c r="AD86" s="12">
        <f>'REV-REC-MAINT_CWS'!AG177</f>
        <v>0</v>
      </c>
      <c r="AE86" s="12">
        <f>'REV-REC-MAINT_CWS'!AH177</f>
        <v>0</v>
      </c>
      <c r="AF86" s="12">
        <f>'REV-REC-MAINT_CWS'!AI177</f>
        <v>0</v>
      </c>
      <c r="AG86" s="12">
        <f>'REV-REC-MAINT_CWS'!AJ177</f>
        <v>0</v>
      </c>
      <c r="AH86" s="12">
        <f>'REV-REC-MAINT_CWS'!AK177</f>
        <v>0</v>
      </c>
      <c r="AI86" s="12">
        <f>'REV-REC-MAINT_CWS'!AL177</f>
        <v>0</v>
      </c>
      <c r="AJ86" s="12">
        <f>'REV-REC-MAINT_CWS'!AM177</f>
        <v>0</v>
      </c>
      <c r="AK86" s="12">
        <f>'REV-REC-MAINT_CWS'!AN177</f>
        <v>0</v>
      </c>
      <c r="AL86" s="12">
        <f>'REV-REC-MAINT_CWS'!AO177</f>
        <v>0</v>
      </c>
      <c r="AM86" s="12">
        <f>'REV-REC-MAINT_CWS'!AP177</f>
        <v>0</v>
      </c>
      <c r="AN86" s="12">
        <f>'REV-REC-MAINT_CWS'!AQ177</f>
        <v>0</v>
      </c>
      <c r="AO86" s="12">
        <f>'REV-REC-MAINT_CWS'!AR177</f>
        <v>0</v>
      </c>
      <c r="AP86" s="12">
        <f>'REV-REC-MAINT_CWS'!AS177</f>
        <v>0</v>
      </c>
      <c r="AQ86" s="12">
        <f>'REV-REC-MAINT_CWS'!AT177</f>
        <v>0</v>
      </c>
      <c r="AR86" s="12">
        <f>'REV-REC-MAINT_CWS'!AU177</f>
        <v>0</v>
      </c>
      <c r="AS86" s="12">
        <f>'REV-REC-MAINT_CWS'!AV177</f>
        <v>0</v>
      </c>
      <c r="AT86" s="12">
        <f>'REV-REC-MAINT_CWS'!AW177</f>
        <v>0</v>
      </c>
      <c r="AU86" s="12">
        <f>'REV-REC-MAINT_CWS'!AX177</f>
        <v>0</v>
      </c>
      <c r="AV86" s="12">
        <f>'REV-REC-MAINT_CWS'!AY177</f>
        <v>0</v>
      </c>
      <c r="AW86" s="12">
        <f>'REV-REC-MAINT_CWS'!AZ177</f>
        <v>0</v>
      </c>
      <c r="AX86" s="12">
        <f>'REV-REC-MAINT_CWS'!BA177</f>
        <v>0</v>
      </c>
      <c r="AY86" s="12">
        <f>'REV-REC-MAINT_CWS'!BB177</f>
        <v>0</v>
      </c>
      <c r="AZ86" s="12">
        <f>'REV-REC-MAINT_CWS'!BC177</f>
        <v>0</v>
      </c>
      <c r="BA86" s="12">
        <f>'REV-REC-MAINT_CWS'!BD177</f>
        <v>0</v>
      </c>
      <c r="BB86" s="12">
        <f>'REV-REC-MAINT_CWS'!BE177</f>
        <v>0</v>
      </c>
      <c r="BC86" s="12">
        <f>'REV-REC-MAINT_CWS'!BF177</f>
        <v>0</v>
      </c>
      <c r="BD86" s="12">
        <f>'REV-REC-MAINT_CWS'!BG177</f>
        <v>0</v>
      </c>
      <c r="BE86" s="12">
        <f>'REV-REC-MAINT_CWS'!BH177</f>
        <v>0</v>
      </c>
      <c r="BF86" s="12">
        <f>'REV-REC-MAINT_CWS'!BI177</f>
        <v>0</v>
      </c>
      <c r="BG86" s="12">
        <f>'REV-REC-MAINT_CWS'!BJ177</f>
        <v>0</v>
      </c>
      <c r="BH86" s="12">
        <f>'REV-REC-MAINT_CWS'!BK177</f>
        <v>0</v>
      </c>
      <c r="BI86" s="12">
        <f>'REV-REC-MAINT_CWS'!BL177</f>
        <v>0</v>
      </c>
      <c r="BJ86" s="12">
        <f>'REV-REC-MAINT_CWS'!BM177</f>
        <v>0</v>
      </c>
      <c r="BK86" s="118">
        <f>SUM(C86:BJ86)</f>
        <v>0</v>
      </c>
    </row>
    <row r="87" spans="1:64" x14ac:dyDescent="0.15">
      <c r="A87" s="4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4" x14ac:dyDescent="0.15">
      <c r="A88" s="16" t="s">
        <v>1202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4" x14ac:dyDescent="0.15">
      <c r="A89" s="4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4" x14ac:dyDescent="0.15">
      <c r="A90" s="33" t="str">
        <f>"Total Revenue " &amp; A11</f>
        <v>Total Revenue Producto Diario</v>
      </c>
      <c r="C90" s="390">
        <f t="shared" ref="C90:AH90" si="41">C$17+C$42+C$43+C$46+C$47</f>
        <v>0</v>
      </c>
      <c r="D90" s="390">
        <f t="shared" si="41"/>
        <v>0</v>
      </c>
      <c r="E90" s="390">
        <f t="shared" si="41"/>
        <v>0</v>
      </c>
      <c r="F90" s="390">
        <f t="shared" si="41"/>
        <v>1092000</v>
      </c>
      <c r="G90" s="390">
        <f t="shared" si="41"/>
        <v>1498000</v>
      </c>
      <c r="H90" s="390">
        <f t="shared" si="41"/>
        <v>2346000</v>
      </c>
      <c r="I90" s="390">
        <f t="shared" si="41"/>
        <v>2936000</v>
      </c>
      <c r="J90" s="390">
        <f t="shared" si="41"/>
        <v>3526000</v>
      </c>
      <c r="K90" s="390">
        <f t="shared" si="41"/>
        <v>4116000</v>
      </c>
      <c r="L90" s="390">
        <f t="shared" si="41"/>
        <v>4706000</v>
      </c>
      <c r="M90" s="390">
        <f t="shared" si="41"/>
        <v>5296000</v>
      </c>
      <c r="N90" s="390">
        <f t="shared" si="41"/>
        <v>4706000</v>
      </c>
      <c r="O90" s="390">
        <f t="shared" si="41"/>
        <v>8988000</v>
      </c>
      <c r="P90" s="390">
        <f t="shared" si="41"/>
        <v>14391500</v>
      </c>
      <c r="Q90" s="390">
        <f t="shared" si="41"/>
        <v>16180540</v>
      </c>
      <c r="R90" s="390">
        <f t="shared" si="41"/>
        <v>16180540</v>
      </c>
      <c r="S90" s="390">
        <f t="shared" si="41"/>
        <v>16180540</v>
      </c>
      <c r="T90" s="390">
        <f t="shared" si="41"/>
        <v>16180540</v>
      </c>
      <c r="U90" s="390">
        <f t="shared" si="41"/>
        <v>16180540</v>
      </c>
      <c r="V90" s="390">
        <f t="shared" si="41"/>
        <v>16180540</v>
      </c>
      <c r="W90" s="390">
        <f t="shared" si="41"/>
        <v>16180540</v>
      </c>
      <c r="X90" s="390">
        <f t="shared" si="41"/>
        <v>16180540</v>
      </c>
      <c r="Y90" s="390">
        <f t="shared" si="41"/>
        <v>16180540</v>
      </c>
      <c r="Z90" s="390">
        <f t="shared" si="41"/>
        <v>10792020</v>
      </c>
      <c r="AA90" s="390">
        <f t="shared" si="41"/>
        <v>12413005.799999999</v>
      </c>
      <c r="AB90" s="390">
        <f t="shared" si="41"/>
        <v>19845696.600000001</v>
      </c>
      <c r="AC90" s="390">
        <f t="shared" si="41"/>
        <v>22324405.100000001</v>
      </c>
      <c r="AD90" s="390">
        <f t="shared" si="41"/>
        <v>22324405.100000001</v>
      </c>
      <c r="AE90" s="390">
        <f t="shared" si="41"/>
        <v>22324405.100000001</v>
      </c>
      <c r="AF90" s="390">
        <f t="shared" si="41"/>
        <v>22324405.100000001</v>
      </c>
      <c r="AG90" s="390">
        <f t="shared" si="41"/>
        <v>22324405.100000001</v>
      </c>
      <c r="AH90" s="390">
        <f t="shared" si="41"/>
        <v>22324405.100000001</v>
      </c>
      <c r="AI90" s="390">
        <f t="shared" ref="AI90:BJ90" si="42">AI$17+AI$42+AI$43+AI$46+AI$47</f>
        <v>22324405.100000001</v>
      </c>
      <c r="AJ90" s="390">
        <f t="shared" si="42"/>
        <v>22324405.100000001</v>
      </c>
      <c r="AK90" s="390">
        <f t="shared" si="42"/>
        <v>22324405.100000001</v>
      </c>
      <c r="AL90" s="390">
        <f t="shared" si="42"/>
        <v>14891714.299999999</v>
      </c>
      <c r="AM90" s="390">
        <f t="shared" si="42"/>
        <v>34116222.507000007</v>
      </c>
      <c r="AN90" s="390">
        <f t="shared" si="42"/>
        <v>54597716.42400001</v>
      </c>
      <c r="AO90" s="390">
        <f t="shared" si="42"/>
        <v>61423656.020000011</v>
      </c>
      <c r="AP90" s="390">
        <f t="shared" si="42"/>
        <v>61423656.020000011</v>
      </c>
      <c r="AQ90" s="390">
        <f t="shared" si="42"/>
        <v>61423656.020000011</v>
      </c>
      <c r="AR90" s="390">
        <f t="shared" si="42"/>
        <v>61423656.020000011</v>
      </c>
      <c r="AS90" s="390">
        <f t="shared" si="42"/>
        <v>61423656.020000011</v>
      </c>
      <c r="AT90" s="390">
        <f t="shared" si="42"/>
        <v>61423656.020000011</v>
      </c>
      <c r="AU90" s="390">
        <f t="shared" si="42"/>
        <v>61423656.020000011</v>
      </c>
      <c r="AV90" s="390">
        <f t="shared" si="42"/>
        <v>61423656.020000011</v>
      </c>
      <c r="AW90" s="390">
        <f t="shared" si="42"/>
        <v>61423656.020000011</v>
      </c>
      <c r="AX90" s="390">
        <f t="shared" si="42"/>
        <v>40942162.103000008</v>
      </c>
      <c r="AY90" s="390">
        <f t="shared" si="42"/>
        <v>37598872.750840008</v>
      </c>
      <c r="AZ90" s="390">
        <f t="shared" si="42"/>
        <v>60177334.023090012</v>
      </c>
      <c r="BA90" s="390">
        <f t="shared" si="42"/>
        <v>67694749.140440017</v>
      </c>
      <c r="BB90" s="390">
        <f t="shared" si="42"/>
        <v>67694749.140440017</v>
      </c>
      <c r="BC90" s="390">
        <f t="shared" si="42"/>
        <v>67694749.140440017</v>
      </c>
      <c r="BD90" s="390">
        <f t="shared" si="42"/>
        <v>67694749.140440017</v>
      </c>
      <c r="BE90" s="390">
        <f t="shared" si="42"/>
        <v>67694749.140440017</v>
      </c>
      <c r="BF90" s="390">
        <f t="shared" si="42"/>
        <v>67694749.140440017</v>
      </c>
      <c r="BG90" s="390">
        <f t="shared" si="42"/>
        <v>67694749.140440017</v>
      </c>
      <c r="BH90" s="390">
        <f t="shared" si="42"/>
        <v>67694749.140440017</v>
      </c>
      <c r="BI90" s="390">
        <f t="shared" si="42"/>
        <v>67694749.140440017</v>
      </c>
      <c r="BJ90" s="390">
        <f t="shared" si="42"/>
        <v>45138571.400360011</v>
      </c>
    </row>
    <row r="91" spans="1:64" x14ac:dyDescent="0.15">
      <c r="A91" s="33" t="str">
        <f>"Net Revenue " &amp; A11</f>
        <v>Net Revenue Producto Diario</v>
      </c>
      <c r="C91" s="390">
        <f>C$30+C$42+C$43+C$46+C$47</f>
        <v>0</v>
      </c>
      <c r="D91" s="390">
        <f t="shared" ref="D91:BJ91" si="43">D$30+D$42+D$43+D$46+D$47</f>
        <v>0</v>
      </c>
      <c r="E91" s="390">
        <f t="shared" si="43"/>
        <v>0</v>
      </c>
      <c r="F91" s="390">
        <f t="shared" si="43"/>
        <v>351000</v>
      </c>
      <c r="G91" s="390">
        <f t="shared" si="43"/>
        <v>481500</v>
      </c>
      <c r="H91" s="390">
        <f t="shared" si="43"/>
        <v>787500</v>
      </c>
      <c r="I91" s="390">
        <f t="shared" si="43"/>
        <v>985500</v>
      </c>
      <c r="J91" s="390">
        <f t="shared" si="43"/>
        <v>1183500</v>
      </c>
      <c r="K91" s="390">
        <f t="shared" si="43"/>
        <v>1381500</v>
      </c>
      <c r="L91" s="390">
        <f t="shared" si="43"/>
        <v>1579500</v>
      </c>
      <c r="M91" s="390">
        <f t="shared" si="43"/>
        <v>1777500</v>
      </c>
      <c r="N91" s="390">
        <f t="shared" si="43"/>
        <v>1579500</v>
      </c>
      <c r="O91" s="390">
        <f t="shared" si="43"/>
        <v>3039645</v>
      </c>
      <c r="P91" s="390">
        <f t="shared" si="43"/>
        <v>4866480</v>
      </c>
      <c r="Q91" s="390">
        <f t="shared" si="43"/>
        <v>5470875</v>
      </c>
      <c r="R91" s="390">
        <f t="shared" si="43"/>
        <v>5470875</v>
      </c>
      <c r="S91" s="390">
        <f t="shared" si="43"/>
        <v>5470875</v>
      </c>
      <c r="T91" s="390">
        <f t="shared" si="43"/>
        <v>5470875</v>
      </c>
      <c r="U91" s="390">
        <f t="shared" si="43"/>
        <v>5470875</v>
      </c>
      <c r="V91" s="390">
        <f t="shared" si="43"/>
        <v>5470875</v>
      </c>
      <c r="W91" s="390">
        <f t="shared" si="43"/>
        <v>5470875</v>
      </c>
      <c r="X91" s="390">
        <f t="shared" si="43"/>
        <v>5470875</v>
      </c>
      <c r="Y91" s="390">
        <f t="shared" si="43"/>
        <v>5470875</v>
      </c>
      <c r="Z91" s="390">
        <f t="shared" si="43"/>
        <v>3648855</v>
      </c>
      <c r="AA91" s="390">
        <f t="shared" si="43"/>
        <v>4245430.4999999991</v>
      </c>
      <c r="AB91" s="390">
        <f t="shared" si="43"/>
        <v>6786022.0500000007</v>
      </c>
      <c r="AC91" s="390">
        <f t="shared" si="43"/>
        <v>7633630.8000000007</v>
      </c>
      <c r="AD91" s="390">
        <f t="shared" si="43"/>
        <v>7633630.8000000007</v>
      </c>
      <c r="AE91" s="390">
        <f t="shared" si="43"/>
        <v>7633630.8000000007</v>
      </c>
      <c r="AF91" s="390">
        <f t="shared" si="43"/>
        <v>7633630.8000000007</v>
      </c>
      <c r="AG91" s="390">
        <f t="shared" si="43"/>
        <v>7633630.8000000007</v>
      </c>
      <c r="AH91" s="390">
        <f t="shared" si="43"/>
        <v>7633630.8000000007</v>
      </c>
      <c r="AI91" s="390">
        <f t="shared" si="43"/>
        <v>7633630.8000000007</v>
      </c>
      <c r="AJ91" s="390">
        <f t="shared" si="43"/>
        <v>7633630.8000000007</v>
      </c>
      <c r="AK91" s="390">
        <f t="shared" si="43"/>
        <v>7633630.8000000007</v>
      </c>
      <c r="AL91" s="390">
        <f t="shared" si="43"/>
        <v>5093039.2499999991</v>
      </c>
      <c r="AM91" s="390">
        <f t="shared" si="43"/>
        <v>11691771.520500002</v>
      </c>
      <c r="AN91" s="390">
        <f t="shared" si="43"/>
        <v>18711132.100500003</v>
      </c>
      <c r="AO91" s="390">
        <f t="shared" si="43"/>
        <v>21050093.917500004</v>
      </c>
      <c r="AP91" s="390">
        <f t="shared" si="43"/>
        <v>21050093.917500004</v>
      </c>
      <c r="AQ91" s="390">
        <f t="shared" si="43"/>
        <v>21050093.917500004</v>
      </c>
      <c r="AR91" s="390">
        <f t="shared" si="43"/>
        <v>21050093.917500004</v>
      </c>
      <c r="AS91" s="390">
        <f t="shared" si="43"/>
        <v>21050093.917500004</v>
      </c>
      <c r="AT91" s="390">
        <f t="shared" si="43"/>
        <v>21050093.917500004</v>
      </c>
      <c r="AU91" s="390">
        <f t="shared" si="43"/>
        <v>21050093.917500004</v>
      </c>
      <c r="AV91" s="390">
        <f t="shared" si="43"/>
        <v>21050093.917500004</v>
      </c>
      <c r="AW91" s="390">
        <f t="shared" si="43"/>
        <v>21050093.917500004</v>
      </c>
      <c r="AX91" s="390">
        <f t="shared" si="43"/>
        <v>14030733.337500004</v>
      </c>
      <c r="AY91" s="390">
        <f t="shared" si="43"/>
        <v>12934090.717964999</v>
      </c>
      <c r="AZ91" s="390">
        <f t="shared" si="43"/>
        <v>20700990.208395004</v>
      </c>
      <c r="BA91" s="390">
        <f t="shared" si="43"/>
        <v>23286168.919170007</v>
      </c>
      <c r="BB91" s="390">
        <f t="shared" si="43"/>
        <v>23286168.919170007</v>
      </c>
      <c r="BC91" s="390">
        <f t="shared" si="43"/>
        <v>23286168.919170007</v>
      </c>
      <c r="BD91" s="390">
        <f t="shared" si="43"/>
        <v>23286168.919170007</v>
      </c>
      <c r="BE91" s="390">
        <f t="shared" si="43"/>
        <v>23286168.919170007</v>
      </c>
      <c r="BF91" s="390">
        <f t="shared" si="43"/>
        <v>23286168.919170007</v>
      </c>
      <c r="BG91" s="390">
        <f t="shared" si="43"/>
        <v>23286168.919170007</v>
      </c>
      <c r="BH91" s="390">
        <f t="shared" si="43"/>
        <v>23286168.919170007</v>
      </c>
      <c r="BI91" s="390">
        <f t="shared" si="43"/>
        <v>23286168.919170007</v>
      </c>
      <c r="BJ91" s="390">
        <f t="shared" si="43"/>
        <v>15527900.398815004</v>
      </c>
    </row>
    <row r="92" spans="1:64" x14ac:dyDescent="0.15">
      <c r="A92" s="33" t="str">
        <f>"Total Revenue " &amp; A50</f>
        <v>Total Revenue Producto Fusión</v>
      </c>
      <c r="C92" s="390">
        <f t="shared" ref="C92:AH92" si="44">C$56+C$81+C$82+C$85+C$86</f>
        <v>0</v>
      </c>
      <c r="D92" s="390">
        <f t="shared" si="44"/>
        <v>0</v>
      </c>
      <c r="E92" s="390">
        <f t="shared" si="44"/>
        <v>0</v>
      </c>
      <c r="F92" s="390">
        <f t="shared" si="44"/>
        <v>0</v>
      </c>
      <c r="G92" s="390">
        <f t="shared" si="44"/>
        <v>0</v>
      </c>
      <c r="H92" s="390">
        <f t="shared" si="44"/>
        <v>1572000</v>
      </c>
      <c r="I92" s="390">
        <f t="shared" si="44"/>
        <v>1961000</v>
      </c>
      <c r="J92" s="390">
        <f t="shared" si="44"/>
        <v>2347000</v>
      </c>
      <c r="K92" s="390">
        <f t="shared" si="44"/>
        <v>2736000</v>
      </c>
      <c r="L92" s="390">
        <f t="shared" si="44"/>
        <v>3122000</v>
      </c>
      <c r="M92" s="390">
        <f t="shared" si="44"/>
        <v>3511000</v>
      </c>
      <c r="N92" s="390">
        <f t="shared" si="44"/>
        <v>3122000</v>
      </c>
      <c r="O92" s="390">
        <f t="shared" si="44"/>
        <v>6208140</v>
      </c>
      <c r="P92" s="390">
        <f t="shared" si="44"/>
        <v>9931740</v>
      </c>
      <c r="Q92" s="390">
        <f t="shared" si="44"/>
        <v>11174010</v>
      </c>
      <c r="R92" s="390">
        <f t="shared" si="44"/>
        <v>11174010</v>
      </c>
      <c r="S92" s="390">
        <f t="shared" si="44"/>
        <v>11174010</v>
      </c>
      <c r="T92" s="390">
        <f t="shared" si="44"/>
        <v>11174010</v>
      </c>
      <c r="U92" s="390">
        <f t="shared" si="44"/>
        <v>11174010</v>
      </c>
      <c r="V92" s="390">
        <f t="shared" si="44"/>
        <v>11174010</v>
      </c>
      <c r="W92" s="390">
        <f t="shared" si="44"/>
        <v>11174010</v>
      </c>
      <c r="X92" s="390">
        <f t="shared" si="44"/>
        <v>11174010</v>
      </c>
      <c r="Y92" s="390">
        <f t="shared" si="44"/>
        <v>11174010</v>
      </c>
      <c r="Z92" s="390">
        <f t="shared" si="44"/>
        <v>7450410</v>
      </c>
      <c r="AA92" s="390">
        <f t="shared" si="44"/>
        <v>19035107.400000002</v>
      </c>
      <c r="AB92" s="390">
        <f t="shared" si="44"/>
        <v>30466933.900000006</v>
      </c>
      <c r="AC92" s="390">
        <f t="shared" si="44"/>
        <v>34270291.700000003</v>
      </c>
      <c r="AD92" s="390">
        <f t="shared" si="44"/>
        <v>34270291.700000003</v>
      </c>
      <c r="AE92" s="390">
        <f t="shared" si="44"/>
        <v>34270291.700000003</v>
      </c>
      <c r="AF92" s="390">
        <f t="shared" si="44"/>
        <v>34270291.700000003</v>
      </c>
      <c r="AG92" s="390">
        <f t="shared" si="44"/>
        <v>34270291.700000003</v>
      </c>
      <c r="AH92" s="390">
        <f t="shared" si="44"/>
        <v>34270291.700000003</v>
      </c>
      <c r="AI92" s="390">
        <f t="shared" ref="AI92:BJ92" si="45">AI$56+AI$81+AI$82+AI$85+AI$86</f>
        <v>34270291.700000003</v>
      </c>
      <c r="AJ92" s="390">
        <f t="shared" si="45"/>
        <v>34270291.700000003</v>
      </c>
      <c r="AK92" s="390">
        <f t="shared" si="45"/>
        <v>34270291.700000003</v>
      </c>
      <c r="AL92" s="390">
        <f t="shared" si="45"/>
        <v>22838465.199999999</v>
      </c>
      <c r="AM92" s="390">
        <f t="shared" si="45"/>
        <v>26231845.759000003</v>
      </c>
      <c r="AN92" s="390">
        <f t="shared" si="45"/>
        <v>41968748.137000009</v>
      </c>
      <c r="AO92" s="390">
        <f t="shared" si="45"/>
        <v>47214382.263000011</v>
      </c>
      <c r="AP92" s="390">
        <f t="shared" si="45"/>
        <v>47214382.263000011</v>
      </c>
      <c r="AQ92" s="390">
        <f t="shared" si="45"/>
        <v>47214382.263000011</v>
      </c>
      <c r="AR92" s="390">
        <f t="shared" si="45"/>
        <v>47214382.263000011</v>
      </c>
      <c r="AS92" s="390">
        <f t="shared" si="45"/>
        <v>47214382.263000011</v>
      </c>
      <c r="AT92" s="390">
        <f t="shared" si="45"/>
        <v>47214382.263000011</v>
      </c>
      <c r="AU92" s="390">
        <f t="shared" si="45"/>
        <v>47214382.263000011</v>
      </c>
      <c r="AV92" s="390">
        <f t="shared" si="45"/>
        <v>47214382.263000011</v>
      </c>
      <c r="AW92" s="390">
        <f t="shared" si="45"/>
        <v>47214382.263000011</v>
      </c>
      <c r="AX92" s="390">
        <f t="shared" si="45"/>
        <v>31477479.885000005</v>
      </c>
      <c r="AY92" s="390">
        <f t="shared" si="45"/>
        <v>25392311.540670004</v>
      </c>
      <c r="AZ92" s="390">
        <f t="shared" si="45"/>
        <v>40635095.457890004</v>
      </c>
      <c r="BA92" s="390">
        <f t="shared" si="45"/>
        <v>45695299.175600007</v>
      </c>
      <c r="BB92" s="390">
        <f t="shared" si="45"/>
        <v>45695299.175600007</v>
      </c>
      <c r="BC92" s="390">
        <f t="shared" si="45"/>
        <v>45695299.175600007</v>
      </c>
      <c r="BD92" s="390">
        <f t="shared" si="45"/>
        <v>45695299.175600007</v>
      </c>
      <c r="BE92" s="390">
        <f t="shared" si="45"/>
        <v>45695299.175600007</v>
      </c>
      <c r="BF92" s="390">
        <f t="shared" si="45"/>
        <v>45695299.175600007</v>
      </c>
      <c r="BG92" s="390">
        <f t="shared" si="45"/>
        <v>45695299.175600007</v>
      </c>
      <c r="BH92" s="390">
        <f t="shared" si="45"/>
        <v>45695299.175600007</v>
      </c>
      <c r="BI92" s="390">
        <f t="shared" si="45"/>
        <v>45695299.175600007</v>
      </c>
      <c r="BJ92" s="390">
        <f t="shared" si="45"/>
        <v>30481635.446410004</v>
      </c>
    </row>
    <row r="93" spans="1:64" x14ac:dyDescent="0.15">
      <c r="A93" s="33" t="str">
        <f>"Net Revenue " &amp; A50</f>
        <v>Net Revenue Producto Fusión</v>
      </c>
      <c r="C93" s="390">
        <f>C$69+C$81+C$82+C$85+C$86</f>
        <v>0</v>
      </c>
      <c r="D93" s="390">
        <f t="shared" ref="D93:BJ93" si="46">D$69+D$81+D$82+D$85+D$86</f>
        <v>0</v>
      </c>
      <c r="E93" s="390">
        <f t="shared" si="46"/>
        <v>0</v>
      </c>
      <c r="F93" s="390">
        <f t="shared" si="46"/>
        <v>0</v>
      </c>
      <c r="G93" s="390">
        <f t="shared" si="46"/>
        <v>0</v>
      </c>
      <c r="H93" s="390">
        <f t="shared" si="46"/>
        <v>799200</v>
      </c>
      <c r="I93" s="390">
        <f t="shared" si="46"/>
        <v>997800</v>
      </c>
      <c r="J93" s="390">
        <f t="shared" si="46"/>
        <v>1193400</v>
      </c>
      <c r="K93" s="390">
        <f t="shared" si="46"/>
        <v>1392000</v>
      </c>
      <c r="L93" s="390">
        <f t="shared" si="46"/>
        <v>1587600</v>
      </c>
      <c r="M93" s="390">
        <f t="shared" si="46"/>
        <v>1786200</v>
      </c>
      <c r="N93" s="390">
        <f t="shared" si="46"/>
        <v>1587600</v>
      </c>
      <c r="O93" s="390">
        <f t="shared" si="46"/>
        <v>3173640</v>
      </c>
      <c r="P93" s="390">
        <f t="shared" si="46"/>
        <v>5076540</v>
      </c>
      <c r="Q93" s="390">
        <f t="shared" si="46"/>
        <v>5711910</v>
      </c>
      <c r="R93" s="390">
        <f t="shared" si="46"/>
        <v>5711910</v>
      </c>
      <c r="S93" s="390">
        <f t="shared" si="46"/>
        <v>5711910</v>
      </c>
      <c r="T93" s="390">
        <f t="shared" si="46"/>
        <v>5711910</v>
      </c>
      <c r="U93" s="390">
        <f t="shared" si="46"/>
        <v>5711910</v>
      </c>
      <c r="V93" s="390">
        <f t="shared" si="46"/>
        <v>5711910</v>
      </c>
      <c r="W93" s="390">
        <f t="shared" si="46"/>
        <v>5711910</v>
      </c>
      <c r="X93" s="390">
        <f t="shared" si="46"/>
        <v>5711910</v>
      </c>
      <c r="Y93" s="390">
        <f t="shared" si="46"/>
        <v>5711910</v>
      </c>
      <c r="Z93" s="390">
        <f t="shared" si="46"/>
        <v>3809010</v>
      </c>
      <c r="AA93" s="390">
        <f t="shared" si="46"/>
        <v>9851933.4000000004</v>
      </c>
      <c r="AB93" s="390">
        <f t="shared" si="46"/>
        <v>15768795.900000006</v>
      </c>
      <c r="AC93" s="390">
        <f t="shared" si="46"/>
        <v>17738048.700000007</v>
      </c>
      <c r="AD93" s="390">
        <f t="shared" si="46"/>
        <v>17738048.700000007</v>
      </c>
      <c r="AE93" s="390">
        <f t="shared" si="46"/>
        <v>17738048.700000007</v>
      </c>
      <c r="AF93" s="390">
        <f t="shared" si="46"/>
        <v>17738048.700000007</v>
      </c>
      <c r="AG93" s="390">
        <f t="shared" si="46"/>
        <v>17738048.700000007</v>
      </c>
      <c r="AH93" s="390">
        <f t="shared" si="46"/>
        <v>17738048.700000007</v>
      </c>
      <c r="AI93" s="390">
        <f t="shared" si="46"/>
        <v>17738048.700000007</v>
      </c>
      <c r="AJ93" s="390">
        <f t="shared" si="46"/>
        <v>17738048.700000007</v>
      </c>
      <c r="AK93" s="390">
        <f t="shared" si="46"/>
        <v>17738048.700000007</v>
      </c>
      <c r="AL93" s="390">
        <f t="shared" si="46"/>
        <v>11821186.200000001</v>
      </c>
      <c r="AM93" s="390">
        <f t="shared" si="46"/>
        <v>14405030.759000001</v>
      </c>
      <c r="AN93" s="390">
        <f t="shared" si="46"/>
        <v>23045844.137000006</v>
      </c>
      <c r="AO93" s="390">
        <f t="shared" si="46"/>
        <v>25926115.263000008</v>
      </c>
      <c r="AP93" s="390">
        <f t="shared" si="46"/>
        <v>25926115.263000008</v>
      </c>
      <c r="AQ93" s="390">
        <f t="shared" si="46"/>
        <v>25926115.263000008</v>
      </c>
      <c r="AR93" s="390">
        <f t="shared" si="46"/>
        <v>25926115.263000008</v>
      </c>
      <c r="AS93" s="390">
        <f t="shared" si="46"/>
        <v>25926115.263000008</v>
      </c>
      <c r="AT93" s="390">
        <f t="shared" si="46"/>
        <v>25926115.263000008</v>
      </c>
      <c r="AU93" s="390">
        <f t="shared" si="46"/>
        <v>25926115.263000008</v>
      </c>
      <c r="AV93" s="390">
        <f t="shared" si="46"/>
        <v>25926115.263000008</v>
      </c>
      <c r="AW93" s="390">
        <f t="shared" si="46"/>
        <v>25926115.263000008</v>
      </c>
      <c r="AX93" s="390">
        <f t="shared" si="46"/>
        <v>17285301.885000005</v>
      </c>
      <c r="AY93" s="390">
        <f t="shared" si="46"/>
        <v>12439547.450670002</v>
      </c>
      <c r="AZ93" s="390">
        <f t="shared" si="46"/>
        <v>19907982.827890005</v>
      </c>
      <c r="BA93" s="390">
        <f t="shared" si="46"/>
        <v>22385703.985600006</v>
      </c>
      <c r="BB93" s="390">
        <f t="shared" si="46"/>
        <v>22385703.985600006</v>
      </c>
      <c r="BC93" s="390">
        <f t="shared" si="46"/>
        <v>22385703.985600006</v>
      </c>
      <c r="BD93" s="390">
        <f t="shared" si="46"/>
        <v>22385703.985600006</v>
      </c>
      <c r="BE93" s="390">
        <f t="shared" si="46"/>
        <v>22385703.985600006</v>
      </c>
      <c r="BF93" s="390">
        <f t="shared" si="46"/>
        <v>22385703.985600006</v>
      </c>
      <c r="BG93" s="390">
        <f t="shared" si="46"/>
        <v>22385703.985600006</v>
      </c>
      <c r="BH93" s="390">
        <f t="shared" si="46"/>
        <v>22385703.985600006</v>
      </c>
      <c r="BI93" s="390">
        <f t="shared" si="46"/>
        <v>22385703.985600006</v>
      </c>
      <c r="BJ93" s="390">
        <f t="shared" si="46"/>
        <v>14932938.366410004</v>
      </c>
    </row>
    <row r="94" spans="1:64" x14ac:dyDescent="0.15">
      <c r="A94" s="33" t="s">
        <v>349</v>
      </c>
      <c r="C94" s="390">
        <f t="shared" ref="C94:AH94" si="47">C47+C46+C43+C42+C17+C56+C81+C82+C85+C86</f>
        <v>0</v>
      </c>
      <c r="D94" s="390">
        <f t="shared" si="47"/>
        <v>0</v>
      </c>
      <c r="E94" s="390">
        <f t="shared" si="47"/>
        <v>0</v>
      </c>
      <c r="F94" s="390">
        <f t="shared" si="47"/>
        <v>1092000</v>
      </c>
      <c r="G94" s="390">
        <f t="shared" si="47"/>
        <v>1498000</v>
      </c>
      <c r="H94" s="390">
        <f t="shared" si="47"/>
        <v>3918000</v>
      </c>
      <c r="I94" s="390">
        <f t="shared" si="47"/>
        <v>4897000</v>
      </c>
      <c r="J94" s="390">
        <f t="shared" si="47"/>
        <v>5873000</v>
      </c>
      <c r="K94" s="390">
        <f t="shared" si="47"/>
        <v>6852000</v>
      </c>
      <c r="L94" s="390">
        <f t="shared" si="47"/>
        <v>7828000</v>
      </c>
      <c r="M94" s="390">
        <f t="shared" si="47"/>
        <v>8807000</v>
      </c>
      <c r="N94" s="390">
        <f t="shared" si="47"/>
        <v>7828000</v>
      </c>
      <c r="O94" s="390">
        <f t="shared" si="47"/>
        <v>15196140</v>
      </c>
      <c r="P94" s="390">
        <f t="shared" si="47"/>
        <v>24323240</v>
      </c>
      <c r="Q94" s="390">
        <f t="shared" si="47"/>
        <v>27354550</v>
      </c>
      <c r="R94" s="390">
        <f t="shared" si="47"/>
        <v>27354550</v>
      </c>
      <c r="S94" s="390">
        <f t="shared" si="47"/>
        <v>27354550</v>
      </c>
      <c r="T94" s="390">
        <f t="shared" si="47"/>
        <v>27354550</v>
      </c>
      <c r="U94" s="390">
        <f t="shared" si="47"/>
        <v>27354550</v>
      </c>
      <c r="V94" s="390">
        <f t="shared" si="47"/>
        <v>27354550</v>
      </c>
      <c r="W94" s="390">
        <f t="shared" si="47"/>
        <v>27354550</v>
      </c>
      <c r="X94" s="390">
        <f t="shared" si="47"/>
        <v>27354550</v>
      </c>
      <c r="Y94" s="390">
        <f t="shared" si="47"/>
        <v>27354550</v>
      </c>
      <c r="Z94" s="390">
        <f t="shared" si="47"/>
        <v>18242430</v>
      </c>
      <c r="AA94" s="390">
        <f t="shared" si="47"/>
        <v>31448113.200000003</v>
      </c>
      <c r="AB94" s="390">
        <f t="shared" si="47"/>
        <v>50312630.5</v>
      </c>
      <c r="AC94" s="390">
        <f t="shared" si="47"/>
        <v>56594696.800000004</v>
      </c>
      <c r="AD94" s="390">
        <f t="shared" si="47"/>
        <v>56594696.800000004</v>
      </c>
      <c r="AE94" s="390">
        <f t="shared" si="47"/>
        <v>56594696.800000004</v>
      </c>
      <c r="AF94" s="390">
        <f t="shared" si="47"/>
        <v>56594696.800000004</v>
      </c>
      <c r="AG94" s="390">
        <f t="shared" si="47"/>
        <v>56594696.800000004</v>
      </c>
      <c r="AH94" s="390">
        <f t="shared" si="47"/>
        <v>56594696.800000004</v>
      </c>
      <c r="AI94" s="390">
        <f t="shared" ref="AI94:BJ94" si="48">AI47+AI46+AI43+AI42+AI17+AI56+AI81+AI82+AI85+AI86</f>
        <v>56594696.800000004</v>
      </c>
      <c r="AJ94" s="390">
        <f t="shared" si="48"/>
        <v>56594696.800000004</v>
      </c>
      <c r="AK94" s="390">
        <f t="shared" si="48"/>
        <v>56594696.800000004</v>
      </c>
      <c r="AL94" s="390">
        <f t="shared" si="48"/>
        <v>37730179.5</v>
      </c>
      <c r="AM94" s="390">
        <f t="shared" si="48"/>
        <v>60348068.266000003</v>
      </c>
      <c r="AN94" s="390">
        <f t="shared" si="48"/>
        <v>96566464.561000019</v>
      </c>
      <c r="AO94" s="390">
        <f t="shared" si="48"/>
        <v>108638038.28300001</v>
      </c>
      <c r="AP94" s="390">
        <f t="shared" si="48"/>
        <v>108638038.28300001</v>
      </c>
      <c r="AQ94" s="390">
        <f t="shared" si="48"/>
        <v>108638038.28300001</v>
      </c>
      <c r="AR94" s="390">
        <f t="shared" si="48"/>
        <v>108638038.28300001</v>
      </c>
      <c r="AS94" s="390">
        <f t="shared" si="48"/>
        <v>108638038.28300001</v>
      </c>
      <c r="AT94" s="390">
        <f t="shared" si="48"/>
        <v>108638038.28300001</v>
      </c>
      <c r="AU94" s="390">
        <f t="shared" si="48"/>
        <v>108638038.28300001</v>
      </c>
      <c r="AV94" s="390">
        <f t="shared" si="48"/>
        <v>108638038.28300001</v>
      </c>
      <c r="AW94" s="390">
        <f t="shared" si="48"/>
        <v>108638038.28300001</v>
      </c>
      <c r="AX94" s="390">
        <f t="shared" si="48"/>
        <v>72419641.98800002</v>
      </c>
      <c r="AY94" s="390">
        <f t="shared" si="48"/>
        <v>62991184.291510016</v>
      </c>
      <c r="AZ94" s="390">
        <f t="shared" si="48"/>
        <v>100812429.48098002</v>
      </c>
      <c r="BA94" s="390">
        <f t="shared" si="48"/>
        <v>113390048.31604002</v>
      </c>
      <c r="BB94" s="390">
        <f t="shared" si="48"/>
        <v>113390048.31604002</v>
      </c>
      <c r="BC94" s="390">
        <f t="shared" si="48"/>
        <v>113390048.31604002</v>
      </c>
      <c r="BD94" s="390">
        <f t="shared" si="48"/>
        <v>113390048.31604002</v>
      </c>
      <c r="BE94" s="390">
        <f t="shared" si="48"/>
        <v>113390048.31604002</v>
      </c>
      <c r="BF94" s="390">
        <f t="shared" si="48"/>
        <v>113390048.31604002</v>
      </c>
      <c r="BG94" s="390">
        <f t="shared" si="48"/>
        <v>113390048.31604002</v>
      </c>
      <c r="BH94" s="390">
        <f t="shared" si="48"/>
        <v>113390048.31604002</v>
      </c>
      <c r="BI94" s="390">
        <f t="shared" si="48"/>
        <v>113390048.31604002</v>
      </c>
      <c r="BJ94" s="390">
        <f t="shared" si="48"/>
        <v>75620206.846770018</v>
      </c>
      <c r="BK94" s="118">
        <f>SUM(C94:BJ94)</f>
        <v>3448399729.2256198</v>
      </c>
      <c r="BL94" s="97">
        <f>BK47+BK46+BK43+BK42+BK17</f>
        <v>1892724968.2522511</v>
      </c>
    </row>
    <row r="95" spans="1:64" x14ac:dyDescent="0.15">
      <c r="A95" s="33" t="s">
        <v>354</v>
      </c>
      <c r="C95" s="390">
        <f t="shared" ref="C95:AH95" si="49">C30+C42+C43+C46+C47+C69+C81+C82+C85+C86</f>
        <v>0</v>
      </c>
      <c r="D95" s="390">
        <f t="shared" si="49"/>
        <v>0</v>
      </c>
      <c r="E95" s="390">
        <f t="shared" si="49"/>
        <v>0</v>
      </c>
      <c r="F95" s="390">
        <f t="shared" si="49"/>
        <v>351000</v>
      </c>
      <c r="G95" s="390">
        <f t="shared" si="49"/>
        <v>481500</v>
      </c>
      <c r="H95" s="390">
        <f t="shared" si="49"/>
        <v>1586700</v>
      </c>
      <c r="I95" s="390">
        <f t="shared" si="49"/>
        <v>1983300</v>
      </c>
      <c r="J95" s="390">
        <f t="shared" si="49"/>
        <v>2376900</v>
      </c>
      <c r="K95" s="390">
        <f t="shared" si="49"/>
        <v>2773500</v>
      </c>
      <c r="L95" s="390">
        <f t="shared" si="49"/>
        <v>3167100</v>
      </c>
      <c r="M95" s="390">
        <f t="shared" si="49"/>
        <v>3563700</v>
      </c>
      <c r="N95" s="390">
        <f t="shared" si="49"/>
        <v>3167100</v>
      </c>
      <c r="O95" s="390">
        <f t="shared" si="49"/>
        <v>6213285</v>
      </c>
      <c r="P95" s="390">
        <f t="shared" si="49"/>
        <v>9943020</v>
      </c>
      <c r="Q95" s="390">
        <f t="shared" si="49"/>
        <v>11182785</v>
      </c>
      <c r="R95" s="390">
        <f t="shared" si="49"/>
        <v>11182785</v>
      </c>
      <c r="S95" s="390">
        <f t="shared" si="49"/>
        <v>11182785</v>
      </c>
      <c r="T95" s="390">
        <f t="shared" si="49"/>
        <v>11182785</v>
      </c>
      <c r="U95" s="390">
        <f t="shared" si="49"/>
        <v>11182785</v>
      </c>
      <c r="V95" s="390">
        <f t="shared" si="49"/>
        <v>11182785</v>
      </c>
      <c r="W95" s="390">
        <f t="shared" si="49"/>
        <v>11182785</v>
      </c>
      <c r="X95" s="390">
        <f t="shared" si="49"/>
        <v>11182785</v>
      </c>
      <c r="Y95" s="390">
        <f t="shared" si="49"/>
        <v>11182785</v>
      </c>
      <c r="Z95" s="390">
        <f t="shared" si="49"/>
        <v>7457865</v>
      </c>
      <c r="AA95" s="390">
        <f t="shared" si="49"/>
        <v>14097363.9</v>
      </c>
      <c r="AB95" s="390">
        <f t="shared" si="49"/>
        <v>22554817.950000007</v>
      </c>
      <c r="AC95" s="390">
        <f t="shared" si="49"/>
        <v>25371679.500000007</v>
      </c>
      <c r="AD95" s="390">
        <f t="shared" si="49"/>
        <v>25371679.500000007</v>
      </c>
      <c r="AE95" s="390">
        <f t="shared" si="49"/>
        <v>25371679.500000007</v>
      </c>
      <c r="AF95" s="390">
        <f t="shared" si="49"/>
        <v>25371679.500000007</v>
      </c>
      <c r="AG95" s="390">
        <f t="shared" si="49"/>
        <v>25371679.500000007</v>
      </c>
      <c r="AH95" s="390">
        <f t="shared" si="49"/>
        <v>25371679.500000007</v>
      </c>
      <c r="AI95" s="390">
        <f t="shared" ref="AI95:BJ95" si="50">AI30+AI42+AI43+AI46+AI47+AI69+AI81+AI82+AI85+AI86</f>
        <v>25371679.500000007</v>
      </c>
      <c r="AJ95" s="390">
        <f t="shared" si="50"/>
        <v>25371679.500000007</v>
      </c>
      <c r="AK95" s="390">
        <f t="shared" si="50"/>
        <v>25371679.500000007</v>
      </c>
      <c r="AL95" s="390">
        <f t="shared" si="50"/>
        <v>16914225.449999999</v>
      </c>
      <c r="AM95" s="390">
        <f t="shared" si="50"/>
        <v>26096802.279500004</v>
      </c>
      <c r="AN95" s="390">
        <f t="shared" si="50"/>
        <v>41756976.237500012</v>
      </c>
      <c r="AO95" s="390">
        <f t="shared" si="50"/>
        <v>46976209.180500016</v>
      </c>
      <c r="AP95" s="390">
        <f t="shared" si="50"/>
        <v>46976209.180500016</v>
      </c>
      <c r="AQ95" s="390">
        <f t="shared" si="50"/>
        <v>46976209.180500016</v>
      </c>
      <c r="AR95" s="390">
        <f t="shared" si="50"/>
        <v>46976209.180500016</v>
      </c>
      <c r="AS95" s="390">
        <f t="shared" si="50"/>
        <v>46976209.180500016</v>
      </c>
      <c r="AT95" s="390">
        <f t="shared" si="50"/>
        <v>46976209.180500016</v>
      </c>
      <c r="AU95" s="390">
        <f t="shared" si="50"/>
        <v>46976209.180500016</v>
      </c>
      <c r="AV95" s="390">
        <f t="shared" si="50"/>
        <v>46976209.180500016</v>
      </c>
      <c r="AW95" s="390">
        <f t="shared" si="50"/>
        <v>46976209.180500016</v>
      </c>
      <c r="AX95" s="390">
        <f t="shared" si="50"/>
        <v>31316035.222500008</v>
      </c>
      <c r="AY95" s="390">
        <f t="shared" si="50"/>
        <v>25373638.168635003</v>
      </c>
      <c r="AZ95" s="390">
        <f t="shared" si="50"/>
        <v>40608973.036285006</v>
      </c>
      <c r="BA95" s="390">
        <f t="shared" si="50"/>
        <v>45671872.904770017</v>
      </c>
      <c r="BB95" s="390">
        <f t="shared" si="50"/>
        <v>45671872.904770017</v>
      </c>
      <c r="BC95" s="390">
        <f t="shared" si="50"/>
        <v>45671872.904770017</v>
      </c>
      <c r="BD95" s="390">
        <f t="shared" si="50"/>
        <v>45671872.904770017</v>
      </c>
      <c r="BE95" s="390">
        <f t="shared" si="50"/>
        <v>45671872.904770017</v>
      </c>
      <c r="BF95" s="390">
        <f t="shared" si="50"/>
        <v>45671872.904770017</v>
      </c>
      <c r="BG95" s="390">
        <f t="shared" si="50"/>
        <v>45671872.904770017</v>
      </c>
      <c r="BH95" s="390">
        <f t="shared" si="50"/>
        <v>45671872.904770017</v>
      </c>
      <c r="BI95" s="390">
        <f t="shared" si="50"/>
        <v>45671872.904770017</v>
      </c>
      <c r="BJ95" s="390">
        <f t="shared" si="50"/>
        <v>30460838.765225008</v>
      </c>
      <c r="BK95" s="118">
        <f>SUM(C95:BJ95)</f>
        <v>1455067560.2770748</v>
      </c>
    </row>
    <row r="96" spans="1:64" x14ac:dyDescent="0.15">
      <c r="C96" s="403">
        <f t="shared" ref="C96:E97" si="51">C90+C92</f>
        <v>0</v>
      </c>
      <c r="D96" s="403">
        <f t="shared" si="51"/>
        <v>0</v>
      </c>
      <c r="E96" s="403">
        <f t="shared" si="51"/>
        <v>0</v>
      </c>
      <c r="F96" s="403">
        <f>F90+F92</f>
        <v>1092000</v>
      </c>
      <c r="G96" s="403">
        <f t="shared" ref="G96:M97" si="52">G90+G92</f>
        <v>1498000</v>
      </c>
      <c r="H96" s="403">
        <f t="shared" si="52"/>
        <v>3918000</v>
      </c>
      <c r="I96" s="403">
        <f t="shared" si="52"/>
        <v>4897000</v>
      </c>
      <c r="J96" s="403">
        <f t="shared" si="52"/>
        <v>5873000</v>
      </c>
      <c r="K96" s="403">
        <f t="shared" si="52"/>
        <v>6852000</v>
      </c>
      <c r="L96" s="403">
        <f t="shared" si="52"/>
        <v>7828000</v>
      </c>
      <c r="M96" s="403">
        <f t="shared" si="52"/>
        <v>8807000</v>
      </c>
      <c r="N96" s="403">
        <f>N$90+N$92</f>
        <v>7828000</v>
      </c>
      <c r="O96" s="403">
        <f>O$90+O$92</f>
        <v>15196140</v>
      </c>
      <c r="P96" s="403">
        <f t="shared" ref="P96:BJ96" si="53">P$90+P$92</f>
        <v>24323240</v>
      </c>
      <c r="Q96" s="403">
        <f t="shared" si="53"/>
        <v>27354550</v>
      </c>
      <c r="R96" s="403">
        <f t="shared" si="53"/>
        <v>27354550</v>
      </c>
      <c r="S96" s="403">
        <f t="shared" si="53"/>
        <v>27354550</v>
      </c>
      <c r="T96" s="403">
        <f t="shared" si="53"/>
        <v>27354550</v>
      </c>
      <c r="U96" s="403">
        <f t="shared" si="53"/>
        <v>27354550</v>
      </c>
      <c r="V96" s="403">
        <f t="shared" si="53"/>
        <v>27354550</v>
      </c>
      <c r="W96" s="403">
        <f t="shared" si="53"/>
        <v>27354550</v>
      </c>
      <c r="X96" s="403">
        <f t="shared" si="53"/>
        <v>27354550</v>
      </c>
      <c r="Y96" s="403">
        <f t="shared" si="53"/>
        <v>27354550</v>
      </c>
      <c r="Z96" s="403">
        <f t="shared" si="53"/>
        <v>18242430</v>
      </c>
      <c r="AA96" s="403">
        <f t="shared" si="53"/>
        <v>31448113.200000003</v>
      </c>
      <c r="AB96" s="403">
        <f t="shared" si="53"/>
        <v>50312630.500000007</v>
      </c>
      <c r="AC96" s="403">
        <f t="shared" si="53"/>
        <v>56594696.800000004</v>
      </c>
      <c r="AD96" s="403">
        <f t="shared" si="53"/>
        <v>56594696.800000004</v>
      </c>
      <c r="AE96" s="403">
        <f t="shared" si="53"/>
        <v>56594696.800000004</v>
      </c>
      <c r="AF96" s="403">
        <f t="shared" si="53"/>
        <v>56594696.800000004</v>
      </c>
      <c r="AG96" s="403">
        <f t="shared" si="53"/>
        <v>56594696.800000004</v>
      </c>
      <c r="AH96" s="403">
        <f t="shared" si="53"/>
        <v>56594696.800000004</v>
      </c>
      <c r="AI96" s="403">
        <f t="shared" si="53"/>
        <v>56594696.800000004</v>
      </c>
      <c r="AJ96" s="403">
        <f t="shared" si="53"/>
        <v>56594696.800000004</v>
      </c>
      <c r="AK96" s="403">
        <f t="shared" si="53"/>
        <v>56594696.800000004</v>
      </c>
      <c r="AL96" s="403">
        <f t="shared" si="53"/>
        <v>37730179.5</v>
      </c>
      <c r="AM96" s="403">
        <f t="shared" si="53"/>
        <v>60348068.26600001</v>
      </c>
      <c r="AN96" s="403">
        <f t="shared" si="53"/>
        <v>96566464.561000019</v>
      </c>
      <c r="AO96" s="403">
        <f t="shared" si="53"/>
        <v>108638038.28300002</v>
      </c>
      <c r="AP96" s="403">
        <f t="shared" si="53"/>
        <v>108638038.28300002</v>
      </c>
      <c r="AQ96" s="403">
        <f t="shared" si="53"/>
        <v>108638038.28300002</v>
      </c>
      <c r="AR96" s="403">
        <f t="shared" si="53"/>
        <v>108638038.28300002</v>
      </c>
      <c r="AS96" s="403">
        <f t="shared" si="53"/>
        <v>108638038.28300002</v>
      </c>
      <c r="AT96" s="403">
        <f t="shared" si="53"/>
        <v>108638038.28300002</v>
      </c>
      <c r="AU96" s="403">
        <f t="shared" si="53"/>
        <v>108638038.28300002</v>
      </c>
      <c r="AV96" s="403">
        <f t="shared" si="53"/>
        <v>108638038.28300002</v>
      </c>
      <c r="AW96" s="403">
        <f t="shared" si="53"/>
        <v>108638038.28300002</v>
      </c>
      <c r="AX96" s="403">
        <f t="shared" si="53"/>
        <v>72419641.988000005</v>
      </c>
      <c r="AY96" s="403">
        <f t="shared" si="53"/>
        <v>62991184.291510016</v>
      </c>
      <c r="AZ96" s="403">
        <f t="shared" si="53"/>
        <v>100812429.48098001</v>
      </c>
      <c r="BA96" s="403">
        <f t="shared" si="53"/>
        <v>113390048.31604002</v>
      </c>
      <c r="BB96" s="403">
        <f t="shared" si="53"/>
        <v>113390048.31604002</v>
      </c>
      <c r="BC96" s="403">
        <f t="shared" si="53"/>
        <v>113390048.31604002</v>
      </c>
      <c r="BD96" s="403">
        <f t="shared" si="53"/>
        <v>113390048.31604002</v>
      </c>
      <c r="BE96" s="403">
        <f t="shared" si="53"/>
        <v>113390048.31604002</v>
      </c>
      <c r="BF96" s="403">
        <f t="shared" si="53"/>
        <v>113390048.31604002</v>
      </c>
      <c r="BG96" s="403">
        <f t="shared" si="53"/>
        <v>113390048.31604002</v>
      </c>
      <c r="BH96" s="403">
        <f t="shared" si="53"/>
        <v>113390048.31604002</v>
      </c>
      <c r="BI96" s="403">
        <f t="shared" si="53"/>
        <v>113390048.31604002</v>
      </c>
      <c r="BJ96" s="403">
        <f t="shared" si="53"/>
        <v>75620206.846770018</v>
      </c>
    </row>
    <row r="97" spans="3:62" x14ac:dyDescent="0.15">
      <c r="C97" s="403">
        <f t="shared" si="51"/>
        <v>0</v>
      </c>
      <c r="D97" s="403">
        <f t="shared" si="51"/>
        <v>0</v>
      </c>
      <c r="E97" s="403">
        <f t="shared" si="51"/>
        <v>0</v>
      </c>
      <c r="F97" s="403">
        <f>F91+F93</f>
        <v>351000</v>
      </c>
      <c r="G97" s="403">
        <f t="shared" si="52"/>
        <v>481500</v>
      </c>
      <c r="H97" s="403">
        <f t="shared" si="52"/>
        <v>1586700</v>
      </c>
      <c r="I97" s="403">
        <f t="shared" si="52"/>
        <v>1983300</v>
      </c>
      <c r="J97" s="403">
        <f t="shared" si="52"/>
        <v>2376900</v>
      </c>
      <c r="K97" s="403">
        <f t="shared" si="52"/>
        <v>2773500</v>
      </c>
      <c r="L97" s="403">
        <f t="shared" si="52"/>
        <v>3167100</v>
      </c>
      <c r="M97" s="403">
        <f t="shared" si="52"/>
        <v>3563700</v>
      </c>
      <c r="N97" s="403">
        <f>N$91+N$93</f>
        <v>3167100</v>
      </c>
      <c r="O97" s="403">
        <f>O$91+O$93</f>
        <v>6213285</v>
      </c>
      <c r="P97" s="403">
        <f t="shared" ref="P97:BJ97" si="54">P$91+P$93</f>
        <v>9943020</v>
      </c>
      <c r="Q97" s="403">
        <f t="shared" si="54"/>
        <v>11182785</v>
      </c>
      <c r="R97" s="403">
        <f t="shared" si="54"/>
        <v>11182785</v>
      </c>
      <c r="S97" s="403">
        <f t="shared" si="54"/>
        <v>11182785</v>
      </c>
      <c r="T97" s="403">
        <f t="shared" si="54"/>
        <v>11182785</v>
      </c>
      <c r="U97" s="403">
        <f t="shared" si="54"/>
        <v>11182785</v>
      </c>
      <c r="V97" s="403">
        <f t="shared" si="54"/>
        <v>11182785</v>
      </c>
      <c r="W97" s="403">
        <f t="shared" si="54"/>
        <v>11182785</v>
      </c>
      <c r="X97" s="403">
        <f t="shared" si="54"/>
        <v>11182785</v>
      </c>
      <c r="Y97" s="403">
        <f t="shared" si="54"/>
        <v>11182785</v>
      </c>
      <c r="Z97" s="403">
        <f t="shared" si="54"/>
        <v>7457865</v>
      </c>
      <c r="AA97" s="403">
        <f t="shared" si="54"/>
        <v>14097363.899999999</v>
      </c>
      <c r="AB97" s="403">
        <f t="shared" si="54"/>
        <v>22554817.950000007</v>
      </c>
      <c r="AC97" s="403">
        <f t="shared" si="54"/>
        <v>25371679.500000007</v>
      </c>
      <c r="AD97" s="403">
        <f t="shared" si="54"/>
        <v>25371679.500000007</v>
      </c>
      <c r="AE97" s="403">
        <f t="shared" si="54"/>
        <v>25371679.500000007</v>
      </c>
      <c r="AF97" s="403">
        <f t="shared" si="54"/>
        <v>25371679.500000007</v>
      </c>
      <c r="AG97" s="403">
        <f t="shared" si="54"/>
        <v>25371679.500000007</v>
      </c>
      <c r="AH97" s="403">
        <f t="shared" si="54"/>
        <v>25371679.500000007</v>
      </c>
      <c r="AI97" s="403">
        <f t="shared" si="54"/>
        <v>25371679.500000007</v>
      </c>
      <c r="AJ97" s="403">
        <f t="shared" si="54"/>
        <v>25371679.500000007</v>
      </c>
      <c r="AK97" s="403">
        <f t="shared" si="54"/>
        <v>25371679.500000007</v>
      </c>
      <c r="AL97" s="403">
        <f t="shared" si="54"/>
        <v>16914225.449999999</v>
      </c>
      <c r="AM97" s="403">
        <f t="shared" si="54"/>
        <v>26096802.279500004</v>
      </c>
      <c r="AN97" s="403">
        <f t="shared" si="54"/>
        <v>41756976.237500012</v>
      </c>
      <c r="AO97" s="403">
        <f t="shared" si="54"/>
        <v>46976209.180500016</v>
      </c>
      <c r="AP97" s="403">
        <f t="shared" si="54"/>
        <v>46976209.180500016</v>
      </c>
      <c r="AQ97" s="403">
        <f t="shared" si="54"/>
        <v>46976209.180500016</v>
      </c>
      <c r="AR97" s="403">
        <f t="shared" si="54"/>
        <v>46976209.180500016</v>
      </c>
      <c r="AS97" s="403">
        <f t="shared" si="54"/>
        <v>46976209.180500016</v>
      </c>
      <c r="AT97" s="403">
        <f t="shared" si="54"/>
        <v>46976209.180500016</v>
      </c>
      <c r="AU97" s="403">
        <f t="shared" si="54"/>
        <v>46976209.180500016</v>
      </c>
      <c r="AV97" s="403">
        <f t="shared" si="54"/>
        <v>46976209.180500016</v>
      </c>
      <c r="AW97" s="403">
        <f t="shared" si="54"/>
        <v>46976209.180500016</v>
      </c>
      <c r="AX97" s="403">
        <f t="shared" si="54"/>
        <v>31316035.222500011</v>
      </c>
      <c r="AY97" s="403">
        <f t="shared" si="54"/>
        <v>25373638.168635003</v>
      </c>
      <c r="AZ97" s="403">
        <f t="shared" si="54"/>
        <v>40608973.036285013</v>
      </c>
      <c r="BA97" s="403">
        <f t="shared" si="54"/>
        <v>45671872.904770017</v>
      </c>
      <c r="BB97" s="403">
        <f t="shared" si="54"/>
        <v>45671872.904770017</v>
      </c>
      <c r="BC97" s="403">
        <f t="shared" si="54"/>
        <v>45671872.904770017</v>
      </c>
      <c r="BD97" s="403">
        <f t="shared" si="54"/>
        <v>45671872.904770017</v>
      </c>
      <c r="BE97" s="403">
        <f t="shared" si="54"/>
        <v>45671872.904770017</v>
      </c>
      <c r="BF97" s="403">
        <f t="shared" si="54"/>
        <v>45671872.904770017</v>
      </c>
      <c r="BG97" s="403">
        <f t="shared" si="54"/>
        <v>45671872.904770017</v>
      </c>
      <c r="BH97" s="403">
        <f t="shared" si="54"/>
        <v>45671872.904770017</v>
      </c>
      <c r="BI97" s="403">
        <f t="shared" si="54"/>
        <v>45671872.904770017</v>
      </c>
      <c r="BJ97" s="403">
        <f t="shared" si="54"/>
        <v>30460838.765225008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4"/>
  </cellWatches>
  <ignoredErrors>
    <ignoredError sqref="F21" formula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334</v>
      </c>
      <c r="I1" s="68"/>
      <c r="J1" s="68"/>
      <c r="K1" s="68"/>
      <c r="L1" s="68"/>
      <c r="M1" s="68"/>
      <c r="N1" s="68"/>
    </row>
    <row r="2" spans="1:66" ht="13" x14ac:dyDescent="0.15">
      <c r="F2" s="406" t="s">
        <v>35</v>
      </c>
      <c r="G2" s="406"/>
      <c r="H2" s="406"/>
      <c r="I2" s="406"/>
      <c r="J2" s="406"/>
      <c r="K2" s="406"/>
      <c r="L2" s="406"/>
      <c r="M2" s="406"/>
      <c r="N2" s="406"/>
      <c r="O2" s="406"/>
      <c r="P2" s="406"/>
      <c r="Q2" s="406"/>
      <c r="R2" s="406" t="s">
        <v>36</v>
      </c>
      <c r="S2" s="406"/>
      <c r="T2" s="406"/>
      <c r="U2" s="406"/>
      <c r="V2" s="406"/>
      <c r="W2" s="406"/>
      <c r="X2" s="406"/>
      <c r="Y2" s="406"/>
      <c r="Z2" s="406"/>
      <c r="AA2" s="406"/>
      <c r="AB2" s="406"/>
      <c r="AC2" s="406"/>
      <c r="AD2" s="406" t="s">
        <v>37</v>
      </c>
      <c r="AE2" s="406"/>
      <c r="AF2" s="406"/>
      <c r="AG2" s="406"/>
      <c r="AH2" s="406"/>
      <c r="AI2" s="406"/>
      <c r="AJ2" s="406"/>
      <c r="AK2" s="406"/>
      <c r="AL2" s="406"/>
      <c r="AM2" s="406"/>
      <c r="AN2" s="406"/>
      <c r="AO2" s="406"/>
      <c r="AP2" s="406" t="s">
        <v>38</v>
      </c>
      <c r="AQ2" s="406"/>
      <c r="AR2" s="406"/>
      <c r="AS2" s="406"/>
      <c r="AT2" s="406"/>
      <c r="AU2" s="406"/>
      <c r="AV2" s="406"/>
      <c r="AW2" s="406"/>
      <c r="AX2" s="406"/>
      <c r="AY2" s="406"/>
      <c r="AZ2" s="406"/>
      <c r="BA2" s="406"/>
      <c r="BB2" s="406" t="s">
        <v>39</v>
      </c>
      <c r="BC2" s="406"/>
      <c r="BD2" s="406"/>
      <c r="BE2" s="406"/>
      <c r="BF2" s="406"/>
      <c r="BG2" s="406"/>
      <c r="BH2" s="406"/>
      <c r="BI2" s="406"/>
      <c r="BJ2" s="406"/>
      <c r="BK2" s="406"/>
      <c r="BL2" s="406"/>
      <c r="BM2" s="406"/>
    </row>
    <row r="3" spans="1:66" ht="14.25" customHeight="1" x14ac:dyDescent="0.15">
      <c r="B3" s="301" t="s">
        <v>627</v>
      </c>
      <c r="C3" s="10" t="s">
        <v>1047</v>
      </c>
      <c r="D3" s="300" t="s">
        <v>206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344</v>
      </c>
    </row>
    <row r="4" spans="1:66" ht="14.25" customHeight="1" x14ac:dyDescent="0.15">
      <c r="A4" s="34" t="s">
        <v>268</v>
      </c>
      <c r="B4" s="180" t="s">
        <v>627</v>
      </c>
      <c r="C4" s="34" t="s">
        <v>210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211</v>
      </c>
      <c r="B5" s="180">
        <v>1</v>
      </c>
      <c r="C5" s="33" t="s">
        <v>40</v>
      </c>
      <c r="D5" s="101">
        <f>'REV-REVCALC_CWS'!$C$36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212</v>
      </c>
      <c r="B6" s="180">
        <v>1</v>
      </c>
      <c r="C6" s="33" t="s">
        <v>41</v>
      </c>
      <c r="D6" s="101">
        <f>'REV-REVCALC_CWS'!$D$36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213</v>
      </c>
      <c r="B7" s="180">
        <v>1</v>
      </c>
      <c r="C7" s="33" t="s">
        <v>42</v>
      </c>
      <c r="D7" s="101">
        <f>'REV-REVCALC_CWS'!$E$36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214</v>
      </c>
      <c r="B8" s="180">
        <v>1</v>
      </c>
      <c r="C8" s="33" t="s">
        <v>43</v>
      </c>
      <c r="D8" s="101">
        <f>'REV-REVCALC_CWS'!$F$36</f>
        <v>78</v>
      </c>
      <c r="E8" s="67"/>
      <c r="F8" s="102"/>
      <c r="G8" s="102"/>
      <c r="H8" s="45"/>
      <c r="I8" s="101">
        <f>$D8</f>
        <v>78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78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78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78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78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78</v>
      </c>
    </row>
    <row r="9" spans="1:66" ht="14.25" customHeight="1" outlineLevel="1" x14ac:dyDescent="0.15">
      <c r="A9" s="34" t="s">
        <v>215</v>
      </c>
      <c r="B9" s="180">
        <v>1</v>
      </c>
      <c r="C9" s="33" t="s">
        <v>44</v>
      </c>
      <c r="D9" s="101">
        <f>'REV-REVCALC_CWS'!$G$36</f>
        <v>107</v>
      </c>
      <c r="E9" s="67"/>
      <c r="F9" s="102"/>
      <c r="G9" s="102"/>
      <c r="H9" s="102"/>
      <c r="I9" s="45"/>
      <c r="J9" s="101">
        <f>$D9</f>
        <v>107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107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107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107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107</v>
      </c>
      <c r="BG9" s="101"/>
      <c r="BH9" s="101"/>
      <c r="BI9" s="101"/>
      <c r="BJ9" s="101"/>
      <c r="BK9" s="101"/>
      <c r="BL9" s="101"/>
      <c r="BM9" s="101"/>
      <c r="BN9" s="105">
        <f t="shared" si="0"/>
        <v>107</v>
      </c>
    </row>
    <row r="10" spans="1:66" ht="14.25" customHeight="1" x14ac:dyDescent="0.15">
      <c r="A10" s="34" t="s">
        <v>216</v>
      </c>
      <c r="B10" s="180">
        <v>1</v>
      </c>
      <c r="C10" s="33" t="s">
        <v>45</v>
      </c>
      <c r="D10" s="101">
        <f>'REV-REVCALC_CWS'!$H$36</f>
        <v>119</v>
      </c>
      <c r="E10" s="67"/>
      <c r="F10" s="102"/>
      <c r="G10" s="102"/>
      <c r="H10" s="102"/>
      <c r="I10" s="102"/>
      <c r="J10" s="45"/>
      <c r="K10" s="101">
        <f>$D10</f>
        <v>119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119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119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119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119</v>
      </c>
      <c r="BH10" s="101"/>
      <c r="BI10" s="101"/>
      <c r="BJ10" s="101"/>
      <c r="BK10" s="101"/>
      <c r="BL10" s="101"/>
      <c r="BM10" s="101"/>
      <c r="BN10" s="105">
        <f t="shared" si="0"/>
        <v>119</v>
      </c>
    </row>
    <row r="11" spans="1:66" ht="14.25" customHeight="1" x14ac:dyDescent="0.15">
      <c r="A11" s="34" t="s">
        <v>217</v>
      </c>
      <c r="B11" s="180">
        <v>1</v>
      </c>
      <c r="C11" s="33" t="s">
        <v>46</v>
      </c>
      <c r="D11" s="101">
        <f>'REV-REVCALC_CWS'!$I$36</f>
        <v>149</v>
      </c>
      <c r="E11" s="67"/>
      <c r="F11" s="102"/>
      <c r="G11" s="102"/>
      <c r="H11" s="102"/>
      <c r="I11" s="102"/>
      <c r="J11" s="102"/>
      <c r="K11" s="45"/>
      <c r="L11" s="101">
        <f>$D11</f>
        <v>149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149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149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149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149</v>
      </c>
      <c r="BI11" s="101"/>
      <c r="BJ11" s="101"/>
      <c r="BK11" s="101"/>
      <c r="BL11" s="101"/>
      <c r="BM11" s="101"/>
      <c r="BN11" s="105">
        <f t="shared" si="0"/>
        <v>149</v>
      </c>
    </row>
    <row r="12" spans="1:66" ht="14.25" customHeight="1" outlineLevel="2" x14ac:dyDescent="0.15">
      <c r="A12" s="34" t="s">
        <v>218</v>
      </c>
      <c r="B12" s="180">
        <v>1</v>
      </c>
      <c r="C12" s="33" t="s">
        <v>47</v>
      </c>
      <c r="D12" s="101">
        <f>'REV-REVCALC_CWS'!$J$36</f>
        <v>179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179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179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179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179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179</v>
      </c>
      <c r="BJ12" s="101"/>
      <c r="BK12" s="101"/>
      <c r="BL12" s="101"/>
      <c r="BM12" s="101"/>
      <c r="BN12" s="105">
        <f t="shared" si="0"/>
        <v>179</v>
      </c>
    </row>
    <row r="13" spans="1:66" ht="14.25" customHeight="1" outlineLevel="2" x14ac:dyDescent="0.15">
      <c r="A13" s="34" t="s">
        <v>219</v>
      </c>
      <c r="B13" s="180">
        <v>1</v>
      </c>
      <c r="C13" s="33" t="s">
        <v>48</v>
      </c>
      <c r="D13" s="101">
        <f>'REV-REVCALC_CWS'!$K$36</f>
        <v>209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209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209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209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209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209</v>
      </c>
      <c r="BK13" s="101"/>
      <c r="BL13" s="101"/>
      <c r="BM13" s="101"/>
      <c r="BN13" s="105">
        <f t="shared" si="0"/>
        <v>209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'REV-REVCALC_CWS'!$L$36</f>
        <v>239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239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239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239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239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239</v>
      </c>
      <c r="BL14" s="101"/>
      <c r="BM14" s="101"/>
      <c r="BN14" s="105">
        <f t="shared" si="0"/>
        <v>239</v>
      </c>
    </row>
    <row r="15" spans="1:66" ht="14.25" customHeight="1" outlineLevel="2" x14ac:dyDescent="0.15">
      <c r="A15" s="34" t="s">
        <v>220</v>
      </c>
      <c r="B15" s="180">
        <v>1</v>
      </c>
      <c r="C15" s="33" t="s">
        <v>50</v>
      </c>
      <c r="D15" s="101">
        <f>'REV-REVCALC_CWS'!$M$36</f>
        <v>269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269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269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269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269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269</v>
      </c>
      <c r="BM15" s="101"/>
      <c r="BN15" s="105">
        <f t="shared" si="0"/>
        <v>269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'REV-REVCALC_CWS'!$N$36</f>
        <v>239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239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239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239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239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239</v>
      </c>
      <c r="BN16" s="105">
        <f t="shared" si="0"/>
        <v>239</v>
      </c>
    </row>
    <row r="17" spans="1:66" ht="14.25" customHeight="1" outlineLevel="2" x14ac:dyDescent="0.15">
      <c r="A17" s="34" t="s">
        <v>221</v>
      </c>
      <c r="B17" s="180">
        <v>2</v>
      </c>
      <c r="C17" s="33" t="s">
        <v>40</v>
      </c>
      <c r="D17" s="101">
        <f>'REV-REVCALC_CWS'!$O$36</f>
        <v>413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413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413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413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413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413</v>
      </c>
    </row>
    <row r="18" spans="1:66" ht="14.25" customHeight="1" outlineLevel="2" x14ac:dyDescent="0.15">
      <c r="A18" s="34" t="s">
        <v>222</v>
      </c>
      <c r="B18" s="180">
        <v>2</v>
      </c>
      <c r="C18" s="33" t="s">
        <v>41</v>
      </c>
      <c r="D18" s="101">
        <f>'REV-REVCALC_CWS'!$P$36</f>
        <v>662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662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662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662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662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662</v>
      </c>
    </row>
    <row r="19" spans="1:66" ht="14.25" customHeight="1" outlineLevel="2" x14ac:dyDescent="0.15">
      <c r="A19" s="34" t="s">
        <v>223</v>
      </c>
      <c r="B19" s="180">
        <v>2</v>
      </c>
      <c r="C19" s="33" t="s">
        <v>42</v>
      </c>
      <c r="D19" s="101">
        <f>'REV-REVCALC_CWS'!$Q$36</f>
        <v>745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745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745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745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745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745</v>
      </c>
    </row>
    <row r="20" spans="1:66" ht="14.25" customHeight="1" outlineLevel="2" x14ac:dyDescent="0.15">
      <c r="A20" s="34" t="s">
        <v>224</v>
      </c>
      <c r="B20" s="180">
        <v>2</v>
      </c>
      <c r="C20" s="33" t="s">
        <v>43</v>
      </c>
      <c r="D20" s="101">
        <f>'REV-REVCALC_CWS'!$R$36</f>
        <v>745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745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745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745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745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745</v>
      </c>
    </row>
    <row r="21" spans="1:66" ht="14.25" customHeight="1" outlineLevel="2" x14ac:dyDescent="0.15">
      <c r="A21" s="34" t="s">
        <v>225</v>
      </c>
      <c r="B21" s="180">
        <v>2</v>
      </c>
      <c r="C21" s="33" t="s">
        <v>44</v>
      </c>
      <c r="D21" s="101">
        <f>'REV-REVCALC_CWS'!$S$36</f>
        <v>745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745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745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745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745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745</v>
      </c>
    </row>
    <row r="22" spans="1:66" ht="14.25" customHeight="1" outlineLevel="2" x14ac:dyDescent="0.15">
      <c r="A22" s="34" t="s">
        <v>207</v>
      </c>
      <c r="B22" s="180">
        <v>2</v>
      </c>
      <c r="C22" s="33" t="s">
        <v>45</v>
      </c>
      <c r="D22" s="101">
        <f>'REV-REVCALC_CWS'!$T$36</f>
        <v>745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745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745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745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745</v>
      </c>
      <c r="BH22" s="101"/>
      <c r="BI22" s="101"/>
      <c r="BJ22" s="101"/>
      <c r="BK22" s="101"/>
      <c r="BL22" s="101"/>
      <c r="BM22" s="101"/>
      <c r="BN22" s="105">
        <f t="shared" si="0"/>
        <v>745</v>
      </c>
    </row>
    <row r="23" spans="1:66" ht="14.25" customHeight="1" outlineLevel="2" x14ac:dyDescent="0.15">
      <c r="A23" s="34" t="s">
        <v>226</v>
      </c>
      <c r="B23" s="180">
        <v>2</v>
      </c>
      <c r="C23" s="33" t="s">
        <v>46</v>
      </c>
      <c r="D23" s="101">
        <f>'REV-REVCALC_CWS'!$U$36</f>
        <v>745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745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745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745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745</v>
      </c>
      <c r="BI23" s="101"/>
      <c r="BJ23" s="101"/>
      <c r="BK23" s="101"/>
      <c r="BL23" s="101"/>
      <c r="BM23" s="101"/>
      <c r="BN23" s="105">
        <f t="shared" si="0"/>
        <v>745</v>
      </c>
    </row>
    <row r="24" spans="1:66" ht="14.25" customHeight="1" outlineLevel="2" x14ac:dyDescent="0.15">
      <c r="A24" s="34" t="s">
        <v>227</v>
      </c>
      <c r="B24" s="180">
        <v>2</v>
      </c>
      <c r="C24" s="33" t="s">
        <v>47</v>
      </c>
      <c r="D24" s="101">
        <f>'REV-REVCALC_CWS'!$V$36</f>
        <v>745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745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745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745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745</v>
      </c>
      <c r="BJ24" s="101"/>
      <c r="BK24" s="101"/>
      <c r="BL24" s="101"/>
      <c r="BM24" s="101"/>
      <c r="BN24" s="105">
        <f t="shared" si="0"/>
        <v>745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'REV-REVCALC_CWS'!$W$36</f>
        <v>745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745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745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745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745</v>
      </c>
      <c r="BK25" s="101"/>
      <c r="BL25" s="101"/>
      <c r="BM25" s="101"/>
      <c r="BN25" s="105">
        <f t="shared" si="0"/>
        <v>745</v>
      </c>
    </row>
    <row r="26" spans="1:66" ht="14.25" customHeight="1" outlineLevel="2" x14ac:dyDescent="0.15">
      <c r="A26" s="34" t="s">
        <v>228</v>
      </c>
      <c r="B26" s="180">
        <v>2</v>
      </c>
      <c r="C26" s="33" t="s">
        <v>49</v>
      </c>
      <c r="D26" s="101">
        <f>'REV-REVCALC_CWS'!$X$36</f>
        <v>745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745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745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745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745</v>
      </c>
      <c r="BL26" s="101"/>
      <c r="BM26" s="101"/>
      <c r="BN26" s="105">
        <f t="shared" si="0"/>
        <v>745</v>
      </c>
    </row>
    <row r="27" spans="1:66" ht="14.25" customHeight="1" outlineLevel="2" x14ac:dyDescent="0.15">
      <c r="A27" s="34" t="s">
        <v>229</v>
      </c>
      <c r="B27" s="180">
        <v>2</v>
      </c>
      <c r="C27" s="33" t="s">
        <v>50</v>
      </c>
      <c r="D27" s="101">
        <f>'REV-REVCALC_CWS'!$Y$36</f>
        <v>745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745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745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745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745</v>
      </c>
      <c r="BM27" s="101"/>
      <c r="BN27" s="105">
        <f t="shared" si="0"/>
        <v>745</v>
      </c>
    </row>
    <row r="28" spans="1:66" ht="14.25" customHeight="1" outlineLevel="2" x14ac:dyDescent="0.15">
      <c r="A28" s="34" t="s">
        <v>230</v>
      </c>
      <c r="B28" s="180">
        <v>2</v>
      </c>
      <c r="C28" s="33" t="s">
        <v>51</v>
      </c>
      <c r="D28" s="101">
        <f>'REV-REVCALC_CWS'!$Z$36</f>
        <v>497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497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497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497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497</v>
      </c>
      <c r="BN28" s="105">
        <f t="shared" si="0"/>
        <v>497</v>
      </c>
    </row>
    <row r="29" spans="1:66" ht="14.25" customHeight="1" outlineLevel="2" x14ac:dyDescent="0.15">
      <c r="A29" s="34" t="s">
        <v>231</v>
      </c>
      <c r="B29" s="180">
        <v>3</v>
      </c>
      <c r="C29" s="33" t="s">
        <v>40</v>
      </c>
      <c r="D29" s="101">
        <f>'REV-REVCALC_CWS'!$AA$36</f>
        <v>500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500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500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500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500</v>
      </c>
    </row>
    <row r="30" spans="1:66" ht="14.25" customHeight="1" outlineLevel="2" x14ac:dyDescent="0.15">
      <c r="A30" s="34" t="s">
        <v>232</v>
      </c>
      <c r="B30" s="180">
        <v>3</v>
      </c>
      <c r="C30" s="33" t="s">
        <v>41</v>
      </c>
      <c r="D30" s="101">
        <f>'REV-REVCALC_CWS'!$AB$36</f>
        <v>801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801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801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801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801</v>
      </c>
    </row>
    <row r="31" spans="1:66" ht="14.25" customHeight="1" outlineLevel="2" x14ac:dyDescent="0.15">
      <c r="A31" s="34" t="s">
        <v>233</v>
      </c>
      <c r="B31" s="180">
        <v>3</v>
      </c>
      <c r="C31" s="33" t="s">
        <v>42</v>
      </c>
      <c r="D31" s="101">
        <f>'REV-REVCALC_CWS'!$AC$36</f>
        <v>901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901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901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901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901</v>
      </c>
    </row>
    <row r="32" spans="1:66" ht="14.25" customHeight="1" outlineLevel="2" x14ac:dyDescent="0.15">
      <c r="A32" s="34" t="s">
        <v>234</v>
      </c>
      <c r="B32" s="180">
        <v>3</v>
      </c>
      <c r="C32" s="33" t="s">
        <v>43</v>
      </c>
      <c r="D32" s="101">
        <f>'REV-REVCALC_CWS'!$AD$36</f>
        <v>901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901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901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901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901</v>
      </c>
    </row>
    <row r="33" spans="1:66" ht="14.25" customHeight="1" outlineLevel="2" x14ac:dyDescent="0.15">
      <c r="A33" s="34" t="s">
        <v>235</v>
      </c>
      <c r="B33" s="180">
        <v>3</v>
      </c>
      <c r="C33" s="33" t="s">
        <v>44</v>
      </c>
      <c r="D33" s="101">
        <f>'REV-REVCALC_CWS'!$AE$36</f>
        <v>901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901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901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901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901</v>
      </c>
    </row>
    <row r="34" spans="1:66" ht="14.25" customHeight="1" outlineLevel="2" x14ac:dyDescent="0.15">
      <c r="A34" s="34" t="s">
        <v>236</v>
      </c>
      <c r="B34" s="180">
        <v>3</v>
      </c>
      <c r="C34" s="33" t="s">
        <v>45</v>
      </c>
      <c r="D34" s="101">
        <f>'REV-REVCALC_CWS'!$AF$36</f>
        <v>901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901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901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901</v>
      </c>
      <c r="BH34" s="101"/>
      <c r="BI34" s="101"/>
      <c r="BJ34" s="101"/>
      <c r="BK34" s="101"/>
      <c r="BL34" s="101"/>
      <c r="BM34" s="101"/>
      <c r="BN34" s="105">
        <f t="shared" si="0"/>
        <v>901</v>
      </c>
    </row>
    <row r="35" spans="1:66" ht="14.25" customHeight="1" outlineLevel="2" x14ac:dyDescent="0.15">
      <c r="A35" s="34" t="s">
        <v>237</v>
      </c>
      <c r="B35" s="180">
        <v>3</v>
      </c>
      <c r="C35" s="33" t="s">
        <v>46</v>
      </c>
      <c r="D35" s="101">
        <f>'REV-REVCALC_CWS'!$AG$36</f>
        <v>901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901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901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901</v>
      </c>
      <c r="BI35" s="101"/>
      <c r="BJ35" s="101"/>
      <c r="BK35" s="101"/>
      <c r="BL35" s="101"/>
      <c r="BM35" s="101"/>
      <c r="BN35" s="105">
        <f t="shared" si="0"/>
        <v>901</v>
      </c>
    </row>
    <row r="36" spans="1:66" ht="14.25" customHeight="1" outlineLevel="2" x14ac:dyDescent="0.15">
      <c r="A36" s="34" t="s">
        <v>238</v>
      </c>
      <c r="B36" s="180">
        <v>3</v>
      </c>
      <c r="C36" s="33" t="s">
        <v>47</v>
      </c>
      <c r="D36" s="101">
        <f>'REV-REVCALC_CWS'!$AH$36</f>
        <v>901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901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901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901</v>
      </c>
      <c r="BJ36" s="101"/>
      <c r="BK36" s="101"/>
      <c r="BL36" s="101"/>
      <c r="BM36" s="101"/>
      <c r="BN36" s="105">
        <f t="shared" si="0"/>
        <v>901</v>
      </c>
    </row>
    <row r="37" spans="1:66" ht="14.25" customHeight="1" outlineLevel="2" x14ac:dyDescent="0.15">
      <c r="A37" s="34" t="s">
        <v>239</v>
      </c>
      <c r="B37" s="180">
        <v>3</v>
      </c>
      <c r="C37" s="33" t="s">
        <v>48</v>
      </c>
      <c r="D37" s="101">
        <f>'REV-REVCALC_CWS'!$AI$36</f>
        <v>901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901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901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901</v>
      </c>
      <c r="BK37" s="101"/>
      <c r="BL37" s="101"/>
      <c r="BM37" s="101"/>
      <c r="BN37" s="105">
        <f t="shared" si="0"/>
        <v>901</v>
      </c>
    </row>
    <row r="38" spans="1:66" ht="14.25" customHeight="1" outlineLevel="2" x14ac:dyDescent="0.15">
      <c r="A38" s="34" t="s">
        <v>240</v>
      </c>
      <c r="B38" s="180">
        <v>3</v>
      </c>
      <c r="C38" s="33" t="s">
        <v>49</v>
      </c>
      <c r="D38" s="101">
        <f>'REV-REVCALC_CWS'!$AJ$36</f>
        <v>901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901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901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901</v>
      </c>
      <c r="BL38" s="101"/>
      <c r="BM38" s="101"/>
      <c r="BN38" s="105">
        <f t="shared" si="0"/>
        <v>901</v>
      </c>
    </row>
    <row r="39" spans="1:66" ht="14.25" customHeight="1" outlineLevel="2" x14ac:dyDescent="0.15">
      <c r="A39" s="34" t="s">
        <v>241</v>
      </c>
      <c r="B39" s="180">
        <v>3</v>
      </c>
      <c r="C39" s="33" t="s">
        <v>50</v>
      </c>
      <c r="D39" s="101">
        <f>'REV-REVCALC_CWS'!$AK$36</f>
        <v>901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901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901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901</v>
      </c>
      <c r="BM39" s="101"/>
      <c r="BN39" s="105">
        <f t="shared" si="0"/>
        <v>901</v>
      </c>
    </row>
    <row r="40" spans="1:66" ht="14.25" customHeight="1" outlineLevel="2" x14ac:dyDescent="0.15">
      <c r="A40" s="34" t="s">
        <v>242</v>
      </c>
      <c r="B40" s="180">
        <v>3</v>
      </c>
      <c r="C40" s="33" t="s">
        <v>51</v>
      </c>
      <c r="D40" s="101">
        <f>'REV-REVCALC_CWS'!$AL$36</f>
        <v>600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600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600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600</v>
      </c>
      <c r="BN40" s="105">
        <f t="shared" si="0"/>
        <v>600</v>
      </c>
    </row>
    <row r="41" spans="1:66" ht="14.25" customHeight="1" outlineLevel="2" x14ac:dyDescent="0.15">
      <c r="A41" s="34" t="s">
        <v>243</v>
      </c>
      <c r="B41" s="180">
        <v>4</v>
      </c>
      <c r="C41" s="33" t="s">
        <v>40</v>
      </c>
      <c r="D41" s="101">
        <f>'REV-REVCALC_CWS'!$AM$36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244</v>
      </c>
      <c r="B42" s="180">
        <v>4</v>
      </c>
      <c r="C42" s="33" t="s">
        <v>41</v>
      </c>
      <c r="D42" s="101">
        <f>'REV-REVCALC_CWS'!$AN$36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245</v>
      </c>
      <c r="B43" s="180">
        <v>4</v>
      </c>
      <c r="C43" s="33" t="s">
        <v>42</v>
      </c>
      <c r="D43" s="101">
        <f>'REV-REVCALC_CWS'!$AO$36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246</v>
      </c>
      <c r="B44" s="180">
        <v>4</v>
      </c>
      <c r="C44" s="33" t="s">
        <v>43</v>
      </c>
      <c r="D44" s="101">
        <f>'REV-REVCALC_CWS'!$AP$36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247</v>
      </c>
      <c r="B45" s="180">
        <v>4</v>
      </c>
      <c r="C45" s="33" t="s">
        <v>44</v>
      </c>
      <c r="D45" s="101">
        <f>'REV-REVCALC_CWS'!$AQ$36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248</v>
      </c>
      <c r="B46" s="180">
        <v>4</v>
      </c>
      <c r="C46" s="33" t="s">
        <v>45</v>
      </c>
      <c r="D46" s="101">
        <f>'REV-REVCALC_CWS'!$AR$36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249</v>
      </c>
      <c r="B47" s="180">
        <v>4</v>
      </c>
      <c r="C47" s="33" t="s">
        <v>46</v>
      </c>
      <c r="D47" s="101">
        <f>'REV-REVCALC_CWS'!$AS$36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250</v>
      </c>
      <c r="B48" s="180">
        <v>4</v>
      </c>
      <c r="C48" s="33" t="s">
        <v>47</v>
      </c>
      <c r="D48" s="101">
        <f>'REV-REVCALC_CWS'!$AT$36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251</v>
      </c>
      <c r="B49" s="180">
        <v>4</v>
      </c>
      <c r="C49" s="33" t="s">
        <v>48</v>
      </c>
      <c r="D49" s="101">
        <f>'REV-REVCALC_CWS'!$AU$36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252</v>
      </c>
      <c r="B50" s="180">
        <v>4</v>
      </c>
      <c r="C50" s="33" t="s">
        <v>49</v>
      </c>
      <c r="D50" s="101">
        <f>'REV-REVCALC_CWS'!$AV$36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253</v>
      </c>
      <c r="B51" s="180">
        <v>4</v>
      </c>
      <c r="C51" s="33" t="s">
        <v>50</v>
      </c>
      <c r="D51" s="101">
        <f>'REV-REVCALC_CWS'!$AW$36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254</v>
      </c>
      <c r="B52" s="180">
        <v>4</v>
      </c>
      <c r="C52" s="33" t="s">
        <v>51</v>
      </c>
      <c r="D52" s="101">
        <f>'REV-REVCALC_CWS'!$AX$36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255</v>
      </c>
      <c r="B53" s="180">
        <v>5</v>
      </c>
      <c r="C53" s="33" t="s">
        <v>40</v>
      </c>
      <c r="D53" s="101">
        <f>'REV-REVCALC_CWS'!$AY$36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256</v>
      </c>
      <c r="B54" s="180">
        <v>5</v>
      </c>
      <c r="C54" s="33" t="s">
        <v>41</v>
      </c>
      <c r="D54" s="101">
        <f>'REV-REVCALC_CWS'!$AZ$36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257</v>
      </c>
      <c r="B55" s="180">
        <v>5</v>
      </c>
      <c r="C55" s="33" t="s">
        <v>42</v>
      </c>
      <c r="D55" s="101">
        <f>'REV-REVCALC_CWS'!$BA$36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258</v>
      </c>
      <c r="B56" s="180">
        <v>5</v>
      </c>
      <c r="C56" s="33" t="s">
        <v>43</v>
      </c>
      <c r="D56" s="101">
        <f>'REV-REVCALC_CWS'!$BB$36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259</v>
      </c>
      <c r="B57" s="180">
        <v>5</v>
      </c>
      <c r="C57" s="33" t="s">
        <v>44</v>
      </c>
      <c r="D57" s="101">
        <f>'REV-REVCALC_CWS'!$BC$36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260</v>
      </c>
      <c r="B58" s="180">
        <v>5</v>
      </c>
      <c r="C58" s="33" t="s">
        <v>45</v>
      </c>
      <c r="D58" s="101">
        <f>'REV-REVCALC_CWS'!$BD$36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261</v>
      </c>
      <c r="B59" s="180">
        <v>5</v>
      </c>
      <c r="C59" s="33" t="s">
        <v>46</v>
      </c>
      <c r="D59" s="101">
        <f>'REV-REVCALC_CWS'!$BE$36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262</v>
      </c>
      <c r="B60" s="180">
        <v>5</v>
      </c>
      <c r="C60" s="33" t="s">
        <v>47</v>
      </c>
      <c r="D60" s="101">
        <f>'REV-REVCALC_CWS'!$BF$36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263</v>
      </c>
      <c r="B61" s="180">
        <v>5</v>
      </c>
      <c r="C61" s="33" t="s">
        <v>48</v>
      </c>
      <c r="D61" s="101">
        <f>'REV-REVCALC_CWS'!$BG$36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264</v>
      </c>
      <c r="B62" s="180">
        <v>5</v>
      </c>
      <c r="C62" s="33" t="s">
        <v>49</v>
      </c>
      <c r="D62" s="101">
        <f>'REV-REVCALC_CWS'!$BH$36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265</v>
      </c>
      <c r="B63" s="180">
        <v>5</v>
      </c>
      <c r="C63" s="33" t="s">
        <v>50</v>
      </c>
      <c r="D63" s="101">
        <f>'REV-REVCALC_CWS'!$BI$36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266</v>
      </c>
      <c r="B64" s="180">
        <v>5</v>
      </c>
      <c r="C64" s="33" t="s">
        <v>51</v>
      </c>
      <c r="D64" s="101">
        <f>'REV-REVCALC_CWS'!$BJ$36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412" t="s">
        <v>622</v>
      </c>
      <c r="B66" s="412"/>
      <c r="C66" s="412"/>
      <c r="D66" s="412"/>
      <c r="E66" s="104" t="s">
        <v>206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78</v>
      </c>
      <c r="J66" s="102">
        <f t="shared" si="1"/>
        <v>107</v>
      </c>
      <c r="K66" s="102">
        <f t="shared" si="1"/>
        <v>119</v>
      </c>
      <c r="L66" s="102">
        <f t="shared" si="1"/>
        <v>149</v>
      </c>
      <c r="M66" s="102">
        <f t="shared" si="1"/>
        <v>179</v>
      </c>
      <c r="N66" s="102">
        <f t="shared" si="1"/>
        <v>209</v>
      </c>
      <c r="O66" s="102">
        <f t="shared" si="1"/>
        <v>239</v>
      </c>
      <c r="P66" s="102">
        <f t="shared" si="1"/>
        <v>269</v>
      </c>
      <c r="Q66" s="102">
        <f t="shared" si="1"/>
        <v>239</v>
      </c>
      <c r="R66" s="102">
        <f t="shared" si="1"/>
        <v>413</v>
      </c>
      <c r="S66" s="102">
        <f t="shared" si="1"/>
        <v>662</v>
      </c>
      <c r="T66" s="102">
        <f t="shared" si="1"/>
        <v>745</v>
      </c>
      <c r="U66" s="102">
        <f t="shared" si="1"/>
        <v>823</v>
      </c>
      <c r="V66" s="102">
        <f t="shared" si="1"/>
        <v>852</v>
      </c>
      <c r="W66" s="102">
        <f t="shared" si="1"/>
        <v>864</v>
      </c>
      <c r="X66" s="102">
        <f t="shared" si="1"/>
        <v>894</v>
      </c>
      <c r="Y66" s="102">
        <f t="shared" si="1"/>
        <v>924</v>
      </c>
      <c r="Z66" s="102">
        <f t="shared" si="1"/>
        <v>954</v>
      </c>
      <c r="AA66" s="102">
        <f t="shared" si="1"/>
        <v>984</v>
      </c>
      <c r="AB66" s="102">
        <f t="shared" si="1"/>
        <v>1014</v>
      </c>
      <c r="AC66" s="102">
        <f t="shared" si="1"/>
        <v>736</v>
      </c>
      <c r="AD66" s="102">
        <f t="shared" si="1"/>
        <v>913</v>
      </c>
      <c r="AE66" s="102">
        <f t="shared" si="1"/>
        <v>1463</v>
      </c>
      <c r="AF66" s="102">
        <f t="shared" si="1"/>
        <v>1646</v>
      </c>
      <c r="AG66" s="102">
        <f t="shared" si="1"/>
        <v>1724</v>
      </c>
      <c r="AH66" s="102">
        <f t="shared" si="1"/>
        <v>1753</v>
      </c>
      <c r="AI66" s="102">
        <f t="shared" si="1"/>
        <v>1765</v>
      </c>
      <c r="AJ66" s="102">
        <f t="shared" si="1"/>
        <v>1795</v>
      </c>
      <c r="AK66" s="102">
        <f t="shared" si="1"/>
        <v>1825</v>
      </c>
      <c r="AL66" s="102">
        <f t="shared" si="1"/>
        <v>1855</v>
      </c>
      <c r="AM66" s="102">
        <f t="shared" si="1"/>
        <v>1885</v>
      </c>
      <c r="AN66" s="102">
        <f t="shared" si="1"/>
        <v>1915</v>
      </c>
      <c r="AO66" s="102">
        <f t="shared" si="1"/>
        <v>1336</v>
      </c>
      <c r="AP66" s="102">
        <f t="shared" si="1"/>
        <v>2221</v>
      </c>
      <c r="AQ66" s="102">
        <f t="shared" si="1"/>
        <v>3556</v>
      </c>
      <c r="AR66" s="102">
        <f t="shared" si="1"/>
        <v>4001</v>
      </c>
      <c r="AS66" s="102">
        <f t="shared" si="1"/>
        <v>4079</v>
      </c>
      <c r="AT66" s="102">
        <f t="shared" si="1"/>
        <v>4108</v>
      </c>
      <c r="AU66" s="102">
        <f t="shared" si="1"/>
        <v>4120</v>
      </c>
      <c r="AV66" s="102">
        <f t="shared" si="1"/>
        <v>4150</v>
      </c>
      <c r="AW66" s="102">
        <f t="shared" si="1"/>
        <v>4180</v>
      </c>
      <c r="AX66" s="102">
        <f t="shared" si="1"/>
        <v>4210</v>
      </c>
      <c r="AY66" s="102">
        <f t="shared" si="1"/>
        <v>4240</v>
      </c>
      <c r="AZ66" s="102">
        <f t="shared" si="1"/>
        <v>4270</v>
      </c>
      <c r="BA66" s="102">
        <f t="shared" si="1"/>
        <v>2906</v>
      </c>
      <c r="BB66" s="102">
        <f t="shared" si="1"/>
        <v>3568</v>
      </c>
      <c r="BC66" s="102">
        <f t="shared" si="1"/>
        <v>5712</v>
      </c>
      <c r="BD66" s="102">
        <f t="shared" si="1"/>
        <v>6427</v>
      </c>
      <c r="BE66" s="102">
        <f t="shared" si="1"/>
        <v>6505</v>
      </c>
      <c r="BF66" s="102">
        <f t="shared" si="1"/>
        <v>6534</v>
      </c>
      <c r="BG66" s="102">
        <f t="shared" si="1"/>
        <v>6546</v>
      </c>
      <c r="BH66" s="102">
        <f t="shared" si="1"/>
        <v>6576</v>
      </c>
      <c r="BI66" s="102">
        <f t="shared" si="1"/>
        <v>6606</v>
      </c>
      <c r="BJ66" s="102">
        <f t="shared" si="1"/>
        <v>6636</v>
      </c>
      <c r="BK66" s="102">
        <f t="shared" si="1"/>
        <v>6666</v>
      </c>
      <c r="BL66" s="102">
        <f t="shared" si="1"/>
        <v>6696</v>
      </c>
      <c r="BM66" s="102">
        <f>SUM(BM5:BM65)</f>
        <v>4523</v>
      </c>
      <c r="BN66" s="105">
        <f>SUM(BN4:BN65)</f>
        <v>72995</v>
      </c>
    </row>
    <row r="67" spans="1:66" ht="14.25" customHeight="1" x14ac:dyDescent="0.15">
      <c r="A67" s="412" t="s">
        <v>624</v>
      </c>
      <c r="B67" s="412"/>
      <c r="C67" s="412"/>
      <c r="D67" s="412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412" t="s">
        <v>623</v>
      </c>
      <c r="B68" s="412"/>
      <c r="C68" s="412"/>
      <c r="D68" s="412"/>
      <c r="E68" s="104" t="s">
        <v>314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1588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9865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19875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46041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72995</v>
      </c>
      <c r="BN69" s="105">
        <f>SUM(F69:BM69)</f>
        <v>150364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621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406" t="s">
        <v>35</v>
      </c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10"/>
      <c r="S74" s="406" t="s">
        <v>36</v>
      </c>
      <c r="T74" s="406"/>
      <c r="U74" s="406"/>
      <c r="V74" s="406"/>
      <c r="W74" s="406"/>
      <c r="X74" s="406"/>
      <c r="Y74" s="406"/>
      <c r="Z74" s="406"/>
      <c r="AA74" s="406"/>
      <c r="AB74" s="406"/>
      <c r="AC74" s="406"/>
      <c r="AD74" s="406"/>
      <c r="AE74" s="10"/>
      <c r="AF74" s="406" t="s">
        <v>37</v>
      </c>
      <c r="AG74" s="406"/>
      <c r="AH74" s="406"/>
      <c r="AI74" s="406"/>
      <c r="AJ74" s="406"/>
      <c r="AK74" s="406"/>
      <c r="AL74" s="406"/>
      <c r="AM74" s="406"/>
      <c r="AN74" s="406"/>
      <c r="AO74" s="406"/>
      <c r="AP74" s="406"/>
      <c r="AQ74" s="406"/>
      <c r="AR74" s="10"/>
      <c r="AS74" s="406" t="s">
        <v>38</v>
      </c>
      <c r="AT74" s="406"/>
      <c r="AU74" s="406"/>
      <c r="AV74" s="406"/>
      <c r="AW74" s="406"/>
      <c r="AX74" s="406"/>
      <c r="AY74" s="406"/>
      <c r="AZ74" s="406"/>
      <c r="BA74" s="406"/>
      <c r="BB74" s="406"/>
      <c r="BC74" s="406"/>
      <c r="BD74" s="406"/>
      <c r="BE74" s="10"/>
      <c r="BF74" s="406" t="s">
        <v>39</v>
      </c>
      <c r="BG74" s="406"/>
      <c r="BH74" s="406"/>
      <c r="BI74" s="406"/>
      <c r="BJ74" s="406"/>
      <c r="BK74" s="406"/>
      <c r="BL74" s="406"/>
      <c r="BM74" s="406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268</v>
      </c>
      <c r="B77" s="180" t="s">
        <v>209</v>
      </c>
      <c r="C77" s="33" t="s">
        <v>210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211</v>
      </c>
      <c r="B78" s="180">
        <v>1</v>
      </c>
      <c r="C78" s="33" t="s">
        <v>40</v>
      </c>
      <c r="D78" s="101">
        <f>'REV-REVCALC_CWS'!$C$37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212</v>
      </c>
      <c r="B79" s="180">
        <v>1</v>
      </c>
      <c r="C79" s="33" t="s">
        <v>41</v>
      </c>
      <c r="D79" s="101">
        <f>'REV-REVCALC_CWS'!$D$37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213</v>
      </c>
      <c r="B80" s="180">
        <v>1</v>
      </c>
      <c r="C80" s="33" t="s">
        <v>42</v>
      </c>
      <c r="D80" s="101">
        <f>'REV-REVCALC_CWS'!$E$37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214</v>
      </c>
      <c r="B81" s="180">
        <v>1</v>
      </c>
      <c r="C81" s="33" t="s">
        <v>43</v>
      </c>
      <c r="D81" s="101">
        <f>'REV-REVCALC_CWS'!$F$37</f>
        <v>0</v>
      </c>
      <c r="E81" s="67"/>
      <c r="F81" s="102"/>
      <c r="G81" s="102"/>
      <c r="H81" s="45"/>
      <c r="I81" s="101">
        <f>$D81</f>
        <v>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215</v>
      </c>
      <c r="B82" s="180">
        <v>1</v>
      </c>
      <c r="C82" s="33" t="s">
        <v>44</v>
      </c>
      <c r="D82" s="101">
        <f>'REV-REVCALC_CWS'!$G$37</f>
        <v>0</v>
      </c>
      <c r="E82" s="67"/>
      <c r="F82" s="102"/>
      <c r="G82" s="102"/>
      <c r="H82" s="102"/>
      <c r="I82" s="45"/>
      <c r="J82" s="101">
        <f>$D82</f>
        <v>0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0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0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0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0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216</v>
      </c>
      <c r="B83" s="180">
        <v>1</v>
      </c>
      <c r="C83" s="33" t="s">
        <v>45</v>
      </c>
      <c r="D83" s="101">
        <f>'REV-REVCALC_CWS'!$H$37</f>
        <v>40</v>
      </c>
      <c r="E83" s="67"/>
      <c r="F83" s="102"/>
      <c r="G83" s="102"/>
      <c r="H83" s="102"/>
      <c r="I83" s="102"/>
      <c r="J83" s="45"/>
      <c r="K83" s="101">
        <f>$D83</f>
        <v>40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40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40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40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40</v>
      </c>
      <c r="BH83" s="101"/>
      <c r="BI83" s="101"/>
      <c r="BJ83" s="101"/>
      <c r="BK83" s="101"/>
      <c r="BL83" s="101"/>
      <c r="BM83" s="101"/>
      <c r="BN83" s="105">
        <f t="shared" si="4"/>
        <v>40</v>
      </c>
    </row>
    <row r="84" spans="1:66" ht="14.25" customHeight="1" x14ac:dyDescent="0.15">
      <c r="A84" s="34" t="s">
        <v>217</v>
      </c>
      <c r="B84" s="180">
        <v>1</v>
      </c>
      <c r="C84" s="33" t="s">
        <v>46</v>
      </c>
      <c r="D84" s="101">
        <f>'REV-REVCALC_CWS'!$I$37</f>
        <v>50</v>
      </c>
      <c r="E84" s="67"/>
      <c r="F84" s="102"/>
      <c r="G84" s="102"/>
      <c r="H84" s="102"/>
      <c r="I84" s="102"/>
      <c r="J84" s="102"/>
      <c r="K84" s="45"/>
      <c r="L84" s="101">
        <f>$D84</f>
        <v>50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50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50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50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50</v>
      </c>
      <c r="BI84" s="101"/>
      <c r="BJ84" s="101"/>
      <c r="BK84" s="101"/>
      <c r="BL84" s="101"/>
      <c r="BM84" s="101"/>
      <c r="BN84" s="105">
        <f t="shared" si="4"/>
        <v>50</v>
      </c>
    </row>
    <row r="85" spans="1:66" ht="14.25" customHeight="1" x14ac:dyDescent="0.15">
      <c r="A85" s="34" t="s">
        <v>218</v>
      </c>
      <c r="B85" s="180">
        <v>1</v>
      </c>
      <c r="C85" s="33" t="s">
        <v>47</v>
      </c>
      <c r="D85" s="101">
        <f>'REV-REVCALC_CWS'!$J$37</f>
        <v>60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60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60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60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60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60</v>
      </c>
      <c r="BJ85" s="101"/>
      <c r="BK85" s="101"/>
      <c r="BL85" s="101"/>
      <c r="BM85" s="101"/>
      <c r="BN85" s="105">
        <f t="shared" si="4"/>
        <v>60</v>
      </c>
    </row>
    <row r="86" spans="1:66" ht="14.25" customHeight="1" x14ac:dyDescent="0.15">
      <c r="A86" s="34" t="s">
        <v>219</v>
      </c>
      <c r="B86" s="180">
        <v>1</v>
      </c>
      <c r="C86" s="33" t="s">
        <v>48</v>
      </c>
      <c r="D86" s="101">
        <f>'REV-REVCALC_CWS'!$K$37</f>
        <v>70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70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70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70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70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70</v>
      </c>
      <c r="BK86" s="101"/>
      <c r="BL86" s="101"/>
      <c r="BM86" s="101"/>
      <c r="BN86" s="105">
        <f t="shared" si="4"/>
        <v>70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'REV-REVCALC_CWS'!$L$37</f>
        <v>80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80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80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80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80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80</v>
      </c>
      <c r="BL87" s="101"/>
      <c r="BM87" s="101"/>
      <c r="BN87" s="105">
        <f t="shared" si="4"/>
        <v>80</v>
      </c>
    </row>
    <row r="88" spans="1:66" ht="14.25" customHeight="1" x14ac:dyDescent="0.15">
      <c r="A88" s="34" t="s">
        <v>220</v>
      </c>
      <c r="B88" s="180">
        <v>1</v>
      </c>
      <c r="C88" s="33" t="s">
        <v>50</v>
      </c>
      <c r="D88" s="101">
        <f>'REV-REVCALC_CWS'!$M$37</f>
        <v>90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90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90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90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90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90</v>
      </c>
      <c r="BM88" s="101"/>
      <c r="BN88" s="105">
        <f t="shared" si="4"/>
        <v>90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'REV-REVCALC_CWS'!$N$37</f>
        <v>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80</v>
      </c>
      <c r="BN89" s="105">
        <f t="shared" si="4"/>
        <v>80</v>
      </c>
    </row>
    <row r="90" spans="1:66" ht="14.25" customHeight="1" x14ac:dyDescent="0.15">
      <c r="A90" s="34" t="s">
        <v>221</v>
      </c>
      <c r="B90" s="180">
        <v>2</v>
      </c>
      <c r="C90" s="33" t="s">
        <v>40</v>
      </c>
      <c r="D90" s="101">
        <f>'REV-REVCALC_CWS'!$O$37</f>
        <v>154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154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154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154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154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154</v>
      </c>
    </row>
    <row r="91" spans="1:66" ht="14.25" customHeight="1" x14ac:dyDescent="0.15">
      <c r="A91" s="34" t="s">
        <v>222</v>
      </c>
      <c r="B91" s="180">
        <v>2</v>
      </c>
      <c r="C91" s="33" t="s">
        <v>41</v>
      </c>
      <c r="D91" s="101">
        <f>'REV-REVCALC_CWS'!$P$37</f>
        <v>246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246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246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246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246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246</v>
      </c>
    </row>
    <row r="92" spans="1:66" ht="14.25" customHeight="1" x14ac:dyDescent="0.15">
      <c r="A92" s="34" t="s">
        <v>223</v>
      </c>
      <c r="B92" s="180">
        <v>2</v>
      </c>
      <c r="C92" s="33" t="s">
        <v>42</v>
      </c>
      <c r="D92" s="101">
        <f>'REV-REVCALC_CWS'!$Q$37</f>
        <v>276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276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276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276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276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276</v>
      </c>
    </row>
    <row r="93" spans="1:66" ht="14.25" customHeight="1" x14ac:dyDescent="0.15">
      <c r="A93" s="34" t="s">
        <v>224</v>
      </c>
      <c r="B93" s="180">
        <v>2</v>
      </c>
      <c r="C93" s="33" t="s">
        <v>43</v>
      </c>
      <c r="D93" s="101">
        <f>'REV-REVCALC_CWS'!$R$37</f>
        <v>276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276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276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276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276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276</v>
      </c>
    </row>
    <row r="94" spans="1:66" ht="14.25" customHeight="1" x14ac:dyDescent="0.15">
      <c r="A94" s="34" t="s">
        <v>225</v>
      </c>
      <c r="B94" s="180">
        <v>2</v>
      </c>
      <c r="C94" s="33" t="s">
        <v>44</v>
      </c>
      <c r="D94" s="101">
        <f>'REV-REVCALC_CWS'!$S$37</f>
        <v>276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276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276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276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276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276</v>
      </c>
    </row>
    <row r="95" spans="1:66" ht="14.25" customHeight="1" x14ac:dyDescent="0.15">
      <c r="A95" s="34" t="s">
        <v>207</v>
      </c>
      <c r="B95" s="180">
        <v>2</v>
      </c>
      <c r="C95" s="33" t="s">
        <v>45</v>
      </c>
      <c r="D95" s="101">
        <f>'REV-REVCALC_CWS'!$T$37</f>
        <v>276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276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276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276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276</v>
      </c>
      <c r="BH95" s="101"/>
      <c r="BI95" s="101"/>
      <c r="BJ95" s="101"/>
      <c r="BK95" s="101"/>
      <c r="BL95" s="101"/>
      <c r="BM95" s="101"/>
      <c r="BN95" s="105">
        <f t="shared" si="4"/>
        <v>276</v>
      </c>
    </row>
    <row r="96" spans="1:66" ht="14.25" customHeight="1" x14ac:dyDescent="0.15">
      <c r="A96" s="34" t="s">
        <v>226</v>
      </c>
      <c r="B96" s="180">
        <v>2</v>
      </c>
      <c r="C96" s="33" t="s">
        <v>46</v>
      </c>
      <c r="D96" s="101">
        <f>'REV-REVCALC_CWS'!$U$37</f>
        <v>276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276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276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276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276</v>
      </c>
      <c r="BI96" s="101"/>
      <c r="BJ96" s="101"/>
      <c r="BK96" s="101"/>
      <c r="BL96" s="101"/>
      <c r="BM96" s="101"/>
      <c r="BN96" s="105">
        <f t="shared" si="4"/>
        <v>276</v>
      </c>
    </row>
    <row r="97" spans="1:66" ht="14.25" customHeight="1" x14ac:dyDescent="0.15">
      <c r="A97" s="34" t="s">
        <v>227</v>
      </c>
      <c r="B97" s="180">
        <v>2</v>
      </c>
      <c r="C97" s="33" t="s">
        <v>47</v>
      </c>
      <c r="D97" s="101">
        <f>'REV-REVCALC_CWS'!$V$37</f>
        <v>276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276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276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276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276</v>
      </c>
      <c r="BJ97" s="101"/>
      <c r="BK97" s="101"/>
      <c r="BL97" s="101"/>
      <c r="BM97" s="101"/>
      <c r="BN97" s="105">
        <f t="shared" si="4"/>
        <v>276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'REV-REVCALC_CWS'!$W$37</f>
        <v>276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276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276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276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276</v>
      </c>
      <c r="BK98" s="101"/>
      <c r="BL98" s="101"/>
      <c r="BM98" s="101"/>
      <c r="BN98" s="105">
        <f t="shared" si="4"/>
        <v>276</v>
      </c>
    </row>
    <row r="99" spans="1:66" ht="14.25" customHeight="1" x14ac:dyDescent="0.15">
      <c r="A99" s="34" t="s">
        <v>228</v>
      </c>
      <c r="B99" s="180">
        <v>2</v>
      </c>
      <c r="C99" s="33" t="s">
        <v>49</v>
      </c>
      <c r="D99" s="101">
        <f>'REV-REVCALC_CWS'!$X$37</f>
        <v>276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276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276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276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276</v>
      </c>
      <c r="BL99" s="101"/>
      <c r="BM99" s="101"/>
      <c r="BN99" s="105">
        <f t="shared" si="4"/>
        <v>276</v>
      </c>
    </row>
    <row r="100" spans="1:66" ht="14.25" customHeight="1" x14ac:dyDescent="0.15">
      <c r="A100" s="34" t="s">
        <v>229</v>
      </c>
      <c r="B100" s="180">
        <v>2</v>
      </c>
      <c r="C100" s="33" t="s">
        <v>50</v>
      </c>
      <c r="D100" s="101">
        <f>'REV-REVCALC_CWS'!$Y$37</f>
        <v>276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276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276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276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276</v>
      </c>
      <c r="BM100" s="101"/>
      <c r="BN100" s="105">
        <f t="shared" si="4"/>
        <v>276</v>
      </c>
    </row>
    <row r="101" spans="1:66" ht="14.25" customHeight="1" x14ac:dyDescent="0.15">
      <c r="A101" s="34" t="s">
        <v>230</v>
      </c>
      <c r="B101" s="180">
        <v>2</v>
      </c>
      <c r="C101" s="33" t="s">
        <v>51</v>
      </c>
      <c r="D101" s="101">
        <f>'REV-REVCALC_CWS'!$Z$37</f>
        <v>184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184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184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184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184</v>
      </c>
      <c r="BN101" s="105">
        <f t="shared" si="4"/>
        <v>184</v>
      </c>
    </row>
    <row r="102" spans="1:66" ht="14.25" customHeight="1" x14ac:dyDescent="0.15">
      <c r="A102" s="34" t="s">
        <v>231</v>
      </c>
      <c r="B102" s="180">
        <v>3</v>
      </c>
      <c r="C102" s="33" t="s">
        <v>40</v>
      </c>
      <c r="D102" s="101">
        <f>'REV-REVCALC_CWS'!$AA$37</f>
        <v>226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226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226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226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226</v>
      </c>
    </row>
    <row r="103" spans="1:66" ht="14.25" customHeight="1" x14ac:dyDescent="0.15">
      <c r="A103" s="34" t="s">
        <v>232</v>
      </c>
      <c r="B103" s="180">
        <v>3</v>
      </c>
      <c r="C103" s="33" t="s">
        <v>41</v>
      </c>
      <c r="D103" s="101">
        <f>'REV-REVCALC_CWS'!$AB$37</f>
        <v>360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360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360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360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360</v>
      </c>
    </row>
    <row r="104" spans="1:66" ht="14.25" customHeight="1" x14ac:dyDescent="0.15">
      <c r="A104" s="34" t="s">
        <v>233</v>
      </c>
      <c r="B104" s="180">
        <v>3</v>
      </c>
      <c r="C104" s="33" t="s">
        <v>42</v>
      </c>
      <c r="D104" s="101">
        <f>'REV-REVCALC_CWS'!$AC$37</f>
        <v>405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405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405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405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405</v>
      </c>
    </row>
    <row r="105" spans="1:66" ht="14.25" customHeight="1" x14ac:dyDescent="0.15">
      <c r="A105" s="34" t="s">
        <v>234</v>
      </c>
      <c r="B105" s="180">
        <v>3</v>
      </c>
      <c r="C105" s="33" t="s">
        <v>43</v>
      </c>
      <c r="D105" s="101">
        <f>'REV-REVCALC_CWS'!$AD$37</f>
        <v>405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405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405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405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405</v>
      </c>
    </row>
    <row r="106" spans="1:66" ht="14.25" customHeight="1" x14ac:dyDescent="0.15">
      <c r="A106" s="34" t="s">
        <v>235</v>
      </c>
      <c r="B106" s="180">
        <v>3</v>
      </c>
      <c r="C106" s="33" t="s">
        <v>44</v>
      </c>
      <c r="D106" s="101">
        <f>'REV-REVCALC_CWS'!$AE$37</f>
        <v>405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405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405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405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405</v>
      </c>
    </row>
    <row r="107" spans="1:66" ht="14.25" customHeight="1" x14ac:dyDescent="0.15">
      <c r="A107" s="34" t="s">
        <v>236</v>
      </c>
      <c r="B107" s="180">
        <v>3</v>
      </c>
      <c r="C107" s="33" t="s">
        <v>45</v>
      </c>
      <c r="D107" s="101">
        <f>'REV-REVCALC_CWS'!$AF$37</f>
        <v>405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405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405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405</v>
      </c>
      <c r="BH107" s="101"/>
      <c r="BI107" s="101"/>
      <c r="BJ107" s="101"/>
      <c r="BK107" s="101"/>
      <c r="BL107" s="101"/>
      <c r="BM107" s="101"/>
      <c r="BN107" s="105">
        <f t="shared" si="4"/>
        <v>405</v>
      </c>
    </row>
    <row r="108" spans="1:66" ht="14.25" customHeight="1" x14ac:dyDescent="0.15">
      <c r="A108" s="34" t="s">
        <v>237</v>
      </c>
      <c r="B108" s="180">
        <v>3</v>
      </c>
      <c r="C108" s="33" t="s">
        <v>46</v>
      </c>
      <c r="D108" s="101">
        <f>'REV-REVCALC_CWS'!$AG$37</f>
        <v>405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405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405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405</v>
      </c>
      <c r="BI108" s="101"/>
      <c r="BJ108" s="101"/>
      <c r="BK108" s="101"/>
      <c r="BL108" s="101"/>
      <c r="BM108" s="101"/>
      <c r="BN108" s="105">
        <f t="shared" si="4"/>
        <v>405</v>
      </c>
    </row>
    <row r="109" spans="1:66" ht="14.25" customHeight="1" x14ac:dyDescent="0.15">
      <c r="A109" s="34" t="s">
        <v>238</v>
      </c>
      <c r="B109" s="180">
        <v>3</v>
      </c>
      <c r="C109" s="33" t="s">
        <v>47</v>
      </c>
      <c r="D109" s="101">
        <f>'REV-REVCALC_CWS'!$AH$37</f>
        <v>405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405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405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405</v>
      </c>
      <c r="BJ109" s="101"/>
      <c r="BK109" s="101"/>
      <c r="BL109" s="101"/>
      <c r="BM109" s="101"/>
      <c r="BN109" s="105">
        <f t="shared" si="4"/>
        <v>405</v>
      </c>
    </row>
    <row r="110" spans="1:66" ht="14.25" customHeight="1" x14ac:dyDescent="0.15">
      <c r="A110" s="34" t="s">
        <v>239</v>
      </c>
      <c r="B110" s="180">
        <v>3</v>
      </c>
      <c r="C110" s="33" t="s">
        <v>48</v>
      </c>
      <c r="D110" s="101">
        <f>'REV-REVCALC_CWS'!$AI$37</f>
        <v>405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405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405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405</v>
      </c>
      <c r="BK110" s="101"/>
      <c r="BL110" s="101"/>
      <c r="BM110" s="101"/>
      <c r="BN110" s="105">
        <f t="shared" si="4"/>
        <v>405</v>
      </c>
    </row>
    <row r="111" spans="1:66" ht="14.25" customHeight="1" x14ac:dyDescent="0.15">
      <c r="A111" s="34" t="s">
        <v>240</v>
      </c>
      <c r="B111" s="180">
        <v>3</v>
      </c>
      <c r="C111" s="33" t="s">
        <v>49</v>
      </c>
      <c r="D111" s="101">
        <f>'REV-REVCALC_CWS'!$AJ$37</f>
        <v>405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405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405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405</v>
      </c>
      <c r="BL111" s="101"/>
      <c r="BM111" s="101"/>
      <c r="BN111" s="105">
        <f t="shared" si="4"/>
        <v>405</v>
      </c>
    </row>
    <row r="112" spans="1:66" ht="14.25" customHeight="1" x14ac:dyDescent="0.15">
      <c r="A112" s="34" t="s">
        <v>241</v>
      </c>
      <c r="B112" s="180">
        <v>3</v>
      </c>
      <c r="C112" s="33" t="s">
        <v>50</v>
      </c>
      <c r="D112" s="101">
        <f>'REV-REVCALC_CWS'!$AK$37</f>
        <v>405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405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405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405</v>
      </c>
      <c r="BM112" s="101"/>
      <c r="BN112" s="105">
        <f t="shared" si="4"/>
        <v>405</v>
      </c>
    </row>
    <row r="113" spans="1:66" ht="14.25" customHeight="1" x14ac:dyDescent="0.15">
      <c r="A113" s="34" t="s">
        <v>242</v>
      </c>
      <c r="B113" s="180">
        <v>3</v>
      </c>
      <c r="C113" s="33" t="s">
        <v>51</v>
      </c>
      <c r="D113" s="101">
        <f>'REV-REVCALC_CWS'!$AL$37</f>
        <v>271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271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271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271</v>
      </c>
      <c r="BN113" s="105">
        <f t="shared" si="4"/>
        <v>271</v>
      </c>
    </row>
    <row r="114" spans="1:66" ht="14.25" customHeight="1" x14ac:dyDescent="0.15">
      <c r="A114" s="34" t="s">
        <v>243</v>
      </c>
      <c r="B114" s="180">
        <v>4</v>
      </c>
      <c r="C114" s="33" t="s">
        <v>40</v>
      </c>
      <c r="D114" s="101">
        <f>'REV-REVCALC_CWS'!$AM$37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244</v>
      </c>
      <c r="B115" s="180">
        <v>4</v>
      </c>
      <c r="C115" s="33" t="s">
        <v>41</v>
      </c>
      <c r="D115" s="101">
        <f>'REV-REVCALC_CWS'!$AN$37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245</v>
      </c>
      <c r="B116" s="180">
        <v>4</v>
      </c>
      <c r="C116" s="33" t="s">
        <v>42</v>
      </c>
      <c r="D116" s="101">
        <f>'REV-REVCALC_CWS'!$AO$37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246</v>
      </c>
      <c r="B117" s="180">
        <v>4</v>
      </c>
      <c r="C117" s="33" t="s">
        <v>43</v>
      </c>
      <c r="D117" s="101">
        <f>'REV-REVCALC_CWS'!$AP$37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247</v>
      </c>
      <c r="B118" s="180">
        <v>4</v>
      </c>
      <c r="C118" s="33" t="s">
        <v>44</v>
      </c>
      <c r="D118" s="101">
        <f>'REV-REVCALC_CWS'!$AQ$37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248</v>
      </c>
      <c r="B119" s="180">
        <v>4</v>
      </c>
      <c r="C119" s="33" t="s">
        <v>45</v>
      </c>
      <c r="D119" s="101">
        <f>'REV-REVCALC_CWS'!$AR$37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249</v>
      </c>
      <c r="B120" s="180">
        <v>4</v>
      </c>
      <c r="C120" s="33" t="s">
        <v>46</v>
      </c>
      <c r="D120" s="101">
        <f>'REV-REVCALC_CWS'!$AS$37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250</v>
      </c>
      <c r="B121" s="180">
        <v>4</v>
      </c>
      <c r="C121" s="33" t="s">
        <v>47</v>
      </c>
      <c r="D121" s="101">
        <f>'REV-REVCALC_CWS'!$AT$37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251</v>
      </c>
      <c r="B122" s="180">
        <v>4</v>
      </c>
      <c r="C122" s="33" t="s">
        <v>48</v>
      </c>
      <c r="D122" s="101">
        <f>'REV-REVCALC_CWS'!$AU$37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252</v>
      </c>
      <c r="B123" s="180">
        <v>4</v>
      </c>
      <c r="C123" s="33" t="s">
        <v>49</v>
      </c>
      <c r="D123" s="101">
        <f>'REV-REVCALC_CWS'!$AV$37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253</v>
      </c>
      <c r="B124" s="180">
        <v>4</v>
      </c>
      <c r="C124" s="33" t="s">
        <v>50</v>
      </c>
      <c r="D124" s="101">
        <f>'REV-REVCALC_CWS'!$AW$37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254</v>
      </c>
      <c r="B125" s="180">
        <v>4</v>
      </c>
      <c r="C125" s="33" t="s">
        <v>51</v>
      </c>
      <c r="D125" s="101">
        <f>'REV-REVCALC_CWS'!$AX$37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255</v>
      </c>
      <c r="B126" s="180">
        <v>5</v>
      </c>
      <c r="C126" s="33" t="s">
        <v>40</v>
      </c>
      <c r="D126" s="101">
        <f>'REV-REVCALC_CWS'!$AY$37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256</v>
      </c>
      <c r="B127" s="180">
        <v>5</v>
      </c>
      <c r="C127" s="33" t="s">
        <v>41</v>
      </c>
      <c r="D127" s="101">
        <f>'REV-REVCALC_CWS'!$AZ$37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257</v>
      </c>
      <c r="B128" s="180">
        <v>5</v>
      </c>
      <c r="C128" s="33" t="s">
        <v>42</v>
      </c>
      <c r="D128" s="101">
        <f>'REV-REVCALC_CWS'!$BA$37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258</v>
      </c>
      <c r="B129" s="180">
        <v>5</v>
      </c>
      <c r="C129" s="33" t="s">
        <v>43</v>
      </c>
      <c r="D129" s="101">
        <f>'REV-REVCALC_CWS'!$BB$37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259</v>
      </c>
      <c r="B130" s="180">
        <v>5</v>
      </c>
      <c r="C130" s="33" t="s">
        <v>44</v>
      </c>
      <c r="D130" s="101">
        <f>'REV-REVCALC_CWS'!$BC$37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260</v>
      </c>
      <c r="B131" s="180">
        <v>5</v>
      </c>
      <c r="C131" s="33" t="s">
        <v>45</v>
      </c>
      <c r="D131" s="101">
        <f>'REV-REVCALC_CWS'!$BD$37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261</v>
      </c>
      <c r="B132" s="180">
        <v>5</v>
      </c>
      <c r="C132" s="33" t="s">
        <v>46</v>
      </c>
      <c r="D132" s="101">
        <f>'REV-REVCALC_CWS'!$BE$37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262</v>
      </c>
      <c r="B133" s="180">
        <v>5</v>
      </c>
      <c r="C133" s="33" t="s">
        <v>47</v>
      </c>
      <c r="D133" s="101">
        <f>'REV-REVCALC_CWS'!$BF$37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263</v>
      </c>
      <c r="B134" s="180">
        <v>5</v>
      </c>
      <c r="C134" s="33" t="s">
        <v>48</v>
      </c>
      <c r="D134" s="101">
        <f>'REV-REVCALC_CWS'!$BG$37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264</v>
      </c>
      <c r="B135" s="180">
        <v>5</v>
      </c>
      <c r="C135" s="33" t="s">
        <v>49</v>
      </c>
      <c r="D135" s="101">
        <f>'REV-REVCALC_CWS'!$BH$37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265</v>
      </c>
      <c r="B136" s="180">
        <v>5</v>
      </c>
      <c r="C136" s="33" t="s">
        <v>50</v>
      </c>
      <c r="D136" s="101">
        <f>'REV-REVCALC_CWS'!$BI$37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266</v>
      </c>
      <c r="B137" s="180">
        <v>5</v>
      </c>
      <c r="C137" s="33" t="s">
        <v>51</v>
      </c>
      <c r="D137" s="101">
        <f>'REV-REVCALC_CWS'!$BJ$37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412" t="s">
        <v>625</v>
      </c>
      <c r="B139" s="412"/>
      <c r="C139" s="412"/>
      <c r="D139" s="412"/>
      <c r="E139" s="104" t="s">
        <v>206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0</v>
      </c>
      <c r="J139" s="169">
        <f t="shared" si="5"/>
        <v>0</v>
      </c>
      <c r="K139" s="169">
        <f t="shared" si="5"/>
        <v>40</v>
      </c>
      <c r="L139" s="169">
        <f t="shared" si="5"/>
        <v>50</v>
      </c>
      <c r="M139" s="169">
        <f t="shared" si="5"/>
        <v>60</v>
      </c>
      <c r="N139" s="169">
        <f t="shared" si="5"/>
        <v>70</v>
      </c>
      <c r="O139" s="169">
        <f t="shared" si="5"/>
        <v>80</v>
      </c>
      <c r="P139" s="169">
        <f t="shared" si="5"/>
        <v>90</v>
      </c>
      <c r="Q139" s="169">
        <f t="shared" si="5"/>
        <v>80</v>
      </c>
      <c r="R139" s="169">
        <f t="shared" si="5"/>
        <v>154</v>
      </c>
      <c r="S139" s="169">
        <f t="shared" si="5"/>
        <v>246</v>
      </c>
      <c r="T139" s="169">
        <f t="shared" si="5"/>
        <v>276</v>
      </c>
      <c r="U139" s="169">
        <f t="shared" si="5"/>
        <v>276</v>
      </c>
      <c r="V139" s="169">
        <f t="shared" si="5"/>
        <v>276</v>
      </c>
      <c r="W139" s="169">
        <f t="shared" si="5"/>
        <v>316</v>
      </c>
      <c r="X139" s="169">
        <f t="shared" si="5"/>
        <v>326</v>
      </c>
      <c r="Y139" s="169">
        <f t="shared" si="5"/>
        <v>336</v>
      </c>
      <c r="Z139" s="169">
        <f t="shared" si="5"/>
        <v>346</v>
      </c>
      <c r="AA139" s="169">
        <f t="shared" si="5"/>
        <v>356</v>
      </c>
      <c r="AB139" s="169">
        <f t="shared" si="5"/>
        <v>366</v>
      </c>
      <c r="AC139" s="169">
        <f t="shared" si="5"/>
        <v>264</v>
      </c>
      <c r="AD139" s="169">
        <f t="shared" si="5"/>
        <v>380</v>
      </c>
      <c r="AE139" s="169">
        <f t="shared" si="5"/>
        <v>606</v>
      </c>
      <c r="AF139" s="169">
        <f t="shared" si="5"/>
        <v>681</v>
      </c>
      <c r="AG139" s="169">
        <f t="shared" si="5"/>
        <v>681</v>
      </c>
      <c r="AH139" s="169">
        <f t="shared" si="5"/>
        <v>681</v>
      </c>
      <c r="AI139" s="169">
        <f t="shared" si="5"/>
        <v>721</v>
      </c>
      <c r="AJ139" s="169">
        <f t="shared" si="5"/>
        <v>731</v>
      </c>
      <c r="AK139" s="169">
        <f t="shared" si="5"/>
        <v>741</v>
      </c>
      <c r="AL139" s="169">
        <f t="shared" si="5"/>
        <v>751</v>
      </c>
      <c r="AM139" s="169">
        <f t="shared" si="5"/>
        <v>761</v>
      </c>
      <c r="AN139" s="169">
        <f t="shared" si="5"/>
        <v>771</v>
      </c>
      <c r="AO139" s="169">
        <f t="shared" si="5"/>
        <v>535</v>
      </c>
      <c r="AP139" s="169">
        <f t="shared" si="5"/>
        <v>941</v>
      </c>
      <c r="AQ139" s="169">
        <f t="shared" si="5"/>
        <v>1504</v>
      </c>
      <c r="AR139" s="169">
        <f t="shared" si="5"/>
        <v>1691</v>
      </c>
      <c r="AS139" s="169">
        <f t="shared" si="5"/>
        <v>1691</v>
      </c>
      <c r="AT139" s="169">
        <f t="shared" si="5"/>
        <v>1691</v>
      </c>
      <c r="AU139" s="169">
        <f t="shared" si="5"/>
        <v>1731</v>
      </c>
      <c r="AV139" s="169">
        <f t="shared" si="5"/>
        <v>1741</v>
      </c>
      <c r="AW139" s="169">
        <f t="shared" si="5"/>
        <v>1751</v>
      </c>
      <c r="AX139" s="169">
        <f t="shared" si="5"/>
        <v>1761</v>
      </c>
      <c r="AY139" s="169">
        <f t="shared" si="5"/>
        <v>1771</v>
      </c>
      <c r="AZ139" s="169">
        <f t="shared" si="5"/>
        <v>1781</v>
      </c>
      <c r="BA139" s="169">
        <f t="shared" si="5"/>
        <v>1208</v>
      </c>
      <c r="BB139" s="169">
        <f t="shared" si="5"/>
        <v>1519</v>
      </c>
      <c r="BC139" s="169">
        <f t="shared" si="5"/>
        <v>2429</v>
      </c>
      <c r="BD139" s="169">
        <f t="shared" si="5"/>
        <v>2731</v>
      </c>
      <c r="BE139" s="169">
        <f t="shared" si="5"/>
        <v>2731</v>
      </c>
      <c r="BF139" s="169">
        <f t="shared" si="5"/>
        <v>2731</v>
      </c>
      <c r="BG139" s="169">
        <f t="shared" si="5"/>
        <v>2771</v>
      </c>
      <c r="BH139" s="169">
        <f t="shared" si="5"/>
        <v>2781</v>
      </c>
      <c r="BI139" s="169">
        <f t="shared" si="5"/>
        <v>2791</v>
      </c>
      <c r="BJ139" s="169">
        <f t="shared" si="5"/>
        <v>2801</v>
      </c>
      <c r="BK139" s="169">
        <f t="shared" si="5"/>
        <v>2811</v>
      </c>
      <c r="BL139" s="169">
        <f t="shared" si="5"/>
        <v>2821</v>
      </c>
      <c r="BM139" s="169">
        <f t="shared" si="5"/>
        <v>1902</v>
      </c>
      <c r="BN139" s="105">
        <f>SUM(BN77:BN138)</f>
        <v>30819</v>
      </c>
    </row>
    <row r="140" spans="1:72" ht="14.25" customHeight="1" x14ac:dyDescent="0.15">
      <c r="A140" s="412" t="s">
        <v>341</v>
      </c>
      <c r="B140" s="412"/>
      <c r="C140" s="412"/>
      <c r="D140" s="412"/>
      <c r="E140" s="104" t="s">
        <v>314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412" t="s">
        <v>626</v>
      </c>
      <c r="B141" s="412"/>
      <c r="C141" s="412"/>
      <c r="D141" s="412"/>
      <c r="E141" s="104" t="s">
        <v>314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335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470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3538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8040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19262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30819</v>
      </c>
      <c r="BN142" s="105">
        <f>SUM(F142:BM142)</f>
        <v>62129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467</v>
      </c>
      <c r="C4" s="9">
        <f>SUM(C14)</f>
        <v>0</v>
      </c>
      <c r="D4" s="9">
        <f>SUM(D14:O14)</f>
        <v>48593000</v>
      </c>
      <c r="E4" s="9">
        <f>SUM(P14:AA14)</f>
        <v>303952760</v>
      </c>
      <c r="F4" s="9">
        <f>SUM(AB14:AM14)</f>
        <v>628843194.4000001</v>
      </c>
      <c r="G4" s="9">
        <f>SUM(AN14:AY14)</f>
        <v>1207076519.362</v>
      </c>
      <c r="H4" s="9">
        <f>SUM(AZ14:BK14)</f>
        <v>1259934255.4636204</v>
      </c>
      <c r="I4" s="9">
        <f>SUM(E4:H4)</f>
        <v>3399806729.2256203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468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469</v>
      </c>
      <c r="C7" s="9">
        <f>C17</f>
        <v>0</v>
      </c>
      <c r="D7" s="9">
        <f>SUM(D17:O17)</f>
        <v>48593000</v>
      </c>
      <c r="E7" s="9">
        <f>SUM(P17:AA17)</f>
        <v>303952760</v>
      </c>
      <c r="F7" s="9">
        <f>SUM(AB17:AM17)</f>
        <v>628843194.4000001</v>
      </c>
      <c r="G7" s="9">
        <f>SUM(AN17:AY17)</f>
        <v>1207076519.362</v>
      </c>
      <c r="H7" s="9">
        <f>SUM(AZ17:BK17)</f>
        <v>1259934255.4636204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470</v>
      </c>
      <c r="C8" s="9">
        <f>C18</f>
        <v>0</v>
      </c>
      <c r="D8" s="9">
        <f>SUM(D18:O18)</f>
        <v>48593000</v>
      </c>
      <c r="E8" s="9">
        <f>SUM(P18:AA18)</f>
        <v>303952760</v>
      </c>
      <c r="F8" s="9">
        <f>SUM(AB18:AM18)</f>
        <v>628843194.4000001</v>
      </c>
      <c r="G8" s="9">
        <f>SUM(AN18:AY18)</f>
        <v>1207076519.362</v>
      </c>
      <c r="H8" s="9">
        <f>SUM(AZ18:BK18)</f>
        <v>1259934255.4636204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471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472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406" t="s">
        <v>35</v>
      </c>
      <c r="E11" s="406"/>
      <c r="F11" s="406"/>
      <c r="G11" s="406"/>
      <c r="H11" s="406"/>
      <c r="I11" s="406"/>
      <c r="J11" s="406"/>
      <c r="K11" s="406"/>
      <c r="L11" s="406"/>
      <c r="M11" s="406"/>
      <c r="N11" s="406"/>
      <c r="O11" s="406"/>
      <c r="P11" s="406" t="s">
        <v>36</v>
      </c>
      <c r="Q11" s="406"/>
      <c r="R11" s="406"/>
      <c r="S11" s="406"/>
      <c r="T11" s="406"/>
      <c r="U11" s="406"/>
      <c r="V11" s="406"/>
      <c r="W11" s="406"/>
      <c r="X11" s="406"/>
      <c r="Y11" s="406"/>
      <c r="Z11" s="406"/>
      <c r="AA11" s="406"/>
      <c r="AB11" s="406" t="s">
        <v>37</v>
      </c>
      <c r="AC11" s="406"/>
      <c r="AD11" s="406"/>
      <c r="AE11" s="406"/>
      <c r="AF11" s="406"/>
      <c r="AG11" s="406"/>
      <c r="AH11" s="406"/>
      <c r="AI11" s="406"/>
      <c r="AJ11" s="406"/>
      <c r="AK11" s="406"/>
      <c r="AL11" s="406"/>
      <c r="AM11" s="406"/>
      <c r="AN11" s="406" t="s">
        <v>38</v>
      </c>
      <c r="AO11" s="406"/>
      <c r="AP11" s="406"/>
      <c r="AQ11" s="406"/>
      <c r="AR11" s="406"/>
      <c r="AS11" s="406"/>
      <c r="AT11" s="406"/>
      <c r="AU11" s="406"/>
      <c r="AV11" s="406"/>
      <c r="AW11" s="406"/>
      <c r="AX11" s="406"/>
      <c r="AY11" s="406"/>
      <c r="AZ11" s="406" t="s">
        <v>39</v>
      </c>
      <c r="BA11" s="406"/>
      <c r="BB11" s="406"/>
      <c r="BC11" s="406"/>
      <c r="BD11" s="406"/>
      <c r="BE11" s="406"/>
      <c r="BF11" s="406"/>
      <c r="BG11" s="406"/>
      <c r="BH11" s="406"/>
      <c r="BI11" s="406"/>
      <c r="BJ11" s="406"/>
      <c r="BK11" s="406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299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467</v>
      </c>
      <c r="C14" s="9">
        <f>'REV-REVCALC_CWS'!B94</f>
        <v>0</v>
      </c>
      <c r="D14" s="9">
        <f>'REV-REVCALC_CWS'!C94</f>
        <v>0</v>
      </c>
      <c r="E14" s="9">
        <f>'REV-REVCALC_CWS'!D94</f>
        <v>0</v>
      </c>
      <c r="F14" s="9">
        <f>'REV-REVCALC_CWS'!E94</f>
        <v>0</v>
      </c>
      <c r="G14" s="9">
        <f>'REV-REVCALC_CWS'!F94</f>
        <v>1092000</v>
      </c>
      <c r="H14" s="9">
        <f>'REV-REVCALC_CWS'!G94</f>
        <v>1498000</v>
      </c>
      <c r="I14" s="9">
        <f>'REV-REVCALC_CWS'!H94</f>
        <v>3918000</v>
      </c>
      <c r="J14" s="9">
        <f>'REV-REVCALC_CWS'!I94</f>
        <v>4897000</v>
      </c>
      <c r="K14" s="9">
        <f>'REV-REVCALC_CWS'!J94</f>
        <v>5873000</v>
      </c>
      <c r="L14" s="9">
        <f>'REV-REVCALC_CWS'!K94</f>
        <v>6852000</v>
      </c>
      <c r="M14" s="9">
        <f>'REV-REVCALC_CWS'!L94</f>
        <v>7828000</v>
      </c>
      <c r="N14" s="9">
        <f>'REV-REVCALC_CWS'!M94</f>
        <v>8807000</v>
      </c>
      <c r="O14" s="9">
        <f>'REV-REVCALC_CWS'!N94</f>
        <v>7828000</v>
      </c>
      <c r="P14" s="9">
        <f>'REV-REVCALC_CWS'!O94</f>
        <v>15196140</v>
      </c>
      <c r="Q14" s="9">
        <f>'REV-REVCALC_CWS'!P94</f>
        <v>24323240</v>
      </c>
      <c r="R14" s="9">
        <f>'REV-REVCALC_CWS'!Q94</f>
        <v>27354550</v>
      </c>
      <c r="S14" s="9">
        <f>'REV-REVCALC_CWS'!R94</f>
        <v>27354550</v>
      </c>
      <c r="T14" s="9">
        <f>'REV-REVCALC_CWS'!S94</f>
        <v>27354550</v>
      </c>
      <c r="U14" s="9">
        <f>'REV-REVCALC_CWS'!T94</f>
        <v>27354550</v>
      </c>
      <c r="V14" s="9">
        <f>'REV-REVCALC_CWS'!U94</f>
        <v>27354550</v>
      </c>
      <c r="W14" s="9">
        <f>'REV-REVCALC_CWS'!V94</f>
        <v>27354550</v>
      </c>
      <c r="X14" s="9">
        <f>'REV-REVCALC_CWS'!W94</f>
        <v>27354550</v>
      </c>
      <c r="Y14" s="9">
        <f>'REV-REVCALC_CWS'!X94</f>
        <v>27354550</v>
      </c>
      <c r="Z14" s="9">
        <f>'REV-REVCALC_CWS'!Y94</f>
        <v>27354550</v>
      </c>
      <c r="AA14" s="9">
        <f>'REV-REVCALC_CWS'!Z94</f>
        <v>18242430</v>
      </c>
      <c r="AB14" s="9">
        <f>'REV-REVCALC_CWS'!AA94</f>
        <v>31448113.200000003</v>
      </c>
      <c r="AC14" s="9">
        <f>'REV-REVCALC_CWS'!AB94</f>
        <v>50312630.5</v>
      </c>
      <c r="AD14" s="9">
        <f>'REV-REVCALC_CWS'!AC94</f>
        <v>56594696.800000004</v>
      </c>
      <c r="AE14" s="9">
        <f>'REV-REVCALC_CWS'!AD94</f>
        <v>56594696.800000004</v>
      </c>
      <c r="AF14" s="9">
        <f>'REV-REVCALC_CWS'!AE94</f>
        <v>56594696.800000004</v>
      </c>
      <c r="AG14" s="9">
        <f>'REV-REVCALC_CWS'!AF94</f>
        <v>56594696.800000004</v>
      </c>
      <c r="AH14" s="9">
        <f>'REV-REVCALC_CWS'!AG94</f>
        <v>56594696.800000004</v>
      </c>
      <c r="AI14" s="9">
        <f>'REV-REVCALC_CWS'!AH94</f>
        <v>56594696.800000004</v>
      </c>
      <c r="AJ14" s="9">
        <f>'REV-REVCALC_CWS'!AI94</f>
        <v>56594696.800000004</v>
      </c>
      <c r="AK14" s="9">
        <f>'REV-REVCALC_CWS'!AJ94</f>
        <v>56594696.800000004</v>
      </c>
      <c r="AL14" s="9">
        <f>'REV-REVCALC_CWS'!AK94</f>
        <v>56594696.800000004</v>
      </c>
      <c r="AM14" s="9">
        <f>'REV-REVCALC_CWS'!AL94</f>
        <v>37730179.5</v>
      </c>
      <c r="AN14" s="9">
        <f>'REV-REVCALC_CWS'!AM94</f>
        <v>60348068.266000003</v>
      </c>
      <c r="AO14" s="9">
        <f>'REV-REVCALC_CWS'!AN94</f>
        <v>96566464.561000019</v>
      </c>
      <c r="AP14" s="9">
        <f>'REV-REVCALC_CWS'!AO94</f>
        <v>108638038.28300001</v>
      </c>
      <c r="AQ14" s="9">
        <f>'REV-REVCALC_CWS'!AP94</f>
        <v>108638038.28300001</v>
      </c>
      <c r="AR14" s="9">
        <f>'REV-REVCALC_CWS'!AQ94</f>
        <v>108638038.28300001</v>
      </c>
      <c r="AS14" s="9">
        <f>'REV-REVCALC_CWS'!AR94</f>
        <v>108638038.28300001</v>
      </c>
      <c r="AT14" s="9">
        <f>'REV-REVCALC_CWS'!AS94</f>
        <v>108638038.28300001</v>
      </c>
      <c r="AU14" s="9">
        <f>'REV-REVCALC_CWS'!AT94</f>
        <v>108638038.28300001</v>
      </c>
      <c r="AV14" s="9">
        <f>'REV-REVCALC_CWS'!AU94</f>
        <v>108638038.28300001</v>
      </c>
      <c r="AW14" s="9">
        <f>'REV-REVCALC_CWS'!AV94</f>
        <v>108638038.28300001</v>
      </c>
      <c r="AX14" s="9">
        <f>'REV-REVCALC_CWS'!AW94</f>
        <v>108638038.28300001</v>
      </c>
      <c r="AY14" s="9">
        <f>'REV-REVCALC_CWS'!AX94</f>
        <v>72419641.98800002</v>
      </c>
      <c r="AZ14" s="9">
        <f>'REV-REVCALC_CWS'!AY94</f>
        <v>62991184.291510016</v>
      </c>
      <c r="BA14" s="9">
        <f>'REV-REVCALC_CWS'!AZ94</f>
        <v>100812429.48098002</v>
      </c>
      <c r="BB14" s="9">
        <f>'REV-REVCALC_CWS'!BA94</f>
        <v>113390048.31604002</v>
      </c>
      <c r="BC14" s="9">
        <f>'REV-REVCALC_CWS'!BB94</f>
        <v>113390048.31604002</v>
      </c>
      <c r="BD14" s="9">
        <f>'REV-REVCALC_CWS'!BC94</f>
        <v>113390048.31604002</v>
      </c>
      <c r="BE14" s="9">
        <f>'REV-REVCALC_CWS'!BD94</f>
        <v>113390048.31604002</v>
      </c>
      <c r="BF14" s="9">
        <f>'REV-REVCALC_CWS'!BE94</f>
        <v>113390048.31604002</v>
      </c>
      <c r="BG14" s="9">
        <f>'REV-REVCALC_CWS'!BF94</f>
        <v>113390048.31604002</v>
      </c>
      <c r="BH14" s="9">
        <f>'REV-REVCALC_CWS'!BG94</f>
        <v>113390048.31604002</v>
      </c>
      <c r="BI14" s="9">
        <f>'REV-REVCALC_CWS'!BH94</f>
        <v>113390048.31604002</v>
      </c>
      <c r="BJ14" s="9">
        <f>'REV-REVCALC_CWS'!BI94</f>
        <v>113390048.31604002</v>
      </c>
      <c r="BK14" s="9">
        <f>'REV-REVCALC_CWS'!BJ94</f>
        <v>75620206.846770018</v>
      </c>
      <c r="BL14" s="38">
        <f>SUM(C14:BK14)</f>
        <v>3448399729.2256198</v>
      </c>
    </row>
    <row r="16" spans="2:64" x14ac:dyDescent="0.15">
      <c r="B16" t="s">
        <v>468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469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1092000</v>
      </c>
      <c r="H17" s="140">
        <f t="shared" si="2"/>
        <v>1498000</v>
      </c>
      <c r="I17" s="140">
        <f t="shared" si="2"/>
        <v>3918000</v>
      </c>
      <c r="J17" s="140">
        <f t="shared" si="2"/>
        <v>4897000</v>
      </c>
      <c r="K17" s="140">
        <f t="shared" si="2"/>
        <v>5873000</v>
      </c>
      <c r="L17" s="140">
        <f t="shared" si="2"/>
        <v>6852000</v>
      </c>
      <c r="M17" s="140">
        <f t="shared" si="2"/>
        <v>7828000</v>
      </c>
      <c r="N17" s="140">
        <f t="shared" si="2"/>
        <v>8807000</v>
      </c>
      <c r="O17" s="140">
        <f t="shared" si="2"/>
        <v>7828000</v>
      </c>
      <c r="P17" s="140">
        <f t="shared" si="2"/>
        <v>15196140</v>
      </c>
      <c r="Q17" s="140">
        <f t="shared" si="2"/>
        <v>24323240</v>
      </c>
      <c r="R17" s="140">
        <f t="shared" si="2"/>
        <v>27354550</v>
      </c>
      <c r="S17" s="140">
        <f t="shared" si="2"/>
        <v>27354550</v>
      </c>
      <c r="T17" s="140">
        <f t="shared" si="2"/>
        <v>27354550</v>
      </c>
      <c r="U17" s="140">
        <f t="shared" si="2"/>
        <v>27354550</v>
      </c>
      <c r="V17" s="140">
        <f t="shared" si="2"/>
        <v>27354550</v>
      </c>
      <c r="W17" s="140">
        <f t="shared" si="2"/>
        <v>27354550</v>
      </c>
      <c r="X17" s="140">
        <f t="shared" si="2"/>
        <v>27354550</v>
      </c>
      <c r="Y17" s="140">
        <f t="shared" si="2"/>
        <v>27354550</v>
      </c>
      <c r="Z17" s="140">
        <f t="shared" si="2"/>
        <v>27354550</v>
      </c>
      <c r="AA17" s="140">
        <f t="shared" si="2"/>
        <v>18242430</v>
      </c>
      <c r="AB17" s="140">
        <f t="shared" si="2"/>
        <v>31448113.200000003</v>
      </c>
      <c r="AC17" s="140">
        <f t="shared" si="2"/>
        <v>50312630.5</v>
      </c>
      <c r="AD17" s="140">
        <f t="shared" si="2"/>
        <v>56594696.800000004</v>
      </c>
      <c r="AE17" s="140">
        <f t="shared" si="2"/>
        <v>56594696.800000004</v>
      </c>
      <c r="AF17" s="140">
        <f t="shared" si="2"/>
        <v>56594696.800000004</v>
      </c>
      <c r="AG17" s="140">
        <f t="shared" si="2"/>
        <v>56594696.800000004</v>
      </c>
      <c r="AH17" s="140">
        <f t="shared" si="2"/>
        <v>56594696.800000004</v>
      </c>
      <c r="AI17" s="140">
        <f t="shared" ref="AI17:BK17" si="3">AI14</f>
        <v>56594696.800000004</v>
      </c>
      <c r="AJ17" s="140">
        <f t="shared" si="3"/>
        <v>56594696.800000004</v>
      </c>
      <c r="AK17" s="140">
        <f t="shared" si="3"/>
        <v>56594696.800000004</v>
      </c>
      <c r="AL17" s="140">
        <f t="shared" si="3"/>
        <v>56594696.800000004</v>
      </c>
      <c r="AM17" s="140">
        <f t="shared" si="3"/>
        <v>37730179.5</v>
      </c>
      <c r="AN17" s="140">
        <f t="shared" si="3"/>
        <v>60348068.266000003</v>
      </c>
      <c r="AO17" s="140">
        <f t="shared" si="3"/>
        <v>96566464.561000019</v>
      </c>
      <c r="AP17" s="140">
        <f t="shared" si="3"/>
        <v>108638038.28300001</v>
      </c>
      <c r="AQ17" s="140">
        <f t="shared" si="3"/>
        <v>108638038.28300001</v>
      </c>
      <c r="AR17" s="140">
        <f t="shared" si="3"/>
        <v>108638038.28300001</v>
      </c>
      <c r="AS17" s="140">
        <f t="shared" si="3"/>
        <v>108638038.28300001</v>
      </c>
      <c r="AT17" s="140">
        <f t="shared" si="3"/>
        <v>108638038.28300001</v>
      </c>
      <c r="AU17" s="140">
        <f t="shared" si="3"/>
        <v>108638038.28300001</v>
      </c>
      <c r="AV17" s="140">
        <f t="shared" si="3"/>
        <v>108638038.28300001</v>
      </c>
      <c r="AW17" s="140">
        <f t="shared" si="3"/>
        <v>108638038.28300001</v>
      </c>
      <c r="AX17" s="140">
        <f t="shared" si="3"/>
        <v>108638038.28300001</v>
      </c>
      <c r="AY17" s="140">
        <f t="shared" si="3"/>
        <v>72419641.98800002</v>
      </c>
      <c r="AZ17" s="140">
        <f t="shared" si="3"/>
        <v>62991184.291510016</v>
      </c>
      <c r="BA17" s="140">
        <f t="shared" si="3"/>
        <v>100812429.48098002</v>
      </c>
      <c r="BB17" s="140">
        <f t="shared" si="3"/>
        <v>113390048.31604002</v>
      </c>
      <c r="BC17" s="140">
        <f t="shared" si="3"/>
        <v>113390048.31604002</v>
      </c>
      <c r="BD17" s="140">
        <f t="shared" si="3"/>
        <v>113390048.31604002</v>
      </c>
      <c r="BE17" s="140">
        <f t="shared" si="3"/>
        <v>113390048.31604002</v>
      </c>
      <c r="BF17" s="140">
        <f t="shared" si="3"/>
        <v>113390048.31604002</v>
      </c>
      <c r="BG17" s="140">
        <f t="shared" si="3"/>
        <v>113390048.31604002</v>
      </c>
      <c r="BH17" s="140">
        <f t="shared" si="3"/>
        <v>113390048.31604002</v>
      </c>
      <c r="BI17" s="140">
        <f t="shared" si="3"/>
        <v>113390048.31604002</v>
      </c>
      <c r="BJ17" s="140">
        <f t="shared" si="3"/>
        <v>113390048.31604002</v>
      </c>
      <c r="BK17" s="140">
        <f t="shared" si="3"/>
        <v>75620206.846770018</v>
      </c>
    </row>
    <row r="18" spans="2:63" x14ac:dyDescent="0.15">
      <c r="B18" s="139" t="s">
        <v>470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1092000</v>
      </c>
      <c r="H18" s="140">
        <f t="shared" ref="H18:BK18" si="5">H17</f>
        <v>1498000</v>
      </c>
      <c r="I18" s="140">
        <f t="shared" si="5"/>
        <v>3918000</v>
      </c>
      <c r="J18" s="140">
        <f t="shared" si="5"/>
        <v>4897000</v>
      </c>
      <c r="K18" s="140">
        <f t="shared" si="5"/>
        <v>5873000</v>
      </c>
      <c r="L18" s="140">
        <f t="shared" si="5"/>
        <v>6852000</v>
      </c>
      <c r="M18" s="140">
        <f t="shared" si="5"/>
        <v>7828000</v>
      </c>
      <c r="N18" s="140">
        <f t="shared" si="5"/>
        <v>8807000</v>
      </c>
      <c r="O18" s="140">
        <f t="shared" si="5"/>
        <v>7828000</v>
      </c>
      <c r="P18" s="140">
        <f t="shared" si="5"/>
        <v>15196140</v>
      </c>
      <c r="Q18" s="140">
        <f t="shared" si="5"/>
        <v>24323240</v>
      </c>
      <c r="R18" s="140">
        <f t="shared" si="5"/>
        <v>27354550</v>
      </c>
      <c r="S18" s="140">
        <f t="shared" si="5"/>
        <v>27354550</v>
      </c>
      <c r="T18" s="140">
        <f t="shared" si="5"/>
        <v>27354550</v>
      </c>
      <c r="U18" s="140">
        <f t="shared" si="5"/>
        <v>27354550</v>
      </c>
      <c r="V18" s="140">
        <f t="shared" si="5"/>
        <v>27354550</v>
      </c>
      <c r="W18" s="140">
        <f t="shared" si="5"/>
        <v>27354550</v>
      </c>
      <c r="X18" s="140">
        <f t="shared" si="5"/>
        <v>27354550</v>
      </c>
      <c r="Y18" s="140">
        <f t="shared" si="5"/>
        <v>27354550</v>
      </c>
      <c r="Z18" s="140">
        <f t="shared" si="5"/>
        <v>27354550</v>
      </c>
      <c r="AA18" s="140">
        <f t="shared" si="5"/>
        <v>18242430</v>
      </c>
      <c r="AB18" s="140">
        <f t="shared" si="5"/>
        <v>31448113.200000003</v>
      </c>
      <c r="AC18" s="140">
        <f t="shared" si="5"/>
        <v>50312630.5</v>
      </c>
      <c r="AD18" s="140">
        <f t="shared" si="5"/>
        <v>56594696.800000004</v>
      </c>
      <c r="AE18" s="140">
        <f t="shared" si="5"/>
        <v>56594696.800000004</v>
      </c>
      <c r="AF18" s="140">
        <f t="shared" si="5"/>
        <v>56594696.800000004</v>
      </c>
      <c r="AG18" s="140">
        <f t="shared" si="5"/>
        <v>56594696.800000004</v>
      </c>
      <c r="AH18" s="140">
        <f t="shared" si="5"/>
        <v>56594696.800000004</v>
      </c>
      <c r="AI18" s="140">
        <f t="shared" si="5"/>
        <v>56594696.800000004</v>
      </c>
      <c r="AJ18" s="140">
        <f t="shared" si="5"/>
        <v>56594696.800000004</v>
      </c>
      <c r="AK18" s="140">
        <f t="shared" si="5"/>
        <v>56594696.800000004</v>
      </c>
      <c r="AL18" s="140">
        <f t="shared" si="5"/>
        <v>56594696.800000004</v>
      </c>
      <c r="AM18" s="140">
        <f t="shared" si="5"/>
        <v>37730179.5</v>
      </c>
      <c r="AN18" s="140">
        <f t="shared" si="5"/>
        <v>60348068.266000003</v>
      </c>
      <c r="AO18" s="140">
        <f t="shared" si="5"/>
        <v>96566464.561000019</v>
      </c>
      <c r="AP18" s="140">
        <f t="shared" si="5"/>
        <v>108638038.28300001</v>
      </c>
      <c r="AQ18" s="140">
        <f t="shared" si="5"/>
        <v>108638038.28300001</v>
      </c>
      <c r="AR18" s="140">
        <f t="shared" si="5"/>
        <v>108638038.28300001</v>
      </c>
      <c r="AS18" s="140">
        <f t="shared" si="5"/>
        <v>108638038.28300001</v>
      </c>
      <c r="AT18" s="140">
        <f t="shared" si="5"/>
        <v>108638038.28300001</v>
      </c>
      <c r="AU18" s="140">
        <f t="shared" si="5"/>
        <v>108638038.28300001</v>
      </c>
      <c r="AV18" s="140">
        <f t="shared" si="5"/>
        <v>108638038.28300001</v>
      </c>
      <c r="AW18" s="140">
        <f t="shared" si="5"/>
        <v>108638038.28300001</v>
      </c>
      <c r="AX18" s="140">
        <f t="shared" si="5"/>
        <v>108638038.28300001</v>
      </c>
      <c r="AY18" s="140">
        <f t="shared" si="5"/>
        <v>72419641.98800002</v>
      </c>
      <c r="AZ18" s="140">
        <f t="shared" si="5"/>
        <v>62991184.291510016</v>
      </c>
      <c r="BA18" s="140">
        <f t="shared" si="5"/>
        <v>100812429.48098002</v>
      </c>
      <c r="BB18" s="140">
        <f t="shared" si="5"/>
        <v>113390048.31604002</v>
      </c>
      <c r="BC18" s="140">
        <f t="shared" si="5"/>
        <v>113390048.31604002</v>
      </c>
      <c r="BD18" s="140">
        <f t="shared" si="5"/>
        <v>113390048.31604002</v>
      </c>
      <c r="BE18" s="140">
        <f t="shared" si="5"/>
        <v>113390048.31604002</v>
      </c>
      <c r="BF18" s="140">
        <f t="shared" si="5"/>
        <v>113390048.31604002</v>
      </c>
      <c r="BG18" s="140">
        <f t="shared" si="5"/>
        <v>113390048.31604002</v>
      </c>
      <c r="BH18" s="140">
        <f t="shared" si="5"/>
        <v>113390048.31604002</v>
      </c>
      <c r="BI18" s="140">
        <f t="shared" si="5"/>
        <v>113390048.31604002</v>
      </c>
      <c r="BJ18" s="140">
        <f t="shared" si="5"/>
        <v>113390048.31604002</v>
      </c>
      <c r="BK18" s="140">
        <f t="shared" si="5"/>
        <v>75620206.846770018</v>
      </c>
    </row>
    <row r="19" spans="2:63" x14ac:dyDescent="0.15">
      <c r="B19" t="s">
        <v>471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5"/>
  <sheetViews>
    <sheetView workbookViewId="0">
      <selection activeCell="B14" sqref="B14"/>
    </sheetView>
    <sheetView topLeftCell="A42" workbookViewId="1">
      <selection activeCell="I2" sqref="I1:I1048576"/>
    </sheetView>
    <sheetView workbookViewId="2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270</v>
      </c>
      <c r="F1" s="406" t="s">
        <v>35</v>
      </c>
      <c r="G1" s="406"/>
      <c r="H1" s="406"/>
      <c r="I1" s="406"/>
      <c r="J1" s="406"/>
      <c r="K1" s="406"/>
      <c r="L1" s="406"/>
      <c r="M1" s="406"/>
      <c r="N1" s="406"/>
      <c r="O1" s="406"/>
      <c r="P1" s="406"/>
      <c r="Q1" s="406"/>
      <c r="R1" s="406" t="s">
        <v>36</v>
      </c>
      <c r="S1" s="406"/>
      <c r="T1" s="406"/>
      <c r="U1" s="406"/>
      <c r="V1" s="406"/>
      <c r="W1" s="406"/>
      <c r="X1" s="406"/>
      <c r="Y1" s="406"/>
      <c r="Z1" s="406"/>
      <c r="AA1" s="406"/>
      <c r="AB1" s="406"/>
      <c r="AC1" s="406"/>
      <c r="AD1" s="406" t="s">
        <v>37</v>
      </c>
      <c r="AE1" s="406"/>
      <c r="AF1" s="406"/>
      <c r="AG1" s="406"/>
      <c r="AH1" s="406"/>
      <c r="AI1" s="406"/>
      <c r="AJ1" s="406"/>
      <c r="AK1" s="406"/>
      <c r="AL1" s="406"/>
      <c r="AM1" s="406"/>
      <c r="AN1" s="406"/>
      <c r="AO1" s="406"/>
      <c r="AP1" s="406" t="s">
        <v>38</v>
      </c>
      <c r="AQ1" s="406"/>
      <c r="AR1" s="406"/>
      <c r="AS1" s="406"/>
      <c r="AT1" s="406"/>
      <c r="AU1" s="406"/>
      <c r="AV1" s="406"/>
      <c r="AW1" s="406"/>
      <c r="AX1" s="406"/>
      <c r="AY1" s="406"/>
      <c r="AZ1" s="406"/>
      <c r="BA1" s="406"/>
      <c r="BB1" s="406" t="s">
        <v>39</v>
      </c>
      <c r="BC1" s="406"/>
      <c r="BD1" s="406"/>
      <c r="BE1" s="406"/>
      <c r="BF1" s="406"/>
      <c r="BG1" s="406"/>
      <c r="BH1" s="406"/>
      <c r="BI1" s="406"/>
      <c r="BJ1" s="406"/>
      <c r="BK1" s="406"/>
      <c r="BL1" s="406"/>
      <c r="BM1" s="406"/>
      <c r="BN1" s="35"/>
    </row>
    <row r="2" spans="2:67" x14ac:dyDescent="0.15">
      <c r="B2" s="16" t="s">
        <v>1227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413" t="s">
        <v>282</v>
      </c>
      <c r="BO2" s="413"/>
    </row>
    <row r="3" spans="2:67" x14ac:dyDescent="0.15">
      <c r="C3" s="10" t="s">
        <v>304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305</v>
      </c>
      <c r="D4" s="10" t="s">
        <v>206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1226</v>
      </c>
      <c r="C6" s="33"/>
      <c r="D6" s="33"/>
      <c r="E6" s="34"/>
    </row>
    <row r="7" spans="2:67" x14ac:dyDescent="0.15">
      <c r="B7" s="47" t="s">
        <v>163</v>
      </c>
      <c r="C7" s="47" t="s">
        <v>205</v>
      </c>
      <c r="D7" s="33"/>
      <c r="E7" s="63">
        <f>'OPEX _CWS '!C48</f>
        <v>0</v>
      </c>
      <c r="F7" s="373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tr">
        <f>'OPEX _CWS '!A38</f>
        <v>Nuevos uniformes (gasto)</v>
      </c>
      <c r="C8" s="47" t="s">
        <v>205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0</v>
      </c>
      <c r="J8" s="63">
        <f>'OPEX _CWS '!H39</f>
        <v>0</v>
      </c>
      <c r="K8" s="63">
        <f>'OPEX _CWS '!I39</f>
        <v>80000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503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80000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tr">
        <f>COSM_CWS!B46</f>
        <v>Letreros</v>
      </c>
      <c r="C12" s="376"/>
      <c r="D12" s="62"/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80000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780000</v>
      </c>
    </row>
    <row r="13" spans="2:67" x14ac:dyDescent="0.15">
      <c r="B13" s="47" t="str">
        <f>COSM_CWS!B47</f>
        <v>Material Impreso / Web</v>
      </c>
      <c r="C13" s="376"/>
      <c r="D13" s="62"/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70000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504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150000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1010000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1177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tr">
        <f>DEV_CWS!B80</f>
        <v>Computadora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tr">
        <f>DEV_CWS!B81</f>
        <v>Internet - Connectivity Equipment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tr">
        <f>DEV_CWS!B82</f>
        <v>Licencia Herramientas Oficina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400000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186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187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188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412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413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5" s="48" customFormat="1" x14ac:dyDescent="0.15">
      <c r="A33" s="75"/>
      <c r="B33" s="47" t="s">
        <v>414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5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>
        <f>DEV_CWS!H95</f>
        <v>2500000</v>
      </c>
      <c r="J34" s="419">
        <f>DEV_CWS!I95</f>
        <v>0</v>
      </c>
      <c r="K34">
        <f>DEV_CWS!J95</f>
        <v>0</v>
      </c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5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>
        <f>DEV_CWS!I96</f>
        <v>0</v>
      </c>
      <c r="K35" s="121">
        <f>DEV_CWS!J96</f>
        <v>0</v>
      </c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5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>
        <f>DEV_CWS!I97</f>
        <v>0</v>
      </c>
      <c r="K36" s="121">
        <f>DEV_CWS!J97</f>
        <v>0</v>
      </c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5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0</v>
      </c>
      <c r="J37" s="121">
        <f>DEV_CWS!I98</f>
        <v>340000</v>
      </c>
      <c r="K37" s="121">
        <f>DEV_CWS!J98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5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>
        <f>DEV_CWS!I99</f>
        <v>0</v>
      </c>
      <c r="K38" s="121">
        <f>DEV_CWS!J99</f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5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>
        <f>DEV_CWS!I100</f>
        <v>0</v>
      </c>
      <c r="K39" s="121">
        <f>DEV_CWS!J100</f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5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>
        <f>DEV_CWS!I101</f>
        <v>0</v>
      </c>
      <c r="K40" s="121">
        <f>DEV_CWS!J101</f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5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>
        <f>DEV_CWS!I102</f>
        <v>0</v>
      </c>
      <c r="K41" s="121">
        <f>DEV_CWS!J102</f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5" s="48" customFormat="1" x14ac:dyDescent="0.15">
      <c r="A42" s="75"/>
      <c r="B42" s="47" t="str">
        <f>DEV_CWS!B103</f>
        <v>Uniformes provisional</v>
      </c>
      <c r="E42" s="121"/>
      <c r="F42" s="121"/>
      <c r="G42" s="121"/>
      <c r="H42" s="121"/>
      <c r="I42" s="121">
        <f>DEV_CWS!H103</f>
        <v>40000</v>
      </c>
      <c r="J42" s="121">
        <f>DEV_CWS!I103</f>
        <v>0</v>
      </c>
      <c r="K42" s="121">
        <f>DEV_CWS!J103</f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5" s="48" customFormat="1" x14ac:dyDescent="0.15">
      <c r="A43" s="75"/>
      <c r="B43" s="47" t="str">
        <f>DEV_CWS!B104</f>
        <v>Barra bar</v>
      </c>
      <c r="E43" s="121"/>
      <c r="F43" s="121"/>
      <c r="G43" s="121"/>
      <c r="H43" s="121"/>
      <c r="I43" s="121">
        <f>DEV_CWS!H104</f>
        <v>750000</v>
      </c>
      <c r="J43" s="121">
        <f>DEV_CWS!I104</f>
        <v>0</v>
      </c>
      <c r="K43" s="121">
        <f>DEV_CWS!J104</f>
        <v>0</v>
      </c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5" s="48" customFormat="1" x14ac:dyDescent="0.15">
      <c r="A44" s="75"/>
      <c r="B44" s="47" t="str">
        <f>DEV_CWS!B105</f>
        <v>Vajilla</v>
      </c>
      <c r="E44" s="121"/>
      <c r="F44" s="121"/>
      <c r="G44" s="121"/>
      <c r="H44" s="121"/>
      <c r="I44" s="121">
        <f>DEV_CWS!H105</f>
        <v>1100000</v>
      </c>
      <c r="J44" s="121">
        <f>DEV_CWS!I105</f>
        <v>0</v>
      </c>
      <c r="K44" s="121">
        <f>DEV_CWS!J105</f>
        <v>0</v>
      </c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  <c r="BL44" s="121"/>
      <c r="BM44" s="121"/>
    </row>
    <row r="45" spans="1:65" s="48" customFormat="1" x14ac:dyDescent="0.15">
      <c r="A45" s="75"/>
      <c r="B45" s="47" t="s">
        <v>185</v>
      </c>
      <c r="E45" s="121">
        <f>DEV_CWS!D106</f>
        <v>0</v>
      </c>
      <c r="F45" s="121">
        <f>DEV_CWS!E106</f>
        <v>0</v>
      </c>
      <c r="G45" s="121">
        <f>DEV_CWS!F106</f>
        <v>0</v>
      </c>
      <c r="H45" s="121">
        <f>DEV_CWS!G106</f>
        <v>0</v>
      </c>
      <c r="I45" s="121">
        <f>DEV_CWS!H106</f>
        <v>0</v>
      </c>
      <c r="J45" s="121">
        <f>DEV_CWS!I106</f>
        <v>0</v>
      </c>
      <c r="K45" s="121">
        <f>DEV_CWS!J106</f>
        <v>0</v>
      </c>
      <c r="L45" s="121">
        <f>DEV_CWS!K106</f>
        <v>0</v>
      </c>
      <c r="M45" s="121">
        <f>DEV_CWS!L106</f>
        <v>0</v>
      </c>
      <c r="N45" s="121">
        <f>DEV_CWS!M106</f>
        <v>0</v>
      </c>
      <c r="O45" s="121">
        <f>DEV_CWS!N106</f>
        <v>0</v>
      </c>
      <c r="P45" s="121">
        <f>DEV_CWS!O106</f>
        <v>0</v>
      </c>
      <c r="Q45" s="121">
        <f>DEV_CWS!P106</f>
        <v>0</v>
      </c>
      <c r="R45" s="121">
        <f>DEV_CWS!Q106</f>
        <v>0</v>
      </c>
      <c r="S45" s="121">
        <f>DEV_CWS!R106</f>
        <v>0</v>
      </c>
      <c r="T45" s="121">
        <f>DEV_CWS!S106</f>
        <v>0</v>
      </c>
      <c r="U45" s="121">
        <f>DEV_CWS!T106</f>
        <v>0</v>
      </c>
      <c r="V45" s="121">
        <f>DEV_CWS!U106</f>
        <v>0</v>
      </c>
      <c r="W45" s="121">
        <f>DEV_CWS!V106</f>
        <v>0</v>
      </c>
      <c r="X45" s="121">
        <f>DEV_CWS!W106</f>
        <v>0</v>
      </c>
      <c r="Y45" s="121">
        <f>DEV_CWS!X106</f>
        <v>0</v>
      </c>
      <c r="Z45" s="121">
        <f>DEV_CWS!Y106</f>
        <v>0</v>
      </c>
      <c r="AA45" s="121">
        <f>DEV_CWS!Z106</f>
        <v>0</v>
      </c>
      <c r="AB45" s="121">
        <f>DEV_CWS!AA106</f>
        <v>0</v>
      </c>
      <c r="AC45" s="121">
        <f>DEV_CWS!AB106</f>
        <v>0</v>
      </c>
      <c r="AD45" s="121">
        <f>DEV_CWS!AC106</f>
        <v>0</v>
      </c>
      <c r="AE45" s="121">
        <f>DEV_CWS!AD106</f>
        <v>0</v>
      </c>
      <c r="AF45" s="121">
        <f>DEV_CWS!AE106</f>
        <v>0</v>
      </c>
      <c r="AG45" s="121">
        <f>DEV_CWS!AF106</f>
        <v>0</v>
      </c>
      <c r="AH45" s="121">
        <f>DEV_CWS!AG106</f>
        <v>0</v>
      </c>
      <c r="AI45" s="121">
        <f>DEV_CWS!AH106</f>
        <v>0</v>
      </c>
      <c r="AJ45" s="121">
        <f>DEV_CWS!AI106</f>
        <v>0</v>
      </c>
      <c r="AK45" s="121">
        <f>DEV_CWS!AJ106</f>
        <v>0</v>
      </c>
      <c r="AL45" s="121">
        <f>DEV_CWS!AK106</f>
        <v>0</v>
      </c>
      <c r="AM45" s="121">
        <f>DEV_CWS!AL106</f>
        <v>0</v>
      </c>
      <c r="AN45" s="121">
        <f>DEV_CWS!AM106</f>
        <v>0</v>
      </c>
      <c r="AO45" s="121">
        <f>DEV_CWS!AN106</f>
        <v>0</v>
      </c>
      <c r="AP45" s="121">
        <f>DEV_CWS!AO106</f>
        <v>0</v>
      </c>
      <c r="AQ45" s="121">
        <f>DEV_CWS!AP106</f>
        <v>0</v>
      </c>
      <c r="AR45" s="121">
        <f>DEV_CWS!AQ106</f>
        <v>0</v>
      </c>
      <c r="AS45" s="121">
        <f>DEV_CWS!AR106</f>
        <v>0</v>
      </c>
      <c r="AT45" s="121">
        <f>DEV_CWS!AS106</f>
        <v>0</v>
      </c>
      <c r="AU45" s="121">
        <f>DEV_CWS!AT106</f>
        <v>0</v>
      </c>
      <c r="AV45" s="121">
        <f>DEV_CWS!AU106</f>
        <v>0</v>
      </c>
      <c r="AW45" s="121">
        <f>DEV_CWS!AV106</f>
        <v>0</v>
      </c>
      <c r="AX45" s="121">
        <f>DEV_CWS!AW106</f>
        <v>0</v>
      </c>
      <c r="AY45" s="121">
        <f>DEV_CWS!AX106</f>
        <v>0</v>
      </c>
      <c r="AZ45" s="121">
        <f>DEV_CWS!AY106</f>
        <v>0</v>
      </c>
      <c r="BA45" s="121">
        <f>DEV_CWS!AZ106</f>
        <v>0</v>
      </c>
      <c r="BB45" s="121">
        <f>DEV_CWS!BA106</f>
        <v>0</v>
      </c>
      <c r="BC45" s="121">
        <f>DEV_CWS!BB106</f>
        <v>0</v>
      </c>
      <c r="BD45" s="121">
        <f>DEV_CWS!BC106</f>
        <v>0</v>
      </c>
      <c r="BE45" s="121">
        <f>DEV_CWS!BD106</f>
        <v>0</v>
      </c>
      <c r="BF45" s="121">
        <f>DEV_CWS!BE106</f>
        <v>0</v>
      </c>
      <c r="BG45" s="121">
        <f>DEV_CWS!BF106</f>
        <v>0</v>
      </c>
      <c r="BH45" s="121">
        <f>DEV_CWS!BG106</f>
        <v>0</v>
      </c>
      <c r="BI45" s="121">
        <f>DEV_CWS!BH106</f>
        <v>0</v>
      </c>
      <c r="BJ45" s="121">
        <f>DEV_CWS!BI106</f>
        <v>0</v>
      </c>
      <c r="BK45" s="121">
        <f>DEV_CWS!BJ106</f>
        <v>0</v>
      </c>
      <c r="BL45" s="121">
        <f>DEV_CWS!BK106</f>
        <v>0</v>
      </c>
      <c r="BM45" s="121">
        <f>DEV_CWS!BL106</f>
        <v>0</v>
      </c>
    </row>
    <row r="46" spans="1:65" s="48" customFormat="1" x14ac:dyDescent="0.15">
      <c r="A46" s="75"/>
      <c r="B46" s="47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  <c r="BL46" s="121"/>
      <c r="BM46" s="121"/>
    </row>
    <row r="47" spans="1:65" s="48" customFormat="1" x14ac:dyDescent="0.15">
      <c r="A47" s="75"/>
      <c r="B47" s="14" t="s">
        <v>398</v>
      </c>
      <c r="E47" s="121">
        <f>DEV_CWS!D108</f>
        <v>0</v>
      </c>
      <c r="F47" s="121">
        <f>DEV_CWS!E108</f>
        <v>0</v>
      </c>
      <c r="G47" s="121">
        <f>DEV_CWS!F108</f>
        <v>0</v>
      </c>
      <c r="H47" s="121">
        <f>DEV_CWS!G108</f>
        <v>0</v>
      </c>
      <c r="I47" s="121">
        <f>DEV_CWS!H108</f>
        <v>0</v>
      </c>
      <c r="J47" s="121">
        <f>DEV_CWS!I108</f>
        <v>0</v>
      </c>
      <c r="K47" s="121">
        <f>DEV_CWS!J108</f>
        <v>0</v>
      </c>
      <c r="L47" s="121">
        <f>DEV_CWS!K108</f>
        <v>0</v>
      </c>
      <c r="M47" s="121">
        <f>DEV_CWS!L108</f>
        <v>0</v>
      </c>
      <c r="N47" s="121">
        <f>DEV_CWS!M108</f>
        <v>0</v>
      </c>
      <c r="O47" s="121">
        <f>DEV_CWS!N108</f>
        <v>0</v>
      </c>
      <c r="P47" s="121">
        <f>DEV_CWS!O108</f>
        <v>0</v>
      </c>
      <c r="Q47" s="121">
        <f>DEV_CWS!P108</f>
        <v>0</v>
      </c>
      <c r="R47" s="121">
        <f>DEV_CWS!Q108</f>
        <v>0</v>
      </c>
      <c r="S47" s="121">
        <f>DEV_CWS!R108</f>
        <v>0</v>
      </c>
      <c r="T47" s="121">
        <f>DEV_CWS!S108</f>
        <v>0</v>
      </c>
      <c r="U47" s="121">
        <f>DEV_CWS!T108</f>
        <v>0</v>
      </c>
      <c r="V47" s="121">
        <f>DEV_CWS!U108</f>
        <v>0</v>
      </c>
      <c r="W47" s="121">
        <f>DEV_CWS!V108</f>
        <v>0</v>
      </c>
      <c r="X47" s="121">
        <f>DEV_CWS!W108</f>
        <v>0</v>
      </c>
      <c r="Y47" s="121">
        <f>DEV_CWS!X108</f>
        <v>0</v>
      </c>
      <c r="Z47" s="121">
        <f>DEV_CWS!Y108</f>
        <v>0</v>
      </c>
      <c r="AA47" s="121">
        <f>DEV_CWS!Z108</f>
        <v>0</v>
      </c>
      <c r="AB47" s="121">
        <f>DEV_CWS!AA108</f>
        <v>0</v>
      </c>
      <c r="AC47" s="121">
        <f>DEV_CWS!AB108</f>
        <v>0</v>
      </c>
      <c r="AD47" s="121">
        <f>DEV_CWS!AC108</f>
        <v>0</v>
      </c>
      <c r="AE47" s="121">
        <f>DEV_CWS!AD108</f>
        <v>0</v>
      </c>
      <c r="AF47" s="121">
        <f>DEV_CWS!AE108</f>
        <v>0</v>
      </c>
      <c r="AG47" s="121">
        <f>DEV_CWS!AF108</f>
        <v>0</v>
      </c>
      <c r="AH47" s="121">
        <f>DEV_CWS!AG108</f>
        <v>0</v>
      </c>
      <c r="AI47" s="121">
        <f>DEV_CWS!AH108</f>
        <v>0</v>
      </c>
      <c r="AJ47" s="121">
        <f>DEV_CWS!AI108</f>
        <v>0</v>
      </c>
      <c r="AK47" s="121">
        <f>DEV_CWS!AJ108</f>
        <v>0</v>
      </c>
      <c r="AL47" s="121">
        <f>DEV_CWS!AK108</f>
        <v>0</v>
      </c>
      <c r="AM47" s="121">
        <f>DEV_CWS!AL108</f>
        <v>0</v>
      </c>
      <c r="AN47" s="121">
        <f>DEV_CWS!AM108</f>
        <v>0</v>
      </c>
      <c r="AO47" s="121">
        <f>DEV_CWS!AN108</f>
        <v>0</v>
      </c>
      <c r="AP47" s="121">
        <f>DEV_CWS!AO108</f>
        <v>0</v>
      </c>
      <c r="AQ47" s="121">
        <f>DEV_CWS!AP108</f>
        <v>0</v>
      </c>
      <c r="AR47" s="121">
        <f>DEV_CWS!AQ108</f>
        <v>0</v>
      </c>
      <c r="AS47" s="121">
        <f>DEV_CWS!AR108</f>
        <v>0</v>
      </c>
      <c r="AT47" s="121">
        <f>DEV_CWS!AS108</f>
        <v>0</v>
      </c>
      <c r="AU47" s="121">
        <f>DEV_CWS!AT108</f>
        <v>0</v>
      </c>
      <c r="AV47" s="121">
        <f>DEV_CWS!AU108</f>
        <v>0</v>
      </c>
      <c r="AW47" s="121">
        <f>DEV_CWS!AV108</f>
        <v>0</v>
      </c>
      <c r="AX47" s="121">
        <f>DEV_CWS!AW108</f>
        <v>0</v>
      </c>
      <c r="AY47" s="121">
        <f>DEV_CWS!AX108</f>
        <v>0</v>
      </c>
      <c r="AZ47" s="121">
        <f>DEV_CWS!AY108</f>
        <v>0</v>
      </c>
      <c r="BA47" s="121">
        <f>DEV_CWS!AZ108</f>
        <v>0</v>
      </c>
      <c r="BB47" s="121">
        <f>DEV_CWS!BA108</f>
        <v>0</v>
      </c>
      <c r="BC47" s="121">
        <f>DEV_CWS!BB108</f>
        <v>0</v>
      </c>
      <c r="BD47" s="121">
        <f>DEV_CWS!BC108</f>
        <v>0</v>
      </c>
      <c r="BE47" s="121">
        <f>DEV_CWS!BD108</f>
        <v>0</v>
      </c>
      <c r="BF47" s="121">
        <f>DEV_CWS!BE108</f>
        <v>0</v>
      </c>
      <c r="BG47" s="121">
        <f>DEV_CWS!BF108</f>
        <v>0</v>
      </c>
      <c r="BH47" s="121">
        <f>DEV_CWS!BG108</f>
        <v>0</v>
      </c>
      <c r="BI47" s="121">
        <f>DEV_CWS!BH108</f>
        <v>0</v>
      </c>
      <c r="BJ47" s="121">
        <f>DEV_CWS!BI108</f>
        <v>0</v>
      </c>
      <c r="BK47" s="121">
        <f>DEV_CWS!BJ108</f>
        <v>0</v>
      </c>
      <c r="BL47" s="121">
        <f>DEV_CWS!BK108</f>
        <v>0</v>
      </c>
      <c r="BM47" s="121">
        <f>DEV_CWS!BL108</f>
        <v>0</v>
      </c>
    </row>
    <row r="48" spans="1:65" s="48" customFormat="1" x14ac:dyDescent="0.15">
      <c r="A48" s="75"/>
      <c r="B48" s="14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  <c r="BL48" s="121"/>
      <c r="BM48" s="121"/>
    </row>
    <row r="49" spans="2:67" s="14" customFormat="1" x14ac:dyDescent="0.15">
      <c r="B49" s="14" t="s">
        <v>26</v>
      </c>
      <c r="D49" s="69"/>
      <c r="E49" s="64">
        <f t="shared" ref="E49:AJ49" si="2">SUM(E19:E48)</f>
        <v>0</v>
      </c>
      <c r="F49" s="64">
        <f t="shared" si="2"/>
        <v>0</v>
      </c>
      <c r="G49" s="64">
        <f t="shared" si="2"/>
        <v>0</v>
      </c>
      <c r="H49" s="64">
        <f t="shared" si="2"/>
        <v>0</v>
      </c>
      <c r="I49" s="64">
        <f t="shared" si="2"/>
        <v>7745000</v>
      </c>
      <c r="J49" s="64">
        <f t="shared" si="2"/>
        <v>740000</v>
      </c>
      <c r="K49" s="64">
        <f t="shared" si="2"/>
        <v>0</v>
      </c>
      <c r="L49" s="64">
        <f t="shared" si="2"/>
        <v>0</v>
      </c>
      <c r="M49" s="64">
        <f t="shared" si="2"/>
        <v>0</v>
      </c>
      <c r="N49" s="64">
        <f t="shared" si="2"/>
        <v>0</v>
      </c>
      <c r="O49" s="64">
        <f t="shared" si="2"/>
        <v>0</v>
      </c>
      <c r="P49" s="64">
        <f t="shared" si="2"/>
        <v>0</v>
      </c>
      <c r="Q49" s="64">
        <f t="shared" si="2"/>
        <v>0</v>
      </c>
      <c r="R49" s="64">
        <f t="shared" si="2"/>
        <v>0</v>
      </c>
      <c r="S49" s="64">
        <f t="shared" si="2"/>
        <v>0</v>
      </c>
      <c r="T49" s="64">
        <f t="shared" si="2"/>
        <v>0</v>
      </c>
      <c r="U49" s="64">
        <f t="shared" si="2"/>
        <v>0</v>
      </c>
      <c r="V49" s="64">
        <f t="shared" si="2"/>
        <v>0</v>
      </c>
      <c r="W49" s="64">
        <f t="shared" si="2"/>
        <v>0</v>
      </c>
      <c r="X49" s="64">
        <f t="shared" si="2"/>
        <v>0</v>
      </c>
      <c r="Y49" s="64">
        <f t="shared" si="2"/>
        <v>0</v>
      </c>
      <c r="Z49" s="64">
        <f t="shared" si="2"/>
        <v>0</v>
      </c>
      <c r="AA49" s="64">
        <f t="shared" si="2"/>
        <v>0</v>
      </c>
      <c r="AB49" s="64">
        <f t="shared" si="2"/>
        <v>0</v>
      </c>
      <c r="AC49" s="64">
        <f t="shared" si="2"/>
        <v>0</v>
      </c>
      <c r="AD49" s="64">
        <f t="shared" si="2"/>
        <v>0</v>
      </c>
      <c r="AE49" s="64">
        <f t="shared" si="2"/>
        <v>0</v>
      </c>
      <c r="AF49" s="64">
        <f t="shared" si="2"/>
        <v>0</v>
      </c>
      <c r="AG49" s="64">
        <f t="shared" si="2"/>
        <v>0</v>
      </c>
      <c r="AH49" s="64">
        <f t="shared" si="2"/>
        <v>0</v>
      </c>
      <c r="AI49" s="64">
        <f t="shared" si="2"/>
        <v>0</v>
      </c>
      <c r="AJ49" s="64">
        <f t="shared" si="2"/>
        <v>0</v>
      </c>
      <c r="AK49" s="64">
        <f t="shared" ref="AK49:BM49" si="3">SUM(AK19:AK48)</f>
        <v>0</v>
      </c>
      <c r="AL49" s="64">
        <f t="shared" si="3"/>
        <v>0</v>
      </c>
      <c r="AM49" s="64">
        <f t="shared" si="3"/>
        <v>0</v>
      </c>
      <c r="AN49" s="64">
        <f t="shared" si="3"/>
        <v>0</v>
      </c>
      <c r="AO49" s="64">
        <f t="shared" si="3"/>
        <v>0</v>
      </c>
      <c r="AP49" s="64">
        <f t="shared" si="3"/>
        <v>0</v>
      </c>
      <c r="AQ49" s="64">
        <f t="shared" si="3"/>
        <v>0</v>
      </c>
      <c r="AR49" s="64">
        <f t="shared" si="3"/>
        <v>0</v>
      </c>
      <c r="AS49" s="64">
        <f t="shared" si="3"/>
        <v>0</v>
      </c>
      <c r="AT49" s="64">
        <f t="shared" si="3"/>
        <v>0</v>
      </c>
      <c r="AU49" s="64">
        <f t="shared" si="3"/>
        <v>0</v>
      </c>
      <c r="AV49" s="64">
        <f t="shared" si="3"/>
        <v>0</v>
      </c>
      <c r="AW49" s="64">
        <f t="shared" si="3"/>
        <v>0</v>
      </c>
      <c r="AX49" s="64">
        <f t="shared" si="3"/>
        <v>0</v>
      </c>
      <c r="AY49" s="64">
        <f t="shared" si="3"/>
        <v>0</v>
      </c>
      <c r="AZ49" s="64">
        <f t="shared" si="3"/>
        <v>0</v>
      </c>
      <c r="BA49" s="64">
        <f t="shared" si="3"/>
        <v>0</v>
      </c>
      <c r="BB49" s="64">
        <f t="shared" si="3"/>
        <v>0</v>
      </c>
      <c r="BC49" s="64">
        <f t="shared" si="3"/>
        <v>0</v>
      </c>
      <c r="BD49" s="64">
        <f t="shared" si="3"/>
        <v>0</v>
      </c>
      <c r="BE49" s="64">
        <f t="shared" si="3"/>
        <v>0</v>
      </c>
      <c r="BF49" s="64">
        <f t="shared" si="3"/>
        <v>0</v>
      </c>
      <c r="BG49" s="64">
        <f t="shared" si="3"/>
        <v>0</v>
      </c>
      <c r="BH49" s="64">
        <f t="shared" si="3"/>
        <v>0</v>
      </c>
      <c r="BI49" s="64">
        <f t="shared" si="3"/>
        <v>0</v>
      </c>
      <c r="BJ49" s="64">
        <f t="shared" si="3"/>
        <v>0</v>
      </c>
      <c r="BK49" s="64">
        <f t="shared" si="3"/>
        <v>0</v>
      </c>
      <c r="BL49" s="64">
        <f t="shared" si="3"/>
        <v>0</v>
      </c>
      <c r="BM49" s="64">
        <f t="shared" si="3"/>
        <v>0</v>
      </c>
      <c r="BN49" s="144">
        <f>SUM(E49:BM49)</f>
        <v>8485000</v>
      </c>
      <c r="BO49" s="144">
        <f>BN49+BN14+BN9</f>
        <v>9655000</v>
      </c>
    </row>
    <row r="50" spans="2:67" x14ac:dyDescent="0.15">
      <c r="B50" s="47"/>
      <c r="D50" s="9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</row>
    <row r="51" spans="2:67" s="14" customFormat="1" x14ac:dyDescent="0.15">
      <c r="B51" s="16" t="s">
        <v>192</v>
      </c>
      <c r="C51" s="10"/>
      <c r="D51" s="64"/>
      <c r="E51" s="64">
        <f t="shared" ref="E51:AJ51" si="4">E49+E14+E9</f>
        <v>0</v>
      </c>
      <c r="F51" s="64">
        <f t="shared" si="4"/>
        <v>0</v>
      </c>
      <c r="G51" s="64">
        <f t="shared" si="4"/>
        <v>0</v>
      </c>
      <c r="H51" s="64">
        <f t="shared" si="4"/>
        <v>0</v>
      </c>
      <c r="I51" s="64">
        <f t="shared" si="4"/>
        <v>8605000</v>
      </c>
      <c r="J51" s="64">
        <f t="shared" si="4"/>
        <v>890000</v>
      </c>
      <c r="K51" s="64">
        <f t="shared" si="4"/>
        <v>80000</v>
      </c>
      <c r="L51" s="64">
        <f t="shared" si="4"/>
        <v>0</v>
      </c>
      <c r="M51" s="64">
        <f t="shared" si="4"/>
        <v>0</v>
      </c>
      <c r="N51" s="64">
        <f t="shared" si="4"/>
        <v>0</v>
      </c>
      <c r="O51" s="64">
        <f t="shared" si="4"/>
        <v>0</v>
      </c>
      <c r="P51" s="64">
        <f t="shared" si="4"/>
        <v>0</v>
      </c>
      <c r="Q51" s="64">
        <f t="shared" si="4"/>
        <v>0</v>
      </c>
      <c r="R51" s="64">
        <f t="shared" si="4"/>
        <v>80000</v>
      </c>
      <c r="S51" s="64">
        <f t="shared" si="4"/>
        <v>0</v>
      </c>
      <c r="T51" s="64">
        <f t="shared" si="4"/>
        <v>0</v>
      </c>
      <c r="U51" s="64">
        <f t="shared" si="4"/>
        <v>0</v>
      </c>
      <c r="V51" s="64">
        <f t="shared" si="4"/>
        <v>0</v>
      </c>
      <c r="W51" s="64">
        <f t="shared" si="4"/>
        <v>0</v>
      </c>
      <c r="X51" s="64">
        <f t="shared" si="4"/>
        <v>0</v>
      </c>
      <c r="Y51" s="64">
        <f t="shared" si="4"/>
        <v>0</v>
      </c>
      <c r="Z51" s="64">
        <f t="shared" si="4"/>
        <v>0</v>
      </c>
      <c r="AA51" s="64">
        <f t="shared" si="4"/>
        <v>0</v>
      </c>
      <c r="AB51" s="64">
        <f t="shared" si="4"/>
        <v>0</v>
      </c>
      <c r="AC51" s="64">
        <f t="shared" si="4"/>
        <v>0</v>
      </c>
      <c r="AD51" s="64">
        <f t="shared" si="4"/>
        <v>0</v>
      </c>
      <c r="AE51" s="64">
        <f t="shared" si="4"/>
        <v>0</v>
      </c>
      <c r="AF51" s="64">
        <f t="shared" si="4"/>
        <v>0</v>
      </c>
      <c r="AG51" s="64">
        <f t="shared" si="4"/>
        <v>0</v>
      </c>
      <c r="AH51" s="64">
        <f t="shared" si="4"/>
        <v>0</v>
      </c>
      <c r="AI51" s="64">
        <f t="shared" si="4"/>
        <v>0</v>
      </c>
      <c r="AJ51" s="64">
        <f t="shared" si="4"/>
        <v>0</v>
      </c>
      <c r="AK51" s="64">
        <f t="shared" ref="AK51:BM51" si="5">AK49+AK14+AK9</f>
        <v>0</v>
      </c>
      <c r="AL51" s="64">
        <f t="shared" si="5"/>
        <v>0</v>
      </c>
      <c r="AM51" s="64">
        <f t="shared" si="5"/>
        <v>0</v>
      </c>
      <c r="AN51" s="64">
        <f t="shared" si="5"/>
        <v>0</v>
      </c>
      <c r="AO51" s="64">
        <f t="shared" si="5"/>
        <v>0</v>
      </c>
      <c r="AP51" s="64">
        <f t="shared" si="5"/>
        <v>0</v>
      </c>
      <c r="AQ51" s="64">
        <f t="shared" si="5"/>
        <v>0</v>
      </c>
      <c r="AR51" s="64">
        <f t="shared" si="5"/>
        <v>0</v>
      </c>
      <c r="AS51" s="64">
        <f t="shared" si="5"/>
        <v>0</v>
      </c>
      <c r="AT51" s="64">
        <f t="shared" si="5"/>
        <v>0</v>
      </c>
      <c r="AU51" s="64">
        <f t="shared" si="5"/>
        <v>0</v>
      </c>
      <c r="AV51" s="64">
        <f t="shared" si="5"/>
        <v>0</v>
      </c>
      <c r="AW51" s="64">
        <f t="shared" si="5"/>
        <v>0</v>
      </c>
      <c r="AX51" s="64">
        <f t="shared" si="5"/>
        <v>0</v>
      </c>
      <c r="AY51" s="64">
        <f t="shared" si="5"/>
        <v>0</v>
      </c>
      <c r="AZ51" s="64">
        <f t="shared" si="5"/>
        <v>0</v>
      </c>
      <c r="BA51" s="64">
        <f t="shared" si="5"/>
        <v>0</v>
      </c>
      <c r="BB51" s="64">
        <f t="shared" si="5"/>
        <v>0</v>
      </c>
      <c r="BC51" s="64">
        <f t="shared" si="5"/>
        <v>0</v>
      </c>
      <c r="BD51" s="64">
        <f t="shared" si="5"/>
        <v>0</v>
      </c>
      <c r="BE51" s="64">
        <f t="shared" si="5"/>
        <v>0</v>
      </c>
      <c r="BF51" s="64">
        <f t="shared" si="5"/>
        <v>0</v>
      </c>
      <c r="BG51" s="64">
        <f t="shared" si="5"/>
        <v>0</v>
      </c>
      <c r="BH51" s="64">
        <f t="shared" si="5"/>
        <v>0</v>
      </c>
      <c r="BI51" s="64">
        <f t="shared" si="5"/>
        <v>0</v>
      </c>
      <c r="BJ51" s="64">
        <f t="shared" si="5"/>
        <v>0</v>
      </c>
      <c r="BK51" s="64">
        <f t="shared" si="5"/>
        <v>0</v>
      </c>
      <c r="BL51" s="64">
        <f t="shared" si="5"/>
        <v>0</v>
      </c>
      <c r="BM51" s="64">
        <f t="shared" si="5"/>
        <v>0</v>
      </c>
      <c r="BN51" s="38">
        <f>SUM(E51:BM51)</f>
        <v>9655000</v>
      </c>
    </row>
    <row r="52" spans="2:67" s="37" customFormat="1" x14ac:dyDescent="0.15">
      <c r="B52" s="41"/>
      <c r="D52" s="71" t="s">
        <v>64</v>
      </c>
      <c r="E52" s="72">
        <f>E51</f>
        <v>0</v>
      </c>
      <c r="Q52" s="38">
        <f>SUM(F51:Q51)</f>
        <v>9575000</v>
      </c>
      <c r="AC52" s="38">
        <f>SUM(R51:AC51)</f>
        <v>80000</v>
      </c>
      <c r="AO52" s="38">
        <f>SUM(AD51:AO51)</f>
        <v>0</v>
      </c>
      <c r="BA52" s="38">
        <f>SUM(AP51:BA51)</f>
        <v>0</v>
      </c>
      <c r="BM52" s="38">
        <f>SUM(BB51:BM51)</f>
        <v>0</v>
      </c>
      <c r="BN52" s="65">
        <f>SUM(E52:BM52)</f>
        <v>9655000</v>
      </c>
    </row>
    <row r="53" spans="2:67" x14ac:dyDescent="0.15">
      <c r="B53" s="47"/>
    </row>
    <row r="54" spans="2:67" x14ac:dyDescent="0.15">
      <c r="B54" s="47"/>
    </row>
    <row r="55" spans="2:67" x14ac:dyDescent="0.15">
      <c r="B55" s="47"/>
    </row>
    <row r="56" spans="2:67" x14ac:dyDescent="0.15">
      <c r="B56" s="47"/>
    </row>
    <row r="57" spans="2:67" x14ac:dyDescent="0.15">
      <c r="B57" s="47"/>
    </row>
    <row r="58" spans="2:67" x14ac:dyDescent="0.15">
      <c r="B58" s="47"/>
    </row>
    <row r="59" spans="2:67" x14ac:dyDescent="0.15">
      <c r="B59" s="47"/>
    </row>
    <row r="60" spans="2:67" x14ac:dyDescent="0.15">
      <c r="B60" s="47"/>
    </row>
    <row r="61" spans="2:67" x14ac:dyDescent="0.15">
      <c r="B61" s="47"/>
    </row>
    <row r="62" spans="2:67" x14ac:dyDescent="0.15">
      <c r="B62" s="47"/>
    </row>
    <row r="63" spans="2:67" x14ac:dyDescent="0.15">
      <c r="B63" s="47"/>
    </row>
    <row r="65" spans="2:2" x14ac:dyDescent="0.15">
      <c r="B65" s="14"/>
    </row>
    <row r="66" spans="2:2" x14ac:dyDescent="0.15">
      <c r="B66" s="47"/>
    </row>
    <row r="67" spans="2:2" x14ac:dyDescent="0.15">
      <c r="B67" s="14"/>
    </row>
    <row r="68" spans="2:2" x14ac:dyDescent="0.15">
      <c r="B68" s="14"/>
    </row>
    <row r="69" spans="2:2" x14ac:dyDescent="0.15">
      <c r="B69" s="14"/>
    </row>
    <row r="70" spans="2:2" x14ac:dyDescent="0.15">
      <c r="B70" s="33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1" spans="2:2" x14ac:dyDescent="0.15">
      <c r="B81" s="47"/>
    </row>
    <row r="83" spans="2:2" x14ac:dyDescent="0.15">
      <c r="B83" s="14"/>
    </row>
    <row r="85" spans="2:2" x14ac:dyDescent="0.15">
      <c r="B85" s="14"/>
    </row>
    <row r="87" spans="2:2" x14ac:dyDescent="0.15">
      <c r="B87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92" spans="2:2" x14ac:dyDescent="0.15">
      <c r="B92" s="14"/>
    </row>
    <row r="111" spans="3:5" x14ac:dyDescent="0.15">
      <c r="C111" s="14"/>
      <c r="E111" s="10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  <row r="115" spans="3:3" x14ac:dyDescent="0.15">
      <c r="C115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>
      <selection activeCell="B17" sqref="B17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18" width="11.6640625" bestFit="1" customWidth="1"/>
    <col min="19" max="63" width="10" customWidth="1"/>
  </cols>
  <sheetData>
    <row r="2" spans="1:63" ht="12.75" x14ac:dyDescent="0.15">
      <c r="A2" s="56"/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406" t="s">
        <v>36</v>
      </c>
      <c r="O2" s="406"/>
      <c r="P2" s="406"/>
      <c r="Q2" s="406"/>
      <c r="R2" s="406"/>
      <c r="S2" s="406"/>
      <c r="T2" s="406"/>
      <c r="U2" s="406"/>
      <c r="V2" s="406"/>
      <c r="W2" s="406"/>
      <c r="X2" s="406"/>
      <c r="Y2" s="406"/>
      <c r="Z2" s="406" t="s">
        <v>37</v>
      </c>
      <c r="AA2" s="406"/>
      <c r="AB2" s="406"/>
      <c r="AC2" s="406"/>
      <c r="AD2" s="406"/>
      <c r="AE2" s="406"/>
      <c r="AF2" s="406"/>
      <c r="AG2" s="406"/>
      <c r="AH2" s="406"/>
      <c r="AI2" s="406"/>
      <c r="AJ2" s="406"/>
      <c r="AK2" s="406"/>
      <c r="AL2" s="406" t="s">
        <v>38</v>
      </c>
      <c r="AM2" s="406"/>
      <c r="AN2" s="406"/>
      <c r="AO2" s="406"/>
      <c r="AP2" s="406"/>
      <c r="AQ2" s="406"/>
      <c r="AR2" s="406"/>
      <c r="AS2" s="406"/>
      <c r="AT2" s="406"/>
      <c r="AU2" s="406"/>
      <c r="AV2" s="406"/>
      <c r="AW2" s="406"/>
      <c r="AX2" s="406" t="s">
        <v>39</v>
      </c>
      <c r="AY2" s="406"/>
      <c r="AZ2" s="406"/>
      <c r="BA2" s="406"/>
      <c r="BB2" s="406"/>
      <c r="BC2" s="406"/>
      <c r="BD2" s="406"/>
      <c r="BE2" s="406"/>
      <c r="BF2" s="406"/>
      <c r="BG2" s="406"/>
      <c r="BH2" s="406"/>
      <c r="BI2" s="406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9575000</v>
      </c>
      <c r="F5" s="9">
        <f>E7</f>
        <v>9655000</v>
      </c>
      <c r="G5" s="9">
        <f>F7</f>
        <v>9655000</v>
      </c>
      <c r="H5" s="9">
        <f>G7</f>
        <v>9655000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9575000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9575000</v>
      </c>
      <c r="E7" s="9">
        <f>E6+E5</f>
        <v>9655000</v>
      </c>
      <c r="F7" s="9">
        <f>F6+F5</f>
        <v>9655000</v>
      </c>
      <c r="G7" s="9">
        <f>G6+G5</f>
        <v>9655000</v>
      </c>
      <c r="H7" s="9">
        <f>H6+H5</f>
        <v>9655000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9575000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-1418750</v>
      </c>
      <c r="E9" s="9">
        <f>SUM(P21:AA21)</f>
        <v>-1931000.0000000007</v>
      </c>
      <c r="F9" s="9">
        <f>SUM(AB21:AM21)</f>
        <v>-1931000.0000000007</v>
      </c>
      <c r="G9" s="9">
        <f>SUM(AN21:AY21)</f>
        <v>-1931000.0000000007</v>
      </c>
      <c r="H9" s="9">
        <f>SUM(AZ21:BK21)</f>
        <v>-1931000.0000000007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-1418750</v>
      </c>
      <c r="E10" s="9">
        <f>E9+D10</f>
        <v>-3349750.0000000009</v>
      </c>
      <c r="F10" s="9">
        <f>F9+E10</f>
        <v>-5280750.0000000019</v>
      </c>
      <c r="G10" s="9">
        <f>G9+F10</f>
        <v>-7211750.0000000028</v>
      </c>
      <c r="H10" s="9">
        <f>H9+G10</f>
        <v>-9142750.0000000037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274</v>
      </c>
      <c r="C12" s="9">
        <f t="shared" si="1"/>
        <v>0</v>
      </c>
      <c r="D12" s="9">
        <f>D7+D10</f>
        <v>8156250</v>
      </c>
      <c r="E12" s="9">
        <f>E7+E10</f>
        <v>6305249.9999999991</v>
      </c>
      <c r="F12" s="9">
        <f>F7+F10</f>
        <v>4374249.9999999981</v>
      </c>
      <c r="G12" s="9">
        <f>G7+G10</f>
        <v>2443249.9999999972</v>
      </c>
      <c r="H12" s="9">
        <f>H7+H10</f>
        <v>512249.99999999627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406" t="s">
        <v>35</v>
      </c>
      <c r="C14" s="406"/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 t="s">
        <v>36</v>
      </c>
      <c r="O14" s="406"/>
      <c r="P14" s="406"/>
      <c r="Q14" s="406"/>
      <c r="R14" s="406"/>
      <c r="S14" s="406"/>
      <c r="T14" s="406"/>
      <c r="U14" s="406"/>
      <c r="V14" s="406"/>
      <c r="W14" s="406"/>
      <c r="X14" s="406"/>
      <c r="Y14" s="406"/>
      <c r="Z14" s="406" t="s">
        <v>37</v>
      </c>
      <c r="AA14" s="406"/>
      <c r="AB14" s="406"/>
      <c r="AC14" s="406"/>
      <c r="AD14" s="406"/>
      <c r="AE14" s="406"/>
      <c r="AF14" s="406"/>
      <c r="AG14" s="406"/>
      <c r="AH14" s="406"/>
      <c r="AI14" s="406"/>
      <c r="AJ14" s="406"/>
      <c r="AK14" s="406"/>
      <c r="AL14" s="406" t="s">
        <v>38</v>
      </c>
      <c r="AM14" s="406"/>
      <c r="AN14" s="406"/>
      <c r="AO14" s="406"/>
      <c r="AP14" s="406"/>
      <c r="AQ14" s="406"/>
      <c r="AR14" s="406"/>
      <c r="AS14" s="406"/>
      <c r="AT14" s="406"/>
      <c r="AU14" s="406"/>
      <c r="AV14" s="406"/>
      <c r="AW14" s="406"/>
      <c r="AX14" s="406" t="s">
        <v>39</v>
      </c>
      <c r="AY14" s="406"/>
      <c r="AZ14" s="406"/>
      <c r="BA14" s="406"/>
      <c r="BB14" s="406"/>
      <c r="BC14" s="406"/>
      <c r="BD14" s="406"/>
      <c r="BE14" s="406"/>
      <c r="BF14" s="406"/>
      <c r="BG14" s="406"/>
      <c r="BH14" s="406"/>
      <c r="BI14" s="406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1040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8605000</v>
      </c>
      <c r="I17" s="9">
        <f t="shared" si="2"/>
        <v>9495000</v>
      </c>
      <c r="J17" s="9">
        <f t="shared" si="2"/>
        <v>9575000</v>
      </c>
      <c r="K17" s="9">
        <f t="shared" si="2"/>
        <v>9575000</v>
      </c>
      <c r="L17" s="9">
        <f t="shared" si="2"/>
        <v>9575000</v>
      </c>
      <c r="M17" s="9">
        <f t="shared" si="2"/>
        <v>9575000</v>
      </c>
      <c r="N17" s="9">
        <f t="shared" si="2"/>
        <v>9575000</v>
      </c>
      <c r="O17" s="9">
        <f t="shared" si="2"/>
        <v>9575000</v>
      </c>
      <c r="P17" s="9">
        <f t="shared" si="2"/>
        <v>9575000</v>
      </c>
      <c r="Q17" s="9">
        <f t="shared" si="2"/>
        <v>9655000</v>
      </c>
      <c r="R17" s="9">
        <f t="shared" si="2"/>
        <v>9655000</v>
      </c>
      <c r="S17" s="9">
        <f t="shared" si="2"/>
        <v>9655000</v>
      </c>
      <c r="T17" s="9">
        <f t="shared" si="2"/>
        <v>9655000</v>
      </c>
      <c r="U17" s="9">
        <f t="shared" si="2"/>
        <v>9655000</v>
      </c>
      <c r="V17" s="9">
        <f t="shared" si="2"/>
        <v>9655000</v>
      </c>
      <c r="W17" s="9">
        <f t="shared" si="2"/>
        <v>9655000</v>
      </c>
      <c r="X17" s="9">
        <f t="shared" si="2"/>
        <v>9655000</v>
      </c>
      <c r="Y17" s="9">
        <f t="shared" si="2"/>
        <v>9655000</v>
      </c>
      <c r="Z17" s="9">
        <f t="shared" si="2"/>
        <v>9655000</v>
      </c>
      <c r="AA17" s="9">
        <f t="shared" si="2"/>
        <v>9655000</v>
      </c>
      <c r="AB17" s="9">
        <f t="shared" si="2"/>
        <v>9655000</v>
      </c>
      <c r="AC17" s="9">
        <f t="shared" si="2"/>
        <v>9655000</v>
      </c>
      <c r="AD17" s="9">
        <f t="shared" si="2"/>
        <v>9655000</v>
      </c>
      <c r="AE17" s="9">
        <f t="shared" si="2"/>
        <v>9655000</v>
      </c>
      <c r="AF17" s="9">
        <f t="shared" si="2"/>
        <v>9655000</v>
      </c>
      <c r="AG17" s="9">
        <f t="shared" si="2"/>
        <v>9655000</v>
      </c>
      <c r="AH17" s="9">
        <f t="shared" si="2"/>
        <v>9655000</v>
      </c>
      <c r="AI17" s="9">
        <f t="shared" si="2"/>
        <v>9655000</v>
      </c>
      <c r="AJ17" s="9">
        <f t="shared" ref="AJ17:BK17" si="3">AI19</f>
        <v>9655000</v>
      </c>
      <c r="AK17" s="9">
        <f t="shared" si="3"/>
        <v>9655000</v>
      </c>
      <c r="AL17" s="9">
        <f t="shared" si="3"/>
        <v>9655000</v>
      </c>
      <c r="AM17" s="9">
        <f t="shared" si="3"/>
        <v>9655000</v>
      </c>
      <c r="AN17" s="9">
        <f t="shared" si="3"/>
        <v>9655000</v>
      </c>
      <c r="AO17" s="9">
        <f t="shared" si="3"/>
        <v>9655000</v>
      </c>
      <c r="AP17" s="9">
        <f t="shared" si="3"/>
        <v>9655000</v>
      </c>
      <c r="AQ17" s="9">
        <f t="shared" si="3"/>
        <v>9655000</v>
      </c>
      <c r="AR17" s="9">
        <f t="shared" si="3"/>
        <v>9655000</v>
      </c>
      <c r="AS17" s="9">
        <f t="shared" si="3"/>
        <v>9655000</v>
      </c>
      <c r="AT17" s="9">
        <f t="shared" si="3"/>
        <v>9655000</v>
      </c>
      <c r="AU17" s="9">
        <f t="shared" si="3"/>
        <v>9655000</v>
      </c>
      <c r="AV17" s="9">
        <f t="shared" si="3"/>
        <v>9655000</v>
      </c>
      <c r="AW17" s="9">
        <f t="shared" si="3"/>
        <v>9655000</v>
      </c>
      <c r="AX17" s="9">
        <f t="shared" si="3"/>
        <v>9655000</v>
      </c>
      <c r="AY17" s="9">
        <f t="shared" si="3"/>
        <v>9655000</v>
      </c>
      <c r="AZ17" s="9">
        <f t="shared" si="3"/>
        <v>9655000</v>
      </c>
      <c r="BA17" s="9">
        <f t="shared" si="3"/>
        <v>9655000</v>
      </c>
      <c r="BB17" s="9">
        <f t="shared" si="3"/>
        <v>9655000</v>
      </c>
      <c r="BC17" s="9">
        <f t="shared" si="3"/>
        <v>9655000</v>
      </c>
      <c r="BD17" s="9">
        <f t="shared" si="3"/>
        <v>9655000</v>
      </c>
      <c r="BE17" s="9">
        <f t="shared" si="3"/>
        <v>9655000</v>
      </c>
      <c r="BF17" s="9">
        <f t="shared" si="3"/>
        <v>9655000</v>
      </c>
      <c r="BG17" s="9">
        <f t="shared" si="3"/>
        <v>9655000</v>
      </c>
      <c r="BH17" s="9">
        <f t="shared" si="3"/>
        <v>9655000</v>
      </c>
      <c r="BI17" s="9">
        <f t="shared" si="3"/>
        <v>9655000</v>
      </c>
      <c r="BJ17" s="9">
        <f t="shared" si="3"/>
        <v>9655000</v>
      </c>
      <c r="BK17" s="9">
        <f t="shared" si="3"/>
        <v>9655000</v>
      </c>
      <c r="BL17" s="35">
        <f>COLUMNS(D17:BK17)</f>
        <v>60</v>
      </c>
    </row>
    <row r="18" spans="2:64" ht="12.75" x14ac:dyDescent="0.15">
      <c r="B18" t="s">
        <v>270</v>
      </c>
      <c r="C18" s="9">
        <f>'CAPEX _CWS '!E51</f>
        <v>0</v>
      </c>
      <c r="D18" s="9">
        <f>'CAPEX _CWS '!F51</f>
        <v>0</v>
      </c>
      <c r="E18" s="9">
        <f>'CAPEX _CWS '!G51</f>
        <v>0</v>
      </c>
      <c r="F18" s="9">
        <f>'CAPEX _CWS '!H51</f>
        <v>0</v>
      </c>
      <c r="G18" s="379">
        <f>'CAPEX _CWS '!I51</f>
        <v>8605000</v>
      </c>
      <c r="H18" s="9">
        <f>'CAPEX _CWS '!J51</f>
        <v>890000</v>
      </c>
      <c r="I18" s="9">
        <f>'CAPEX _CWS '!K51</f>
        <v>80000</v>
      </c>
      <c r="J18" s="9">
        <f>'CAPEX _CWS '!L51</f>
        <v>0</v>
      </c>
      <c r="K18" s="9">
        <f>'CAPEX _CWS '!M51</f>
        <v>0</v>
      </c>
      <c r="L18" s="9">
        <f>'CAPEX _CWS '!N51</f>
        <v>0</v>
      </c>
      <c r="M18" s="9">
        <f>'CAPEX _CWS '!O51</f>
        <v>0</v>
      </c>
      <c r="N18" s="9">
        <f>'CAPEX _CWS '!P51</f>
        <v>0</v>
      </c>
      <c r="O18" s="9">
        <f>'CAPEX _CWS '!Q51</f>
        <v>0</v>
      </c>
      <c r="P18" s="9">
        <f>'CAPEX _CWS '!R51</f>
        <v>80000</v>
      </c>
      <c r="Q18" s="9">
        <f>'CAPEX _CWS '!S51</f>
        <v>0</v>
      </c>
      <c r="R18" s="9">
        <f>'CAPEX _CWS '!T51</f>
        <v>0</v>
      </c>
      <c r="S18" s="9">
        <f>'CAPEX _CWS '!U51</f>
        <v>0</v>
      </c>
      <c r="T18" s="9">
        <f>'CAPEX _CWS '!V51</f>
        <v>0</v>
      </c>
      <c r="U18" s="9">
        <f>'CAPEX _CWS '!W51</f>
        <v>0</v>
      </c>
      <c r="V18" s="9">
        <f>'CAPEX _CWS '!X51</f>
        <v>0</v>
      </c>
      <c r="W18" s="9">
        <f>'CAPEX _CWS '!Y51</f>
        <v>0</v>
      </c>
      <c r="X18" s="9">
        <f>'CAPEX _CWS '!Z51</f>
        <v>0</v>
      </c>
      <c r="Y18" s="9">
        <f>'CAPEX _CWS '!AA51</f>
        <v>0</v>
      </c>
      <c r="Z18" s="9">
        <f>'CAPEX _CWS '!AB51</f>
        <v>0</v>
      </c>
      <c r="AA18" s="9">
        <f>'CAPEX _CWS '!AC51</f>
        <v>0</v>
      </c>
      <c r="AB18" s="9">
        <f>'CAPEX _CWS '!AD51</f>
        <v>0</v>
      </c>
      <c r="AC18" s="9">
        <f>'CAPEX _CWS '!AE51</f>
        <v>0</v>
      </c>
      <c r="AD18" s="9">
        <f>'CAPEX _CWS '!AF51</f>
        <v>0</v>
      </c>
      <c r="AE18" s="9">
        <f>'CAPEX _CWS '!AG51</f>
        <v>0</v>
      </c>
      <c r="AF18" s="9">
        <f>'CAPEX _CWS '!AH51</f>
        <v>0</v>
      </c>
      <c r="AG18" s="9">
        <f>'CAPEX _CWS '!AI51</f>
        <v>0</v>
      </c>
      <c r="AH18" s="9">
        <f>'CAPEX _CWS '!AJ51</f>
        <v>0</v>
      </c>
      <c r="AI18" s="9">
        <f>'CAPEX _CWS '!AK51</f>
        <v>0</v>
      </c>
      <c r="AJ18" s="9">
        <f>'CAPEX _CWS '!AL51</f>
        <v>0</v>
      </c>
      <c r="AK18" s="9">
        <f>'CAPEX _CWS '!AM51</f>
        <v>0</v>
      </c>
      <c r="AL18" s="9">
        <f>'CAPEX _CWS '!AN51</f>
        <v>0</v>
      </c>
      <c r="AM18" s="9">
        <f>'CAPEX _CWS '!AO51</f>
        <v>0</v>
      </c>
      <c r="AN18" s="9">
        <f>'CAPEX _CWS '!AP51</f>
        <v>0</v>
      </c>
      <c r="AO18" s="9">
        <f>'CAPEX _CWS '!AQ51</f>
        <v>0</v>
      </c>
      <c r="AP18" s="9">
        <f>'CAPEX _CWS '!AR51</f>
        <v>0</v>
      </c>
      <c r="AQ18" s="9">
        <f>'CAPEX _CWS '!AS51</f>
        <v>0</v>
      </c>
      <c r="AR18" s="9">
        <f>'CAPEX _CWS '!AT51</f>
        <v>0</v>
      </c>
      <c r="AS18" s="9">
        <f>'CAPEX _CWS '!AU51</f>
        <v>0</v>
      </c>
      <c r="AT18" s="9">
        <f>'CAPEX _CWS '!AV51</f>
        <v>0</v>
      </c>
      <c r="AU18" s="9">
        <f>'CAPEX _CWS '!AW51</f>
        <v>0</v>
      </c>
      <c r="AV18" s="9">
        <f>'CAPEX _CWS '!AX51</f>
        <v>0</v>
      </c>
      <c r="AW18" s="9">
        <f>'CAPEX _CWS '!AY51</f>
        <v>0</v>
      </c>
      <c r="AX18" s="9">
        <f>'CAPEX _CWS '!AZ51</f>
        <v>0</v>
      </c>
      <c r="AY18" s="9">
        <f>'CAPEX _CWS '!BA51</f>
        <v>0</v>
      </c>
      <c r="AZ18" s="9">
        <f>'CAPEX _CWS '!BB51</f>
        <v>0</v>
      </c>
      <c r="BA18" s="9">
        <f>'CAPEX _CWS '!BC51</f>
        <v>0</v>
      </c>
      <c r="BB18" s="9">
        <f>'CAPEX _CWS '!BD51</f>
        <v>0</v>
      </c>
      <c r="BC18" s="9">
        <f>'CAPEX _CWS '!BE51</f>
        <v>0</v>
      </c>
      <c r="BD18" s="9">
        <f>'CAPEX _CWS '!BF51</f>
        <v>0</v>
      </c>
      <c r="BE18" s="9">
        <f>'CAPEX _CWS '!BG51</f>
        <v>0</v>
      </c>
      <c r="BF18" s="9">
        <f>'CAPEX _CWS '!BH51</f>
        <v>0</v>
      </c>
      <c r="BG18" s="9">
        <f>'CAPEX _CWS '!BI51</f>
        <v>0</v>
      </c>
      <c r="BH18" s="9">
        <f>'CAPEX _CWS '!BJ51</f>
        <v>0</v>
      </c>
      <c r="BI18" s="9">
        <f>'CAPEX _CWS '!BK51</f>
        <v>0</v>
      </c>
      <c r="BJ18" s="9">
        <f>'CAPEX _CWS '!BL51</f>
        <v>0</v>
      </c>
      <c r="BK18" s="9">
        <f>'CAPEX _CWS '!BM51</f>
        <v>0</v>
      </c>
    </row>
    <row r="19" spans="2:64" ht="12.75" x14ac:dyDescent="0.15">
      <c r="B19" s="33" t="s">
        <v>1041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8605000</v>
      </c>
      <c r="H19" s="9">
        <f t="shared" si="4"/>
        <v>9495000</v>
      </c>
      <c r="I19" s="9">
        <f t="shared" si="4"/>
        <v>9575000</v>
      </c>
      <c r="J19" s="9">
        <f t="shared" si="4"/>
        <v>9575000</v>
      </c>
      <c r="K19" s="9">
        <f t="shared" si="4"/>
        <v>9575000</v>
      </c>
      <c r="L19" s="9">
        <f t="shared" si="4"/>
        <v>9575000</v>
      </c>
      <c r="M19" s="9">
        <f t="shared" si="4"/>
        <v>9575000</v>
      </c>
      <c r="N19" s="9">
        <f t="shared" si="4"/>
        <v>9575000</v>
      </c>
      <c r="O19" s="9">
        <f t="shared" si="4"/>
        <v>9575000</v>
      </c>
      <c r="P19" s="9">
        <f t="shared" si="4"/>
        <v>9655000</v>
      </c>
      <c r="Q19" s="9">
        <f t="shared" si="4"/>
        <v>9655000</v>
      </c>
      <c r="R19" s="9">
        <f t="shared" si="4"/>
        <v>9655000</v>
      </c>
      <c r="S19" s="9">
        <f t="shared" si="4"/>
        <v>9655000</v>
      </c>
      <c r="T19" s="9">
        <f t="shared" si="4"/>
        <v>9655000</v>
      </c>
      <c r="U19" s="9">
        <f t="shared" si="4"/>
        <v>9655000</v>
      </c>
      <c r="V19" s="9">
        <f t="shared" si="4"/>
        <v>9655000</v>
      </c>
      <c r="W19" s="9">
        <f t="shared" si="4"/>
        <v>9655000</v>
      </c>
      <c r="X19" s="9">
        <f t="shared" si="4"/>
        <v>9655000</v>
      </c>
      <c r="Y19" s="9">
        <f t="shared" si="4"/>
        <v>9655000</v>
      </c>
      <c r="Z19" s="9">
        <f t="shared" si="4"/>
        <v>9655000</v>
      </c>
      <c r="AA19" s="9">
        <f t="shared" si="4"/>
        <v>9655000</v>
      </c>
      <c r="AB19" s="9">
        <f t="shared" si="4"/>
        <v>9655000</v>
      </c>
      <c r="AC19" s="9">
        <f t="shared" si="4"/>
        <v>9655000</v>
      </c>
      <c r="AD19" s="9">
        <f t="shared" si="4"/>
        <v>9655000</v>
      </c>
      <c r="AE19" s="9">
        <f t="shared" si="4"/>
        <v>9655000</v>
      </c>
      <c r="AF19" s="9">
        <f t="shared" si="4"/>
        <v>9655000</v>
      </c>
      <c r="AG19" s="9">
        <f t="shared" si="4"/>
        <v>9655000</v>
      </c>
      <c r="AH19" s="9">
        <f t="shared" si="4"/>
        <v>9655000</v>
      </c>
      <c r="AI19" s="9">
        <f t="shared" si="4"/>
        <v>9655000</v>
      </c>
      <c r="AJ19" s="9">
        <f t="shared" ref="AJ19:BK19" si="5">AJ18+AJ17</f>
        <v>9655000</v>
      </c>
      <c r="AK19" s="9">
        <f t="shared" si="5"/>
        <v>9655000</v>
      </c>
      <c r="AL19" s="9">
        <f t="shared" si="5"/>
        <v>9655000</v>
      </c>
      <c r="AM19" s="9">
        <f t="shared" si="5"/>
        <v>9655000</v>
      </c>
      <c r="AN19" s="9">
        <f t="shared" si="5"/>
        <v>9655000</v>
      </c>
      <c r="AO19" s="9">
        <f t="shared" si="5"/>
        <v>9655000</v>
      </c>
      <c r="AP19" s="9">
        <f t="shared" si="5"/>
        <v>9655000</v>
      </c>
      <c r="AQ19" s="9">
        <f t="shared" si="5"/>
        <v>9655000</v>
      </c>
      <c r="AR19" s="9">
        <f t="shared" si="5"/>
        <v>9655000</v>
      </c>
      <c r="AS19" s="9">
        <f t="shared" si="5"/>
        <v>9655000</v>
      </c>
      <c r="AT19" s="9">
        <f t="shared" si="5"/>
        <v>9655000</v>
      </c>
      <c r="AU19" s="9">
        <f t="shared" si="5"/>
        <v>9655000</v>
      </c>
      <c r="AV19" s="9">
        <f t="shared" si="5"/>
        <v>9655000</v>
      </c>
      <c r="AW19" s="9">
        <f t="shared" si="5"/>
        <v>9655000</v>
      </c>
      <c r="AX19" s="9">
        <f t="shared" si="5"/>
        <v>9655000</v>
      </c>
      <c r="AY19" s="9">
        <f t="shared" si="5"/>
        <v>9655000</v>
      </c>
      <c r="AZ19" s="9">
        <f t="shared" si="5"/>
        <v>9655000</v>
      </c>
      <c r="BA19" s="9">
        <f t="shared" si="5"/>
        <v>9655000</v>
      </c>
      <c r="BB19" s="9">
        <f t="shared" si="5"/>
        <v>9655000</v>
      </c>
      <c r="BC19" s="9">
        <f t="shared" si="5"/>
        <v>9655000</v>
      </c>
      <c r="BD19" s="9">
        <f t="shared" si="5"/>
        <v>9655000</v>
      </c>
      <c r="BE19" s="9">
        <f t="shared" si="5"/>
        <v>9655000</v>
      </c>
      <c r="BF19" s="9">
        <f t="shared" si="5"/>
        <v>9655000</v>
      </c>
      <c r="BG19" s="9">
        <f t="shared" si="5"/>
        <v>9655000</v>
      </c>
      <c r="BH19" s="9">
        <f t="shared" si="5"/>
        <v>9655000</v>
      </c>
      <c r="BI19" s="9">
        <f t="shared" si="5"/>
        <v>9655000</v>
      </c>
      <c r="BJ19" s="9">
        <f t="shared" si="5"/>
        <v>9655000</v>
      </c>
      <c r="BK19" s="9">
        <f t="shared" si="5"/>
        <v>9655000</v>
      </c>
    </row>
    <row r="20" spans="2:64" ht="12.75" x14ac:dyDescent="0.15">
      <c r="B20" t="s">
        <v>272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8605000</v>
      </c>
      <c r="H20" s="9">
        <f t="shared" si="6"/>
        <v>890000</v>
      </c>
      <c r="I20" s="9">
        <f t="shared" si="6"/>
        <v>80000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-143416.66666666666</v>
      </c>
      <c r="H21" s="9">
        <f>-'CAPEX-DEP_CWS '!J69</f>
        <v>-158250</v>
      </c>
      <c r="I21" s="9">
        <f>-'CAPEX-DEP_CWS '!K69</f>
        <v>-159583.33333333334</v>
      </c>
      <c r="J21" s="9">
        <f>-'CAPEX-DEP_CWS '!L69</f>
        <v>-159583.33333333334</v>
      </c>
      <c r="K21" s="9">
        <f>-'CAPEX-DEP_CWS '!M69</f>
        <v>-159583.33333333334</v>
      </c>
      <c r="L21" s="9">
        <f>-'CAPEX-DEP_CWS '!N69</f>
        <v>-159583.33333333334</v>
      </c>
      <c r="M21" s="9">
        <f>-'CAPEX-DEP_CWS '!O69</f>
        <v>-159583.33333333334</v>
      </c>
      <c r="N21" s="9">
        <f>-'CAPEX-DEP_CWS '!P69</f>
        <v>-159583.33333333334</v>
      </c>
      <c r="O21" s="9">
        <f>-'CAPEX-DEP_CWS '!Q69</f>
        <v>-159583.33333333334</v>
      </c>
      <c r="P21" s="9">
        <f>-'CAPEX-DEP_CWS '!R69</f>
        <v>-160916.66666666669</v>
      </c>
      <c r="Q21" s="9">
        <f>-'CAPEX-DEP_CWS '!S69</f>
        <v>-160916.66666666669</v>
      </c>
      <c r="R21" s="9">
        <f>-'CAPEX-DEP_CWS '!T69</f>
        <v>-160916.66666666669</v>
      </c>
      <c r="S21" s="9">
        <f>-'CAPEX-DEP_CWS '!U69</f>
        <v>-160916.66666666669</v>
      </c>
      <c r="T21" s="9">
        <f>-'CAPEX-DEP_CWS '!V69</f>
        <v>-160916.66666666669</v>
      </c>
      <c r="U21" s="9">
        <f>-'CAPEX-DEP_CWS '!W69</f>
        <v>-160916.66666666669</v>
      </c>
      <c r="V21" s="9">
        <f>-'CAPEX-DEP_CWS '!X69</f>
        <v>-160916.66666666669</v>
      </c>
      <c r="W21" s="9">
        <f>-'CAPEX-DEP_CWS '!Y69</f>
        <v>-160916.66666666669</v>
      </c>
      <c r="X21" s="9">
        <f>-'CAPEX-DEP_CWS '!Z69</f>
        <v>-160916.66666666669</v>
      </c>
      <c r="Y21" s="9">
        <f>-'CAPEX-DEP_CWS '!AA69</f>
        <v>-160916.66666666669</v>
      </c>
      <c r="Z21" s="9">
        <f>-'CAPEX-DEP_CWS '!AB69</f>
        <v>-160916.66666666669</v>
      </c>
      <c r="AA21" s="9">
        <f>-'CAPEX-DEP_CWS '!AC69</f>
        <v>-160916.66666666669</v>
      </c>
      <c r="AB21" s="9">
        <f>-'CAPEX-DEP_CWS '!AD69</f>
        <v>-160916.66666666669</v>
      </c>
      <c r="AC21" s="9">
        <f>-'CAPEX-DEP_CWS '!AE69</f>
        <v>-160916.66666666669</v>
      </c>
      <c r="AD21" s="9">
        <f>-'CAPEX-DEP_CWS '!AF69</f>
        <v>-160916.66666666669</v>
      </c>
      <c r="AE21" s="9">
        <f>-'CAPEX-DEP_CWS '!AG69</f>
        <v>-160916.66666666669</v>
      </c>
      <c r="AF21" s="9">
        <f>-'CAPEX-DEP_CWS '!AH69</f>
        <v>-160916.66666666669</v>
      </c>
      <c r="AG21" s="9">
        <f>-'CAPEX-DEP_CWS '!AI69</f>
        <v>-160916.66666666669</v>
      </c>
      <c r="AH21" s="9">
        <f>-'CAPEX-DEP_CWS '!AJ69</f>
        <v>-160916.66666666669</v>
      </c>
      <c r="AI21" s="9">
        <f>-'CAPEX-DEP_CWS '!AK69</f>
        <v>-160916.66666666669</v>
      </c>
      <c r="AJ21" s="9">
        <f>-'CAPEX-DEP_CWS '!AL69</f>
        <v>-160916.66666666669</v>
      </c>
      <c r="AK21" s="9">
        <f>-'CAPEX-DEP_CWS '!AM69</f>
        <v>-160916.66666666669</v>
      </c>
      <c r="AL21" s="9">
        <f>-'CAPEX-DEP_CWS '!AN69</f>
        <v>-160916.66666666669</v>
      </c>
      <c r="AM21" s="9">
        <f>-'CAPEX-DEP_CWS '!AO69</f>
        <v>-160916.66666666669</v>
      </c>
      <c r="AN21" s="9">
        <f>-'CAPEX-DEP_CWS '!AP69</f>
        <v>-160916.66666666669</v>
      </c>
      <c r="AO21" s="9">
        <f>-'CAPEX-DEP_CWS '!AQ69</f>
        <v>-160916.66666666669</v>
      </c>
      <c r="AP21" s="9">
        <f>-'CAPEX-DEP_CWS '!AR69</f>
        <v>-160916.66666666669</v>
      </c>
      <c r="AQ21" s="9">
        <f>-'CAPEX-DEP_CWS '!AS69</f>
        <v>-160916.66666666669</v>
      </c>
      <c r="AR21" s="9">
        <f>-'CAPEX-DEP_CWS '!AT69</f>
        <v>-160916.66666666669</v>
      </c>
      <c r="AS21" s="9">
        <f>-'CAPEX-DEP_CWS '!AU69</f>
        <v>-160916.66666666669</v>
      </c>
      <c r="AT21" s="9">
        <f>-'CAPEX-DEP_CWS '!AV69</f>
        <v>-160916.66666666669</v>
      </c>
      <c r="AU21" s="9">
        <f>-'CAPEX-DEP_CWS '!AW69</f>
        <v>-160916.66666666669</v>
      </c>
      <c r="AV21" s="9">
        <f>-'CAPEX-DEP_CWS '!AX69</f>
        <v>-160916.66666666669</v>
      </c>
      <c r="AW21" s="9">
        <f>-'CAPEX-DEP_CWS '!AY69</f>
        <v>-160916.66666666669</v>
      </c>
      <c r="AX21" s="9">
        <f>-'CAPEX-DEP_CWS '!AZ69</f>
        <v>-160916.66666666669</v>
      </c>
      <c r="AY21" s="9">
        <f>-'CAPEX-DEP_CWS '!BA69</f>
        <v>-160916.66666666669</v>
      </c>
      <c r="AZ21" s="9">
        <f>-'CAPEX-DEP_CWS '!BB69</f>
        <v>-160916.66666666669</v>
      </c>
      <c r="BA21" s="9">
        <f>-'CAPEX-DEP_CWS '!BC69</f>
        <v>-160916.66666666669</v>
      </c>
      <c r="BB21" s="9">
        <f>-'CAPEX-DEP_CWS '!BD69</f>
        <v>-160916.66666666669</v>
      </c>
      <c r="BC21" s="9">
        <f>-'CAPEX-DEP_CWS '!BE69</f>
        <v>-160916.66666666669</v>
      </c>
      <c r="BD21" s="9">
        <f>-'CAPEX-DEP_CWS '!BF69</f>
        <v>-160916.66666666669</v>
      </c>
      <c r="BE21" s="9">
        <f>-'CAPEX-DEP_CWS '!BG69</f>
        <v>-160916.66666666669</v>
      </c>
      <c r="BF21" s="9">
        <f>-'CAPEX-DEP_CWS '!BH69</f>
        <v>-160916.66666666669</v>
      </c>
      <c r="BG21" s="9">
        <f>-'CAPEX-DEP_CWS '!BI69</f>
        <v>-160916.66666666669</v>
      </c>
      <c r="BH21" s="9">
        <f>-'CAPEX-DEP_CWS '!BJ69</f>
        <v>-160916.66666666669</v>
      </c>
      <c r="BI21" s="9">
        <f>-'CAPEX-DEP_CWS '!BK69</f>
        <v>-160916.66666666669</v>
      </c>
      <c r="BJ21" s="9">
        <f>-'CAPEX-DEP_CWS '!BL69</f>
        <v>-160916.66666666669</v>
      </c>
      <c r="BK21" s="9">
        <f>-'CAPEX-DEP_CWS '!BM69</f>
        <v>-160916.66666666669</v>
      </c>
    </row>
    <row r="22" spans="2:64" ht="12.75" x14ac:dyDescent="0.15">
      <c r="B22" t="s">
        <v>273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-143416.66666666666</v>
      </c>
      <c r="H22" s="9">
        <f t="shared" si="8"/>
        <v>-301666.66666666663</v>
      </c>
      <c r="I22" s="9">
        <f t="shared" si="8"/>
        <v>-461250</v>
      </c>
      <c r="J22" s="9">
        <f t="shared" si="8"/>
        <v>-620833.33333333337</v>
      </c>
      <c r="K22" s="9">
        <f t="shared" si="8"/>
        <v>-780416.66666666674</v>
      </c>
      <c r="L22" s="9">
        <f t="shared" si="8"/>
        <v>-940000.00000000012</v>
      </c>
      <c r="M22" s="9">
        <f t="shared" si="8"/>
        <v>-1099583.3333333335</v>
      </c>
      <c r="N22" s="9">
        <f t="shared" si="8"/>
        <v>-1259166.6666666667</v>
      </c>
      <c r="O22" s="9">
        <f t="shared" si="8"/>
        <v>-1418750</v>
      </c>
      <c r="P22" s="9">
        <f t="shared" si="8"/>
        <v>-1579666.6666666667</v>
      </c>
      <c r="Q22" s="9">
        <f t="shared" si="8"/>
        <v>-1740583.3333333335</v>
      </c>
      <c r="R22" s="9">
        <f t="shared" si="8"/>
        <v>-1901500.0000000002</v>
      </c>
      <c r="S22" s="9">
        <f t="shared" si="8"/>
        <v>-2062416.666666667</v>
      </c>
      <c r="T22" s="9">
        <f t="shared" si="8"/>
        <v>-2223333.3333333335</v>
      </c>
      <c r="U22" s="9">
        <f t="shared" si="8"/>
        <v>-2384250</v>
      </c>
      <c r="V22" s="9">
        <f t="shared" si="8"/>
        <v>-2545166.6666666665</v>
      </c>
      <c r="W22" s="9">
        <f t="shared" si="8"/>
        <v>-2706083.333333333</v>
      </c>
      <c r="X22" s="9">
        <f t="shared" si="8"/>
        <v>-2866999.9999999995</v>
      </c>
      <c r="Y22" s="9">
        <f t="shared" si="8"/>
        <v>-3027916.666666666</v>
      </c>
      <c r="Z22" s="9">
        <f t="shared" si="8"/>
        <v>-3188833.3333333326</v>
      </c>
      <c r="AA22" s="9">
        <f t="shared" si="8"/>
        <v>-3349749.9999999991</v>
      </c>
      <c r="AB22" s="9">
        <f t="shared" si="8"/>
        <v>-3510666.6666666656</v>
      </c>
      <c r="AC22" s="9">
        <f t="shared" si="8"/>
        <v>-3671583.3333333321</v>
      </c>
      <c r="AD22" s="9">
        <f t="shared" si="8"/>
        <v>-3832499.9999999986</v>
      </c>
      <c r="AE22" s="9">
        <f t="shared" si="8"/>
        <v>-3993416.6666666651</v>
      </c>
      <c r="AF22" s="9">
        <f t="shared" si="8"/>
        <v>-4154333.3333333316</v>
      </c>
      <c r="AG22" s="9">
        <f t="shared" si="8"/>
        <v>-4315249.9999999981</v>
      </c>
      <c r="AH22" s="9">
        <f t="shared" si="8"/>
        <v>-4476166.6666666651</v>
      </c>
      <c r="AI22" s="9">
        <f t="shared" si="8"/>
        <v>-4637083.3333333321</v>
      </c>
      <c r="AJ22" s="9">
        <f t="shared" ref="AJ22:BK22" si="9">AJ21+AI22</f>
        <v>-4797999.9999999991</v>
      </c>
      <c r="AK22" s="9">
        <f t="shared" si="9"/>
        <v>-4958916.666666666</v>
      </c>
      <c r="AL22" s="9">
        <f t="shared" si="9"/>
        <v>-5119833.333333333</v>
      </c>
      <c r="AM22" s="9">
        <f t="shared" si="9"/>
        <v>-5280750</v>
      </c>
      <c r="AN22" s="9">
        <f t="shared" si="9"/>
        <v>-5441666.666666667</v>
      </c>
      <c r="AO22" s="9">
        <f t="shared" si="9"/>
        <v>-5602583.333333334</v>
      </c>
      <c r="AP22" s="9">
        <f t="shared" si="9"/>
        <v>-5763500.0000000009</v>
      </c>
      <c r="AQ22" s="9">
        <f t="shared" si="9"/>
        <v>-5924416.6666666679</v>
      </c>
      <c r="AR22" s="9">
        <f t="shared" si="9"/>
        <v>-6085333.3333333349</v>
      </c>
      <c r="AS22" s="9">
        <f t="shared" si="9"/>
        <v>-6246250.0000000019</v>
      </c>
      <c r="AT22" s="9">
        <f t="shared" si="9"/>
        <v>-6407166.6666666688</v>
      </c>
      <c r="AU22" s="9">
        <f t="shared" si="9"/>
        <v>-6568083.3333333358</v>
      </c>
      <c r="AV22" s="9">
        <f t="shared" si="9"/>
        <v>-6729000.0000000028</v>
      </c>
      <c r="AW22" s="9">
        <f t="shared" si="9"/>
        <v>-6889916.6666666698</v>
      </c>
      <c r="AX22" s="9">
        <f t="shared" si="9"/>
        <v>-7050833.3333333367</v>
      </c>
      <c r="AY22" s="9">
        <f t="shared" si="9"/>
        <v>-7211750.0000000037</v>
      </c>
      <c r="AZ22" s="9">
        <f t="shared" si="9"/>
        <v>-7372666.6666666707</v>
      </c>
      <c r="BA22" s="9">
        <f t="shared" si="9"/>
        <v>-7533583.3333333377</v>
      </c>
      <c r="BB22" s="9">
        <f t="shared" si="9"/>
        <v>-7694500.0000000047</v>
      </c>
      <c r="BC22" s="9">
        <f t="shared" si="9"/>
        <v>-7855416.6666666716</v>
      </c>
      <c r="BD22" s="9">
        <f t="shared" si="9"/>
        <v>-8016333.3333333386</v>
      </c>
      <c r="BE22" s="9">
        <f t="shared" si="9"/>
        <v>-8177250.0000000056</v>
      </c>
      <c r="BF22" s="9">
        <f t="shared" si="9"/>
        <v>-8338166.6666666726</v>
      </c>
      <c r="BG22" s="9">
        <f t="shared" si="9"/>
        <v>-8499083.3333333395</v>
      </c>
      <c r="BH22" s="9">
        <f t="shared" si="9"/>
        <v>-8660000.0000000056</v>
      </c>
      <c r="BI22" s="9">
        <f t="shared" si="9"/>
        <v>-8820916.6666666716</v>
      </c>
      <c r="BJ22" s="9">
        <f t="shared" si="9"/>
        <v>-8981833.3333333377</v>
      </c>
      <c r="BK22" s="9">
        <f t="shared" si="9"/>
        <v>-9142750.0000000037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274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8461583.333333334</v>
      </c>
      <c r="H24" s="9">
        <f t="shared" si="10"/>
        <v>9193333.333333334</v>
      </c>
      <c r="I24" s="9">
        <f t="shared" si="10"/>
        <v>9113750</v>
      </c>
      <c r="J24" s="9">
        <f t="shared" si="10"/>
        <v>8954166.666666666</v>
      </c>
      <c r="K24" s="9">
        <f t="shared" si="10"/>
        <v>8794583.333333334</v>
      </c>
      <c r="L24" s="9">
        <f t="shared" si="10"/>
        <v>8635000</v>
      </c>
      <c r="M24" s="9">
        <f t="shared" si="10"/>
        <v>8475416.666666666</v>
      </c>
      <c r="N24" s="9">
        <f t="shared" si="10"/>
        <v>8315833.333333333</v>
      </c>
      <c r="O24" s="9">
        <f t="shared" si="10"/>
        <v>8156250</v>
      </c>
      <c r="P24" s="9">
        <f t="shared" si="10"/>
        <v>8075333.333333333</v>
      </c>
      <c r="Q24" s="9">
        <f t="shared" si="10"/>
        <v>7914416.666666666</v>
      </c>
      <c r="R24" s="9">
        <f t="shared" si="10"/>
        <v>7753500</v>
      </c>
      <c r="S24" s="9">
        <f t="shared" si="10"/>
        <v>7592583.333333333</v>
      </c>
      <c r="T24" s="9">
        <f t="shared" si="10"/>
        <v>7431666.666666666</v>
      </c>
      <c r="U24" s="9">
        <f t="shared" si="10"/>
        <v>7270750</v>
      </c>
      <c r="V24" s="9">
        <f t="shared" si="10"/>
        <v>7109833.333333334</v>
      </c>
      <c r="W24" s="9">
        <f t="shared" si="10"/>
        <v>6948916.666666667</v>
      </c>
      <c r="X24" s="9">
        <f t="shared" si="10"/>
        <v>6788000</v>
      </c>
      <c r="Y24" s="9">
        <f t="shared" si="10"/>
        <v>6627083.333333334</v>
      </c>
      <c r="Z24" s="9">
        <f t="shared" si="10"/>
        <v>6466166.6666666679</v>
      </c>
      <c r="AA24" s="9">
        <f t="shared" si="10"/>
        <v>6305250.0000000009</v>
      </c>
      <c r="AB24" s="9">
        <f t="shared" si="10"/>
        <v>6144333.333333334</v>
      </c>
      <c r="AC24" s="9">
        <f t="shared" si="10"/>
        <v>5983416.6666666679</v>
      </c>
      <c r="AD24" s="9">
        <f t="shared" si="10"/>
        <v>5822500.0000000019</v>
      </c>
      <c r="AE24" s="9">
        <f t="shared" si="10"/>
        <v>5661583.3333333349</v>
      </c>
      <c r="AF24" s="9">
        <f t="shared" si="10"/>
        <v>5500666.6666666679</v>
      </c>
      <c r="AG24" s="9">
        <f t="shared" si="10"/>
        <v>5339750.0000000019</v>
      </c>
      <c r="AH24" s="9">
        <f t="shared" si="10"/>
        <v>5178833.3333333349</v>
      </c>
      <c r="AI24" s="9">
        <f t="shared" ref="AI24:BK24" si="11">AI19+AI22</f>
        <v>5017916.6666666679</v>
      </c>
      <c r="AJ24" s="9">
        <f t="shared" si="11"/>
        <v>4857000.0000000009</v>
      </c>
      <c r="AK24" s="9">
        <f t="shared" si="11"/>
        <v>4696083.333333334</v>
      </c>
      <c r="AL24" s="9">
        <f t="shared" si="11"/>
        <v>4535166.666666667</v>
      </c>
      <c r="AM24" s="9">
        <f t="shared" si="11"/>
        <v>4374250</v>
      </c>
      <c r="AN24" s="9">
        <f t="shared" si="11"/>
        <v>4213333.333333333</v>
      </c>
      <c r="AO24" s="9">
        <f t="shared" si="11"/>
        <v>4052416.666666666</v>
      </c>
      <c r="AP24" s="9">
        <f t="shared" si="11"/>
        <v>3891499.9999999991</v>
      </c>
      <c r="AQ24" s="9">
        <f t="shared" si="11"/>
        <v>3730583.3333333321</v>
      </c>
      <c r="AR24" s="9">
        <f t="shared" si="11"/>
        <v>3569666.6666666651</v>
      </c>
      <c r="AS24" s="9">
        <f t="shared" si="11"/>
        <v>3408749.9999999981</v>
      </c>
      <c r="AT24" s="9">
        <f t="shared" si="11"/>
        <v>3247833.3333333312</v>
      </c>
      <c r="AU24" s="9">
        <f t="shared" si="11"/>
        <v>3086916.6666666642</v>
      </c>
      <c r="AV24" s="9">
        <f t="shared" si="11"/>
        <v>2925999.9999999972</v>
      </c>
      <c r="AW24" s="9">
        <f t="shared" si="11"/>
        <v>2765083.3333333302</v>
      </c>
      <c r="AX24" s="9">
        <f t="shared" si="11"/>
        <v>2604166.6666666633</v>
      </c>
      <c r="AY24" s="9">
        <f t="shared" si="11"/>
        <v>2443249.9999999963</v>
      </c>
      <c r="AZ24" s="9">
        <f t="shared" si="11"/>
        <v>2282333.3333333293</v>
      </c>
      <c r="BA24" s="9">
        <f t="shared" si="11"/>
        <v>2121416.6666666623</v>
      </c>
      <c r="BB24" s="9">
        <f t="shared" si="11"/>
        <v>1960499.9999999953</v>
      </c>
      <c r="BC24" s="9">
        <f t="shared" si="11"/>
        <v>1799583.3333333284</v>
      </c>
      <c r="BD24" s="9">
        <f t="shared" si="11"/>
        <v>1638666.6666666614</v>
      </c>
      <c r="BE24" s="9">
        <f t="shared" si="11"/>
        <v>1477749.9999999944</v>
      </c>
      <c r="BF24" s="9">
        <f t="shared" si="11"/>
        <v>1316833.3333333274</v>
      </c>
      <c r="BG24" s="9">
        <f t="shared" si="11"/>
        <v>1155916.6666666605</v>
      </c>
      <c r="BH24" s="9">
        <f t="shared" si="11"/>
        <v>994999.99999999441</v>
      </c>
      <c r="BI24" s="9">
        <f t="shared" si="11"/>
        <v>834083.33333332837</v>
      </c>
      <c r="BJ24" s="9">
        <f t="shared" si="11"/>
        <v>673166.66666666232</v>
      </c>
      <c r="BK24" s="9">
        <f t="shared" si="11"/>
        <v>512249.99999999627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  <ignoredErrors>
    <ignoredError sqref="H17" formula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4" width="12.6640625" style="6" bestFit="1" customWidth="1"/>
    <col min="5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1.1640625" bestFit="1" customWidth="1"/>
  </cols>
  <sheetData>
    <row r="2" spans="1:66" x14ac:dyDescent="0.15">
      <c r="B2" s="16" t="s">
        <v>191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502</v>
      </c>
      <c r="C4" s="33"/>
      <c r="D4" s="33"/>
      <c r="E4" s="34"/>
      <c r="F4"/>
      <c r="G4"/>
      <c r="H4"/>
      <c r="BN4" s="37"/>
    </row>
    <row r="5" spans="1:66" x14ac:dyDescent="0.15">
      <c r="B5" s="47" t="str">
        <f>'CAPEX _CWS '!B7</f>
        <v>Furniture and Fixtures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tr">
        <f>'CAPEX _CWS '!B8</f>
        <v>Nuevos uniformes (gasto)</v>
      </c>
      <c r="C6" s="62">
        <f>'CAPEX _CWS '!E8</f>
        <v>0</v>
      </c>
      <c r="D6" s="62">
        <f>SUM('CAPEX _CWS '!F8:Q8)</f>
        <v>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503</v>
      </c>
      <c r="C7" s="62">
        <f>'CAPEX _CWS '!E9</f>
        <v>0</v>
      </c>
      <c r="D7" s="62">
        <f>SUM('CAPEX _CWS '!F9:Q9)</f>
        <v>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tr">
        <f>'CAPEX _CWS '!B11</f>
        <v>Ventas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tr">
        <f>'CAPEX _CWS '!B12</f>
        <v>Letreros</v>
      </c>
      <c r="C10" s="62">
        <f>'CAPEX _CWS '!E12</f>
        <v>0</v>
      </c>
      <c r="D10" s="62">
        <f>SUM('CAPEX _CWS '!F12:Q12)</f>
        <v>780000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tr">
        <f>'CAPEX _CWS '!B13</f>
        <v>Material Impreso / Web</v>
      </c>
      <c r="C11" s="62">
        <f>'CAPEX _CWS '!E13</f>
        <v>0</v>
      </c>
      <c r="D11" s="62">
        <f>SUM('CAPEX _CWS '!F13:Q13)</f>
        <v>230000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504</v>
      </c>
      <c r="C12" s="62">
        <f>'CAPEX _CWS '!E14</f>
        <v>0</v>
      </c>
      <c r="D12" s="62">
        <f>SUM('CAPEX _CWS '!F14:Q14)</f>
        <v>1010000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tr">
        <f>'CAPEX _CWS '!B19</f>
        <v>Computadora</v>
      </c>
      <c r="C17" s="62">
        <f>'CAPEX _CWS '!E19</f>
        <v>0</v>
      </c>
      <c r="D17" s="62">
        <f>SUM('CAPEX _CWS '!F19:Q19)</f>
        <v>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tr">
        <f>'CAPEX _CWS '!B20</f>
        <v>Internet - Connectivity Equipment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tr">
        <f>'CAPEX _CWS '!B21</f>
        <v>Licencia Herramientas Oficina</v>
      </c>
      <c r="C19" s="62">
        <f>'CAPEX _CWS '!E21</f>
        <v>0</v>
      </c>
      <c r="D19" s="62">
        <f>SUM('CAPEX _CWS '!F21:Q21)</f>
        <v>400000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186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187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188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412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413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185</v>
      </c>
      <c r="C32" s="62">
        <f>'CAPEX _CWS '!E45</f>
        <v>0</v>
      </c>
      <c r="D32" s="62">
        <f>SUM('CAPEX _CWS '!F45:Q45)</f>
        <v>0</v>
      </c>
      <c r="E32" s="62">
        <f>SUM('CAPEX _CWS '!R45:AC45)</f>
        <v>0</v>
      </c>
      <c r="F32" s="62">
        <f>SUM('CAPEX _CWS '!AD45:AO45)</f>
        <v>0</v>
      </c>
      <c r="G32" s="62">
        <f>SUM('CAPEX _CWS '!AP45:BA45)</f>
        <v>0</v>
      </c>
      <c r="H32" s="62">
        <f>SUM('CAPEX _CWS '!BB45:BM45)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398</v>
      </c>
      <c r="C34" s="62">
        <f>'CAPEX _CWS '!E47</f>
        <v>0</v>
      </c>
      <c r="D34" s="62">
        <f>SUM('CAPEX _CWS '!F47:Q47)</f>
        <v>0</v>
      </c>
      <c r="E34" s="62">
        <f>SUM('CAPEX _CWS '!R47:AC47)</f>
        <v>0</v>
      </c>
      <c r="F34" s="62">
        <f>SUM('CAPEX _CWS '!AD47:AO47)</f>
        <v>0</v>
      </c>
      <c r="G34" s="62">
        <f>SUM('CAPEX _CWS '!AP47:BA47)</f>
        <v>0</v>
      </c>
      <c r="H34" s="62">
        <f>SUM('CAPEX _CWS '!BB47:BM47)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'!E49</f>
        <v>0</v>
      </c>
      <c r="D36" s="62">
        <f>SUM('CAPEX _CWS '!F49:Q49)</f>
        <v>8485000</v>
      </c>
      <c r="E36" s="62">
        <f>SUM('CAPEX _CWS '!R49:AC49)</f>
        <v>0</v>
      </c>
      <c r="F36" s="62">
        <f>SUM('CAPEX _CWS '!AD49:AO49)</f>
        <v>0</v>
      </c>
      <c r="G36" s="62">
        <f>SUM('CAPEX _CWS '!AP49:BA49)</f>
        <v>0</v>
      </c>
      <c r="H36" s="62">
        <f>SUM('CAPEX _CWS '!BB49:BM49)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192</v>
      </c>
      <c r="C38" s="62">
        <f>'CAPEX _CWS '!E51</f>
        <v>0</v>
      </c>
      <c r="D38" s="62">
        <f>SUM('CAPEX _CWS '!F51:Q51)</f>
        <v>9575000</v>
      </c>
      <c r="E38" s="62">
        <f>SUM('CAPEX _CWS '!R51:AC51)</f>
        <v>80000</v>
      </c>
      <c r="F38" s="62">
        <f>SUM('CAPEX _CWS '!AD51:AO51)</f>
        <v>0</v>
      </c>
      <c r="G38" s="62">
        <f>SUM('CAPEX _CWS '!AP51:BA51)</f>
        <v>0</v>
      </c>
      <c r="H38" s="62">
        <f>SUM('CAPEX _CWS '!BB51:BM51)</f>
        <v>0</v>
      </c>
      <c r="I38" s="64">
        <f>SUM(C38:H38)</f>
        <v>9655000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9575000</v>
      </c>
      <c r="F43" s="3">
        <f>'CAPEX-FA_CWS '!F5</f>
        <v>9655000</v>
      </c>
      <c r="G43" s="3">
        <f>'CAPEX-FA_CWS '!G5</f>
        <v>9655000</v>
      </c>
      <c r="H43" s="3">
        <f>'CAPEX-FA_CWS '!H5</f>
        <v>9655000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9575000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9575000</v>
      </c>
      <c r="E45" s="3">
        <f>'CAPEX-FA_CWS '!E7</f>
        <v>9655000</v>
      </c>
      <c r="F45" s="3">
        <f>'CAPEX-FA_CWS '!F7</f>
        <v>9655000</v>
      </c>
      <c r="G45" s="3">
        <f>'CAPEX-FA_CWS '!G7</f>
        <v>9655000</v>
      </c>
      <c r="H45" s="3">
        <f>'CAPEX-FA_CWS '!H7</f>
        <v>9655000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9575000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-1418750</v>
      </c>
      <c r="E47" s="3">
        <f>'CAPEX-FA_CWS '!E9</f>
        <v>-1931000.0000000007</v>
      </c>
      <c r="F47" s="3">
        <f>'CAPEX-FA_CWS '!F9</f>
        <v>-1931000.0000000007</v>
      </c>
      <c r="G47" s="3">
        <f>'CAPEX-FA_CWS '!G9</f>
        <v>-1931000.0000000007</v>
      </c>
      <c r="H47" s="3">
        <f>'CAPEX-FA_CWS '!H9</f>
        <v>-1931000.0000000007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-1418750</v>
      </c>
      <c r="E48" s="3">
        <f>'CAPEX-FA_CWS '!E10</f>
        <v>-3349750.0000000009</v>
      </c>
      <c r="F48" s="3">
        <f>'CAPEX-FA_CWS '!F10</f>
        <v>-5280750.0000000019</v>
      </c>
      <c r="G48" s="3">
        <f>'CAPEX-FA_CWS '!G10</f>
        <v>-7211750.0000000028</v>
      </c>
      <c r="H48" s="3">
        <f>'CAPEX-FA_CWS '!H10</f>
        <v>-9142750.0000000037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274</v>
      </c>
      <c r="C50" s="64">
        <f>'CAPEX-FA_CWS '!C12</f>
        <v>0</v>
      </c>
      <c r="D50" s="64">
        <f>'CAPEX-FA_CWS '!D12</f>
        <v>8156250</v>
      </c>
      <c r="E50" s="64">
        <f>'CAPEX-FA_CWS '!E12</f>
        <v>6305249.9999999991</v>
      </c>
      <c r="F50" s="64">
        <f>'CAPEX-FA_CWS '!F12</f>
        <v>4374249.9999999981</v>
      </c>
      <c r="G50" s="64">
        <f>'CAPEX-FA_CWS '!G12</f>
        <v>2443249.9999999972</v>
      </c>
      <c r="H50" s="64">
        <f>'CAPEX-FA_CWS '!H12</f>
        <v>512249.99999999627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414" t="s">
        <v>277</v>
      </c>
      <c r="I1" s="414"/>
      <c r="J1" s="414"/>
      <c r="K1" s="414"/>
      <c r="L1" s="68"/>
      <c r="M1" s="292" t="s">
        <v>280</v>
      </c>
      <c r="N1" s="292" t="s">
        <v>281</v>
      </c>
    </row>
    <row r="2" spans="1:66" ht="16" x14ac:dyDescent="0.2">
      <c r="H2" s="292" t="s">
        <v>278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279</v>
      </c>
      <c r="P2" s="267"/>
      <c r="Q2" s="267"/>
    </row>
    <row r="3" spans="1:66" x14ac:dyDescent="0.15">
      <c r="F3" s="406"/>
      <c r="G3" s="406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10"/>
      <c r="S3" s="406" t="s">
        <v>36</v>
      </c>
      <c r="T3" s="406"/>
      <c r="U3" s="406"/>
      <c r="V3" s="406"/>
      <c r="W3" s="406"/>
      <c r="X3" s="406"/>
      <c r="Y3" s="406"/>
      <c r="Z3" s="406"/>
      <c r="AA3" s="406"/>
      <c r="AB3" s="406"/>
      <c r="AC3" s="406"/>
      <c r="AD3" s="406"/>
      <c r="AE3" s="10"/>
      <c r="AF3" s="406" t="s">
        <v>37</v>
      </c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10"/>
      <c r="AS3" s="406" t="s">
        <v>38</v>
      </c>
      <c r="AT3" s="406"/>
      <c r="AU3" s="406"/>
      <c r="AV3" s="406"/>
      <c r="AW3" s="406"/>
      <c r="AX3" s="406"/>
      <c r="AY3" s="406"/>
      <c r="AZ3" s="406"/>
      <c r="BA3" s="406"/>
      <c r="BB3" s="406"/>
      <c r="BC3" s="406"/>
      <c r="BD3" s="406"/>
      <c r="BE3" s="10"/>
      <c r="BF3" s="406" t="s">
        <v>39</v>
      </c>
      <c r="BG3" s="406"/>
      <c r="BH3" s="406"/>
      <c r="BI3" s="406"/>
      <c r="BJ3" s="406"/>
      <c r="BK3" s="406"/>
      <c r="BL3" s="406"/>
      <c r="BM3" s="406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268</v>
      </c>
      <c r="B6" s="34" t="s">
        <v>209</v>
      </c>
      <c r="C6" s="33" t="s">
        <v>210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211</v>
      </c>
      <c r="B7" s="180">
        <v>0</v>
      </c>
      <c r="C7" s="33" t="s">
        <v>147</v>
      </c>
      <c r="D7" s="67">
        <f>'CAPEX _CWS '!$E$51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212</v>
      </c>
      <c r="B8" s="180">
        <v>1</v>
      </c>
      <c r="C8" s="33" t="s">
        <v>40</v>
      </c>
      <c r="D8" s="67">
        <f>'CAPEX _CWS '!$F$51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213</v>
      </c>
      <c r="B9" s="180">
        <v>1</v>
      </c>
      <c r="C9" s="33" t="s">
        <v>41</v>
      </c>
      <c r="D9" s="67">
        <f>'CAPEX _CWS '!$G$51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214</v>
      </c>
      <c r="B10" s="180">
        <v>1</v>
      </c>
      <c r="C10" s="33" t="s">
        <v>42</v>
      </c>
      <c r="D10" s="67">
        <f>'CAPEX _CWS '!$H$51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215</v>
      </c>
      <c r="B11" s="180">
        <v>1</v>
      </c>
      <c r="C11" s="33" t="s">
        <v>43</v>
      </c>
      <c r="D11" s="67">
        <f>'CAPEX _CWS '!$I$51</f>
        <v>8605000</v>
      </c>
      <c r="E11" s="67"/>
      <c r="I11" s="70">
        <f>$D11/$N$2</f>
        <v>143416.66666666666</v>
      </c>
      <c r="J11" s="63">
        <f>IF(SUM(I11)&lt;$D11,$D11/$N$2,0)</f>
        <v>143416.66666666666</v>
      </c>
      <c r="K11" s="63">
        <f>IF(SUM($E11:J11)&lt;$D11,$D11/$N$2,0)</f>
        <v>143416.66666666666</v>
      </c>
      <c r="L11" s="63">
        <f>IF(SUM($E11:K11)&lt;$D11,$D11/$N$2,0)</f>
        <v>143416.66666666666</v>
      </c>
      <c r="M11" s="63">
        <f>IF(SUM($E11:L11)&lt;$D11,$D11/$N$2,0)</f>
        <v>143416.66666666666</v>
      </c>
      <c r="N11" s="63">
        <f>IF(SUM($E11:M11)&lt;$D11,$D11/$N$2,0)</f>
        <v>143416.66666666666</v>
      </c>
      <c r="O11" s="63">
        <f>IF(SUM($E11:N11)&lt;$D11,$D11/$N$2,0)</f>
        <v>143416.66666666666</v>
      </c>
      <c r="P11" s="63">
        <f>IF(SUM($E11:O11)&lt;$D11,$D11/$N$2,0)</f>
        <v>143416.66666666666</v>
      </c>
      <c r="Q11" s="63">
        <f>IF(SUM($E11:P11)&lt;$D11,$D11/$N$2,0)</f>
        <v>143416.66666666666</v>
      </c>
      <c r="R11" s="63">
        <f>IF(SUM($E11:Q11)&lt;$D11,$D11/$N$2,0)</f>
        <v>143416.66666666666</v>
      </c>
      <c r="S11" s="63">
        <f>IF(SUM($E11:R11)&lt;$D11,$D11/$N$2,0)</f>
        <v>143416.66666666666</v>
      </c>
      <c r="T11" s="63">
        <f>IF(SUM($E11:S11)&lt;$D11,$D11/$N$2,0)</f>
        <v>143416.66666666666</v>
      </c>
      <c r="U11" s="63">
        <f>IF(SUM($E11:T11)&lt;$D11,$D11/$N$2,0)</f>
        <v>143416.66666666666</v>
      </c>
      <c r="V11" s="63">
        <f>IF(SUM($E11:U11)&lt;$D11,$D11/$N$2,0)</f>
        <v>143416.66666666666</v>
      </c>
      <c r="W11" s="63">
        <f>IF(SUM($E11:V11)&lt;$D11,$D11/$N$2,0)</f>
        <v>143416.66666666666</v>
      </c>
      <c r="X11" s="63">
        <f>IF(SUM($E11:W11)&lt;$D11,$D11/$N$2,0)</f>
        <v>143416.66666666666</v>
      </c>
      <c r="Y11" s="63">
        <f>IF(SUM($E11:X11)&lt;$D11,$D11/$N$2,0)</f>
        <v>143416.66666666666</v>
      </c>
      <c r="Z11" s="63">
        <f>IF(SUM($E11:Y11)&lt;$D11,$D11/$N$2,0)</f>
        <v>143416.66666666666</v>
      </c>
      <c r="AA11" s="63">
        <f>IF(SUM($E11:Z11)&lt;$D11,$D11/$N$2,0)</f>
        <v>143416.66666666666</v>
      </c>
      <c r="AB11" s="63">
        <f>IF(SUM($E11:AA11)&lt;$D11,$D11/$N$2,0)</f>
        <v>143416.66666666666</v>
      </c>
      <c r="AC11" s="63">
        <f>IF(SUM($E11:AB11)&lt;$D11,$D11/$N$2,0)</f>
        <v>143416.66666666666</v>
      </c>
      <c r="AD11" s="63">
        <f>IF(SUM($E11:AC11)&lt;$D11,$D11/$N$2,0)</f>
        <v>143416.66666666666</v>
      </c>
      <c r="AE11" s="63">
        <f>IF(SUM($E11:AD11)&lt;$D11,$D11/$N$2,0)</f>
        <v>143416.66666666666</v>
      </c>
      <c r="AF11" s="63">
        <f>IF(SUM($E11:AE11)&lt;$D11,$D11/$N$2,0)</f>
        <v>143416.66666666666</v>
      </c>
      <c r="AG11" s="63">
        <f>IF(SUM($E11:AF11)&lt;$D11,$D11/$N$2,0)</f>
        <v>143416.66666666666</v>
      </c>
      <c r="AH11" s="63">
        <f>IF(SUM($E11:AG11)&lt;$D11,$D11/$N$2,0)</f>
        <v>143416.66666666666</v>
      </c>
      <c r="AI11" s="63">
        <f>IF(SUM($E11:AH11)&lt;$D11,$D11/$N$2,0)</f>
        <v>143416.66666666666</v>
      </c>
      <c r="AJ11" s="63">
        <f>IF(SUM($E11:AI11)&lt;$D11,$D11/$N$2,0)</f>
        <v>143416.66666666666</v>
      </c>
      <c r="AK11" s="63">
        <f>IF(SUM($E11:AJ11)&lt;$D11,$D11/$N$2,0)</f>
        <v>143416.66666666666</v>
      </c>
      <c r="AL11" s="63">
        <f>IF(SUM($E11:AK11)&lt;$D11,$D11/$N$2,0)</f>
        <v>143416.66666666666</v>
      </c>
      <c r="AM11" s="63">
        <f>IF(SUM($E11:AL11)&lt;$D11,$D11/$N$2,0)</f>
        <v>143416.66666666666</v>
      </c>
      <c r="AN11" s="63">
        <f>IF(SUM($E11:AM11)&lt;$D11,$D11/$N$2,0)</f>
        <v>143416.66666666666</v>
      </c>
      <c r="AO11" s="63">
        <f>IF(SUM($E11:AN11)&lt;$D11,$D11/$N$2,0)</f>
        <v>143416.66666666666</v>
      </c>
      <c r="AP11" s="63">
        <f>IF(SUM($E11:AO11)&lt;$D11,$D11/$N$2,0)</f>
        <v>143416.66666666666</v>
      </c>
      <c r="AQ11" s="63">
        <f>IF(SUM($E11:AP11)&lt;$D11,$D11/$N$2,0)</f>
        <v>143416.66666666666</v>
      </c>
      <c r="AR11" s="63">
        <f>IF(SUM($E11:AQ11)&lt;$D11,$D11/$N$2,0)</f>
        <v>143416.66666666666</v>
      </c>
      <c r="AS11" s="63">
        <f>IF(SUM($E11:AR11)&lt;$D11,$D11/$N$2,0)</f>
        <v>143416.66666666666</v>
      </c>
      <c r="AT11" s="63">
        <f>IF(SUM($E11:AS11)&lt;$D11,$D11/$N$2,0)</f>
        <v>143416.66666666666</v>
      </c>
      <c r="AU11" s="63">
        <f>IF(SUM($E11:AT11)&lt;$D11,$D11/$N$2,0)</f>
        <v>143416.66666666666</v>
      </c>
      <c r="AV11" s="63">
        <f>IF(SUM($E11:AU11)&lt;$D11,$D11/$N$2,0)</f>
        <v>143416.66666666666</v>
      </c>
      <c r="AW11" s="63">
        <f>IF(SUM($E11:AV11)&lt;$D11,$D11/$N$2,0)</f>
        <v>143416.66666666666</v>
      </c>
      <c r="AX11" s="63">
        <f>IF(SUM($E11:AW11)&lt;$D11,$D11/$N$2,0)</f>
        <v>143416.66666666666</v>
      </c>
      <c r="AY11" s="63">
        <f>IF(SUM($E11:AX11)&lt;$D11,$D11/$N$2,0)</f>
        <v>143416.66666666666</v>
      </c>
      <c r="AZ11" s="63">
        <f>IF(SUM($E11:AY11)&lt;$D11,$D11/$N$2,0)</f>
        <v>143416.66666666666</v>
      </c>
      <c r="BA11" s="63">
        <f>IF(SUM($E11:AZ11)&lt;$D11,$D11/$N$2,0)</f>
        <v>143416.66666666666</v>
      </c>
      <c r="BB11" s="63">
        <f>IF(SUM($E11:BA11)&lt;$D11,$D11/$N$2,0)</f>
        <v>143416.66666666666</v>
      </c>
      <c r="BC11" s="63">
        <f>IF(SUM($E11:BB11)&lt;$D11,$D11/$N$2,0)</f>
        <v>143416.66666666666</v>
      </c>
      <c r="BD11" s="63">
        <f>IF(SUM($E11:BC11)&lt;$D11,$D11/$N$2,0)</f>
        <v>143416.66666666666</v>
      </c>
      <c r="BE11" s="63">
        <f>IF(SUM($E11:BD11)&lt;$D11,$D11/$N$2,0)</f>
        <v>143416.66666666666</v>
      </c>
      <c r="BF11" s="63">
        <f>IF(SUM($E11:BE11)&lt;$D11,$D11/$N$2,0)</f>
        <v>143416.66666666666</v>
      </c>
      <c r="BG11" s="63">
        <f>IF(SUM($E11:BF11)&lt;$D11,$D11/$N$2,0)</f>
        <v>143416.66666666666</v>
      </c>
      <c r="BH11" s="63">
        <f>IF(SUM($E11:BG11)&lt;$D11,$D11/$N$2,0)</f>
        <v>143416.66666666666</v>
      </c>
      <c r="BI11" s="63">
        <f>IF(SUM($E11:BH11)&lt;$D11,$D11/$N$2,0)</f>
        <v>143416.66666666666</v>
      </c>
      <c r="BJ11" s="63">
        <f>IF(SUM($E11:BI11)&lt;$D11,$D11/$N$2,0)</f>
        <v>143416.66666666666</v>
      </c>
      <c r="BK11" s="63">
        <f>IF(SUM($E11:BJ11)&lt;$D11,$D11/$N$2,0)</f>
        <v>143416.66666666666</v>
      </c>
      <c r="BL11" s="63">
        <f>IF(SUM($E11:BK11)&lt;$D11,$D11/$N$2,0)</f>
        <v>143416.66666666666</v>
      </c>
      <c r="BM11" s="63">
        <f>IF(SUM($E11:BL11)&lt;$D11,$D11/$N$2,0)</f>
        <v>143416.66666666666</v>
      </c>
    </row>
    <row r="12" spans="1:66" x14ac:dyDescent="0.15">
      <c r="A12" s="34" t="s">
        <v>216</v>
      </c>
      <c r="B12" s="180">
        <v>1</v>
      </c>
      <c r="C12" s="33" t="s">
        <v>44</v>
      </c>
      <c r="D12" s="67">
        <f>'CAPEX _CWS '!$J$51</f>
        <v>890000</v>
      </c>
      <c r="E12" s="67"/>
      <c r="J12" s="70">
        <f>$D12/$N$2</f>
        <v>14833.333333333334</v>
      </c>
      <c r="K12" s="63">
        <f>IF(SUM(J12)&lt;$D12,$D12/$N$2,0)</f>
        <v>14833.333333333334</v>
      </c>
      <c r="L12" s="63">
        <f>IF(SUM($E12:K12)&lt;$D12,$D12/$N$2,0)</f>
        <v>14833.333333333334</v>
      </c>
      <c r="M12" s="63">
        <f>IF(SUM($E12:L12)&lt;$D12,$D12/$N$2,0)</f>
        <v>14833.333333333334</v>
      </c>
      <c r="N12" s="63">
        <f>IF(SUM($E12:M12)&lt;$D12,$D12/$N$2,0)</f>
        <v>14833.333333333334</v>
      </c>
      <c r="O12" s="63">
        <f>IF(SUM($E12:N12)&lt;$D12,$D12/$N$2,0)</f>
        <v>14833.333333333334</v>
      </c>
      <c r="P12" s="63">
        <f>IF(SUM($E12:O12)&lt;$D12,$D12/$N$2,0)</f>
        <v>14833.333333333334</v>
      </c>
      <c r="Q12" s="63">
        <f>IF(SUM($E12:P12)&lt;$D12,$D12/$N$2,0)</f>
        <v>14833.333333333334</v>
      </c>
      <c r="R12" s="63">
        <f>IF(SUM($E12:Q12)&lt;$D12,$D12/$N$2,0)</f>
        <v>14833.333333333334</v>
      </c>
      <c r="S12" s="63">
        <f>IF(SUM($E12:R12)&lt;$D12,$D12/$N$2,0)</f>
        <v>14833.333333333334</v>
      </c>
      <c r="T12" s="63">
        <f>IF(SUM($E12:S12)&lt;$D12,$D12/$N$2,0)</f>
        <v>14833.333333333334</v>
      </c>
      <c r="U12" s="63">
        <f>IF(SUM($E12:T12)&lt;$D12,$D12/$N$2,0)</f>
        <v>14833.333333333334</v>
      </c>
      <c r="V12" s="63">
        <f>IF(SUM($E12:U12)&lt;$D12,$D12/$N$2,0)</f>
        <v>14833.333333333334</v>
      </c>
      <c r="W12" s="63">
        <f>IF(SUM($E12:V12)&lt;$D12,$D12/$N$2,0)</f>
        <v>14833.333333333334</v>
      </c>
      <c r="X12" s="63">
        <f>IF(SUM($E12:W12)&lt;$D12,$D12/$N$2,0)</f>
        <v>14833.333333333334</v>
      </c>
      <c r="Y12" s="63">
        <f>IF(SUM($E12:X12)&lt;$D12,$D12/$N$2,0)</f>
        <v>14833.333333333334</v>
      </c>
      <c r="Z12" s="63">
        <f>IF(SUM($E12:Y12)&lt;$D12,$D12/$N$2,0)</f>
        <v>14833.333333333334</v>
      </c>
      <c r="AA12" s="63">
        <f>IF(SUM($E12:Z12)&lt;$D12,$D12/$N$2,0)</f>
        <v>14833.333333333334</v>
      </c>
      <c r="AB12" s="63">
        <f>IF(SUM($E12:AA12)&lt;$D12,$D12/$N$2,0)</f>
        <v>14833.333333333334</v>
      </c>
      <c r="AC12" s="63">
        <f>IF(SUM($E12:AB12)&lt;$D12,$D12/$N$2,0)</f>
        <v>14833.333333333334</v>
      </c>
      <c r="AD12" s="63">
        <f>IF(SUM($E12:AC12)&lt;$D12,$D12/$N$2,0)</f>
        <v>14833.333333333334</v>
      </c>
      <c r="AE12" s="63">
        <f>IF(SUM($E12:AD12)&lt;$D12,$D12/$N$2,0)</f>
        <v>14833.333333333334</v>
      </c>
      <c r="AF12" s="63">
        <f>IF(SUM($E12:AE12)&lt;$D12,$D12/$N$2,0)</f>
        <v>14833.333333333334</v>
      </c>
      <c r="AG12" s="63">
        <f>IF(SUM($E12:AF12)&lt;$D12,$D12/$N$2,0)</f>
        <v>14833.333333333334</v>
      </c>
      <c r="AH12" s="63">
        <f>IF(SUM($E12:AG12)&lt;$D12,$D12/$N$2,0)</f>
        <v>14833.333333333334</v>
      </c>
      <c r="AI12" s="63">
        <f>IF(SUM($E12:AH12)&lt;$D12,$D12/$N$2,0)</f>
        <v>14833.333333333334</v>
      </c>
      <c r="AJ12" s="63">
        <f>IF(SUM($E12:AI12)&lt;$D12,$D12/$N$2,0)</f>
        <v>14833.333333333334</v>
      </c>
      <c r="AK12" s="63">
        <f>IF(SUM($E12:AJ12)&lt;$D12,$D12/$N$2,0)</f>
        <v>14833.333333333334</v>
      </c>
      <c r="AL12" s="63">
        <f>IF(SUM($E12:AK12)&lt;$D12,$D12/$N$2,0)</f>
        <v>14833.333333333334</v>
      </c>
      <c r="AM12" s="63">
        <f>IF(SUM($E12:AL12)&lt;$D12,$D12/$N$2,0)</f>
        <v>14833.333333333334</v>
      </c>
      <c r="AN12" s="63">
        <f>IF(SUM($E12:AM12)&lt;$D12,$D12/$N$2,0)</f>
        <v>14833.333333333334</v>
      </c>
      <c r="AO12" s="63">
        <f>IF(SUM($E12:AN12)&lt;$D12,$D12/$N$2,0)</f>
        <v>14833.333333333334</v>
      </c>
      <c r="AP12" s="63">
        <f>IF(SUM($E12:AO12)&lt;$D12,$D12/$N$2,0)</f>
        <v>14833.333333333334</v>
      </c>
      <c r="AQ12" s="63">
        <f>IF(SUM($E12:AP12)&lt;$D12,$D12/$N$2,0)</f>
        <v>14833.333333333334</v>
      </c>
      <c r="AR12" s="63">
        <f>IF(SUM($E12:AQ12)&lt;$D12,$D12/$N$2,0)</f>
        <v>14833.333333333334</v>
      </c>
      <c r="AS12" s="63">
        <f>IF(SUM($E12:AR12)&lt;$D12,$D12/$N$2,0)</f>
        <v>14833.333333333334</v>
      </c>
      <c r="AT12" s="63">
        <f>IF(SUM($E12:AS12)&lt;$D12,$D12/$N$2,0)</f>
        <v>14833.333333333334</v>
      </c>
      <c r="AU12" s="63">
        <f>IF(SUM($E12:AT12)&lt;$D12,$D12/$N$2,0)</f>
        <v>14833.333333333334</v>
      </c>
      <c r="AV12" s="63">
        <f>IF(SUM($E12:AU12)&lt;$D12,$D12/$N$2,0)</f>
        <v>14833.333333333334</v>
      </c>
      <c r="AW12" s="63">
        <f>IF(SUM($E12:AV12)&lt;$D12,$D12/$N$2,0)</f>
        <v>14833.333333333334</v>
      </c>
      <c r="AX12" s="63">
        <f>IF(SUM($E12:AW12)&lt;$D12,$D12/$N$2,0)</f>
        <v>14833.333333333334</v>
      </c>
      <c r="AY12" s="63">
        <f>IF(SUM($E12:AX12)&lt;$D12,$D12/$N$2,0)</f>
        <v>14833.333333333334</v>
      </c>
      <c r="AZ12" s="63">
        <f>IF(SUM($E12:AY12)&lt;$D12,$D12/$N$2,0)</f>
        <v>14833.333333333334</v>
      </c>
      <c r="BA12" s="63">
        <f>IF(SUM($E12:AZ12)&lt;$D12,$D12/$N$2,0)</f>
        <v>14833.333333333334</v>
      </c>
      <c r="BB12" s="63">
        <f>IF(SUM($E12:BA12)&lt;$D12,$D12/$N$2,0)</f>
        <v>14833.333333333334</v>
      </c>
      <c r="BC12" s="63">
        <f>IF(SUM($E12:BB12)&lt;$D12,$D12/$N$2,0)</f>
        <v>14833.333333333334</v>
      </c>
      <c r="BD12" s="63">
        <f>IF(SUM($E12:BC12)&lt;$D12,$D12/$N$2,0)</f>
        <v>14833.333333333334</v>
      </c>
      <c r="BE12" s="63">
        <f>IF(SUM($E12:BD12)&lt;$D12,$D12/$N$2,0)</f>
        <v>14833.333333333334</v>
      </c>
      <c r="BF12" s="63">
        <f>IF(SUM($E12:BE12)&lt;$D12,$D12/$N$2,0)</f>
        <v>14833.333333333334</v>
      </c>
      <c r="BG12" s="63">
        <f>IF(SUM($E12:BF12)&lt;$D12,$D12/$N$2,0)</f>
        <v>14833.333333333334</v>
      </c>
      <c r="BH12" s="63">
        <f>IF(SUM($E12:BG12)&lt;$D12,$D12/$N$2,0)</f>
        <v>14833.333333333334</v>
      </c>
      <c r="BI12" s="63">
        <f>IF(SUM($E12:BH12)&lt;$D12,$D12/$N$2,0)</f>
        <v>14833.333333333334</v>
      </c>
      <c r="BJ12" s="63">
        <f>IF(SUM($E12:BI12)&lt;$D12,$D12/$N$2,0)</f>
        <v>14833.333333333334</v>
      </c>
      <c r="BK12" s="63">
        <f>IF(SUM($E12:BJ12)&lt;$D12,$D12/$N$2,0)</f>
        <v>14833.333333333334</v>
      </c>
      <c r="BL12" s="63">
        <f>IF(SUM($E12:BK12)&lt;$D12,$D12/$N$2,0)</f>
        <v>14833.333333333334</v>
      </c>
      <c r="BM12" s="63">
        <f>IF(SUM($E12:BL12)&lt;$D12,$D12/$N$2,0)</f>
        <v>14833.333333333334</v>
      </c>
    </row>
    <row r="13" spans="1:66" x14ac:dyDescent="0.15">
      <c r="A13" s="34" t="s">
        <v>217</v>
      </c>
      <c r="B13" s="180">
        <v>1</v>
      </c>
      <c r="C13" s="33" t="s">
        <v>45</v>
      </c>
      <c r="D13" s="67">
        <f>'CAPEX _CWS '!$K$51</f>
        <v>80000</v>
      </c>
      <c r="E13" s="67"/>
      <c r="K13" s="70">
        <f>$D13/$N$2</f>
        <v>1333.3333333333333</v>
      </c>
      <c r="L13" s="63">
        <f>IF(SUM(K13)&lt;$D13,$D13/$N$2,0)</f>
        <v>1333.3333333333333</v>
      </c>
      <c r="M13" s="63">
        <f>IF(SUM($E13:L13)&lt;$D13,$D13/$N$2,0)</f>
        <v>1333.3333333333333</v>
      </c>
      <c r="N13" s="63">
        <f>IF(SUM($E13:M13)&lt;$D13,$D13/$N$2,0)</f>
        <v>1333.3333333333333</v>
      </c>
      <c r="O13" s="63">
        <f>IF(SUM($E13:N13)&lt;$D13,$D13/$N$2,0)</f>
        <v>1333.3333333333333</v>
      </c>
      <c r="P13" s="63">
        <f>IF(SUM($E13:O13)&lt;$D13,$D13/$N$2,0)</f>
        <v>1333.3333333333333</v>
      </c>
      <c r="Q13" s="63">
        <f>IF(SUM($E13:P13)&lt;$D13,$D13/$N$2,0)</f>
        <v>1333.3333333333333</v>
      </c>
      <c r="R13" s="63">
        <f>IF(SUM($E13:Q13)&lt;$D13,$D13/$N$2,0)</f>
        <v>1333.3333333333333</v>
      </c>
      <c r="S13" s="63">
        <f>IF(SUM($E13:R13)&lt;$D13,$D13/$N$2,0)</f>
        <v>1333.3333333333333</v>
      </c>
      <c r="T13" s="63">
        <f>IF(SUM($E13:S13)&lt;$D13,$D13/$N$2,0)</f>
        <v>1333.3333333333333</v>
      </c>
      <c r="U13" s="63">
        <f>IF(SUM($E13:T13)&lt;$D13,$D13/$N$2,0)</f>
        <v>1333.3333333333333</v>
      </c>
      <c r="V13" s="63">
        <f>IF(SUM($E13:U13)&lt;$D13,$D13/$N$2,0)</f>
        <v>1333.3333333333333</v>
      </c>
      <c r="W13" s="63">
        <f>IF(SUM($E13:V13)&lt;$D13,$D13/$N$2,0)</f>
        <v>1333.3333333333333</v>
      </c>
      <c r="X13" s="63">
        <f>IF(SUM($E13:W13)&lt;$D13,$D13/$N$2,0)</f>
        <v>1333.3333333333333</v>
      </c>
      <c r="Y13" s="63">
        <f>IF(SUM($E13:X13)&lt;$D13,$D13/$N$2,0)</f>
        <v>1333.3333333333333</v>
      </c>
      <c r="Z13" s="63">
        <f>IF(SUM($E13:Y13)&lt;$D13,$D13/$N$2,0)</f>
        <v>1333.3333333333333</v>
      </c>
      <c r="AA13" s="63">
        <f>IF(SUM($E13:Z13)&lt;$D13,$D13/$N$2,0)</f>
        <v>1333.3333333333333</v>
      </c>
      <c r="AB13" s="63">
        <f>IF(SUM($E13:AA13)&lt;$D13,$D13/$N$2,0)</f>
        <v>1333.3333333333333</v>
      </c>
      <c r="AC13" s="63">
        <f>IF(SUM($E13:AB13)&lt;$D13,$D13/$N$2,0)</f>
        <v>1333.3333333333333</v>
      </c>
      <c r="AD13" s="63">
        <f>IF(SUM($E13:AC13)&lt;$D13,$D13/$N$2,0)</f>
        <v>1333.3333333333333</v>
      </c>
      <c r="AE13" s="63">
        <f>IF(SUM($E13:AD13)&lt;$D13,$D13/$N$2,0)</f>
        <v>1333.3333333333333</v>
      </c>
      <c r="AF13" s="63">
        <f>IF(SUM($E13:AE13)&lt;$D13,$D13/$N$2,0)</f>
        <v>1333.3333333333333</v>
      </c>
      <c r="AG13" s="63">
        <f>IF(SUM($E13:AF13)&lt;$D13,$D13/$N$2,0)</f>
        <v>1333.3333333333333</v>
      </c>
      <c r="AH13" s="63">
        <f>IF(SUM($E13:AG13)&lt;$D13,$D13/$N$2,0)</f>
        <v>1333.3333333333333</v>
      </c>
      <c r="AI13" s="63">
        <f>IF(SUM($E13:AH13)&lt;$D13,$D13/$N$2,0)</f>
        <v>1333.3333333333333</v>
      </c>
      <c r="AJ13" s="63">
        <f>IF(SUM($E13:AI13)&lt;$D13,$D13/$N$2,0)</f>
        <v>1333.3333333333333</v>
      </c>
      <c r="AK13" s="63">
        <f>IF(SUM($E13:AJ13)&lt;$D13,$D13/$N$2,0)</f>
        <v>1333.3333333333333</v>
      </c>
      <c r="AL13" s="63">
        <f>IF(SUM($E13:AK13)&lt;$D13,$D13/$N$2,0)</f>
        <v>1333.3333333333333</v>
      </c>
      <c r="AM13" s="63">
        <f>IF(SUM($E13:AL13)&lt;$D13,$D13/$N$2,0)</f>
        <v>1333.3333333333333</v>
      </c>
      <c r="AN13" s="63">
        <f>IF(SUM($E13:AM13)&lt;$D13,$D13/$N$2,0)</f>
        <v>1333.3333333333333</v>
      </c>
      <c r="AO13" s="63">
        <f>IF(SUM($E13:AN13)&lt;$D13,$D13/$N$2,0)</f>
        <v>1333.3333333333333</v>
      </c>
      <c r="AP13" s="63">
        <f>IF(SUM($E13:AO13)&lt;$D13,$D13/$N$2,0)</f>
        <v>1333.3333333333333</v>
      </c>
      <c r="AQ13" s="63">
        <f>IF(SUM($E13:AP13)&lt;$D13,$D13/$N$2,0)</f>
        <v>1333.3333333333333</v>
      </c>
      <c r="AR13" s="63">
        <f>IF(SUM($E13:AQ13)&lt;$D13,$D13/$N$2,0)</f>
        <v>1333.3333333333333</v>
      </c>
      <c r="AS13" s="63">
        <f>IF(SUM($E13:AR13)&lt;$D13,$D13/$N$2,0)</f>
        <v>1333.3333333333333</v>
      </c>
      <c r="AT13" s="63">
        <f>IF(SUM($E13:AS13)&lt;$D13,$D13/$N$2,0)</f>
        <v>1333.3333333333333</v>
      </c>
      <c r="AU13" s="63">
        <f>IF(SUM($E13:AT13)&lt;$D13,$D13/$N$2,0)</f>
        <v>1333.3333333333333</v>
      </c>
      <c r="AV13" s="63">
        <f>IF(SUM($E13:AU13)&lt;$D13,$D13/$N$2,0)</f>
        <v>1333.3333333333333</v>
      </c>
      <c r="AW13" s="63">
        <f>IF(SUM($E13:AV13)&lt;$D13,$D13/$N$2,0)</f>
        <v>1333.3333333333333</v>
      </c>
      <c r="AX13" s="63">
        <f>IF(SUM($E13:AW13)&lt;$D13,$D13/$N$2,0)</f>
        <v>1333.3333333333333</v>
      </c>
      <c r="AY13" s="63">
        <f>IF(SUM($E13:AX13)&lt;$D13,$D13/$N$2,0)</f>
        <v>1333.3333333333333</v>
      </c>
      <c r="AZ13" s="63">
        <f>IF(SUM($E13:AY13)&lt;$D13,$D13/$N$2,0)</f>
        <v>1333.3333333333333</v>
      </c>
      <c r="BA13" s="63">
        <f>IF(SUM($E13:AZ13)&lt;$D13,$D13/$N$2,0)</f>
        <v>1333.3333333333333</v>
      </c>
      <c r="BB13" s="63">
        <f>IF(SUM($E13:BA13)&lt;$D13,$D13/$N$2,0)</f>
        <v>1333.3333333333333</v>
      </c>
      <c r="BC13" s="63">
        <f>IF(SUM($E13:BB13)&lt;$D13,$D13/$N$2,0)</f>
        <v>1333.3333333333333</v>
      </c>
      <c r="BD13" s="63">
        <f>IF(SUM($E13:BC13)&lt;$D13,$D13/$N$2,0)</f>
        <v>1333.3333333333333</v>
      </c>
      <c r="BE13" s="63">
        <f>IF(SUM($E13:BD13)&lt;$D13,$D13/$N$2,0)</f>
        <v>1333.3333333333333</v>
      </c>
      <c r="BF13" s="63">
        <f>IF(SUM($E13:BE13)&lt;$D13,$D13/$N$2,0)</f>
        <v>1333.3333333333333</v>
      </c>
      <c r="BG13" s="63">
        <f>IF(SUM($E13:BF13)&lt;$D13,$D13/$N$2,0)</f>
        <v>1333.3333333333333</v>
      </c>
      <c r="BH13" s="63">
        <f>IF(SUM($E13:BG13)&lt;$D13,$D13/$N$2,0)</f>
        <v>1333.3333333333333</v>
      </c>
      <c r="BI13" s="63">
        <f>IF(SUM($E13:BH13)&lt;$D13,$D13/$N$2,0)</f>
        <v>1333.3333333333333</v>
      </c>
      <c r="BJ13" s="63">
        <f>IF(SUM($E13:BI13)&lt;$D13,$D13/$N$2,0)</f>
        <v>1333.3333333333333</v>
      </c>
      <c r="BK13" s="63">
        <f>IF(SUM($E13:BJ13)&lt;$D13,$D13/$N$2,0)</f>
        <v>1333.3333333333333</v>
      </c>
      <c r="BL13" s="63">
        <f>IF(SUM($E13:BK13)&lt;$D13,$D13/$N$2,0)</f>
        <v>1333.3333333333333</v>
      </c>
      <c r="BM13" s="63">
        <f>IF(SUM($E13:BL13)&lt;$D13,$D13/$N$2,0)</f>
        <v>1333.3333333333333</v>
      </c>
    </row>
    <row r="14" spans="1:66" x14ac:dyDescent="0.15">
      <c r="A14" s="34" t="s">
        <v>218</v>
      </c>
      <c r="B14" s="180">
        <v>1</v>
      </c>
      <c r="C14" s="33" t="s">
        <v>46</v>
      </c>
      <c r="D14" s="67">
        <f>'CAPEX _CWS '!$L$51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219</v>
      </c>
      <c r="B15" s="180">
        <v>1</v>
      </c>
      <c r="C15" s="33" t="s">
        <v>47</v>
      </c>
      <c r="D15" s="67">
        <f>'CAPEX _CWS '!$M$51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'!$N$51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220</v>
      </c>
      <c r="B17" s="180">
        <v>1</v>
      </c>
      <c r="C17" s="33" t="s">
        <v>49</v>
      </c>
      <c r="D17" s="67">
        <f>'CAPEX _CWS '!$O$51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'!$P$51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221</v>
      </c>
      <c r="B19" s="180">
        <v>2</v>
      </c>
      <c r="C19" s="33" t="s">
        <v>51</v>
      </c>
      <c r="D19" s="67">
        <f>'CAPEX _CWS '!$Q$51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222</v>
      </c>
      <c r="B20" s="180">
        <v>2</v>
      </c>
      <c r="C20" s="33" t="s">
        <v>40</v>
      </c>
      <c r="D20" s="67">
        <f>'CAPEX _CWS '!$R$51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223</v>
      </c>
      <c r="B21" s="180">
        <v>2</v>
      </c>
      <c r="C21" s="33" t="s">
        <v>41</v>
      </c>
      <c r="D21" s="67">
        <f>'CAPEX _CWS '!$S$51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224</v>
      </c>
      <c r="B22" s="180">
        <v>2</v>
      </c>
      <c r="C22" s="33" t="s">
        <v>42</v>
      </c>
      <c r="D22" s="67">
        <f>'CAPEX _CWS '!$T$51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225</v>
      </c>
      <c r="B23" s="180">
        <v>2</v>
      </c>
      <c r="C23" s="33" t="s">
        <v>43</v>
      </c>
      <c r="D23" s="67">
        <f>'CAPEX _CWS '!$U$51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207</v>
      </c>
      <c r="B24" s="180">
        <v>2</v>
      </c>
      <c r="C24" s="33" t="s">
        <v>44</v>
      </c>
      <c r="D24" s="67">
        <f>'CAPEX _CWS '!$V$51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226</v>
      </c>
      <c r="B25" s="180">
        <v>2</v>
      </c>
      <c r="C25" s="33" t="s">
        <v>45</v>
      </c>
      <c r="D25" s="67">
        <f>'CAPEX _CWS '!$W$51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227</v>
      </c>
      <c r="B26" s="180">
        <v>2</v>
      </c>
      <c r="C26" s="33" t="s">
        <v>46</v>
      </c>
      <c r="D26" s="67">
        <f>'CAPEX _CWS '!$X$51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'!$Y$51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228</v>
      </c>
      <c r="B28" s="180">
        <v>2</v>
      </c>
      <c r="C28" s="33" t="s">
        <v>48</v>
      </c>
      <c r="D28" s="67">
        <f>'CAPEX _CWS '!$Z$51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229</v>
      </c>
      <c r="B29" s="180">
        <v>2</v>
      </c>
      <c r="C29" s="33" t="s">
        <v>49</v>
      </c>
      <c r="D29" s="67">
        <f>'CAPEX _CWS '!$AA$51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230</v>
      </c>
      <c r="B30" s="180">
        <v>2</v>
      </c>
      <c r="C30" s="33" t="s">
        <v>50</v>
      </c>
      <c r="D30" s="67">
        <f>'CAPEX _CWS '!$AB$51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231</v>
      </c>
      <c r="B31" s="180">
        <v>2</v>
      </c>
      <c r="C31" s="33" t="s">
        <v>51</v>
      </c>
      <c r="D31" s="67">
        <f>'CAPEX _CWS '!$AC$51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232</v>
      </c>
      <c r="B32" s="180">
        <v>3</v>
      </c>
      <c r="C32" s="33" t="s">
        <v>40</v>
      </c>
      <c r="D32" s="67">
        <f>'CAPEX _CWS '!$AD$51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233</v>
      </c>
      <c r="B33" s="180">
        <v>3</v>
      </c>
      <c r="C33" s="33" t="s">
        <v>41</v>
      </c>
      <c r="D33" s="67">
        <f>'CAPEX _CWS '!$AE$51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234</v>
      </c>
      <c r="B34" s="180">
        <v>3</v>
      </c>
      <c r="C34" s="33" t="s">
        <v>42</v>
      </c>
      <c r="D34" s="67">
        <f>'CAPEX _CWS '!$AF$51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235</v>
      </c>
      <c r="B35" s="180">
        <v>3</v>
      </c>
      <c r="C35" s="33" t="s">
        <v>43</v>
      </c>
      <c r="D35" s="67">
        <f>'CAPEX _CWS '!$AG$51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236</v>
      </c>
      <c r="B36" s="180">
        <v>3</v>
      </c>
      <c r="C36" s="33" t="s">
        <v>44</v>
      </c>
      <c r="D36" s="67">
        <f>'CAPEX _CWS '!$AH$51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237</v>
      </c>
      <c r="B37" s="180">
        <v>3</v>
      </c>
      <c r="C37" s="33" t="s">
        <v>45</v>
      </c>
      <c r="D37" s="67">
        <f>'CAPEX _CWS '!$AI$51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238</v>
      </c>
      <c r="B38" s="180">
        <v>3</v>
      </c>
      <c r="C38" s="33" t="s">
        <v>46</v>
      </c>
      <c r="D38" s="67">
        <f>'CAPEX _CWS '!$AJ$51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239</v>
      </c>
      <c r="B39" s="180">
        <v>3</v>
      </c>
      <c r="C39" s="33" t="s">
        <v>47</v>
      </c>
      <c r="D39" s="67">
        <f>'CAPEX _CWS '!$AK$51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240</v>
      </c>
      <c r="B40" s="180">
        <v>3</v>
      </c>
      <c r="C40" s="33" t="s">
        <v>48</v>
      </c>
      <c r="D40" s="67">
        <f>'CAPEX _CWS '!$AL$51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241</v>
      </c>
      <c r="B41" s="180">
        <v>3</v>
      </c>
      <c r="C41" s="33" t="s">
        <v>49</v>
      </c>
      <c r="D41" s="67">
        <f>'CAPEX _CWS '!$AM$51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242</v>
      </c>
      <c r="B42" s="180">
        <v>3</v>
      </c>
      <c r="C42" s="33" t="s">
        <v>50</v>
      </c>
      <c r="D42" s="67">
        <f>'CAPEX _CWS '!$AN$51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243</v>
      </c>
      <c r="B43" s="180">
        <v>3</v>
      </c>
      <c r="C43" s="33" t="s">
        <v>51</v>
      </c>
      <c r="D43" s="67">
        <f>'CAPEX _CWS '!$AO$51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244</v>
      </c>
      <c r="B44" s="180">
        <v>4</v>
      </c>
      <c r="C44" s="33" t="s">
        <v>40</v>
      </c>
      <c r="D44" s="67">
        <f>'CAPEX _CWS '!$AP$51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245</v>
      </c>
      <c r="B45" s="180">
        <v>4</v>
      </c>
      <c r="C45" s="33" t="s">
        <v>41</v>
      </c>
      <c r="D45" s="67">
        <f>'CAPEX _CWS '!$AQ$51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246</v>
      </c>
      <c r="B46" s="180">
        <v>4</v>
      </c>
      <c r="C46" s="33" t="s">
        <v>42</v>
      </c>
      <c r="D46" s="67">
        <f>'CAPEX _CWS '!$AR$51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247</v>
      </c>
      <c r="B47" s="180">
        <v>4</v>
      </c>
      <c r="C47" s="33" t="s">
        <v>43</v>
      </c>
      <c r="D47" s="67">
        <f>'CAPEX _CWS '!$AS$51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248</v>
      </c>
      <c r="B48" s="180">
        <v>4</v>
      </c>
      <c r="C48" s="33" t="s">
        <v>44</v>
      </c>
      <c r="D48" s="67">
        <f>'CAPEX _CWS '!$AT$51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249</v>
      </c>
      <c r="B49" s="180">
        <v>4</v>
      </c>
      <c r="C49" s="33" t="s">
        <v>45</v>
      </c>
      <c r="D49" s="67">
        <f>'CAPEX _CWS '!$AU$51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250</v>
      </c>
      <c r="B50" s="180">
        <v>4</v>
      </c>
      <c r="C50" s="33" t="s">
        <v>46</v>
      </c>
      <c r="D50" s="67">
        <f>'CAPEX _CWS '!$AV$51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251</v>
      </c>
      <c r="B51" s="180">
        <v>4</v>
      </c>
      <c r="C51" s="33" t="s">
        <v>47</v>
      </c>
      <c r="D51" s="67">
        <f>'CAPEX _CWS '!$AW$51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252</v>
      </c>
      <c r="B52" s="180">
        <v>4</v>
      </c>
      <c r="C52" s="33" t="s">
        <v>48</v>
      </c>
      <c r="D52" s="67">
        <f>'CAPEX _CWS '!$AX$51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253</v>
      </c>
      <c r="B53" s="180">
        <v>4</v>
      </c>
      <c r="C53" s="33" t="s">
        <v>49</v>
      </c>
      <c r="D53" s="67">
        <f>'CAPEX _CWS '!$AY$51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254</v>
      </c>
      <c r="B54" s="180">
        <v>4</v>
      </c>
      <c r="C54" s="33" t="s">
        <v>50</v>
      </c>
      <c r="D54" s="67">
        <f>'CAPEX _CWS '!$AZ$51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255</v>
      </c>
      <c r="B55" s="180">
        <v>4</v>
      </c>
      <c r="C55" s="33" t="s">
        <v>51</v>
      </c>
      <c r="D55" s="67">
        <f>'CAPEX _CWS '!$BA$51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256</v>
      </c>
      <c r="B56" s="180">
        <v>5</v>
      </c>
      <c r="C56" s="33" t="s">
        <v>40</v>
      </c>
      <c r="D56" s="67">
        <f>'CAPEX _CWS '!$BB$51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257</v>
      </c>
      <c r="B57" s="180">
        <v>5</v>
      </c>
      <c r="C57" s="33" t="s">
        <v>41</v>
      </c>
      <c r="D57" s="67">
        <f>'CAPEX _CWS '!$BC$51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258</v>
      </c>
      <c r="B58" s="180">
        <v>5</v>
      </c>
      <c r="C58" s="33" t="s">
        <v>42</v>
      </c>
      <c r="D58" s="67">
        <f>'CAPEX _CWS '!$BD$51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259</v>
      </c>
      <c r="B59" s="180">
        <v>5</v>
      </c>
      <c r="C59" s="33" t="s">
        <v>43</v>
      </c>
      <c r="D59" s="67">
        <f>'CAPEX _CWS '!$BE$51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260</v>
      </c>
      <c r="B60" s="180">
        <v>5</v>
      </c>
      <c r="C60" s="33" t="s">
        <v>44</v>
      </c>
      <c r="D60" s="67">
        <f>'CAPEX _CWS '!$BF$51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261</v>
      </c>
      <c r="B61" s="180">
        <v>5</v>
      </c>
      <c r="C61" s="33" t="s">
        <v>45</v>
      </c>
      <c r="D61" s="67">
        <f>'CAPEX _CWS '!$BG$51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262</v>
      </c>
      <c r="B62" s="180">
        <v>5</v>
      </c>
      <c r="C62" s="33" t="s">
        <v>46</v>
      </c>
      <c r="D62" s="67">
        <f>'CAPEX _CWS '!$BH$51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263</v>
      </c>
      <c r="B63" s="180">
        <v>5</v>
      </c>
      <c r="C63" s="33" t="s">
        <v>47</v>
      </c>
      <c r="D63" s="67">
        <f>'CAPEX _CWS '!$BI$51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264</v>
      </c>
      <c r="B64" s="180">
        <v>5</v>
      </c>
      <c r="C64" s="33" t="s">
        <v>48</v>
      </c>
      <c r="D64" s="67">
        <f>'CAPEX _CWS '!$BJ$51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265</v>
      </c>
      <c r="B65" s="180">
        <v>5</v>
      </c>
      <c r="C65" s="33" t="s">
        <v>49</v>
      </c>
      <c r="D65" s="67">
        <f>'CAPEX _CWS '!$BK$51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266</v>
      </c>
      <c r="B66" s="180">
        <v>5</v>
      </c>
      <c r="C66" s="33" t="s">
        <v>50</v>
      </c>
      <c r="D66" s="67">
        <f>'CAPEX _CWS '!$BL$51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267</v>
      </c>
      <c r="B67" s="180">
        <v>5</v>
      </c>
      <c r="C67" s="33" t="s">
        <v>51</v>
      </c>
      <c r="D67" s="67">
        <f>'CAPEX _CWS '!$BM$51</f>
        <v>0</v>
      </c>
      <c r="E67" s="67"/>
      <c r="BM67" s="70">
        <f>$D67/$N$2</f>
        <v>0</v>
      </c>
    </row>
    <row r="69" spans="1:66" x14ac:dyDescent="0.15">
      <c r="C69" s="33" t="s">
        <v>276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143416.66666666666</v>
      </c>
      <c r="J69" s="66">
        <f t="shared" si="0"/>
        <v>158250</v>
      </c>
      <c r="K69" s="66">
        <f t="shared" si="0"/>
        <v>159583.33333333334</v>
      </c>
      <c r="L69" s="66">
        <f t="shared" si="0"/>
        <v>159583.33333333334</v>
      </c>
      <c r="M69" s="66">
        <f t="shared" si="0"/>
        <v>159583.33333333334</v>
      </c>
      <c r="N69" s="66">
        <f t="shared" si="0"/>
        <v>159583.33333333334</v>
      </c>
      <c r="O69" s="66">
        <f t="shared" si="0"/>
        <v>159583.33333333334</v>
      </c>
      <c r="P69" s="66">
        <f t="shared" si="0"/>
        <v>159583.33333333334</v>
      </c>
      <c r="Q69" s="66">
        <f t="shared" si="0"/>
        <v>159583.33333333334</v>
      </c>
      <c r="R69" s="66">
        <f t="shared" si="0"/>
        <v>160916.66666666669</v>
      </c>
      <c r="S69" s="66">
        <f t="shared" si="0"/>
        <v>160916.66666666669</v>
      </c>
      <c r="T69" s="66">
        <f t="shared" si="0"/>
        <v>160916.66666666669</v>
      </c>
      <c r="U69" s="66">
        <f t="shared" si="0"/>
        <v>160916.66666666669</v>
      </c>
      <c r="V69" s="66">
        <f t="shared" si="0"/>
        <v>160916.66666666669</v>
      </c>
      <c r="W69" s="66">
        <f t="shared" si="0"/>
        <v>160916.66666666669</v>
      </c>
      <c r="X69" s="66">
        <f t="shared" si="0"/>
        <v>160916.66666666669</v>
      </c>
      <c r="Y69" s="66">
        <f t="shared" si="0"/>
        <v>160916.66666666669</v>
      </c>
      <c r="Z69" s="66">
        <f t="shared" si="0"/>
        <v>160916.66666666669</v>
      </c>
      <c r="AA69" s="66">
        <f t="shared" si="0"/>
        <v>160916.66666666669</v>
      </c>
      <c r="AB69" s="66">
        <f t="shared" si="0"/>
        <v>160916.66666666669</v>
      </c>
      <c r="AC69" s="66">
        <f t="shared" si="0"/>
        <v>160916.66666666669</v>
      </c>
      <c r="AD69" s="66">
        <f t="shared" si="0"/>
        <v>160916.66666666669</v>
      </c>
      <c r="AE69" s="66">
        <f t="shared" si="0"/>
        <v>160916.66666666669</v>
      </c>
      <c r="AF69" s="66">
        <f t="shared" si="0"/>
        <v>160916.66666666669</v>
      </c>
      <c r="AG69" s="66">
        <f t="shared" si="0"/>
        <v>160916.66666666669</v>
      </c>
      <c r="AH69" s="66">
        <f t="shared" si="0"/>
        <v>160916.66666666669</v>
      </c>
      <c r="AI69" s="66">
        <f t="shared" si="0"/>
        <v>160916.66666666669</v>
      </c>
      <c r="AJ69" s="66">
        <f t="shared" si="0"/>
        <v>160916.66666666669</v>
      </c>
      <c r="AK69" s="66">
        <f t="shared" ref="AK69:BM69" si="1">SUM(AK7:AK68)</f>
        <v>160916.66666666669</v>
      </c>
      <c r="AL69" s="66">
        <f t="shared" si="1"/>
        <v>160916.66666666669</v>
      </c>
      <c r="AM69" s="66">
        <f t="shared" si="1"/>
        <v>160916.66666666669</v>
      </c>
      <c r="AN69" s="66">
        <f t="shared" si="1"/>
        <v>160916.66666666669</v>
      </c>
      <c r="AO69" s="66">
        <f t="shared" si="1"/>
        <v>160916.66666666669</v>
      </c>
      <c r="AP69" s="66">
        <f t="shared" si="1"/>
        <v>160916.66666666669</v>
      </c>
      <c r="AQ69" s="66">
        <f t="shared" si="1"/>
        <v>160916.66666666669</v>
      </c>
      <c r="AR69" s="66">
        <f t="shared" si="1"/>
        <v>160916.66666666669</v>
      </c>
      <c r="AS69" s="66">
        <f t="shared" si="1"/>
        <v>160916.66666666669</v>
      </c>
      <c r="AT69" s="66">
        <f t="shared" si="1"/>
        <v>160916.66666666669</v>
      </c>
      <c r="AU69" s="66">
        <f t="shared" si="1"/>
        <v>160916.66666666669</v>
      </c>
      <c r="AV69" s="66">
        <f t="shared" si="1"/>
        <v>160916.66666666669</v>
      </c>
      <c r="AW69" s="66">
        <f t="shared" si="1"/>
        <v>160916.66666666669</v>
      </c>
      <c r="AX69" s="66">
        <f t="shared" si="1"/>
        <v>160916.66666666669</v>
      </c>
      <c r="AY69" s="66">
        <f t="shared" si="1"/>
        <v>160916.66666666669</v>
      </c>
      <c r="AZ69" s="66">
        <f t="shared" si="1"/>
        <v>160916.66666666669</v>
      </c>
      <c r="BA69" s="66">
        <f t="shared" si="1"/>
        <v>160916.66666666669</v>
      </c>
      <c r="BB69" s="66">
        <f t="shared" si="1"/>
        <v>160916.66666666669</v>
      </c>
      <c r="BC69" s="66">
        <f t="shared" si="1"/>
        <v>160916.66666666669</v>
      </c>
      <c r="BD69" s="66">
        <f t="shared" si="1"/>
        <v>160916.66666666669</v>
      </c>
      <c r="BE69" s="66">
        <f t="shared" si="1"/>
        <v>160916.66666666669</v>
      </c>
      <c r="BF69" s="66">
        <f t="shared" si="1"/>
        <v>160916.66666666669</v>
      </c>
      <c r="BG69" s="66">
        <f t="shared" si="1"/>
        <v>160916.66666666669</v>
      </c>
      <c r="BH69" s="66">
        <f t="shared" si="1"/>
        <v>160916.66666666669</v>
      </c>
      <c r="BI69" s="66">
        <f t="shared" si="1"/>
        <v>160916.66666666669</v>
      </c>
      <c r="BJ69" s="66">
        <f t="shared" si="1"/>
        <v>160916.66666666669</v>
      </c>
      <c r="BK69" s="66">
        <f t="shared" si="1"/>
        <v>160916.66666666669</v>
      </c>
      <c r="BL69" s="66">
        <f t="shared" si="1"/>
        <v>160916.66666666669</v>
      </c>
      <c r="BM69" s="66">
        <f t="shared" si="1"/>
        <v>160916.66666666669</v>
      </c>
      <c r="BN69" s="66">
        <f>SUM(E69:BM69)</f>
        <v>9142750.0000000037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1418750</v>
      </c>
      <c r="AC70" s="38">
        <f>SUM(R69:AC69)</f>
        <v>1931000.0000000007</v>
      </c>
      <c r="AO70" s="38">
        <f>SUM(AD69:AO69)</f>
        <v>1931000.0000000007</v>
      </c>
      <c r="BA70" s="38">
        <f>SUM(AP69:BA69)</f>
        <v>1931000.0000000007</v>
      </c>
      <c r="BM70" s="38">
        <f>SUM(BB69:BM69)</f>
        <v>1931000.0000000007</v>
      </c>
      <c r="BN70" s="38">
        <f>SUM(E70:BM70)</f>
        <v>9142750.0000000037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1011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178</v>
      </c>
      <c r="C7" s="84"/>
      <c r="D7" s="70"/>
      <c r="E7" s="70"/>
      <c r="F7" s="70"/>
      <c r="G7" s="70"/>
      <c r="H7" s="70"/>
    </row>
    <row r="8" spans="2:9" x14ac:dyDescent="0.15">
      <c r="B8" s="47" t="s">
        <v>176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288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1400000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177</v>
      </c>
      <c r="C12" s="64">
        <f>'OPEX-M_CWS'!E13</f>
        <v>0</v>
      </c>
      <c r="D12" s="64">
        <f>SUM('OPEX-M_CWS'!F13:Q13)</f>
        <v>1400000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285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181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174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48500000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295</v>
      </c>
      <c r="C21" s="64"/>
      <c r="D21" s="70"/>
      <c r="E21" s="70"/>
      <c r="F21" s="70"/>
      <c r="G21" s="70"/>
      <c r="H21" s="70"/>
    </row>
    <row r="22" spans="2:9" x14ac:dyDescent="0.15">
      <c r="B22" s="47" t="s">
        <v>289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290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294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296</v>
      </c>
      <c r="C27" s="63"/>
      <c r="D27" s="70"/>
      <c r="E27" s="70"/>
      <c r="F27" s="70"/>
      <c r="G27" s="70"/>
      <c r="H27" s="70"/>
    </row>
    <row r="28" spans="2:9" x14ac:dyDescent="0.15">
      <c r="B28" s="47" t="s">
        <v>179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180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175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297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173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1418750</v>
      </c>
      <c r="E37" s="64">
        <f>SUM('OPEX-M_CWS'!R39:AC39)</f>
        <v>1931000.0000000007</v>
      </c>
      <c r="F37" s="64">
        <f>SUM('OPEX-M_CWS'!AD39:AO39)</f>
        <v>1931000.0000000007</v>
      </c>
      <c r="G37" s="64">
        <f>SUM('OPEX-M_CWS'!AP39:BA39)</f>
        <v>1931000.0000000007</v>
      </c>
      <c r="H37" s="64">
        <f>SUM('OPEX-M_CWS'!BB39:BM39)</f>
        <v>1931000.0000000007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287</v>
      </c>
      <c r="C39" s="64">
        <f>'OPEX-M_CWS'!E41</f>
        <v>0</v>
      </c>
      <c r="D39" s="64">
        <f>SUM('OPEX-M_CWS'!F41:Q41)</f>
        <v>51318750.000000007</v>
      </c>
      <c r="E39" s="64">
        <f>SUM('OPEX-M_CWS'!R41:AC41)</f>
        <v>70690999.999999985</v>
      </c>
      <c r="F39" s="64">
        <f>SUM('OPEX-M_CWS'!AD41:AO41)</f>
        <v>77291000.00000003</v>
      </c>
      <c r="G39" s="64">
        <f>SUM('OPEX-M_CWS'!AP41:BA41)</f>
        <v>84551000.000000045</v>
      </c>
      <c r="H39" s="64">
        <f>SUM('OPEX-M_CWS'!BB41:BM41)</f>
        <v>92537000.000000045</v>
      </c>
      <c r="I39" s="35">
        <f>SUM(C39:H39)</f>
        <v>376388750.00000012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406" t="s">
        <v>308</v>
      </c>
      <c r="B2" s="406"/>
    </row>
    <row r="3" spans="1:63" x14ac:dyDescent="0.15">
      <c r="A3" s="10"/>
      <c r="B3" s="10"/>
    </row>
    <row r="4" spans="1:63" x14ac:dyDescent="0.15">
      <c r="A4" s="14" t="s">
        <v>298</v>
      </c>
      <c r="B4" s="14"/>
    </row>
    <row r="5" spans="1:63" x14ac:dyDescent="0.15">
      <c r="C5" s="406" t="s">
        <v>35</v>
      </c>
      <c r="D5" s="406"/>
      <c r="E5" s="406"/>
      <c r="F5" s="406"/>
      <c r="G5" s="406"/>
      <c r="H5" s="406"/>
      <c r="I5" s="406"/>
      <c r="J5" s="406"/>
      <c r="K5" s="406"/>
      <c r="L5" s="406"/>
      <c r="M5" s="406"/>
      <c r="N5" s="406"/>
      <c r="O5" s="406" t="s">
        <v>36</v>
      </c>
      <c r="P5" s="406"/>
      <c r="Q5" s="406"/>
      <c r="R5" s="406"/>
      <c r="S5" s="406"/>
      <c r="T5" s="406"/>
      <c r="U5" s="406"/>
      <c r="V5" s="406"/>
      <c r="W5" s="406"/>
      <c r="X5" s="406"/>
      <c r="Y5" s="406"/>
      <c r="Z5" s="406"/>
      <c r="AA5" s="406" t="s">
        <v>37</v>
      </c>
      <c r="AB5" s="406"/>
      <c r="AC5" s="406"/>
      <c r="AD5" s="406"/>
      <c r="AE5" s="406"/>
      <c r="AF5" s="406"/>
      <c r="AG5" s="406"/>
      <c r="AH5" s="406"/>
      <c r="AI5" s="406"/>
      <c r="AJ5" s="406"/>
      <c r="AK5" s="406"/>
      <c r="AL5" s="406"/>
      <c r="AM5" s="406" t="s">
        <v>38</v>
      </c>
      <c r="AN5" s="406"/>
      <c r="AO5" s="406"/>
      <c r="AP5" s="406"/>
      <c r="AQ5" s="406"/>
      <c r="AR5" s="406"/>
      <c r="AS5" s="406"/>
      <c r="AT5" s="406"/>
      <c r="AU5" s="406"/>
      <c r="AV5" s="406"/>
      <c r="AW5" s="406"/>
      <c r="AX5" s="406"/>
      <c r="AY5" s="406" t="s">
        <v>39</v>
      </c>
      <c r="AZ5" s="406"/>
      <c r="BA5" s="406"/>
      <c r="BB5" s="406"/>
      <c r="BC5" s="406"/>
      <c r="BD5" s="406"/>
      <c r="BE5" s="406"/>
      <c r="BF5" s="406"/>
      <c r="BG5" s="406"/>
      <c r="BH5" s="406"/>
      <c r="BI5" s="406"/>
      <c r="BJ5" s="406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0</v>
      </c>
      <c r="G9" s="9">
        <f>'OPEX-M_CWS'!J13</f>
        <v>0</v>
      </c>
      <c r="H9" s="9">
        <f>'OPEX-M_CWS'!K13</f>
        <v>200000</v>
      </c>
      <c r="I9" s="9">
        <f>'OPEX-M_CWS'!L13</f>
        <v>200000</v>
      </c>
      <c r="J9" s="9">
        <f>'OPEX-M_CWS'!M13</f>
        <v>200000</v>
      </c>
      <c r="K9" s="9">
        <f>'OPEX-M_CWS'!N13</f>
        <v>200000</v>
      </c>
      <c r="L9" s="9">
        <f>'OPEX-M_CWS'!O13</f>
        <v>200000</v>
      </c>
      <c r="M9" s="9">
        <f>'OPEX-M_CWS'!P13</f>
        <v>200000</v>
      </c>
      <c r="N9" s="9">
        <f>'OPEX-M_CWS'!Q13</f>
        <v>200000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9500000</v>
      </c>
      <c r="G10" s="9">
        <f>'OPEX-M_CWS'!J21</f>
        <v>4500000</v>
      </c>
      <c r="H10" s="9">
        <f>'OPEX-M_CWS'!K21</f>
        <v>4500000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143416.66666666666</v>
      </c>
      <c r="G15" s="9">
        <f>'OPEX-M_CWS'!J39</f>
        <v>158250</v>
      </c>
      <c r="H15" s="9">
        <f>'OPEX-M_CWS'!K39</f>
        <v>159583.33333333334</v>
      </c>
      <c r="I15" s="9">
        <f>'OPEX-M_CWS'!L39</f>
        <v>159583.33333333334</v>
      </c>
      <c r="J15" s="9">
        <f>'OPEX-M_CWS'!M39</f>
        <v>159583.33333333334</v>
      </c>
      <c r="K15" s="9">
        <f>'OPEX-M_CWS'!N39</f>
        <v>159583.33333333334</v>
      </c>
      <c r="L15" s="9">
        <f>'OPEX-M_CWS'!O39</f>
        <v>159583.33333333334</v>
      </c>
      <c r="M15" s="9">
        <f>'OPEX-M_CWS'!P39</f>
        <v>159583.33333333334</v>
      </c>
      <c r="N15" s="9">
        <f>'OPEX-M_CWS'!Q39</f>
        <v>159583.33333333334</v>
      </c>
      <c r="O15" s="9">
        <f>'OPEX-M_CWS'!R39</f>
        <v>160916.66666666669</v>
      </c>
      <c r="P15" s="9">
        <f>'OPEX-M_CWS'!S39</f>
        <v>160916.66666666669</v>
      </c>
      <c r="Q15" s="9">
        <f>'OPEX-M_CWS'!T39</f>
        <v>160916.66666666669</v>
      </c>
      <c r="R15" s="9">
        <f>'OPEX-M_CWS'!U39</f>
        <v>160916.66666666669</v>
      </c>
      <c r="S15" s="9">
        <f>'OPEX-M_CWS'!V39</f>
        <v>160916.66666666669</v>
      </c>
      <c r="T15" s="9">
        <f>'OPEX-M_CWS'!W39</f>
        <v>160916.66666666669</v>
      </c>
      <c r="U15" s="9">
        <f>'OPEX-M_CWS'!X39</f>
        <v>160916.66666666669</v>
      </c>
      <c r="V15" s="9">
        <f>'OPEX-M_CWS'!Y39</f>
        <v>160916.66666666669</v>
      </c>
      <c r="W15" s="9">
        <f>'OPEX-M_CWS'!Z39</f>
        <v>160916.66666666669</v>
      </c>
      <c r="X15" s="9">
        <f>'OPEX-M_CWS'!AA39</f>
        <v>160916.66666666669</v>
      </c>
      <c r="Y15" s="9">
        <f>'OPEX-M_CWS'!AB39</f>
        <v>160916.66666666669</v>
      </c>
      <c r="Z15" s="9">
        <f>'OPEX-M_CWS'!AC39</f>
        <v>160916.66666666669</v>
      </c>
      <c r="AA15" s="9">
        <f>'OPEX-M_CWS'!AD39</f>
        <v>160916.66666666669</v>
      </c>
      <c r="AB15" s="9">
        <f>'OPEX-M_CWS'!AE39</f>
        <v>160916.66666666669</v>
      </c>
      <c r="AC15" s="9">
        <f>'OPEX-M_CWS'!AF39</f>
        <v>160916.66666666669</v>
      </c>
      <c r="AD15" s="9">
        <f>'OPEX-M_CWS'!AG39</f>
        <v>160916.66666666669</v>
      </c>
      <c r="AE15" s="9">
        <f>'OPEX-M_CWS'!AH39</f>
        <v>160916.66666666669</v>
      </c>
      <c r="AF15" s="9">
        <f>'OPEX-M_CWS'!AI39</f>
        <v>160916.66666666669</v>
      </c>
      <c r="AG15" s="9">
        <f>'OPEX-M_CWS'!AJ39</f>
        <v>160916.66666666669</v>
      </c>
      <c r="AH15" s="9">
        <f>'OPEX-M_CWS'!AK39</f>
        <v>160916.66666666669</v>
      </c>
      <c r="AI15" s="9">
        <f>'OPEX-M_CWS'!AL39</f>
        <v>160916.66666666669</v>
      </c>
      <c r="AJ15" s="9">
        <f>'OPEX-M_CWS'!AM39</f>
        <v>160916.66666666669</v>
      </c>
      <c r="AK15" s="9">
        <f>'OPEX-M_CWS'!AN39</f>
        <v>160916.66666666669</v>
      </c>
      <c r="AL15" s="9">
        <f>'OPEX-M_CWS'!AO39</f>
        <v>160916.66666666669</v>
      </c>
      <c r="AM15" s="9">
        <f>'OPEX-M_CWS'!AP39</f>
        <v>160916.66666666669</v>
      </c>
      <c r="AN15" s="9">
        <f>'OPEX-M_CWS'!AQ39</f>
        <v>160916.66666666669</v>
      </c>
      <c r="AO15" s="9">
        <f>'OPEX-M_CWS'!AR39</f>
        <v>160916.66666666669</v>
      </c>
      <c r="AP15" s="9">
        <f>'OPEX-M_CWS'!AS39</f>
        <v>160916.66666666669</v>
      </c>
      <c r="AQ15" s="9">
        <f>'OPEX-M_CWS'!AT39</f>
        <v>160916.66666666669</v>
      </c>
      <c r="AR15" s="9">
        <f>'OPEX-M_CWS'!AU39</f>
        <v>160916.66666666669</v>
      </c>
      <c r="AS15" s="9">
        <f>'OPEX-M_CWS'!AV39</f>
        <v>160916.66666666669</v>
      </c>
      <c r="AT15" s="9">
        <f>'OPEX-M_CWS'!AW39</f>
        <v>160916.66666666669</v>
      </c>
      <c r="AU15" s="9">
        <f>'OPEX-M_CWS'!AX39</f>
        <v>160916.66666666669</v>
      </c>
      <c r="AV15" s="9">
        <f>'OPEX-M_CWS'!AY39</f>
        <v>160916.66666666669</v>
      </c>
      <c r="AW15" s="9">
        <f>'OPEX-M_CWS'!AZ39</f>
        <v>160916.66666666669</v>
      </c>
      <c r="AX15" s="9">
        <f>'OPEX-M_CWS'!BA39</f>
        <v>160916.66666666669</v>
      </c>
      <c r="AY15" s="9">
        <f>'OPEX-M_CWS'!BB39</f>
        <v>160916.66666666669</v>
      </c>
      <c r="AZ15" s="9">
        <f>'OPEX-M_CWS'!BC39</f>
        <v>160916.66666666669</v>
      </c>
      <c r="BA15" s="9">
        <f>'OPEX-M_CWS'!BD39</f>
        <v>160916.66666666669</v>
      </c>
      <c r="BB15" s="9">
        <f>'OPEX-M_CWS'!BE39</f>
        <v>160916.66666666669</v>
      </c>
      <c r="BC15" s="9">
        <f>'OPEX-M_CWS'!BF39</f>
        <v>160916.66666666669</v>
      </c>
      <c r="BD15" s="9">
        <f>'OPEX-M_CWS'!BG39</f>
        <v>160916.66666666669</v>
      </c>
      <c r="BE15" s="9">
        <f>'OPEX-M_CWS'!BH39</f>
        <v>160916.66666666669</v>
      </c>
      <c r="BF15" s="9">
        <f>'OPEX-M_CWS'!BI39</f>
        <v>160916.66666666669</v>
      </c>
      <c r="BG15" s="9">
        <f>'OPEX-M_CWS'!BJ39</f>
        <v>160916.66666666669</v>
      </c>
      <c r="BH15" s="9">
        <f>'OPEX-M_CWS'!BK39</f>
        <v>160916.66666666669</v>
      </c>
      <c r="BI15" s="9">
        <f>'OPEX-M_CWS'!BL39</f>
        <v>160916.66666666669</v>
      </c>
      <c r="BJ15" s="9">
        <f>'OPEX-M_CWS'!BM39</f>
        <v>160916.66666666669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9643416.666666666</v>
      </c>
      <c r="G16" s="9">
        <f t="shared" si="0"/>
        <v>4658250</v>
      </c>
      <c r="H16" s="9">
        <f t="shared" si="0"/>
        <v>4859583.333333333</v>
      </c>
      <c r="I16" s="9">
        <f t="shared" si="0"/>
        <v>5359583.333333333</v>
      </c>
      <c r="J16" s="9">
        <f t="shared" si="0"/>
        <v>5359583.333333333</v>
      </c>
      <c r="K16" s="9">
        <f t="shared" si="0"/>
        <v>5359583.333333333</v>
      </c>
      <c r="L16" s="9">
        <f t="shared" si="0"/>
        <v>5359583.333333333</v>
      </c>
      <c r="M16" s="9">
        <f t="shared" si="0"/>
        <v>5359583.333333333</v>
      </c>
      <c r="N16" s="9">
        <f t="shared" si="0"/>
        <v>5359583.333333333</v>
      </c>
      <c r="O16" s="9">
        <f t="shared" si="0"/>
        <v>5890916.666666667</v>
      </c>
      <c r="P16" s="9">
        <f t="shared" si="0"/>
        <v>5890916.666666667</v>
      </c>
      <c r="Q16" s="9">
        <f t="shared" si="0"/>
        <v>5890916.666666667</v>
      </c>
      <c r="R16" s="9">
        <f t="shared" si="0"/>
        <v>5890916.666666667</v>
      </c>
      <c r="S16" s="9">
        <f t="shared" si="0"/>
        <v>5890916.666666667</v>
      </c>
      <c r="T16" s="9">
        <f t="shared" si="0"/>
        <v>5890916.666666667</v>
      </c>
      <c r="U16" s="9">
        <f t="shared" si="0"/>
        <v>5890916.666666667</v>
      </c>
      <c r="V16" s="9">
        <f t="shared" si="0"/>
        <v>5890916.666666667</v>
      </c>
      <c r="W16" s="9">
        <f t="shared" si="0"/>
        <v>5890916.666666667</v>
      </c>
      <c r="X16" s="9">
        <f t="shared" si="0"/>
        <v>5890916.666666667</v>
      </c>
      <c r="Y16" s="9">
        <f t="shared" si="0"/>
        <v>5890916.666666667</v>
      </c>
      <c r="Z16" s="9">
        <f t="shared" si="0"/>
        <v>5890916.666666667</v>
      </c>
      <c r="AA16" s="9">
        <f t="shared" si="0"/>
        <v>6440916.6666666679</v>
      </c>
      <c r="AB16" s="9">
        <f t="shared" si="0"/>
        <v>6440916.6666666679</v>
      </c>
      <c r="AC16" s="9">
        <f t="shared" si="0"/>
        <v>6440916.6666666679</v>
      </c>
      <c r="AD16" s="9">
        <f t="shared" si="0"/>
        <v>6440916.6666666679</v>
      </c>
      <c r="AE16" s="9">
        <f t="shared" si="0"/>
        <v>6440916.6666666679</v>
      </c>
      <c r="AF16" s="9">
        <f t="shared" si="0"/>
        <v>6440916.6666666679</v>
      </c>
      <c r="AG16" s="9">
        <f t="shared" si="0"/>
        <v>6440916.6666666679</v>
      </c>
      <c r="AH16" s="9">
        <f t="shared" si="0"/>
        <v>6440916.6666666679</v>
      </c>
      <c r="AI16" s="9">
        <f t="shared" si="0"/>
        <v>6440916.6666666679</v>
      </c>
      <c r="AJ16" s="9">
        <f t="shared" si="0"/>
        <v>6440916.6666666679</v>
      </c>
      <c r="AK16" s="9">
        <f t="shared" si="0"/>
        <v>6440916.6666666679</v>
      </c>
      <c r="AL16" s="9">
        <f t="shared" si="0"/>
        <v>6440916.6666666679</v>
      </c>
      <c r="AM16" s="9">
        <f t="shared" si="0"/>
        <v>7045916.6666666688</v>
      </c>
      <c r="AN16" s="9">
        <f t="shared" si="0"/>
        <v>7045916.6666666688</v>
      </c>
      <c r="AO16" s="9">
        <f t="shared" si="0"/>
        <v>7045916.6666666688</v>
      </c>
      <c r="AP16" s="9">
        <f t="shared" si="0"/>
        <v>7045916.6666666688</v>
      </c>
      <c r="AQ16" s="9">
        <f t="shared" si="0"/>
        <v>7045916.6666666688</v>
      </c>
      <c r="AR16" s="9">
        <f t="shared" si="0"/>
        <v>7045916.6666666688</v>
      </c>
      <c r="AS16" s="9">
        <f t="shared" si="0"/>
        <v>7045916.6666666688</v>
      </c>
      <c r="AT16" s="9">
        <f t="shared" si="0"/>
        <v>7045916.6666666688</v>
      </c>
      <c r="AU16" s="9">
        <f t="shared" si="0"/>
        <v>7045916.6666666688</v>
      </c>
      <c r="AV16" s="9">
        <f t="shared" si="0"/>
        <v>7045916.6666666688</v>
      </c>
      <c r="AW16" s="9">
        <f t="shared" si="0"/>
        <v>7045916.6666666688</v>
      </c>
      <c r="AX16" s="9">
        <f t="shared" si="0"/>
        <v>7045916.6666666688</v>
      </c>
      <c r="AY16" s="9">
        <f t="shared" si="0"/>
        <v>7711416.6666666698</v>
      </c>
      <c r="AZ16" s="9">
        <f t="shared" si="0"/>
        <v>7711416.6666666698</v>
      </c>
      <c r="BA16" s="9">
        <f t="shared" si="0"/>
        <v>7711416.6666666698</v>
      </c>
      <c r="BB16" s="9">
        <f t="shared" si="0"/>
        <v>7711416.6666666698</v>
      </c>
      <c r="BC16" s="9">
        <f t="shared" si="0"/>
        <v>7711416.6666666698</v>
      </c>
      <c r="BD16" s="9">
        <f t="shared" si="0"/>
        <v>7711416.6666666698</v>
      </c>
      <c r="BE16" s="9">
        <f t="shared" si="0"/>
        <v>7711416.6666666698</v>
      </c>
      <c r="BF16" s="9">
        <f t="shared" si="0"/>
        <v>7711416.6666666698</v>
      </c>
      <c r="BG16" s="9">
        <f t="shared" si="0"/>
        <v>7711416.6666666698</v>
      </c>
      <c r="BH16" s="9">
        <f t="shared" si="0"/>
        <v>7711416.6666666698</v>
      </c>
      <c r="BI16" s="9">
        <f t="shared" si="0"/>
        <v>7711416.6666666698</v>
      </c>
      <c r="BJ16" s="9">
        <f t="shared" si="0"/>
        <v>7711416.6666666698</v>
      </c>
    </row>
    <row r="17" spans="1:62" s="37" customFormat="1" hidden="1" x14ac:dyDescent="0.15">
      <c r="B17" s="37" t="s">
        <v>299</v>
      </c>
      <c r="N17" s="38">
        <f>SUM(C8:N15)</f>
        <v>51318750.000000015</v>
      </c>
      <c r="Z17" s="38">
        <f>SUM(O8:Z15)</f>
        <v>70691000.00000006</v>
      </c>
      <c r="AL17" s="38">
        <f>SUM(AA8:AL15)</f>
        <v>77291000.00000006</v>
      </c>
      <c r="AX17" s="38">
        <f>SUM(AM8:AX15)</f>
        <v>84551000.000000075</v>
      </c>
      <c r="BJ17" s="38">
        <f>SUM(AY8:BJ15)</f>
        <v>92537000.000000075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406" t="s">
        <v>35</v>
      </c>
      <c r="D21" s="406"/>
      <c r="E21" s="406"/>
      <c r="F21" s="406"/>
      <c r="G21" s="406"/>
      <c r="H21" s="406"/>
      <c r="I21" s="406"/>
      <c r="J21" s="406"/>
      <c r="K21" s="406"/>
      <c r="L21" s="406"/>
      <c r="M21" s="406"/>
      <c r="N21" s="406"/>
      <c r="O21" s="406" t="s">
        <v>36</v>
      </c>
      <c r="P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06" t="s">
        <v>37</v>
      </c>
      <c r="AB21" s="406"/>
      <c r="AC21" s="406"/>
      <c r="AD21" s="406"/>
      <c r="AE21" s="406"/>
      <c r="AF21" s="406"/>
      <c r="AG21" s="406"/>
      <c r="AH21" s="406"/>
      <c r="AI21" s="406"/>
      <c r="AJ21" s="406"/>
      <c r="AK21" s="406"/>
      <c r="AL21" s="406"/>
      <c r="AM21" s="406" t="s">
        <v>38</v>
      </c>
      <c r="AN21" s="406"/>
      <c r="AO21" s="406"/>
      <c r="AP21" s="406"/>
      <c r="AQ21" s="406"/>
      <c r="AR21" s="406"/>
      <c r="AS21" s="406"/>
      <c r="AT21" s="406"/>
      <c r="AU21" s="406"/>
      <c r="AV21" s="406"/>
      <c r="AW21" s="406"/>
      <c r="AX21" s="406"/>
      <c r="AY21" s="406" t="s">
        <v>39</v>
      </c>
      <c r="AZ21" s="406"/>
      <c r="BA21" s="406"/>
      <c r="BB21" s="406"/>
      <c r="BC21" s="406"/>
      <c r="BD21" s="406"/>
      <c r="BE21" s="406"/>
      <c r="BF21" s="406"/>
      <c r="BG21" s="406"/>
      <c r="BH21" s="406"/>
      <c r="BI21" s="406"/>
      <c r="BJ21" s="406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306</v>
      </c>
      <c r="C24" s="9">
        <f>'CAPEX _CWS '!F51</f>
        <v>0</v>
      </c>
      <c r="D24" s="9">
        <f>'CAPEX _CWS '!G51</f>
        <v>0</v>
      </c>
      <c r="E24" s="9">
        <f>'CAPEX _CWS '!H51</f>
        <v>0</v>
      </c>
      <c r="F24" s="9">
        <f>'CAPEX _CWS '!I51</f>
        <v>8605000</v>
      </c>
      <c r="G24" s="9">
        <f>'CAPEX _CWS '!J51</f>
        <v>890000</v>
      </c>
      <c r="H24" s="9">
        <f>'CAPEX _CWS '!K51</f>
        <v>80000</v>
      </c>
      <c r="I24" s="9">
        <f>'CAPEX _CWS '!L51</f>
        <v>0</v>
      </c>
      <c r="J24" s="9">
        <f>'CAPEX _CWS '!M51</f>
        <v>0</v>
      </c>
      <c r="K24" s="9">
        <f>'CAPEX _CWS '!N51</f>
        <v>0</v>
      </c>
      <c r="L24" s="9">
        <f>'CAPEX _CWS '!O51</f>
        <v>0</v>
      </c>
      <c r="M24" s="9">
        <f>'CAPEX _CWS '!P51</f>
        <v>0</v>
      </c>
      <c r="N24" s="9">
        <f>'CAPEX _CWS '!Q51</f>
        <v>0</v>
      </c>
      <c r="O24" s="9">
        <f>'CAPEX _CWS '!R51</f>
        <v>80000</v>
      </c>
      <c r="P24" s="9">
        <f>'CAPEX _CWS '!S51</f>
        <v>0</v>
      </c>
      <c r="Q24" s="9">
        <f>'CAPEX _CWS '!T51</f>
        <v>0</v>
      </c>
      <c r="R24" s="9">
        <f>'CAPEX _CWS '!U51</f>
        <v>0</v>
      </c>
      <c r="S24" s="9">
        <f>'CAPEX _CWS '!V51</f>
        <v>0</v>
      </c>
      <c r="T24" s="9">
        <f>'CAPEX _CWS '!W51</f>
        <v>0</v>
      </c>
      <c r="U24" s="9">
        <f>'CAPEX _CWS '!X51</f>
        <v>0</v>
      </c>
      <c r="V24" s="9">
        <f>'CAPEX _CWS '!Y51</f>
        <v>0</v>
      </c>
      <c r="W24" s="9">
        <f>'CAPEX _CWS '!Z51</f>
        <v>0</v>
      </c>
      <c r="X24" s="9">
        <f>'CAPEX _CWS '!AA51</f>
        <v>0</v>
      </c>
      <c r="Y24" s="9">
        <f>'CAPEX _CWS '!AB51</f>
        <v>0</v>
      </c>
      <c r="Z24" s="9">
        <f>'CAPEX _CWS '!AC51</f>
        <v>0</v>
      </c>
      <c r="AA24" s="9">
        <f>'CAPEX _CWS '!AD51</f>
        <v>0</v>
      </c>
      <c r="AB24" s="9">
        <f>'CAPEX _CWS '!AE51</f>
        <v>0</v>
      </c>
      <c r="AC24" s="9">
        <f>'CAPEX _CWS '!AF51</f>
        <v>0</v>
      </c>
      <c r="AD24" s="9">
        <f>'CAPEX _CWS '!AG51</f>
        <v>0</v>
      </c>
      <c r="AE24" s="9">
        <f>'CAPEX _CWS '!AH51</f>
        <v>0</v>
      </c>
      <c r="AF24" s="9">
        <f>'CAPEX _CWS '!AI51</f>
        <v>0</v>
      </c>
      <c r="AG24" s="9">
        <f>'CAPEX _CWS '!AJ51</f>
        <v>0</v>
      </c>
      <c r="AH24" s="9">
        <f>'CAPEX _CWS '!AK51</f>
        <v>0</v>
      </c>
      <c r="AI24" s="9">
        <f>'CAPEX _CWS '!AL51</f>
        <v>0</v>
      </c>
      <c r="AJ24" s="9">
        <f>'CAPEX _CWS '!AM51</f>
        <v>0</v>
      </c>
      <c r="AK24" s="9">
        <f>'CAPEX _CWS '!AN51</f>
        <v>0</v>
      </c>
      <c r="AL24" s="9">
        <f>'CAPEX _CWS '!AO51</f>
        <v>0</v>
      </c>
      <c r="AM24" s="9">
        <f>'CAPEX _CWS '!AP51</f>
        <v>0</v>
      </c>
      <c r="AN24" s="9">
        <f>'CAPEX _CWS '!AQ51</f>
        <v>0</v>
      </c>
      <c r="AO24" s="9">
        <f>'CAPEX _CWS '!AR51</f>
        <v>0</v>
      </c>
      <c r="AP24" s="9">
        <f>'CAPEX _CWS '!AS51</f>
        <v>0</v>
      </c>
      <c r="AQ24" s="9">
        <f>'CAPEX _CWS '!AT51</f>
        <v>0</v>
      </c>
      <c r="AR24" s="9">
        <f>'CAPEX _CWS '!AU51</f>
        <v>0</v>
      </c>
      <c r="AS24" s="9">
        <f>'CAPEX _CWS '!AV51</f>
        <v>0</v>
      </c>
      <c r="AT24" s="9">
        <f>'CAPEX _CWS '!AW51</f>
        <v>0</v>
      </c>
      <c r="AU24" s="9">
        <f>'CAPEX _CWS '!AX51</f>
        <v>0</v>
      </c>
      <c r="AV24" s="9">
        <f>'CAPEX _CWS '!AY51</f>
        <v>0</v>
      </c>
      <c r="AW24" s="9">
        <f>'CAPEX _CWS '!AZ51</f>
        <v>0</v>
      </c>
      <c r="AX24" s="9">
        <f>'CAPEX _CWS '!BA51</f>
        <v>0</v>
      </c>
      <c r="AY24" s="9">
        <f>'CAPEX _CWS '!BB51</f>
        <v>0</v>
      </c>
      <c r="AZ24" s="9">
        <f>'CAPEX _CWS '!BC51</f>
        <v>0</v>
      </c>
      <c r="BA24" s="9">
        <f>'CAPEX _CWS '!BD51</f>
        <v>0</v>
      </c>
      <c r="BB24" s="9">
        <f>'CAPEX _CWS '!BE51</f>
        <v>0</v>
      </c>
      <c r="BC24" s="9">
        <f>'CAPEX _CWS '!BF51</f>
        <v>0</v>
      </c>
      <c r="BD24" s="9">
        <f>'CAPEX _CWS '!BG51</f>
        <v>0</v>
      </c>
      <c r="BE24" s="9">
        <f>'CAPEX _CWS '!BH51</f>
        <v>0</v>
      </c>
      <c r="BF24" s="9">
        <f>'CAPEX _CWS '!BI51</f>
        <v>0</v>
      </c>
      <c r="BG24" s="9">
        <f>'CAPEX _CWS '!BJ51</f>
        <v>0</v>
      </c>
      <c r="BH24" s="9">
        <f>'CAPEX _CWS '!BK51</f>
        <v>0</v>
      </c>
      <c r="BI24" s="9">
        <f>'CAPEX _CWS '!BL51</f>
        <v>0</v>
      </c>
      <c r="BJ24" s="9">
        <f>'CAPEX _CWS '!BM51</f>
        <v>0</v>
      </c>
    </row>
    <row r="25" spans="1:62" x14ac:dyDescent="0.15">
      <c r="B25" s="33" t="s">
        <v>1073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8605000</v>
      </c>
      <c r="G25" s="9">
        <f t="shared" si="1"/>
        <v>9495000</v>
      </c>
      <c r="H25" s="9">
        <f t="shared" si="1"/>
        <v>9575000</v>
      </c>
      <c r="I25" s="9">
        <f t="shared" si="1"/>
        <v>9575000</v>
      </c>
      <c r="J25" s="9">
        <f t="shared" si="1"/>
        <v>9575000</v>
      </c>
      <c r="K25" s="9">
        <f t="shared" si="1"/>
        <v>9575000</v>
      </c>
      <c r="L25" s="9">
        <f t="shared" si="1"/>
        <v>9575000</v>
      </c>
      <c r="M25" s="9">
        <f t="shared" si="1"/>
        <v>9575000</v>
      </c>
      <c r="N25" s="9">
        <f t="shared" si="1"/>
        <v>9575000</v>
      </c>
      <c r="O25" s="9">
        <f t="shared" si="1"/>
        <v>9655000</v>
      </c>
      <c r="P25" s="9">
        <f t="shared" si="1"/>
        <v>9655000</v>
      </c>
      <c r="Q25" s="9">
        <f t="shared" si="1"/>
        <v>9655000</v>
      </c>
      <c r="R25" s="9">
        <f t="shared" si="1"/>
        <v>9655000</v>
      </c>
      <c r="S25" s="9">
        <f t="shared" si="1"/>
        <v>9655000</v>
      </c>
      <c r="T25" s="9">
        <f t="shared" si="1"/>
        <v>9655000</v>
      </c>
      <c r="U25" s="9">
        <f t="shared" si="1"/>
        <v>9655000</v>
      </c>
      <c r="V25" s="9">
        <f t="shared" si="1"/>
        <v>9655000</v>
      </c>
      <c r="W25" s="9">
        <f t="shared" si="1"/>
        <v>9655000</v>
      </c>
      <c r="X25" s="9">
        <f t="shared" si="1"/>
        <v>9655000</v>
      </c>
      <c r="Y25" s="9">
        <f t="shared" si="1"/>
        <v>9655000</v>
      </c>
      <c r="Z25" s="9">
        <f t="shared" si="1"/>
        <v>9655000</v>
      </c>
      <c r="AA25" s="9">
        <f t="shared" si="1"/>
        <v>9655000</v>
      </c>
      <c r="AB25" s="9">
        <f t="shared" si="1"/>
        <v>9655000</v>
      </c>
      <c r="AC25" s="9">
        <f t="shared" si="1"/>
        <v>9655000</v>
      </c>
      <c r="AD25" s="9">
        <f t="shared" si="1"/>
        <v>9655000</v>
      </c>
      <c r="AE25" s="9">
        <f t="shared" si="1"/>
        <v>9655000</v>
      </c>
      <c r="AF25" s="9">
        <f t="shared" si="1"/>
        <v>9655000</v>
      </c>
      <c r="AG25" s="9">
        <f t="shared" si="1"/>
        <v>9655000</v>
      </c>
      <c r="AH25" s="9">
        <f t="shared" si="1"/>
        <v>9655000</v>
      </c>
      <c r="AI25" s="9">
        <f t="shared" si="1"/>
        <v>9655000</v>
      </c>
      <c r="AJ25" s="9">
        <f t="shared" ref="AJ25:BJ25" si="2">AJ24+AI25</f>
        <v>9655000</v>
      </c>
      <c r="AK25" s="9">
        <f t="shared" si="2"/>
        <v>9655000</v>
      </c>
      <c r="AL25" s="9">
        <f t="shared" si="2"/>
        <v>9655000</v>
      </c>
      <c r="AM25" s="9">
        <f t="shared" si="2"/>
        <v>9655000</v>
      </c>
      <c r="AN25" s="9">
        <f t="shared" si="2"/>
        <v>9655000</v>
      </c>
      <c r="AO25" s="9">
        <f t="shared" si="2"/>
        <v>9655000</v>
      </c>
      <c r="AP25" s="9">
        <f t="shared" si="2"/>
        <v>9655000</v>
      </c>
      <c r="AQ25" s="9">
        <f t="shared" si="2"/>
        <v>9655000</v>
      </c>
      <c r="AR25" s="9">
        <f t="shared" si="2"/>
        <v>9655000</v>
      </c>
      <c r="AS25" s="9">
        <f t="shared" si="2"/>
        <v>9655000</v>
      </c>
      <c r="AT25" s="9">
        <f t="shared" si="2"/>
        <v>9655000</v>
      </c>
      <c r="AU25" s="9">
        <f t="shared" si="2"/>
        <v>9655000</v>
      </c>
      <c r="AV25" s="9">
        <f t="shared" si="2"/>
        <v>9655000</v>
      </c>
      <c r="AW25" s="9">
        <f t="shared" si="2"/>
        <v>9655000</v>
      </c>
      <c r="AX25" s="9">
        <f t="shared" si="2"/>
        <v>9655000</v>
      </c>
      <c r="AY25" s="9">
        <f t="shared" si="2"/>
        <v>9655000</v>
      </c>
      <c r="AZ25" s="9">
        <f t="shared" si="2"/>
        <v>9655000</v>
      </c>
      <c r="BA25" s="9">
        <f t="shared" si="2"/>
        <v>9655000</v>
      </c>
      <c r="BB25" s="9">
        <f t="shared" si="2"/>
        <v>9655000</v>
      </c>
      <c r="BC25" s="9">
        <f t="shared" si="2"/>
        <v>9655000</v>
      </c>
      <c r="BD25" s="9">
        <f t="shared" si="2"/>
        <v>9655000</v>
      </c>
      <c r="BE25" s="9">
        <f t="shared" si="2"/>
        <v>9655000</v>
      </c>
      <c r="BF25" s="9">
        <f t="shared" si="2"/>
        <v>9655000</v>
      </c>
      <c r="BG25" s="9">
        <f t="shared" si="2"/>
        <v>9655000</v>
      </c>
      <c r="BH25" s="9">
        <f t="shared" si="2"/>
        <v>9655000</v>
      </c>
      <c r="BI25" s="9">
        <f t="shared" si="2"/>
        <v>9655000</v>
      </c>
      <c r="BJ25" s="9">
        <f t="shared" si="2"/>
        <v>9655000</v>
      </c>
    </row>
    <row r="26" spans="1:62" x14ac:dyDescent="0.15">
      <c r="B26" s="33" t="s">
        <v>1074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143416.66666666666</v>
      </c>
      <c r="G26" s="66">
        <f t="shared" si="3"/>
        <v>301666.66666666663</v>
      </c>
      <c r="H26" s="66">
        <f t="shared" si="3"/>
        <v>461250</v>
      </c>
      <c r="I26" s="66">
        <f t="shared" si="3"/>
        <v>620833.33333333337</v>
      </c>
      <c r="J26" s="66">
        <f t="shared" si="3"/>
        <v>780416.66666666674</v>
      </c>
      <c r="K26" s="66">
        <f t="shared" si="3"/>
        <v>940000.00000000012</v>
      </c>
      <c r="L26" s="66">
        <f t="shared" si="3"/>
        <v>1099583.3333333335</v>
      </c>
      <c r="M26" s="66">
        <f t="shared" si="3"/>
        <v>1259166.6666666667</v>
      </c>
      <c r="N26" s="66">
        <f t="shared" si="3"/>
        <v>1418750</v>
      </c>
      <c r="O26" s="66">
        <f t="shared" si="3"/>
        <v>1579666.6666666667</v>
      </c>
      <c r="P26" s="66">
        <f t="shared" si="3"/>
        <v>1740583.3333333335</v>
      </c>
      <c r="Q26" s="66">
        <f t="shared" si="3"/>
        <v>1901500.0000000002</v>
      </c>
      <c r="R26" s="66">
        <f t="shared" si="3"/>
        <v>2062416.666666667</v>
      </c>
      <c r="S26" s="66">
        <f t="shared" si="3"/>
        <v>2223333.3333333335</v>
      </c>
      <c r="T26" s="66">
        <f t="shared" si="3"/>
        <v>2384250</v>
      </c>
      <c r="U26" s="66">
        <f t="shared" si="3"/>
        <v>2545166.6666666665</v>
      </c>
      <c r="V26" s="66">
        <f t="shared" si="3"/>
        <v>2706083.333333333</v>
      </c>
      <c r="W26" s="66">
        <f t="shared" si="3"/>
        <v>2866999.9999999995</v>
      </c>
      <c r="X26" s="66">
        <f t="shared" si="3"/>
        <v>3027916.666666666</v>
      </c>
      <c r="Y26" s="66">
        <f t="shared" si="3"/>
        <v>3188833.3333333326</v>
      </c>
      <c r="Z26" s="66">
        <f t="shared" si="3"/>
        <v>3349749.9999999991</v>
      </c>
      <c r="AA26" s="66">
        <f t="shared" si="3"/>
        <v>3510666.6666666656</v>
      </c>
      <c r="AB26" s="66">
        <f t="shared" si="3"/>
        <v>3671583.3333333321</v>
      </c>
      <c r="AC26" s="66">
        <f t="shared" si="3"/>
        <v>3832499.9999999986</v>
      </c>
      <c r="AD26" s="66">
        <f t="shared" si="3"/>
        <v>3993416.6666666651</v>
      </c>
      <c r="AE26" s="66">
        <f t="shared" si="3"/>
        <v>4154333.3333333316</v>
      </c>
      <c r="AF26" s="66">
        <f t="shared" si="3"/>
        <v>4315249.9999999981</v>
      </c>
      <c r="AG26" s="66">
        <f t="shared" si="3"/>
        <v>4476166.6666666651</v>
      </c>
      <c r="AH26" s="66">
        <f t="shared" si="3"/>
        <v>4637083.3333333321</v>
      </c>
      <c r="AI26" s="66">
        <f t="shared" si="3"/>
        <v>4797999.9999999991</v>
      </c>
      <c r="AJ26" s="66">
        <f t="shared" ref="AJ26:BJ26" si="4">AJ27+AI26</f>
        <v>4958916.666666666</v>
      </c>
      <c r="AK26" s="66">
        <f t="shared" si="4"/>
        <v>5119833.333333333</v>
      </c>
      <c r="AL26" s="66">
        <f t="shared" si="4"/>
        <v>5280750</v>
      </c>
      <c r="AM26" s="66">
        <f t="shared" si="4"/>
        <v>5441666.666666667</v>
      </c>
      <c r="AN26" s="66">
        <f t="shared" si="4"/>
        <v>5602583.333333334</v>
      </c>
      <c r="AO26" s="66">
        <f t="shared" si="4"/>
        <v>5763500.0000000009</v>
      </c>
      <c r="AP26" s="66">
        <f t="shared" si="4"/>
        <v>5924416.6666666679</v>
      </c>
      <c r="AQ26" s="66">
        <f t="shared" si="4"/>
        <v>6085333.3333333349</v>
      </c>
      <c r="AR26" s="66">
        <f t="shared" si="4"/>
        <v>6246250.0000000019</v>
      </c>
      <c r="AS26" s="66">
        <f t="shared" si="4"/>
        <v>6407166.6666666688</v>
      </c>
      <c r="AT26" s="66">
        <f t="shared" si="4"/>
        <v>6568083.3333333358</v>
      </c>
      <c r="AU26" s="66">
        <f t="shared" si="4"/>
        <v>6729000.0000000028</v>
      </c>
      <c r="AV26" s="66">
        <f t="shared" si="4"/>
        <v>6889916.6666666698</v>
      </c>
      <c r="AW26" s="66">
        <f t="shared" si="4"/>
        <v>7050833.3333333367</v>
      </c>
      <c r="AX26" s="66">
        <f t="shared" si="4"/>
        <v>7211750.0000000037</v>
      </c>
      <c r="AY26" s="66">
        <f t="shared" si="4"/>
        <v>7372666.6666666707</v>
      </c>
      <c r="AZ26" s="66">
        <f t="shared" si="4"/>
        <v>7533583.3333333377</v>
      </c>
      <c r="BA26" s="66">
        <f t="shared" si="4"/>
        <v>7694500.0000000047</v>
      </c>
      <c r="BB26" s="66">
        <f t="shared" si="4"/>
        <v>7855416.6666666716</v>
      </c>
      <c r="BC26" s="66">
        <f t="shared" si="4"/>
        <v>8016333.3333333386</v>
      </c>
      <c r="BD26" s="66">
        <f t="shared" si="4"/>
        <v>8177250.0000000056</v>
      </c>
      <c r="BE26" s="66">
        <f t="shared" si="4"/>
        <v>8338166.6666666726</v>
      </c>
      <c r="BF26" s="66">
        <f t="shared" si="4"/>
        <v>8499083.3333333395</v>
      </c>
      <c r="BG26" s="66">
        <f t="shared" si="4"/>
        <v>8660000.0000000056</v>
      </c>
      <c r="BH26" s="66">
        <f t="shared" si="4"/>
        <v>8820916.6666666716</v>
      </c>
      <c r="BI26" s="66">
        <f t="shared" si="4"/>
        <v>8981833.3333333377</v>
      </c>
      <c r="BJ26" s="66">
        <f t="shared" si="4"/>
        <v>9142750.0000000037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143416.66666666666</v>
      </c>
      <c r="G27" s="9">
        <f>'CAPEX-DEP_CWS '!J69</f>
        <v>158250</v>
      </c>
      <c r="H27" s="9">
        <f>'CAPEX-DEP_CWS '!K69</f>
        <v>159583.33333333334</v>
      </c>
      <c r="I27" s="9">
        <f>'CAPEX-DEP_CWS '!L69</f>
        <v>159583.33333333334</v>
      </c>
      <c r="J27" s="9">
        <f>'CAPEX-DEP_CWS '!M69</f>
        <v>159583.33333333334</v>
      </c>
      <c r="K27" s="9">
        <f>'CAPEX-DEP_CWS '!N69</f>
        <v>159583.33333333334</v>
      </c>
      <c r="L27" s="9">
        <f>'CAPEX-DEP_CWS '!O69</f>
        <v>159583.33333333334</v>
      </c>
      <c r="M27" s="9">
        <f>'CAPEX-DEP_CWS '!P69</f>
        <v>159583.33333333334</v>
      </c>
      <c r="N27" s="9">
        <f>'CAPEX-DEP_CWS '!Q69</f>
        <v>159583.33333333334</v>
      </c>
      <c r="O27" s="9">
        <f>'CAPEX-DEP_CWS '!R69</f>
        <v>160916.66666666669</v>
      </c>
      <c r="P27" s="9">
        <f>'CAPEX-DEP_CWS '!S69</f>
        <v>160916.66666666669</v>
      </c>
      <c r="Q27" s="9">
        <f>'CAPEX-DEP_CWS '!T69</f>
        <v>160916.66666666669</v>
      </c>
      <c r="R27" s="9">
        <f>'CAPEX-DEP_CWS '!U69</f>
        <v>160916.66666666669</v>
      </c>
      <c r="S27" s="9">
        <f>'CAPEX-DEP_CWS '!V69</f>
        <v>160916.66666666669</v>
      </c>
      <c r="T27" s="9">
        <f>'CAPEX-DEP_CWS '!W69</f>
        <v>160916.66666666669</v>
      </c>
      <c r="U27" s="9">
        <f>'CAPEX-DEP_CWS '!X69</f>
        <v>160916.66666666669</v>
      </c>
      <c r="V27" s="9">
        <f>'CAPEX-DEP_CWS '!Y69</f>
        <v>160916.66666666669</v>
      </c>
      <c r="W27" s="9">
        <f>'CAPEX-DEP_CWS '!Z69</f>
        <v>160916.66666666669</v>
      </c>
      <c r="X27" s="9">
        <f>'CAPEX-DEP_CWS '!AA69</f>
        <v>160916.66666666669</v>
      </c>
      <c r="Y27" s="9">
        <f>'CAPEX-DEP_CWS '!AB69</f>
        <v>160916.66666666669</v>
      </c>
      <c r="Z27" s="9">
        <f>'CAPEX-DEP_CWS '!AC69</f>
        <v>160916.66666666669</v>
      </c>
      <c r="AA27" s="9">
        <f>'CAPEX-DEP_CWS '!AD69</f>
        <v>160916.66666666669</v>
      </c>
      <c r="AB27" s="9">
        <f>'CAPEX-DEP_CWS '!AE69</f>
        <v>160916.66666666669</v>
      </c>
      <c r="AC27" s="9">
        <f>'CAPEX-DEP_CWS '!AF69</f>
        <v>160916.66666666669</v>
      </c>
      <c r="AD27" s="9">
        <f>'CAPEX-DEP_CWS '!AG69</f>
        <v>160916.66666666669</v>
      </c>
      <c r="AE27" s="9">
        <f>'CAPEX-DEP_CWS '!AH69</f>
        <v>160916.66666666669</v>
      </c>
      <c r="AF27" s="9">
        <f>'CAPEX-DEP_CWS '!AI69</f>
        <v>160916.66666666669</v>
      </c>
      <c r="AG27" s="9">
        <f>'CAPEX-DEP_CWS '!AJ69</f>
        <v>160916.66666666669</v>
      </c>
      <c r="AH27" s="9">
        <f>'CAPEX-DEP_CWS '!AK69</f>
        <v>160916.66666666669</v>
      </c>
      <c r="AI27" s="9">
        <f>'CAPEX-DEP_CWS '!AL69</f>
        <v>160916.66666666669</v>
      </c>
      <c r="AJ27" s="9">
        <f>'CAPEX-DEP_CWS '!AM69</f>
        <v>160916.66666666669</v>
      </c>
      <c r="AK27" s="9">
        <f>'CAPEX-DEP_CWS '!AN69</f>
        <v>160916.66666666669</v>
      </c>
      <c r="AL27" s="9">
        <f>'CAPEX-DEP_CWS '!AO69</f>
        <v>160916.66666666669</v>
      </c>
      <c r="AM27" s="9">
        <f>'CAPEX-DEP_CWS '!AP69</f>
        <v>160916.66666666669</v>
      </c>
      <c r="AN27" s="9">
        <f>'CAPEX-DEP_CWS '!AQ69</f>
        <v>160916.66666666669</v>
      </c>
      <c r="AO27" s="9">
        <f>'CAPEX-DEP_CWS '!AR69</f>
        <v>160916.66666666669</v>
      </c>
      <c r="AP27" s="9">
        <f>'CAPEX-DEP_CWS '!AS69</f>
        <v>160916.66666666669</v>
      </c>
      <c r="AQ27" s="9">
        <f>'CAPEX-DEP_CWS '!AT69</f>
        <v>160916.66666666669</v>
      </c>
      <c r="AR27" s="9">
        <f>'CAPEX-DEP_CWS '!AU69</f>
        <v>160916.66666666669</v>
      </c>
      <c r="AS27" s="9">
        <f>'CAPEX-DEP_CWS '!AV69</f>
        <v>160916.66666666669</v>
      </c>
      <c r="AT27" s="9">
        <f>'CAPEX-DEP_CWS '!AW69</f>
        <v>160916.66666666669</v>
      </c>
      <c r="AU27" s="9">
        <f>'CAPEX-DEP_CWS '!AX69</f>
        <v>160916.66666666669</v>
      </c>
      <c r="AV27" s="9">
        <f>'CAPEX-DEP_CWS '!AY69</f>
        <v>160916.66666666669</v>
      </c>
      <c r="AW27" s="9">
        <f>'CAPEX-DEP_CWS '!AZ69</f>
        <v>160916.66666666669</v>
      </c>
      <c r="AX27" s="9">
        <f>'CAPEX-DEP_CWS '!BA69</f>
        <v>160916.66666666669</v>
      </c>
      <c r="AY27" s="9">
        <f>'CAPEX-DEP_CWS '!BB69</f>
        <v>160916.66666666669</v>
      </c>
      <c r="AZ27" s="9">
        <f>'CAPEX-DEP_CWS '!BC69</f>
        <v>160916.66666666669</v>
      </c>
      <c r="BA27" s="9">
        <f>'CAPEX-DEP_CWS '!BD69</f>
        <v>160916.66666666669</v>
      </c>
      <c r="BB27" s="9">
        <f>'CAPEX-DEP_CWS '!BE69</f>
        <v>160916.66666666669</v>
      </c>
      <c r="BC27" s="9">
        <f>'CAPEX-DEP_CWS '!BF69</f>
        <v>160916.66666666669</v>
      </c>
      <c r="BD27" s="9">
        <f>'CAPEX-DEP_CWS '!BG69</f>
        <v>160916.66666666669</v>
      </c>
      <c r="BE27" s="9">
        <f>'CAPEX-DEP_CWS '!BH69</f>
        <v>160916.66666666669</v>
      </c>
      <c r="BF27" s="9">
        <f>'CAPEX-DEP_CWS '!BI69</f>
        <v>160916.66666666669</v>
      </c>
      <c r="BG27" s="9">
        <f>'CAPEX-DEP_CWS '!BJ69</f>
        <v>160916.66666666669</v>
      </c>
      <c r="BH27" s="9">
        <f>'CAPEX-DEP_CWS '!BK69</f>
        <v>160916.66666666669</v>
      </c>
      <c r="BI27" s="9">
        <f>'CAPEX-DEP_CWS '!BL69</f>
        <v>160916.66666666669</v>
      </c>
      <c r="BJ27" s="9">
        <f>'CAPEX-DEP_CWS '!BM69</f>
        <v>160916.66666666669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>
      <selection activeCell="I2" sqref="I1:I1048576"/>
    </sheetView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406" t="s">
        <v>35</v>
      </c>
      <c r="G1" s="406"/>
      <c r="H1" s="406"/>
      <c r="I1" s="406"/>
      <c r="J1" s="406"/>
      <c r="K1" s="406"/>
      <c r="L1" s="406"/>
      <c r="M1" s="406"/>
      <c r="N1" s="406"/>
      <c r="O1" s="406"/>
      <c r="P1" s="406"/>
      <c r="Q1" s="406"/>
      <c r="R1" s="406" t="s">
        <v>36</v>
      </c>
      <c r="S1" s="406"/>
      <c r="T1" s="406"/>
      <c r="U1" s="406"/>
      <c r="V1" s="406"/>
      <c r="W1" s="406"/>
      <c r="X1" s="406"/>
      <c r="Y1" s="406"/>
      <c r="Z1" s="406"/>
      <c r="AA1" s="406"/>
      <c r="AB1" s="406"/>
      <c r="AC1" s="406"/>
      <c r="AD1" s="406" t="s">
        <v>37</v>
      </c>
      <c r="AE1" s="406"/>
      <c r="AF1" s="406"/>
      <c r="AG1" s="406"/>
      <c r="AH1" s="406"/>
      <c r="AI1" s="406"/>
      <c r="AJ1" s="406"/>
      <c r="AK1" s="406"/>
      <c r="AL1" s="406"/>
      <c r="AM1" s="406"/>
      <c r="AN1" s="406"/>
      <c r="AO1" s="406"/>
      <c r="AP1" s="406" t="s">
        <v>38</v>
      </c>
      <c r="AQ1" s="406"/>
      <c r="AR1" s="406"/>
      <c r="AS1" s="406"/>
      <c r="AT1" s="406"/>
      <c r="AU1" s="406"/>
      <c r="AV1" s="406"/>
      <c r="AW1" s="406"/>
      <c r="AX1" s="406"/>
      <c r="AY1" s="406"/>
      <c r="AZ1" s="406"/>
      <c r="BA1" s="406"/>
      <c r="BB1" s="406" t="s">
        <v>39</v>
      </c>
      <c r="BC1" s="406"/>
      <c r="BD1" s="406"/>
      <c r="BE1" s="406"/>
      <c r="BF1" s="406"/>
      <c r="BG1" s="406"/>
      <c r="BH1" s="406"/>
      <c r="BI1" s="406"/>
      <c r="BJ1" s="406"/>
      <c r="BK1" s="406"/>
      <c r="BL1" s="406"/>
      <c r="BM1" s="406"/>
      <c r="BN1" s="35"/>
    </row>
    <row r="2" spans="1:66" x14ac:dyDescent="0.15">
      <c r="B2" s="74" t="s">
        <v>1001</v>
      </c>
      <c r="C2" s="82" t="s">
        <v>291</v>
      </c>
      <c r="D2" s="74" t="s">
        <v>292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1004</v>
      </c>
      <c r="C6" s="27" t="s">
        <v>286</v>
      </c>
      <c r="D6" s="10" t="s">
        <v>286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178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176</v>
      </c>
      <c r="B9" s="34" t="s">
        <v>1003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288</v>
      </c>
      <c r="B10" s="34" t="s">
        <v>1003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1003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1004</v>
      </c>
      <c r="C12" s="280" t="s">
        <v>286</v>
      </c>
      <c r="D12" s="266" t="s">
        <v>286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0</v>
      </c>
      <c r="J12" s="63">
        <f>'OPEX _CWS '!H35</f>
        <v>0</v>
      </c>
      <c r="K12" s="63">
        <f>'OPEX _CWS '!I35</f>
        <v>200000</v>
      </c>
      <c r="L12" s="63">
        <f>'OPEX _CWS '!J35</f>
        <v>200000</v>
      </c>
      <c r="M12" s="63">
        <f>'OPEX _CWS '!K35</f>
        <v>200000</v>
      </c>
      <c r="N12" s="63">
        <f>'OPEX _CWS '!L35</f>
        <v>200000</v>
      </c>
      <c r="O12" s="63">
        <f>'OPEX _CWS '!M35</f>
        <v>200000</v>
      </c>
      <c r="P12" s="63">
        <f>'OPEX _CWS '!N35</f>
        <v>200000</v>
      </c>
      <c r="Q12" s="63">
        <f>'OPEX _CWS '!O35</f>
        <v>200000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177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0</v>
      </c>
      <c r="J13" s="64">
        <f t="shared" si="5"/>
        <v>0</v>
      </c>
      <c r="K13" s="64">
        <f t="shared" si="5"/>
        <v>200000</v>
      </c>
      <c r="L13" s="64">
        <f t="shared" si="5"/>
        <v>200000</v>
      </c>
      <c r="M13" s="64">
        <f t="shared" si="5"/>
        <v>200000</v>
      </c>
      <c r="N13" s="64">
        <f t="shared" si="5"/>
        <v>200000</v>
      </c>
      <c r="O13" s="64">
        <f t="shared" si="5"/>
        <v>200000</v>
      </c>
      <c r="P13" s="64">
        <f t="shared" si="5"/>
        <v>200000</v>
      </c>
      <c r="Q13" s="64">
        <f t="shared" si="5"/>
        <v>200000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1003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285</v>
      </c>
      <c r="B17" s="34" t="s">
        <v>1003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181</v>
      </c>
      <c r="B18" s="34" t="s">
        <v>1003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1224</v>
      </c>
      <c r="B19" s="34" t="s">
        <v>1003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286">
        <v>9500000</v>
      </c>
      <c r="J19" s="286">
        <v>4500000</v>
      </c>
      <c r="K19" s="286">
        <v>4500000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174</v>
      </c>
      <c r="B20" s="34" t="s">
        <v>1003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9500000</v>
      </c>
      <c r="J21" s="85">
        <f t="shared" si="11"/>
        <v>4500000</v>
      </c>
      <c r="K21" s="85">
        <f t="shared" si="11"/>
        <v>4500000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295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289</v>
      </c>
      <c r="B24" s="34" t="s">
        <v>1003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290</v>
      </c>
      <c r="B25" s="266" t="s">
        <v>1005</v>
      </c>
      <c r="C25" s="280" t="s">
        <v>293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1003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294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296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179</v>
      </c>
      <c r="B30" s="34" t="s">
        <v>1003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180</v>
      </c>
      <c r="B31" s="34" t="s">
        <v>1003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175</v>
      </c>
      <c r="B32" s="266" t="s">
        <v>303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297</v>
      </c>
      <c r="B33" s="34" t="s">
        <v>284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173</v>
      </c>
      <c r="B35" s="34" t="s">
        <v>1003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1003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1002</v>
      </c>
      <c r="C39" s="280"/>
      <c r="D39" s="266" t="s">
        <v>286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143416.66666666666</v>
      </c>
      <c r="J39" s="86">
        <f>'CAPEX-DEP_CWS '!J69</f>
        <v>158250</v>
      </c>
      <c r="K39" s="86">
        <f>'CAPEX-DEP_CWS '!K69</f>
        <v>159583.33333333334</v>
      </c>
      <c r="L39" s="86">
        <f>'CAPEX-DEP_CWS '!L69</f>
        <v>159583.33333333334</v>
      </c>
      <c r="M39" s="86">
        <f>'CAPEX-DEP_CWS '!M69</f>
        <v>159583.33333333334</v>
      </c>
      <c r="N39" s="86">
        <f>'CAPEX-DEP_CWS '!N69</f>
        <v>159583.33333333334</v>
      </c>
      <c r="O39" s="86">
        <f>'CAPEX-DEP_CWS '!O69</f>
        <v>159583.33333333334</v>
      </c>
      <c r="P39" s="86">
        <f>'CAPEX-DEP_CWS '!P69</f>
        <v>159583.33333333334</v>
      </c>
      <c r="Q39" s="86">
        <f>'CAPEX-DEP_CWS '!Q69</f>
        <v>159583.33333333334</v>
      </c>
      <c r="R39" s="86">
        <f>'CAPEX-DEP_CWS '!R69</f>
        <v>160916.66666666669</v>
      </c>
      <c r="S39" s="86">
        <f>'CAPEX-DEP_CWS '!S69</f>
        <v>160916.66666666669</v>
      </c>
      <c r="T39" s="86">
        <f>'CAPEX-DEP_CWS '!T69</f>
        <v>160916.66666666669</v>
      </c>
      <c r="U39" s="86">
        <f>'CAPEX-DEP_CWS '!U69</f>
        <v>160916.66666666669</v>
      </c>
      <c r="V39" s="86">
        <f>'CAPEX-DEP_CWS '!V69</f>
        <v>160916.66666666669</v>
      </c>
      <c r="W39" s="86">
        <f>'CAPEX-DEP_CWS '!W69</f>
        <v>160916.66666666669</v>
      </c>
      <c r="X39" s="86">
        <f>'CAPEX-DEP_CWS '!X69</f>
        <v>160916.66666666669</v>
      </c>
      <c r="Y39" s="86">
        <f>'CAPEX-DEP_CWS '!Y69</f>
        <v>160916.66666666669</v>
      </c>
      <c r="Z39" s="86">
        <f>'CAPEX-DEP_CWS '!Z69</f>
        <v>160916.66666666669</v>
      </c>
      <c r="AA39" s="86">
        <f>'CAPEX-DEP_CWS '!AA69</f>
        <v>160916.66666666669</v>
      </c>
      <c r="AB39" s="86">
        <f>'CAPEX-DEP_CWS '!AB69</f>
        <v>160916.66666666669</v>
      </c>
      <c r="AC39" s="86">
        <f>'CAPEX-DEP_CWS '!AC69</f>
        <v>160916.66666666669</v>
      </c>
      <c r="AD39" s="86">
        <f>'CAPEX-DEP_CWS '!AD69</f>
        <v>160916.66666666669</v>
      </c>
      <c r="AE39" s="86">
        <f>'CAPEX-DEP_CWS '!AE69</f>
        <v>160916.66666666669</v>
      </c>
      <c r="AF39" s="86">
        <f>'CAPEX-DEP_CWS '!AF69</f>
        <v>160916.66666666669</v>
      </c>
      <c r="AG39" s="86">
        <f>'CAPEX-DEP_CWS '!AG69</f>
        <v>160916.66666666669</v>
      </c>
      <c r="AH39" s="86">
        <f>'CAPEX-DEP_CWS '!AH69</f>
        <v>160916.66666666669</v>
      </c>
      <c r="AI39" s="86">
        <f>'CAPEX-DEP_CWS '!AI69</f>
        <v>160916.66666666669</v>
      </c>
      <c r="AJ39" s="86">
        <f>'CAPEX-DEP_CWS '!AJ69</f>
        <v>160916.66666666669</v>
      </c>
      <c r="AK39" s="86">
        <f>'CAPEX-DEP_CWS '!AK69</f>
        <v>160916.66666666669</v>
      </c>
      <c r="AL39" s="86">
        <f>'CAPEX-DEP_CWS '!AL69</f>
        <v>160916.66666666669</v>
      </c>
      <c r="AM39" s="86">
        <f>'CAPEX-DEP_CWS '!AM69</f>
        <v>160916.66666666669</v>
      </c>
      <c r="AN39" s="86">
        <f>'CAPEX-DEP_CWS '!AN69</f>
        <v>160916.66666666669</v>
      </c>
      <c r="AO39" s="86">
        <f>'CAPEX-DEP_CWS '!AO69</f>
        <v>160916.66666666669</v>
      </c>
      <c r="AP39" s="86">
        <f>'CAPEX-DEP_CWS '!AP69</f>
        <v>160916.66666666669</v>
      </c>
      <c r="AQ39" s="86">
        <f>'CAPEX-DEP_CWS '!AQ69</f>
        <v>160916.66666666669</v>
      </c>
      <c r="AR39" s="86">
        <f>'CAPEX-DEP_CWS '!AR69</f>
        <v>160916.66666666669</v>
      </c>
      <c r="AS39" s="86">
        <f>'CAPEX-DEP_CWS '!AS69</f>
        <v>160916.66666666669</v>
      </c>
      <c r="AT39" s="86">
        <f>'CAPEX-DEP_CWS '!AT69</f>
        <v>160916.66666666669</v>
      </c>
      <c r="AU39" s="86">
        <f>'CAPEX-DEP_CWS '!AU69</f>
        <v>160916.66666666669</v>
      </c>
      <c r="AV39" s="86">
        <f>'CAPEX-DEP_CWS '!AV69</f>
        <v>160916.66666666669</v>
      </c>
      <c r="AW39" s="86">
        <f>'CAPEX-DEP_CWS '!AW69</f>
        <v>160916.66666666669</v>
      </c>
      <c r="AX39" s="86">
        <f>'CAPEX-DEP_CWS '!AX69</f>
        <v>160916.66666666669</v>
      </c>
      <c r="AY39" s="86">
        <f>'CAPEX-DEP_CWS '!AY69</f>
        <v>160916.66666666669</v>
      </c>
      <c r="AZ39" s="86">
        <f>'CAPEX-DEP_CWS '!AZ69</f>
        <v>160916.66666666669</v>
      </c>
      <c r="BA39" s="86">
        <f>'CAPEX-DEP_CWS '!BA69</f>
        <v>160916.66666666669</v>
      </c>
      <c r="BB39" s="86">
        <f>'CAPEX-DEP_CWS '!BB69</f>
        <v>160916.66666666669</v>
      </c>
      <c r="BC39" s="86">
        <f>'CAPEX-DEP_CWS '!BC69</f>
        <v>160916.66666666669</v>
      </c>
      <c r="BD39" s="86">
        <f>'CAPEX-DEP_CWS '!BD69</f>
        <v>160916.66666666669</v>
      </c>
      <c r="BE39" s="86">
        <f>'CAPEX-DEP_CWS '!BE69</f>
        <v>160916.66666666669</v>
      </c>
      <c r="BF39" s="86">
        <f>'CAPEX-DEP_CWS '!BF69</f>
        <v>160916.66666666669</v>
      </c>
      <c r="BG39" s="86">
        <f>'CAPEX-DEP_CWS '!BG69</f>
        <v>160916.66666666669</v>
      </c>
      <c r="BH39" s="86">
        <f>'CAPEX-DEP_CWS '!BH69</f>
        <v>160916.66666666669</v>
      </c>
      <c r="BI39" s="86">
        <f>'CAPEX-DEP_CWS '!BI69</f>
        <v>160916.66666666669</v>
      </c>
      <c r="BJ39" s="86">
        <f>'CAPEX-DEP_CWS '!BJ69</f>
        <v>160916.66666666669</v>
      </c>
      <c r="BK39" s="86">
        <f>'CAPEX-DEP_CWS '!BK69</f>
        <v>160916.66666666669</v>
      </c>
      <c r="BL39" s="86">
        <f>'CAPEX-DEP_CWS '!BL69</f>
        <v>160916.66666666669</v>
      </c>
      <c r="BM39" s="86">
        <f>'CAPEX-DEP_CWS '!BM69</f>
        <v>160916.66666666669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287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9643416.666666666</v>
      </c>
      <c r="J41" s="64">
        <f t="shared" si="40"/>
        <v>4658250</v>
      </c>
      <c r="K41" s="64">
        <f t="shared" si="40"/>
        <v>4859583.333333333</v>
      </c>
      <c r="L41" s="64">
        <f t="shared" si="40"/>
        <v>5359583.333333333</v>
      </c>
      <c r="M41" s="64">
        <f t="shared" si="40"/>
        <v>5359583.333333333</v>
      </c>
      <c r="N41" s="64">
        <f t="shared" si="40"/>
        <v>5359583.333333333</v>
      </c>
      <c r="O41" s="64">
        <f t="shared" si="40"/>
        <v>5359583.333333333</v>
      </c>
      <c r="P41" s="64">
        <f t="shared" si="40"/>
        <v>5359583.333333333</v>
      </c>
      <c r="Q41" s="64">
        <f t="shared" si="40"/>
        <v>5359583.333333333</v>
      </c>
      <c r="R41" s="64">
        <f t="shared" si="40"/>
        <v>5890916.666666667</v>
      </c>
      <c r="S41" s="64">
        <f t="shared" si="40"/>
        <v>5890916.666666667</v>
      </c>
      <c r="T41" s="64">
        <f t="shared" si="40"/>
        <v>5890916.666666667</v>
      </c>
      <c r="U41" s="64">
        <f t="shared" si="40"/>
        <v>5890916.666666667</v>
      </c>
      <c r="V41" s="64">
        <f t="shared" si="40"/>
        <v>5890916.666666667</v>
      </c>
      <c r="W41" s="64">
        <f t="shared" si="40"/>
        <v>5890916.666666667</v>
      </c>
      <c r="X41" s="64">
        <f t="shared" si="40"/>
        <v>5890916.666666667</v>
      </c>
      <c r="Y41" s="64">
        <f t="shared" si="40"/>
        <v>5890916.666666667</v>
      </c>
      <c r="Z41" s="64">
        <f t="shared" si="40"/>
        <v>5890916.666666667</v>
      </c>
      <c r="AA41" s="64">
        <f t="shared" si="40"/>
        <v>5890916.666666667</v>
      </c>
      <c r="AB41" s="64">
        <f t="shared" si="40"/>
        <v>5890916.666666667</v>
      </c>
      <c r="AC41" s="64">
        <f t="shared" si="40"/>
        <v>5890916.666666667</v>
      </c>
      <c r="AD41" s="64">
        <f t="shared" si="40"/>
        <v>6440916.6666666679</v>
      </c>
      <c r="AE41" s="64">
        <f t="shared" si="40"/>
        <v>6440916.6666666679</v>
      </c>
      <c r="AF41" s="64">
        <f t="shared" si="40"/>
        <v>6440916.6666666679</v>
      </c>
      <c r="AG41" s="64">
        <f t="shared" si="40"/>
        <v>6440916.6666666679</v>
      </c>
      <c r="AH41" s="64">
        <f t="shared" si="40"/>
        <v>6440916.6666666679</v>
      </c>
      <c r="AI41" s="64">
        <f t="shared" si="40"/>
        <v>6440916.6666666679</v>
      </c>
      <c r="AJ41" s="64">
        <f t="shared" si="40"/>
        <v>6440916.6666666679</v>
      </c>
      <c r="AK41" s="64">
        <f t="shared" ref="AK41:BM41" si="41">AK39+AK37+AK35+AK33+AK27+AK21+AK13+AK6</f>
        <v>6440916.6666666679</v>
      </c>
      <c r="AL41" s="64">
        <f t="shared" si="41"/>
        <v>6440916.6666666679</v>
      </c>
      <c r="AM41" s="64">
        <f t="shared" si="41"/>
        <v>6440916.6666666679</v>
      </c>
      <c r="AN41" s="64">
        <f t="shared" si="41"/>
        <v>6440916.6666666679</v>
      </c>
      <c r="AO41" s="64">
        <f t="shared" si="41"/>
        <v>6440916.6666666679</v>
      </c>
      <c r="AP41" s="64">
        <f t="shared" si="41"/>
        <v>7045916.6666666688</v>
      </c>
      <c r="AQ41" s="64">
        <f t="shared" si="41"/>
        <v>7045916.6666666688</v>
      </c>
      <c r="AR41" s="64">
        <f t="shared" si="41"/>
        <v>7045916.6666666688</v>
      </c>
      <c r="AS41" s="64">
        <f t="shared" si="41"/>
        <v>7045916.6666666688</v>
      </c>
      <c r="AT41" s="64">
        <f t="shared" si="41"/>
        <v>7045916.6666666688</v>
      </c>
      <c r="AU41" s="64">
        <f t="shared" si="41"/>
        <v>7045916.6666666688</v>
      </c>
      <c r="AV41" s="64">
        <f t="shared" si="41"/>
        <v>7045916.6666666688</v>
      </c>
      <c r="AW41" s="64">
        <f t="shared" si="41"/>
        <v>7045916.6666666688</v>
      </c>
      <c r="AX41" s="64">
        <f t="shared" si="41"/>
        <v>7045916.6666666688</v>
      </c>
      <c r="AY41" s="64">
        <f t="shared" si="41"/>
        <v>7045916.6666666688</v>
      </c>
      <c r="AZ41" s="64">
        <f t="shared" si="41"/>
        <v>7045916.6666666688</v>
      </c>
      <c r="BA41" s="64">
        <f t="shared" si="41"/>
        <v>7045916.6666666688</v>
      </c>
      <c r="BB41" s="64">
        <f t="shared" si="41"/>
        <v>7711416.6666666698</v>
      </c>
      <c r="BC41" s="64">
        <f t="shared" si="41"/>
        <v>7711416.6666666698</v>
      </c>
      <c r="BD41" s="64">
        <f t="shared" si="41"/>
        <v>7711416.6666666698</v>
      </c>
      <c r="BE41" s="64">
        <f t="shared" si="41"/>
        <v>7711416.6666666698</v>
      </c>
      <c r="BF41" s="64">
        <f t="shared" si="41"/>
        <v>7711416.6666666698</v>
      </c>
      <c r="BG41" s="64">
        <f t="shared" si="41"/>
        <v>7711416.6666666698</v>
      </c>
      <c r="BH41" s="64">
        <f t="shared" si="41"/>
        <v>7711416.6666666698</v>
      </c>
      <c r="BI41" s="64">
        <f t="shared" si="41"/>
        <v>7711416.6666666698</v>
      </c>
      <c r="BJ41" s="64">
        <f t="shared" si="41"/>
        <v>7711416.6666666698</v>
      </c>
      <c r="BK41" s="64">
        <f t="shared" si="41"/>
        <v>7711416.6666666698</v>
      </c>
      <c r="BL41" s="64">
        <f t="shared" si="41"/>
        <v>7711416.6666666698</v>
      </c>
      <c r="BM41" s="64">
        <f t="shared" si="41"/>
        <v>7711416.6666666698</v>
      </c>
      <c r="BN41" s="35">
        <f>SUM(E41:BM41)</f>
        <v>376388750.00000012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topLeftCell="A9" workbookViewId="0">
      <selection activeCell="D48" sqref="D48"/>
    </sheetView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759</v>
      </c>
      <c r="D1" s="406" t="s">
        <v>35</v>
      </c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 t="s">
        <v>36</v>
      </c>
      <c r="Q1" s="406"/>
      <c r="R1" s="406"/>
      <c r="S1" s="406"/>
      <c r="T1" s="406"/>
      <c r="U1" s="406"/>
      <c r="V1" s="406"/>
      <c r="W1" s="406"/>
      <c r="X1" s="406"/>
      <c r="Y1" s="406"/>
      <c r="Z1" s="406"/>
      <c r="AA1" s="406"/>
      <c r="AB1" s="406" t="s">
        <v>37</v>
      </c>
      <c r="AC1" s="406"/>
      <c r="AD1" s="406"/>
      <c r="AE1" s="406"/>
      <c r="AF1" s="406"/>
      <c r="AG1" s="406"/>
      <c r="AH1" s="406"/>
      <c r="AI1" s="406"/>
      <c r="AJ1" s="406"/>
      <c r="AK1" s="406"/>
      <c r="AL1" s="406"/>
      <c r="AM1" s="406"/>
      <c r="AN1" s="406" t="s">
        <v>38</v>
      </c>
      <c r="AO1" s="406"/>
      <c r="AP1" s="406"/>
      <c r="AQ1" s="406"/>
      <c r="AR1" s="406"/>
      <c r="AS1" s="406"/>
      <c r="AT1" s="406"/>
      <c r="AU1" s="406"/>
      <c r="AV1" s="406"/>
      <c r="AW1" s="406"/>
      <c r="AX1" s="406"/>
      <c r="AY1" s="406"/>
      <c r="AZ1" s="406" t="s">
        <v>39</v>
      </c>
      <c r="BA1" s="406"/>
      <c r="BB1" s="406"/>
      <c r="BC1" s="406"/>
      <c r="BD1" s="406"/>
      <c r="BE1" s="406"/>
      <c r="BF1" s="406"/>
      <c r="BG1" s="406"/>
      <c r="BH1" s="406"/>
      <c r="BI1" s="406"/>
      <c r="BJ1" s="406"/>
      <c r="BK1" s="406"/>
      <c r="BL1" s="35"/>
    </row>
    <row r="2" spans="1:64" ht="14" x14ac:dyDescent="0.15">
      <c r="B2" s="276" t="s">
        <v>197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418">
        <v>0</v>
      </c>
      <c r="H5" s="418">
        <v>0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418">
        <f>STAFF_CWS!K51</f>
        <v>0</v>
      </c>
      <c r="H6" s="418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418">
        <f>STAFF_CWS!K79</f>
        <v>0</v>
      </c>
      <c r="H7" s="418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418">
        <f>STAFF_CWS!K137</f>
        <v>0</v>
      </c>
      <c r="H8" s="418">
        <f>STAFF_CWS!L137</f>
        <v>0</v>
      </c>
      <c r="I8" s="55">
        <f>STAFF_CWS!M137</f>
        <v>0</v>
      </c>
      <c r="J8" s="55">
        <f>STAFF_CWS!N137</f>
        <v>0</v>
      </c>
      <c r="K8" s="55">
        <f>STAFF_CWS!O137</f>
        <v>0</v>
      </c>
      <c r="L8" s="55">
        <f>STAFF_CWS!P137</f>
        <v>0</v>
      </c>
      <c r="M8" s="55">
        <f>STAFF_CWS!Q137</f>
        <v>0</v>
      </c>
      <c r="N8" s="55">
        <f>STAFF_CWS!R137</f>
        <v>0</v>
      </c>
      <c r="O8" s="55">
        <f>STAFF_CWS!S137</f>
        <v>0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1000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418">
        <f t="shared" si="0"/>
        <v>0</v>
      </c>
      <c r="H9" s="418">
        <f t="shared" si="0"/>
        <v>0</v>
      </c>
      <c r="I9" s="55">
        <f t="shared" si="0"/>
        <v>2</v>
      </c>
      <c r="J9" s="55">
        <f t="shared" si="0"/>
        <v>2</v>
      </c>
      <c r="K9" s="55">
        <f t="shared" si="0"/>
        <v>2</v>
      </c>
      <c r="L9" s="55">
        <f t="shared" si="0"/>
        <v>2</v>
      </c>
      <c r="M9" s="55">
        <f t="shared" si="0"/>
        <v>2</v>
      </c>
      <c r="N9" s="55">
        <f t="shared" si="0"/>
        <v>2</v>
      </c>
      <c r="O9" s="55">
        <f t="shared" si="0"/>
        <v>2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193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418">
        <f t="shared" si="1"/>
        <v>0</v>
      </c>
      <c r="H10" s="418">
        <f t="shared" si="1"/>
        <v>0</v>
      </c>
      <c r="I10" s="55">
        <f t="shared" si="1"/>
        <v>2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1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1" spans="1:64" x14ac:dyDescent="0.15">
      <c r="G11" s="276"/>
      <c r="H11" s="276"/>
    </row>
    <row r="12" spans="1:64" ht="14" x14ac:dyDescent="0.15">
      <c r="A12" s="58" t="str">
        <f>STAFF_CWS!$A$30</f>
        <v>Uniforme Cantidad (C)</v>
      </c>
      <c r="B12" s="278"/>
      <c r="C12" s="53"/>
      <c r="G12" s="276"/>
      <c r="H12" s="276"/>
    </row>
    <row r="13" spans="1:64" x14ac:dyDescent="0.15">
      <c r="G13" s="276"/>
      <c r="H13" s="276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418">
        <f>STAFF_CWS!K30</f>
        <v>0</v>
      </c>
      <c r="H14" s="418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2" t="s">
        <v>1220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418">
        <f>STAFF_CWS!K52</f>
        <v>0</v>
      </c>
      <c r="H15" s="418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2" t="s">
        <v>1221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418">
        <f>STAFF_CWS!K80</f>
        <v>0</v>
      </c>
      <c r="H16" s="418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2" t="s">
        <v>1222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418">
        <v>0</v>
      </c>
      <c r="H17" s="418">
        <v>0</v>
      </c>
      <c r="I17" s="55">
        <f>STAFF_CWS!M138</f>
        <v>1</v>
      </c>
      <c r="J17" s="55">
        <f>STAFF_CWS!N138</f>
        <v>1</v>
      </c>
      <c r="K17" s="55">
        <f>STAFF_CWS!O138</f>
        <v>1</v>
      </c>
      <c r="L17" s="55">
        <f>STAFF_CWS!P138</f>
        <v>1</v>
      </c>
      <c r="M17" s="55">
        <f>STAFF_CWS!Q138</f>
        <v>1</v>
      </c>
      <c r="N17" s="55">
        <f>STAFF_CWS!R138</f>
        <v>1</v>
      </c>
      <c r="O17" s="55">
        <f>STAFF_CWS!S138</f>
        <v>1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194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418">
        <f t="shared" si="3"/>
        <v>0</v>
      </c>
      <c r="H18" s="418">
        <f t="shared" si="3"/>
        <v>0</v>
      </c>
      <c r="I18" s="55">
        <f t="shared" si="3"/>
        <v>1</v>
      </c>
      <c r="J18" s="55">
        <f t="shared" si="3"/>
        <v>1</v>
      </c>
      <c r="K18" s="55">
        <f t="shared" si="3"/>
        <v>1</v>
      </c>
      <c r="L18" s="55">
        <f t="shared" si="3"/>
        <v>1</v>
      </c>
      <c r="M18" s="55">
        <f t="shared" si="3"/>
        <v>1</v>
      </c>
      <c r="N18" s="55">
        <f t="shared" si="3"/>
        <v>1</v>
      </c>
      <c r="O18" s="55">
        <f t="shared" si="3"/>
        <v>1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193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418">
        <f t="shared" si="4"/>
        <v>0</v>
      </c>
      <c r="H19" s="418">
        <f t="shared" si="4"/>
        <v>0</v>
      </c>
      <c r="I19" s="55">
        <f t="shared" si="4"/>
        <v>1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418"/>
      <c r="H20" s="418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  <c r="G21" s="276"/>
      <c r="H21" s="276"/>
    </row>
    <row r="22" spans="1:63" x14ac:dyDescent="0.15">
      <c r="G22" s="276"/>
      <c r="H22" s="276"/>
    </row>
    <row r="23" spans="1:63" ht="14" x14ac:dyDescent="0.15">
      <c r="A23" s="51" t="str">
        <f>STAFF_CWS!$A$8</f>
        <v>Ejecutivo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418">
        <f>STAFF_CWS!K31</f>
        <v>0</v>
      </c>
      <c r="H23" s="418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418">
        <f>STAFF_CWS!K53</f>
        <v>0</v>
      </c>
      <c r="H24" s="418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182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418">
        <f>STAFF_CWS!K81</f>
        <v>0</v>
      </c>
      <c r="H25" s="418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418">
        <f>STAFF_CWS!K139</f>
        <v>0</v>
      </c>
      <c r="H26" s="418">
        <f>STAFF_CWS!L139</f>
        <v>0</v>
      </c>
      <c r="I26" s="55">
        <f>STAFF_CWS!M139</f>
        <v>0</v>
      </c>
      <c r="J26" s="55">
        <f>STAFF_CWS!N139</f>
        <v>0</v>
      </c>
      <c r="K26" s="55">
        <f>STAFF_CWS!O139</f>
        <v>0</v>
      </c>
      <c r="L26" s="55">
        <f>STAFF_CWS!P139</f>
        <v>0</v>
      </c>
      <c r="M26" s="55">
        <f>STAFF_CWS!Q139</f>
        <v>0</v>
      </c>
      <c r="N26" s="55">
        <f>STAFF_CWS!R139</f>
        <v>0</v>
      </c>
      <c r="O26" s="55">
        <f>STAFF_CWS!S139</f>
        <v>0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194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418">
        <f t="shared" si="6"/>
        <v>0</v>
      </c>
      <c r="H27" s="418">
        <f t="shared" si="6"/>
        <v>0</v>
      </c>
      <c r="I27" s="55">
        <f t="shared" si="6"/>
        <v>0</v>
      </c>
      <c r="J27" s="55">
        <f t="shared" si="6"/>
        <v>0</v>
      </c>
      <c r="K27" s="55">
        <f t="shared" si="6"/>
        <v>0</v>
      </c>
      <c r="L27" s="55">
        <f t="shared" si="6"/>
        <v>0</v>
      </c>
      <c r="M27" s="55">
        <f t="shared" si="6"/>
        <v>0</v>
      </c>
      <c r="N27" s="55">
        <f t="shared" si="6"/>
        <v>0</v>
      </c>
      <c r="O27" s="55">
        <f t="shared" si="6"/>
        <v>0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193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418">
        <f t="shared" si="7"/>
        <v>0</v>
      </c>
      <c r="H28" s="418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195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196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 t="shared" si="11"/>
        <v>0</v>
      </c>
      <c r="H33" s="60">
        <f t="shared" si="11"/>
        <v>0</v>
      </c>
      <c r="I33" s="60">
        <f t="shared" si="11"/>
        <v>60000</v>
      </c>
      <c r="J33" s="60">
        <f t="shared" si="11"/>
        <v>60000</v>
      </c>
      <c r="K33" s="60">
        <f t="shared" si="11"/>
        <v>60000</v>
      </c>
      <c r="L33" s="60">
        <f t="shared" si="11"/>
        <v>60000</v>
      </c>
      <c r="M33" s="60">
        <f t="shared" si="11"/>
        <v>60000</v>
      </c>
      <c r="N33" s="60">
        <f t="shared" si="11"/>
        <v>60000</v>
      </c>
      <c r="O33" s="60">
        <f t="shared" si="11"/>
        <v>60000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1223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0</v>
      </c>
      <c r="H34" s="60">
        <f t="shared" si="13"/>
        <v>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198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0</v>
      </c>
      <c r="H35" s="60">
        <f t="shared" ref="H35:BK35" si="15">SUM(H32:H34)</f>
        <v>0</v>
      </c>
      <c r="I35" s="60">
        <f t="shared" si="15"/>
        <v>200000</v>
      </c>
      <c r="J35" s="60">
        <f t="shared" si="15"/>
        <v>200000</v>
      </c>
      <c r="K35" s="60">
        <f t="shared" si="15"/>
        <v>200000</v>
      </c>
      <c r="L35" s="60">
        <f t="shared" si="15"/>
        <v>200000</v>
      </c>
      <c r="M35" s="60">
        <f t="shared" si="15"/>
        <v>200000</v>
      </c>
      <c r="N35" s="60">
        <f t="shared" si="15"/>
        <v>200000</v>
      </c>
      <c r="O35" s="60">
        <f t="shared" si="15"/>
        <v>200000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1228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0</v>
      </c>
      <c r="H38" s="60">
        <f t="shared" si="16"/>
        <v>0</v>
      </c>
      <c r="I38" s="60">
        <f t="shared" si="16"/>
        <v>80000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1229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0</v>
      </c>
      <c r="H39" s="61">
        <f t="shared" si="17"/>
        <v>0</v>
      </c>
      <c r="I39" s="61">
        <f t="shared" si="17"/>
        <v>80000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ht="12.75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199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200</v>
      </c>
      <c r="B43" s="279">
        <v>0</v>
      </c>
    </row>
    <row r="44" spans="1:63" ht="14" x14ac:dyDescent="0.15">
      <c r="A44" s="51" t="s">
        <v>201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202</v>
      </c>
    </row>
    <row r="47" spans="1:63" ht="14" x14ac:dyDescent="0.15">
      <c r="A47" s="59" t="s">
        <v>203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204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>
      <pane xSplit="1" ySplit="4" topLeftCell="J541" activePane="bottomRight" state="frozen"/>
      <selection pane="topRight" activeCell="B1" sqref="B1"/>
      <selection pane="bottomLeft" activeCell="A5" sqref="A5"/>
      <selection pane="bottomRight" activeCell="L570" sqref="L570"/>
    </sheetView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406" t="s">
        <v>35</v>
      </c>
      <c r="I1" s="406"/>
      <c r="J1" s="406"/>
      <c r="K1" s="406"/>
      <c r="L1" s="406"/>
      <c r="M1" s="406"/>
      <c r="N1" s="406"/>
      <c r="O1" s="406"/>
      <c r="P1" s="406"/>
      <c r="Q1" s="406"/>
      <c r="R1" s="406"/>
      <c r="S1" s="406"/>
      <c r="T1" s="406" t="s">
        <v>36</v>
      </c>
      <c r="U1" s="406"/>
      <c r="V1" s="406"/>
      <c r="W1" s="406"/>
      <c r="X1" s="406"/>
      <c r="Y1" s="406"/>
      <c r="Z1" s="406"/>
      <c r="AA1" s="406"/>
      <c r="AB1" s="406"/>
      <c r="AC1" s="406"/>
      <c r="AD1" s="406"/>
      <c r="AE1" s="406"/>
      <c r="AF1" s="406" t="s">
        <v>37</v>
      </c>
      <c r="AG1" s="406"/>
      <c r="AH1" s="406"/>
      <c r="AI1" s="406"/>
      <c r="AJ1" s="406"/>
      <c r="AK1" s="406"/>
      <c r="AL1" s="406"/>
      <c r="AM1" s="406"/>
      <c r="AN1" s="406"/>
      <c r="AO1" s="406"/>
      <c r="AP1" s="406"/>
      <c r="AQ1" s="406"/>
      <c r="AR1" s="406" t="s">
        <v>38</v>
      </c>
      <c r="AS1" s="406"/>
      <c r="AT1" s="406"/>
      <c r="AU1" s="406"/>
      <c r="AV1" s="406"/>
      <c r="AW1" s="406"/>
      <c r="AX1" s="406"/>
      <c r="AY1" s="406"/>
      <c r="AZ1" s="406"/>
      <c r="BA1" s="406"/>
      <c r="BB1" s="406"/>
      <c r="BC1" s="406"/>
      <c r="BD1" s="406" t="s">
        <v>39</v>
      </c>
      <c r="BE1" s="406"/>
      <c r="BF1" s="406"/>
      <c r="BG1" s="406"/>
      <c r="BH1" s="406"/>
      <c r="BI1" s="406"/>
      <c r="BJ1" s="406"/>
      <c r="BK1" s="406"/>
      <c r="BL1" s="406"/>
      <c r="BM1" s="406"/>
      <c r="BN1" s="406"/>
      <c r="BO1" s="406"/>
      <c r="BP1" s="35"/>
    </row>
    <row r="2" spans="1:79" s="14" customFormat="1" x14ac:dyDescent="0.15">
      <c r="A2" s="10" t="s">
        <v>1158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1161</v>
      </c>
      <c r="B3" s="10" t="s">
        <v>68</v>
      </c>
      <c r="C3" s="268" t="s">
        <v>1163</v>
      </c>
      <c r="D3" s="10" t="s">
        <v>65</v>
      </c>
      <c r="E3" s="10" t="s">
        <v>66</v>
      </c>
      <c r="F3" s="10" t="s">
        <v>67</v>
      </c>
      <c r="G3" s="10"/>
      <c r="BP3" s="36" t="s">
        <v>717</v>
      </c>
    </row>
    <row r="4" spans="1:79" x14ac:dyDescent="0.15">
      <c r="A4" s="10" t="s">
        <v>1162</v>
      </c>
      <c r="B4" s="10" t="s">
        <v>1164</v>
      </c>
      <c r="C4" s="268" t="s">
        <v>1163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1151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1159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1179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1171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999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1165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</v>
      </c>
      <c r="L13" s="338">
        <v>0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1166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1167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1168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1.5</v>
      </c>
      <c r="L25" s="353">
        <f t="shared" si="0"/>
        <v>1.5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1.5</v>
      </c>
      <c r="L27" s="353">
        <f t="shared" si="4"/>
        <v>1.5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1256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1257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1258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1169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1170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0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0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1256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1257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1258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1173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1172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1256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1257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1258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1177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1176</v>
      </c>
      <c r="B103" s="330">
        <f>1160000*12</f>
        <v>13920000</v>
      </c>
      <c r="C103" s="264">
        <f>B103/12</f>
        <v>1160000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1174</v>
      </c>
      <c r="B106" s="330">
        <f>1160000*12</f>
        <v>13920000</v>
      </c>
      <c r="C106" s="264">
        <f>B106/12</f>
        <v>1160000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0.5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1175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0</v>
      </c>
      <c r="O109" s="338">
        <v>0</v>
      </c>
      <c r="P109" s="338">
        <v>0</v>
      </c>
      <c r="Q109" s="338">
        <v>0</v>
      </c>
      <c r="R109" s="338">
        <v>0</v>
      </c>
      <c r="S109" s="338">
        <v>0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0.5</v>
      </c>
      <c r="M133" s="29">
        <f t="shared" si="29"/>
        <v>1</v>
      </c>
      <c r="N133" s="29">
        <f t="shared" si="29"/>
        <v>1</v>
      </c>
      <c r="O133" s="29">
        <f t="shared" si="29"/>
        <v>1</v>
      </c>
      <c r="P133" s="29">
        <f t="shared" si="29"/>
        <v>1</v>
      </c>
      <c r="Q133" s="29">
        <f t="shared" si="29"/>
        <v>1</v>
      </c>
      <c r="R133" s="29">
        <f t="shared" si="29"/>
        <v>1</v>
      </c>
      <c r="S133" s="29">
        <f t="shared" si="29"/>
        <v>1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0.5</v>
      </c>
      <c r="M135" s="29">
        <f t="shared" si="33"/>
        <v>1</v>
      </c>
      <c r="N135" s="29">
        <f t="shared" si="33"/>
        <v>1</v>
      </c>
      <c r="O135" s="29">
        <f t="shared" si="33"/>
        <v>1</v>
      </c>
      <c r="P135" s="29">
        <f t="shared" si="33"/>
        <v>1</v>
      </c>
      <c r="Q135" s="29">
        <f t="shared" si="33"/>
        <v>1</v>
      </c>
      <c r="R135" s="29">
        <f t="shared" si="33"/>
        <v>1</v>
      </c>
      <c r="S135" s="29">
        <f t="shared" si="33"/>
        <v>1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1256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0</v>
      </c>
      <c r="O137" s="29">
        <f t="shared" si="34"/>
        <v>0</v>
      </c>
      <c r="P137" s="29">
        <f t="shared" si="34"/>
        <v>0</v>
      </c>
      <c r="Q137" s="29">
        <f t="shared" si="34"/>
        <v>0</v>
      </c>
      <c r="R137" s="29">
        <f t="shared" si="34"/>
        <v>0</v>
      </c>
      <c r="S137" s="29">
        <f t="shared" si="34"/>
        <v>0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1257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1</v>
      </c>
      <c r="O138" s="29">
        <f t="shared" si="35"/>
        <v>1</v>
      </c>
      <c r="P138" s="29">
        <f t="shared" si="35"/>
        <v>1</v>
      </c>
      <c r="Q138" s="29">
        <f t="shared" si="35"/>
        <v>1</v>
      </c>
      <c r="R138" s="29">
        <f t="shared" si="35"/>
        <v>1</v>
      </c>
      <c r="S138" s="29">
        <f t="shared" si="35"/>
        <v>1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1258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0</v>
      </c>
      <c r="O139" s="29">
        <f t="shared" si="36"/>
        <v>0</v>
      </c>
      <c r="P139" s="29">
        <f t="shared" si="36"/>
        <v>0</v>
      </c>
      <c r="Q139" s="29">
        <f t="shared" si="36"/>
        <v>0</v>
      </c>
      <c r="R139" s="29">
        <f t="shared" si="36"/>
        <v>0</v>
      </c>
      <c r="S139" s="29">
        <f t="shared" si="36"/>
        <v>0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2.5</v>
      </c>
      <c r="L143" s="29">
        <f t="shared" si="37"/>
        <v>2</v>
      </c>
      <c r="M143" s="29">
        <f t="shared" si="37"/>
        <v>3</v>
      </c>
      <c r="N143" s="29">
        <f t="shared" si="37"/>
        <v>3</v>
      </c>
      <c r="O143" s="29">
        <f t="shared" si="37"/>
        <v>3</v>
      </c>
      <c r="P143" s="29">
        <f t="shared" si="37"/>
        <v>3</v>
      </c>
      <c r="Q143" s="29">
        <f t="shared" si="37"/>
        <v>3</v>
      </c>
      <c r="R143" s="29">
        <f t="shared" si="37"/>
        <v>3</v>
      </c>
      <c r="S143" s="29">
        <f t="shared" si="37"/>
        <v>3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0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2</v>
      </c>
      <c r="O145" s="29">
        <f t="shared" si="41"/>
        <v>2</v>
      </c>
      <c r="P145" s="29">
        <f t="shared" si="41"/>
        <v>2</v>
      </c>
      <c r="Q145" s="29">
        <f t="shared" si="41"/>
        <v>2</v>
      </c>
      <c r="R145" s="29">
        <f t="shared" si="41"/>
        <v>2</v>
      </c>
      <c r="S145" s="29">
        <f t="shared" si="41"/>
        <v>2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1</v>
      </c>
      <c r="O146" s="29">
        <f t="shared" si="43"/>
        <v>1</v>
      </c>
      <c r="P146" s="29">
        <f t="shared" si="43"/>
        <v>1</v>
      </c>
      <c r="Q146" s="29">
        <f t="shared" si="43"/>
        <v>1</v>
      </c>
      <c r="R146" s="29">
        <f t="shared" si="43"/>
        <v>1</v>
      </c>
      <c r="S146" s="29">
        <f t="shared" si="43"/>
        <v>1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0</v>
      </c>
      <c r="O147" s="29">
        <f t="shared" si="45"/>
        <v>0</v>
      </c>
      <c r="P147" s="29">
        <f t="shared" si="45"/>
        <v>0</v>
      </c>
      <c r="Q147" s="29">
        <f t="shared" si="45"/>
        <v>0</v>
      </c>
      <c r="R147" s="29">
        <f t="shared" si="45"/>
        <v>0</v>
      </c>
      <c r="S147" s="29">
        <f t="shared" si="45"/>
        <v>0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2.5</v>
      </c>
      <c r="L151" s="29">
        <f t="shared" si="48"/>
        <v>-0.5</v>
      </c>
      <c r="M151" s="29">
        <f t="shared" si="48"/>
        <v>1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1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1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713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0</v>
      </c>
      <c r="L172" s="26">
        <f t="shared" si="66"/>
        <v>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0</v>
      </c>
      <c r="L174" s="26">
        <f t="shared" si="68"/>
        <v>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713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0</v>
      </c>
      <c r="L176" s="26">
        <f t="shared" si="70"/>
        <v>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713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713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713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2145000</v>
      </c>
      <c r="L208" s="26">
        <f t="shared" si="98"/>
        <v>2145000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713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2145000</v>
      </c>
      <c r="L210" s="26">
        <f t="shared" si="102"/>
        <v>2145000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140680000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20320000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140680000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2145000</v>
      </c>
      <c r="L214" s="26">
        <f t="shared" si="107"/>
        <v>2145000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140680000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20320000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140680000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0.08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171600</v>
      </c>
      <c r="L219" s="26">
        <f>L210*STAFFPLAN_CWS!$C177</f>
        <v>171600</v>
      </c>
      <c r="M219" s="26">
        <f>M210*STAFFPLAN_CWS!$C177</f>
        <v>183200</v>
      </c>
      <c r="N219" s="26">
        <f>N210*STAFFPLAN_CWS!$C177</f>
        <v>183200</v>
      </c>
      <c r="O219" s="26">
        <f>O210*STAFFPLAN_CWS!$C177</f>
        <v>183200</v>
      </c>
      <c r="P219" s="26">
        <f>P210*STAFFPLAN_CWS!$C177</f>
        <v>183200</v>
      </c>
      <c r="Q219" s="26">
        <f>Q210*STAFFPLAN_CWS!$C177</f>
        <v>183200</v>
      </c>
      <c r="R219" s="26">
        <f>R210*STAFFPLAN_CWS!$C177</f>
        <v>183200</v>
      </c>
      <c r="S219" s="26">
        <f>S210*STAFFPLAN_CWS!$D177</f>
        <v>366400</v>
      </c>
      <c r="T219" s="26">
        <f>T210*STAFFPLAN_CWS!$D177</f>
        <v>366400</v>
      </c>
      <c r="U219" s="26">
        <f>U210*STAFFPLAN_CWS!$D177</f>
        <v>366400</v>
      </c>
      <c r="V219" s="26">
        <f>V210*STAFFPLAN_CWS!$D177</f>
        <v>366400</v>
      </c>
      <c r="W219" s="26">
        <f>W210*STAFFPLAN_CWS!$D177</f>
        <v>366400</v>
      </c>
      <c r="X219" s="26">
        <f>X210*STAFFPLAN_CWS!$D177</f>
        <v>366400</v>
      </c>
      <c r="Y219" s="26">
        <f>Y210*STAFFPLAN_CWS!$D177</f>
        <v>366400</v>
      </c>
      <c r="Z219" s="26">
        <f>Z210*STAFFPLAN_CWS!$D177</f>
        <v>366400</v>
      </c>
      <c r="AA219" s="26">
        <f>AA210*STAFFPLAN_CWS!$D177</f>
        <v>366400</v>
      </c>
      <c r="AB219" s="26">
        <f>AB210*STAFFPLAN_CWS!$D177</f>
        <v>366400</v>
      </c>
      <c r="AC219" s="26">
        <f>AC210*STAFFPLAN_CWS!$D177</f>
        <v>366400</v>
      </c>
      <c r="AD219" s="26">
        <f>AD210*STAFFPLAN_CWS!$D177</f>
        <v>366400</v>
      </c>
      <c r="AE219" s="26">
        <f>AE210*STAFFPLAN_CWS!$D177</f>
        <v>366400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0.02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42900</v>
      </c>
      <c r="L220" s="26">
        <f>L210*STAFFPLAN_CWS!$C178</f>
        <v>42900</v>
      </c>
      <c r="M220" s="26">
        <f>M210*STAFFPLAN_CWS!$C178</f>
        <v>45800</v>
      </c>
      <c r="N220" s="26">
        <f>N210*STAFFPLAN_CWS!$C178</f>
        <v>45800</v>
      </c>
      <c r="O220" s="26">
        <f>O210*STAFFPLAN_CWS!$C178</f>
        <v>45800</v>
      </c>
      <c r="P220" s="26">
        <f>P210*STAFFPLAN_CWS!$C178</f>
        <v>45800</v>
      </c>
      <c r="Q220" s="26">
        <f>Q210*STAFFPLAN_CWS!$C178</f>
        <v>45800</v>
      </c>
      <c r="R220" s="26">
        <f>R210*STAFFPLAN_CWS!$C178</f>
        <v>45800</v>
      </c>
      <c r="S220" s="26">
        <f>S210*STAFFPLAN_CWS!$D178</f>
        <v>91600</v>
      </c>
      <c r="T220" s="26">
        <f>T210*STAFFPLAN_CWS!$D178</f>
        <v>91600</v>
      </c>
      <c r="U220" s="26">
        <f>U210*STAFFPLAN_CWS!$D178</f>
        <v>91600</v>
      </c>
      <c r="V220" s="26">
        <f>V210*STAFFPLAN_CWS!$D178</f>
        <v>91600</v>
      </c>
      <c r="W220" s="26">
        <f>W210*STAFFPLAN_CWS!$D178</f>
        <v>91600</v>
      </c>
      <c r="X220" s="26">
        <f>X210*STAFFPLAN_CWS!$D178</f>
        <v>91600</v>
      </c>
      <c r="Y220" s="26">
        <f>Y210*STAFFPLAN_CWS!$D178</f>
        <v>91600</v>
      </c>
      <c r="Z220" s="26">
        <f>Z210*STAFFPLAN_CWS!$D178</f>
        <v>91600</v>
      </c>
      <c r="AA220" s="26">
        <f>AA210*STAFFPLAN_CWS!$D178</f>
        <v>91600</v>
      </c>
      <c r="AB220" s="26">
        <f>AB210*STAFFPLAN_CWS!$D178</f>
        <v>91600</v>
      </c>
      <c r="AC220" s="26">
        <f>AC210*STAFFPLAN_CWS!$D178</f>
        <v>91600</v>
      </c>
      <c r="AD220" s="26">
        <f>AD210*STAFFPLAN_CWS!$D178</f>
        <v>91600</v>
      </c>
      <c r="AE220" s="26">
        <f>AE210*STAFFPLAN_CWS!$D178</f>
        <v>91600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214500</v>
      </c>
      <c r="L224" s="26">
        <f t="shared" si="109"/>
        <v>214500</v>
      </c>
      <c r="M224" s="26">
        <f t="shared" si="109"/>
        <v>229000</v>
      </c>
      <c r="N224" s="26">
        <f t="shared" si="109"/>
        <v>229000</v>
      </c>
      <c r="O224" s="26">
        <f t="shared" si="109"/>
        <v>229000</v>
      </c>
      <c r="P224" s="26">
        <f t="shared" si="109"/>
        <v>229000</v>
      </c>
      <c r="Q224" s="26">
        <f t="shared" si="109"/>
        <v>229000</v>
      </c>
      <c r="R224" s="26">
        <f t="shared" si="109"/>
        <v>229000</v>
      </c>
      <c r="S224" s="26">
        <f t="shared" si="109"/>
        <v>458000</v>
      </c>
      <c r="T224" s="26">
        <f t="shared" si="109"/>
        <v>458000</v>
      </c>
      <c r="U224" s="26">
        <f t="shared" si="109"/>
        <v>458000</v>
      </c>
      <c r="V224" s="26">
        <f t="shared" si="109"/>
        <v>458000</v>
      </c>
      <c r="W224" s="26">
        <f t="shared" si="109"/>
        <v>458000</v>
      </c>
      <c r="X224" s="26">
        <f t="shared" si="109"/>
        <v>458000</v>
      </c>
      <c r="Y224" s="26">
        <f t="shared" si="109"/>
        <v>458000</v>
      </c>
      <c r="Z224" s="26">
        <f t="shared" si="109"/>
        <v>458000</v>
      </c>
      <c r="AA224" s="26">
        <f t="shared" si="109"/>
        <v>458000</v>
      </c>
      <c r="AB224" s="26">
        <f t="shared" si="109"/>
        <v>458000</v>
      </c>
      <c r="AC224" s="26">
        <f t="shared" si="109"/>
        <v>458000</v>
      </c>
      <c r="AD224" s="26">
        <f t="shared" si="109"/>
        <v>458000</v>
      </c>
      <c r="AE224" s="26">
        <f t="shared" si="109"/>
        <v>458000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26333000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2261000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5496000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26333000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2359500</v>
      </c>
      <c r="L232" s="26">
        <f t="shared" si="113"/>
        <v>2359500</v>
      </c>
      <c r="M232" s="26">
        <f t="shared" si="113"/>
        <v>2519000</v>
      </c>
      <c r="N232" s="26">
        <f t="shared" si="113"/>
        <v>2519000</v>
      </c>
      <c r="O232" s="26">
        <f t="shared" si="113"/>
        <v>2519000</v>
      </c>
      <c r="P232" s="26">
        <f t="shared" si="113"/>
        <v>2519000</v>
      </c>
      <c r="Q232" s="26">
        <f t="shared" si="113"/>
        <v>2519000</v>
      </c>
      <c r="R232" s="26">
        <f t="shared" si="113"/>
        <v>2519000</v>
      </c>
      <c r="S232" s="26">
        <f t="shared" si="113"/>
        <v>2748000</v>
      </c>
      <c r="T232" s="26">
        <f t="shared" si="113"/>
        <v>2748000</v>
      </c>
      <c r="U232" s="26">
        <f t="shared" si="113"/>
        <v>2748000</v>
      </c>
      <c r="V232" s="26">
        <f t="shared" si="113"/>
        <v>2748000</v>
      </c>
      <c r="W232" s="26">
        <f t="shared" si="113"/>
        <v>2748000</v>
      </c>
      <c r="X232" s="26">
        <f t="shared" si="113"/>
        <v>2748000</v>
      </c>
      <c r="Y232" s="26">
        <f t="shared" si="113"/>
        <v>2748000</v>
      </c>
      <c r="Z232" s="26">
        <f t="shared" si="113"/>
        <v>2748000</v>
      </c>
      <c r="AA232" s="26">
        <f t="shared" si="113"/>
        <v>2748000</v>
      </c>
      <c r="AB232" s="26">
        <f t="shared" si="113"/>
        <v>2748000</v>
      </c>
      <c r="AC232" s="26">
        <f t="shared" si="113"/>
        <v>2748000</v>
      </c>
      <c r="AD232" s="26">
        <f t="shared" si="113"/>
        <v>2748000</v>
      </c>
      <c r="AE232" s="26">
        <f t="shared" si="113"/>
        <v>2748000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167013000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22581000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32976000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167013000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713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713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713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713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713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3000000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3000000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3000000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0.08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3000000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3000000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0.08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713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713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713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713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713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713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713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1160000</v>
      </c>
      <c r="L448" s="26">
        <f t="shared" si="284"/>
        <v>580000</v>
      </c>
      <c r="M448" s="26">
        <f t="shared" si="284"/>
        <v>1160000</v>
      </c>
      <c r="N448" s="26">
        <f t="shared" si="284"/>
        <v>1160000</v>
      </c>
      <c r="O448" s="26">
        <f t="shared" si="284"/>
        <v>1160000</v>
      </c>
      <c r="P448" s="26">
        <f t="shared" si="284"/>
        <v>1160000</v>
      </c>
      <c r="Q448" s="26">
        <f t="shared" si="284"/>
        <v>1160000</v>
      </c>
      <c r="R448" s="26">
        <f t="shared" si="284"/>
        <v>1160000</v>
      </c>
      <c r="S448" s="26">
        <f t="shared" si="284"/>
        <v>1160000</v>
      </c>
      <c r="T448" s="26">
        <f t="shared" si="284"/>
        <v>1160000</v>
      </c>
      <c r="U448" s="26">
        <f t="shared" si="284"/>
        <v>1160000</v>
      </c>
      <c r="V448" s="26">
        <f t="shared" si="284"/>
        <v>1160000</v>
      </c>
      <c r="W448" s="26">
        <f t="shared" si="284"/>
        <v>1160000</v>
      </c>
      <c r="X448" s="26">
        <f t="shared" si="284"/>
        <v>1160000</v>
      </c>
      <c r="Y448" s="26">
        <f t="shared" si="284"/>
        <v>1160000</v>
      </c>
      <c r="Z448" s="26">
        <f t="shared" si="284"/>
        <v>1160000</v>
      </c>
      <c r="AA448" s="26">
        <f t="shared" si="284"/>
        <v>1160000</v>
      </c>
      <c r="AB448" s="26">
        <f t="shared" si="284"/>
        <v>1160000</v>
      </c>
      <c r="AC448" s="26">
        <f t="shared" si="284"/>
        <v>1160000</v>
      </c>
      <c r="AD448" s="26">
        <f t="shared" si="284"/>
        <v>1160000</v>
      </c>
      <c r="AE448" s="26">
        <f t="shared" si="284"/>
        <v>1160000</v>
      </c>
      <c r="AF448" s="26">
        <f t="shared" si="284"/>
        <v>1160000</v>
      </c>
      <c r="AG448" s="26">
        <f t="shared" si="284"/>
        <v>1160000</v>
      </c>
      <c r="AH448" s="26">
        <f t="shared" si="284"/>
        <v>1160000</v>
      </c>
      <c r="AI448" s="26">
        <f t="shared" si="284"/>
        <v>1160000</v>
      </c>
      <c r="AJ448" s="26">
        <f t="shared" si="284"/>
        <v>1160000</v>
      </c>
      <c r="AK448" s="26">
        <f t="shared" si="284"/>
        <v>1160000</v>
      </c>
      <c r="AL448" s="26">
        <f t="shared" si="284"/>
        <v>1160000</v>
      </c>
      <c r="AM448" s="26">
        <f t="shared" si="284"/>
        <v>1160000</v>
      </c>
      <c r="AN448" s="26">
        <f t="shared" si="284"/>
        <v>1160000</v>
      </c>
      <c r="AO448" s="26">
        <f t="shared" si="284"/>
        <v>1160000</v>
      </c>
      <c r="AP448" s="26">
        <f t="shared" si="284"/>
        <v>1160000</v>
      </c>
      <c r="AQ448" s="26">
        <f t="shared" si="284"/>
        <v>1160000</v>
      </c>
      <c r="AR448" s="26">
        <f t="shared" si="284"/>
        <v>1160000</v>
      </c>
      <c r="AS448" s="26">
        <f t="shared" si="284"/>
        <v>1160000</v>
      </c>
      <c r="AT448" s="26">
        <f t="shared" si="284"/>
        <v>1160000</v>
      </c>
      <c r="AU448" s="26">
        <f t="shared" si="284"/>
        <v>1160000</v>
      </c>
      <c r="AV448" s="26">
        <f t="shared" si="284"/>
        <v>1160000</v>
      </c>
      <c r="AW448" s="26">
        <f t="shared" si="284"/>
        <v>1160000</v>
      </c>
      <c r="AX448" s="26">
        <f t="shared" si="284"/>
        <v>1160000</v>
      </c>
      <c r="AY448" s="26">
        <f t="shared" si="284"/>
        <v>1160000</v>
      </c>
      <c r="AZ448" s="26">
        <f t="shared" si="284"/>
        <v>1160000</v>
      </c>
      <c r="BA448" s="26">
        <f t="shared" si="284"/>
        <v>1160000</v>
      </c>
      <c r="BB448" s="26">
        <f t="shared" si="284"/>
        <v>1160000</v>
      </c>
      <c r="BC448" s="26">
        <f t="shared" si="284"/>
        <v>1160000</v>
      </c>
      <c r="BD448" s="26">
        <f t="shared" si="284"/>
        <v>1160000</v>
      </c>
      <c r="BE448" s="26">
        <f t="shared" si="284"/>
        <v>1160000</v>
      </c>
      <c r="BF448" s="26">
        <f t="shared" si="284"/>
        <v>1160000</v>
      </c>
      <c r="BG448" s="26">
        <f t="shared" si="284"/>
        <v>1160000</v>
      </c>
      <c r="BH448" s="26">
        <f t="shared" si="284"/>
        <v>1160000</v>
      </c>
      <c r="BI448" s="26">
        <f t="shared" si="284"/>
        <v>1160000</v>
      </c>
      <c r="BJ448" s="26">
        <f t="shared" si="284"/>
        <v>1160000</v>
      </c>
      <c r="BK448" s="26">
        <f t="shared" si="284"/>
        <v>1160000</v>
      </c>
      <c r="BL448" s="26">
        <f t="shared" si="284"/>
        <v>1160000</v>
      </c>
      <c r="BM448" s="26">
        <f t="shared" si="284"/>
        <v>1160000</v>
      </c>
      <c r="BN448" s="26">
        <f t="shared" si="284"/>
        <v>1160000</v>
      </c>
      <c r="BO448" s="26">
        <f t="shared" si="284"/>
        <v>1160000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580000</v>
      </c>
      <c r="L450" s="26">
        <f t="shared" si="285"/>
        <v>290000</v>
      </c>
      <c r="M450" s="26">
        <f t="shared" si="285"/>
        <v>580000</v>
      </c>
      <c r="N450" s="26">
        <f t="shared" si="285"/>
        <v>580000</v>
      </c>
      <c r="O450" s="26">
        <f t="shared" si="285"/>
        <v>580000</v>
      </c>
      <c r="P450" s="26">
        <f t="shared" si="285"/>
        <v>580000</v>
      </c>
      <c r="Q450" s="26">
        <f t="shared" si="285"/>
        <v>580000</v>
      </c>
      <c r="R450" s="26">
        <f t="shared" si="285"/>
        <v>580000</v>
      </c>
      <c r="S450" s="26">
        <f t="shared" si="285"/>
        <v>580000</v>
      </c>
      <c r="T450" s="26">
        <f t="shared" si="285"/>
        <v>580000</v>
      </c>
      <c r="U450" s="26">
        <f t="shared" si="285"/>
        <v>580000</v>
      </c>
      <c r="V450" s="26">
        <f t="shared" si="285"/>
        <v>580000</v>
      </c>
      <c r="W450" s="26">
        <f t="shared" si="285"/>
        <v>580000</v>
      </c>
      <c r="X450" s="26">
        <f t="shared" si="285"/>
        <v>580000</v>
      </c>
      <c r="Y450" s="26">
        <f t="shared" si="285"/>
        <v>580000</v>
      </c>
      <c r="Z450" s="26">
        <f t="shared" si="285"/>
        <v>580000</v>
      </c>
      <c r="AA450" s="26">
        <f t="shared" si="285"/>
        <v>580000</v>
      </c>
      <c r="AB450" s="26">
        <f t="shared" si="285"/>
        <v>580000</v>
      </c>
      <c r="AC450" s="26">
        <f t="shared" si="285"/>
        <v>580000</v>
      </c>
      <c r="AD450" s="26">
        <f t="shared" si="285"/>
        <v>580000</v>
      </c>
      <c r="AE450" s="26">
        <f t="shared" si="285"/>
        <v>580000</v>
      </c>
      <c r="AF450" s="26">
        <f t="shared" si="285"/>
        <v>1160000</v>
      </c>
      <c r="AG450" s="26">
        <f t="shared" si="285"/>
        <v>1160000</v>
      </c>
      <c r="AH450" s="26">
        <f t="shared" si="285"/>
        <v>1160000</v>
      </c>
      <c r="AI450" s="26">
        <f t="shared" si="285"/>
        <v>1160000</v>
      </c>
      <c r="AJ450" s="26">
        <f t="shared" si="285"/>
        <v>1160000</v>
      </c>
      <c r="AK450" s="26">
        <f t="shared" si="285"/>
        <v>1160000</v>
      </c>
      <c r="AL450" s="26">
        <f t="shared" si="285"/>
        <v>1160000</v>
      </c>
      <c r="AM450" s="26">
        <f t="shared" ref="AM450:BO450" si="286">AM448*AM449</f>
        <v>1160000</v>
      </c>
      <c r="AN450" s="26">
        <f t="shared" si="286"/>
        <v>1160000</v>
      </c>
      <c r="AO450" s="26">
        <f t="shared" si="286"/>
        <v>1160000</v>
      </c>
      <c r="AP450" s="26">
        <f t="shared" si="286"/>
        <v>1160000</v>
      </c>
      <c r="AQ450" s="26">
        <f t="shared" si="286"/>
        <v>1160000</v>
      </c>
      <c r="AR450" s="26">
        <f t="shared" si="286"/>
        <v>1160000</v>
      </c>
      <c r="AS450" s="26">
        <f t="shared" si="286"/>
        <v>1160000</v>
      </c>
      <c r="AT450" s="26">
        <f t="shared" si="286"/>
        <v>1160000</v>
      </c>
      <c r="AU450" s="26">
        <f t="shared" si="286"/>
        <v>1160000</v>
      </c>
      <c r="AV450" s="26">
        <f t="shared" si="286"/>
        <v>1160000</v>
      </c>
      <c r="AW450" s="26">
        <f t="shared" si="286"/>
        <v>1160000</v>
      </c>
      <c r="AX450" s="26">
        <f t="shared" si="286"/>
        <v>1160000</v>
      </c>
      <c r="AY450" s="26">
        <f t="shared" si="286"/>
        <v>1160000</v>
      </c>
      <c r="AZ450" s="26">
        <f t="shared" si="286"/>
        <v>1160000</v>
      </c>
      <c r="BA450" s="26">
        <f t="shared" si="286"/>
        <v>1160000</v>
      </c>
      <c r="BB450" s="26">
        <f t="shared" si="286"/>
        <v>1160000</v>
      </c>
      <c r="BC450" s="26">
        <f t="shared" si="286"/>
        <v>1160000</v>
      </c>
      <c r="BD450" s="26">
        <f t="shared" si="286"/>
        <v>1160000</v>
      </c>
      <c r="BE450" s="26">
        <f t="shared" si="286"/>
        <v>1160000</v>
      </c>
      <c r="BF450" s="26">
        <f t="shared" si="286"/>
        <v>1160000</v>
      </c>
      <c r="BG450" s="26">
        <f t="shared" si="286"/>
        <v>1160000</v>
      </c>
      <c r="BH450" s="26">
        <f t="shared" si="286"/>
        <v>1160000</v>
      </c>
      <c r="BI450" s="26">
        <f t="shared" si="286"/>
        <v>1160000</v>
      </c>
      <c r="BJ450" s="26">
        <f t="shared" si="286"/>
        <v>1160000</v>
      </c>
      <c r="BK450" s="26">
        <f t="shared" si="286"/>
        <v>1160000</v>
      </c>
      <c r="BL450" s="26">
        <f t="shared" si="286"/>
        <v>1160000</v>
      </c>
      <c r="BM450" s="26">
        <f t="shared" si="286"/>
        <v>1160000</v>
      </c>
      <c r="BN450" s="26">
        <f t="shared" si="286"/>
        <v>1160000</v>
      </c>
      <c r="BO450" s="26">
        <f t="shared" si="286"/>
        <v>1160000</v>
      </c>
    </row>
    <row r="451" spans="1:67" outlineLevel="2" x14ac:dyDescent="0.15">
      <c r="A451" s="47" t="s">
        <v>713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580000</v>
      </c>
      <c r="L452" s="26">
        <f t="shared" si="287"/>
        <v>290000</v>
      </c>
      <c r="M452" s="26">
        <f t="shared" si="287"/>
        <v>580000</v>
      </c>
      <c r="N452" s="26">
        <f t="shared" si="287"/>
        <v>580000</v>
      </c>
      <c r="O452" s="26">
        <f t="shared" si="287"/>
        <v>580000</v>
      </c>
      <c r="P452" s="26">
        <f t="shared" si="287"/>
        <v>580000</v>
      </c>
      <c r="Q452" s="26">
        <f t="shared" si="287"/>
        <v>580000</v>
      </c>
      <c r="R452" s="26">
        <f t="shared" si="287"/>
        <v>580000</v>
      </c>
      <c r="S452" s="26">
        <f t="shared" si="287"/>
        <v>580000</v>
      </c>
      <c r="T452" s="26">
        <f t="shared" si="287"/>
        <v>580000</v>
      </c>
      <c r="U452" s="26">
        <f t="shared" si="287"/>
        <v>580000</v>
      </c>
      <c r="V452" s="26">
        <f t="shared" si="287"/>
        <v>580000</v>
      </c>
      <c r="W452" s="26">
        <f t="shared" si="287"/>
        <v>580000</v>
      </c>
      <c r="X452" s="26">
        <f t="shared" si="287"/>
        <v>580000</v>
      </c>
      <c r="Y452" s="26">
        <f t="shared" si="287"/>
        <v>580000</v>
      </c>
      <c r="Z452" s="26">
        <f t="shared" si="287"/>
        <v>580000</v>
      </c>
      <c r="AA452" s="26">
        <f t="shared" si="287"/>
        <v>580000</v>
      </c>
      <c r="AB452" s="26">
        <f t="shared" si="287"/>
        <v>580000</v>
      </c>
      <c r="AC452" s="26">
        <f t="shared" si="287"/>
        <v>580000</v>
      </c>
      <c r="AD452" s="26">
        <f t="shared" si="287"/>
        <v>580000</v>
      </c>
      <c r="AE452" s="26">
        <f t="shared" si="287"/>
        <v>580000</v>
      </c>
      <c r="AF452" s="26">
        <f t="shared" si="287"/>
        <v>1160000</v>
      </c>
      <c r="AG452" s="26">
        <f t="shared" si="287"/>
        <v>1160000</v>
      </c>
      <c r="AH452" s="26">
        <f t="shared" si="287"/>
        <v>1160000</v>
      </c>
      <c r="AI452" s="26">
        <f t="shared" si="287"/>
        <v>1160000</v>
      </c>
      <c r="AJ452" s="26">
        <f t="shared" si="287"/>
        <v>1160000</v>
      </c>
      <c r="AK452" s="26">
        <f t="shared" si="287"/>
        <v>1160000</v>
      </c>
      <c r="AL452" s="26">
        <f t="shared" si="287"/>
        <v>1160000</v>
      </c>
      <c r="AM452" s="26">
        <f t="shared" ref="AM452:BO452" si="288">AM450+AM451</f>
        <v>1160000</v>
      </c>
      <c r="AN452" s="26">
        <f t="shared" si="288"/>
        <v>1160000</v>
      </c>
      <c r="AO452" s="26">
        <f t="shared" si="288"/>
        <v>1160000</v>
      </c>
      <c r="AP452" s="26">
        <f t="shared" si="288"/>
        <v>1160000</v>
      </c>
      <c r="AQ452" s="26">
        <f t="shared" si="288"/>
        <v>1160000</v>
      </c>
      <c r="AR452" s="26">
        <f t="shared" si="288"/>
        <v>1160000</v>
      </c>
      <c r="AS452" s="26">
        <f t="shared" si="288"/>
        <v>1160000</v>
      </c>
      <c r="AT452" s="26">
        <f t="shared" si="288"/>
        <v>1160000</v>
      </c>
      <c r="AU452" s="26">
        <f t="shared" si="288"/>
        <v>1160000</v>
      </c>
      <c r="AV452" s="26">
        <f t="shared" si="288"/>
        <v>1160000</v>
      </c>
      <c r="AW452" s="26">
        <f t="shared" si="288"/>
        <v>1160000</v>
      </c>
      <c r="AX452" s="26">
        <f t="shared" si="288"/>
        <v>1160000</v>
      </c>
      <c r="AY452" s="26">
        <f t="shared" si="288"/>
        <v>1160000</v>
      </c>
      <c r="AZ452" s="26">
        <f t="shared" si="288"/>
        <v>1160000</v>
      </c>
      <c r="BA452" s="26">
        <f t="shared" si="288"/>
        <v>1160000</v>
      </c>
      <c r="BB452" s="26">
        <f t="shared" si="288"/>
        <v>1160000</v>
      </c>
      <c r="BC452" s="26">
        <f t="shared" si="288"/>
        <v>1160000</v>
      </c>
      <c r="BD452" s="26">
        <f t="shared" si="288"/>
        <v>1160000</v>
      </c>
      <c r="BE452" s="26">
        <f t="shared" si="288"/>
        <v>1160000</v>
      </c>
      <c r="BF452" s="26">
        <f t="shared" si="288"/>
        <v>1160000</v>
      </c>
      <c r="BG452" s="26">
        <f t="shared" si="288"/>
        <v>1160000</v>
      </c>
      <c r="BH452" s="26">
        <f t="shared" si="288"/>
        <v>1160000</v>
      </c>
      <c r="BI452" s="26">
        <f t="shared" si="288"/>
        <v>1160000</v>
      </c>
      <c r="BJ452" s="26">
        <f t="shared" si="288"/>
        <v>1160000</v>
      </c>
      <c r="BK452" s="26">
        <f t="shared" si="288"/>
        <v>1160000</v>
      </c>
      <c r="BL452" s="26">
        <f t="shared" si="288"/>
        <v>1160000</v>
      </c>
      <c r="BM452" s="26">
        <f t="shared" si="288"/>
        <v>1160000</v>
      </c>
      <c r="BN452" s="26">
        <f t="shared" si="288"/>
        <v>1160000</v>
      </c>
      <c r="BO452" s="26">
        <f t="shared" si="288"/>
        <v>1160000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0</v>
      </c>
      <c r="O457" s="26">
        <f t="shared" si="290"/>
        <v>0</v>
      </c>
      <c r="P457" s="26">
        <f t="shared" si="290"/>
        <v>0</v>
      </c>
      <c r="Q457" s="26">
        <f t="shared" si="290"/>
        <v>0</v>
      </c>
      <c r="R457" s="26">
        <f t="shared" si="290"/>
        <v>0</v>
      </c>
      <c r="S457" s="26">
        <f t="shared" si="290"/>
        <v>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0</v>
      </c>
      <c r="O459" s="26">
        <f t="shared" si="291"/>
        <v>0</v>
      </c>
      <c r="P459" s="26">
        <f t="shared" si="291"/>
        <v>0</v>
      </c>
      <c r="Q459" s="26">
        <f t="shared" si="291"/>
        <v>0</v>
      </c>
      <c r="R459" s="26">
        <f t="shared" si="291"/>
        <v>0</v>
      </c>
      <c r="S459" s="26">
        <f t="shared" si="291"/>
        <v>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713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0</v>
      </c>
      <c r="O461" s="26">
        <f t="shared" si="293"/>
        <v>0</v>
      </c>
      <c r="P461" s="26">
        <f t="shared" si="293"/>
        <v>0</v>
      </c>
      <c r="Q461" s="26">
        <f t="shared" si="293"/>
        <v>0</v>
      </c>
      <c r="R461" s="26">
        <f t="shared" si="293"/>
        <v>0</v>
      </c>
      <c r="S461" s="26">
        <f t="shared" si="293"/>
        <v>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713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713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713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713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713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713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713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580000</v>
      </c>
      <c r="L529" s="26">
        <f t="shared" si="350"/>
        <v>290000</v>
      </c>
      <c r="M529" s="26">
        <f t="shared" si="350"/>
        <v>580000</v>
      </c>
      <c r="N529" s="26">
        <f t="shared" si="350"/>
        <v>580000</v>
      </c>
      <c r="O529" s="26">
        <f t="shared" si="350"/>
        <v>580000</v>
      </c>
      <c r="P529" s="26">
        <f t="shared" si="350"/>
        <v>580000</v>
      </c>
      <c r="Q529" s="26">
        <f t="shared" si="350"/>
        <v>580000</v>
      </c>
      <c r="R529" s="26">
        <f t="shared" si="350"/>
        <v>580000</v>
      </c>
      <c r="S529" s="26">
        <f t="shared" si="350"/>
        <v>580000</v>
      </c>
      <c r="T529" s="26">
        <f t="shared" si="350"/>
        <v>1580000</v>
      </c>
      <c r="U529" s="26">
        <f t="shared" si="350"/>
        <v>1580000</v>
      </c>
      <c r="V529" s="26">
        <f t="shared" si="350"/>
        <v>1580000</v>
      </c>
      <c r="W529" s="26">
        <f t="shared" si="350"/>
        <v>1580000</v>
      </c>
      <c r="X529" s="26">
        <f t="shared" si="350"/>
        <v>1580000</v>
      </c>
      <c r="Y529" s="26">
        <f t="shared" si="350"/>
        <v>1580000</v>
      </c>
      <c r="Z529" s="26">
        <f t="shared" si="350"/>
        <v>1580000</v>
      </c>
      <c r="AA529" s="26">
        <f t="shared" si="350"/>
        <v>1580000</v>
      </c>
      <c r="AB529" s="26">
        <f t="shared" si="350"/>
        <v>1580000</v>
      </c>
      <c r="AC529" s="26">
        <f t="shared" si="350"/>
        <v>1580000</v>
      </c>
      <c r="AD529" s="26">
        <f t="shared" si="350"/>
        <v>1580000</v>
      </c>
      <c r="AE529" s="26">
        <f t="shared" si="350"/>
        <v>1580000</v>
      </c>
      <c r="AF529" s="26">
        <f t="shared" si="350"/>
        <v>3160000</v>
      </c>
      <c r="AG529" s="26">
        <f t="shared" si="350"/>
        <v>3160000</v>
      </c>
      <c r="AH529" s="26">
        <f t="shared" si="350"/>
        <v>3160000</v>
      </c>
      <c r="AI529" s="26">
        <f t="shared" si="350"/>
        <v>3160000</v>
      </c>
      <c r="AJ529" s="26">
        <f t="shared" si="350"/>
        <v>3160000</v>
      </c>
      <c r="AK529" s="26">
        <f t="shared" si="350"/>
        <v>3160000</v>
      </c>
      <c r="AL529" s="26">
        <f t="shared" si="350"/>
        <v>3160000</v>
      </c>
      <c r="AM529" s="26">
        <f t="shared" ref="AM529:BO529" si="351">AM522+AM513+AM504+AM495+AM459+AM450+AM441+AM432+AM423+AM414+AM405+AM396+AM387+AM486+AM477+AM468</f>
        <v>3160000</v>
      </c>
      <c r="AN529" s="26">
        <f t="shared" si="351"/>
        <v>3160000</v>
      </c>
      <c r="AO529" s="26">
        <f t="shared" si="351"/>
        <v>3160000</v>
      </c>
      <c r="AP529" s="26">
        <f t="shared" si="351"/>
        <v>3160000</v>
      </c>
      <c r="AQ529" s="26">
        <f t="shared" si="351"/>
        <v>3160000</v>
      </c>
      <c r="AR529" s="26">
        <f t="shared" si="351"/>
        <v>3160000</v>
      </c>
      <c r="AS529" s="26">
        <f t="shared" si="351"/>
        <v>3160000</v>
      </c>
      <c r="AT529" s="26">
        <f t="shared" si="351"/>
        <v>3160000</v>
      </c>
      <c r="AU529" s="26">
        <f t="shared" si="351"/>
        <v>3160000</v>
      </c>
      <c r="AV529" s="26">
        <f t="shared" si="351"/>
        <v>3160000</v>
      </c>
      <c r="AW529" s="26">
        <f t="shared" si="351"/>
        <v>3160000</v>
      </c>
      <c r="AX529" s="26">
        <f t="shared" si="351"/>
        <v>3160000</v>
      </c>
      <c r="AY529" s="26">
        <f t="shared" si="351"/>
        <v>3160000</v>
      </c>
      <c r="AZ529" s="26">
        <f t="shared" si="351"/>
        <v>3160000</v>
      </c>
      <c r="BA529" s="26">
        <f t="shared" si="351"/>
        <v>3160000</v>
      </c>
      <c r="BB529" s="26">
        <f t="shared" si="351"/>
        <v>3160000</v>
      </c>
      <c r="BC529" s="26">
        <f t="shared" si="351"/>
        <v>3160000</v>
      </c>
      <c r="BD529" s="26">
        <f t="shared" si="351"/>
        <v>3160000</v>
      </c>
      <c r="BE529" s="26">
        <f t="shared" si="351"/>
        <v>3160000</v>
      </c>
      <c r="BF529" s="26">
        <f t="shared" si="351"/>
        <v>3160000</v>
      </c>
      <c r="BG529" s="26">
        <f t="shared" si="351"/>
        <v>3160000</v>
      </c>
      <c r="BH529" s="26">
        <f t="shared" si="351"/>
        <v>3160000</v>
      </c>
      <c r="BI529" s="26">
        <f t="shared" si="351"/>
        <v>3160000</v>
      </c>
      <c r="BJ529" s="26">
        <f t="shared" si="351"/>
        <v>3160000</v>
      </c>
      <c r="BK529" s="26">
        <f t="shared" si="351"/>
        <v>3160000</v>
      </c>
      <c r="BL529" s="26">
        <f t="shared" si="351"/>
        <v>3160000</v>
      </c>
      <c r="BM529" s="26">
        <f t="shared" si="351"/>
        <v>3160000</v>
      </c>
      <c r="BN529" s="26">
        <f t="shared" si="351"/>
        <v>3160000</v>
      </c>
      <c r="BO529" s="26">
        <f t="shared" si="351"/>
        <v>3160000</v>
      </c>
      <c r="BP529" s="38">
        <f t="shared" ref="BP529:BP536" si="352">SUM(G529:BO529)</f>
        <v>137650000</v>
      </c>
    </row>
    <row r="530" spans="1:69" outlineLevel="2" x14ac:dyDescent="0.15">
      <c r="A530" s="47" t="s">
        <v>713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580000</v>
      </c>
      <c r="L531" s="26">
        <f t="shared" si="355"/>
        <v>290000</v>
      </c>
      <c r="M531" s="26">
        <f t="shared" si="355"/>
        <v>580000</v>
      </c>
      <c r="N531" s="26">
        <f t="shared" si="355"/>
        <v>580000</v>
      </c>
      <c r="O531" s="26">
        <f t="shared" si="355"/>
        <v>580000</v>
      </c>
      <c r="P531" s="26">
        <f t="shared" si="355"/>
        <v>580000</v>
      </c>
      <c r="Q531" s="26">
        <f t="shared" si="355"/>
        <v>580000</v>
      </c>
      <c r="R531" s="26">
        <f t="shared" si="355"/>
        <v>580000</v>
      </c>
      <c r="S531" s="26">
        <f t="shared" si="355"/>
        <v>580000</v>
      </c>
      <c r="T531" s="26">
        <f t="shared" si="355"/>
        <v>1580000</v>
      </c>
      <c r="U531" s="26">
        <f t="shared" si="355"/>
        <v>1580000</v>
      </c>
      <c r="V531" s="26">
        <f t="shared" si="355"/>
        <v>1580000</v>
      </c>
      <c r="W531" s="26">
        <f t="shared" si="355"/>
        <v>1580000</v>
      </c>
      <c r="X531" s="26">
        <f t="shared" si="355"/>
        <v>1580000</v>
      </c>
      <c r="Y531" s="26">
        <f t="shared" si="355"/>
        <v>1580000</v>
      </c>
      <c r="Z531" s="26">
        <f t="shared" si="355"/>
        <v>1580000</v>
      </c>
      <c r="AA531" s="26">
        <f t="shared" si="355"/>
        <v>1580000</v>
      </c>
      <c r="AB531" s="26">
        <f t="shared" si="355"/>
        <v>1580000</v>
      </c>
      <c r="AC531" s="26">
        <f t="shared" si="355"/>
        <v>1580000</v>
      </c>
      <c r="AD531" s="26">
        <f t="shared" si="355"/>
        <v>1580000</v>
      </c>
      <c r="AE531" s="26">
        <f t="shared" si="355"/>
        <v>1580000</v>
      </c>
      <c r="AF531" s="26">
        <f t="shared" si="355"/>
        <v>3160000</v>
      </c>
      <c r="AG531" s="26">
        <f t="shared" si="355"/>
        <v>3160000</v>
      </c>
      <c r="AH531" s="26">
        <f t="shared" si="355"/>
        <v>3160000</v>
      </c>
      <c r="AI531" s="26">
        <f t="shared" si="355"/>
        <v>3160000</v>
      </c>
      <c r="AJ531" s="26">
        <f t="shared" si="355"/>
        <v>3160000</v>
      </c>
      <c r="AK531" s="26">
        <f t="shared" si="355"/>
        <v>3160000</v>
      </c>
      <c r="AL531" s="26">
        <f t="shared" si="355"/>
        <v>3160000</v>
      </c>
      <c r="AM531" s="26">
        <f t="shared" ref="AM531:BO531" si="356">AM529+AM530</f>
        <v>3160000</v>
      </c>
      <c r="AN531" s="26">
        <f t="shared" si="356"/>
        <v>3160000</v>
      </c>
      <c r="AO531" s="26">
        <f t="shared" si="356"/>
        <v>3160000</v>
      </c>
      <c r="AP531" s="26">
        <f t="shared" si="356"/>
        <v>3160000</v>
      </c>
      <c r="AQ531" s="26">
        <f t="shared" si="356"/>
        <v>3160000</v>
      </c>
      <c r="AR531" s="26">
        <f t="shared" si="356"/>
        <v>3160000</v>
      </c>
      <c r="AS531" s="26">
        <f t="shared" si="356"/>
        <v>3160000</v>
      </c>
      <c r="AT531" s="26">
        <f t="shared" si="356"/>
        <v>3160000</v>
      </c>
      <c r="AU531" s="26">
        <f t="shared" si="356"/>
        <v>3160000</v>
      </c>
      <c r="AV531" s="26">
        <f t="shared" si="356"/>
        <v>3160000</v>
      </c>
      <c r="AW531" s="26">
        <f t="shared" si="356"/>
        <v>3160000</v>
      </c>
      <c r="AX531" s="26">
        <f t="shared" si="356"/>
        <v>3160000</v>
      </c>
      <c r="AY531" s="26">
        <f t="shared" si="356"/>
        <v>3160000</v>
      </c>
      <c r="AZ531" s="26">
        <f t="shared" si="356"/>
        <v>3160000</v>
      </c>
      <c r="BA531" s="26">
        <f t="shared" si="356"/>
        <v>3160000</v>
      </c>
      <c r="BB531" s="26">
        <f t="shared" si="356"/>
        <v>3160000</v>
      </c>
      <c r="BC531" s="26">
        <f t="shared" si="356"/>
        <v>3160000</v>
      </c>
      <c r="BD531" s="26">
        <f t="shared" si="356"/>
        <v>3160000</v>
      </c>
      <c r="BE531" s="26">
        <f t="shared" si="356"/>
        <v>3160000</v>
      </c>
      <c r="BF531" s="26">
        <f t="shared" si="356"/>
        <v>3160000</v>
      </c>
      <c r="BG531" s="26">
        <f t="shared" si="356"/>
        <v>3160000</v>
      </c>
      <c r="BH531" s="26">
        <f t="shared" si="356"/>
        <v>3160000</v>
      </c>
      <c r="BI531" s="26">
        <f t="shared" si="356"/>
        <v>3160000</v>
      </c>
      <c r="BJ531" s="26">
        <f t="shared" si="356"/>
        <v>3160000</v>
      </c>
      <c r="BK531" s="26">
        <f t="shared" si="356"/>
        <v>3160000</v>
      </c>
      <c r="BL531" s="26">
        <f t="shared" si="356"/>
        <v>3160000</v>
      </c>
      <c r="BM531" s="26">
        <f t="shared" si="356"/>
        <v>3160000</v>
      </c>
      <c r="BN531" s="26">
        <f t="shared" si="356"/>
        <v>3160000</v>
      </c>
      <c r="BO531" s="26">
        <f t="shared" si="356"/>
        <v>3160000</v>
      </c>
      <c r="BP531" s="38">
        <f t="shared" si="352"/>
        <v>137650000</v>
      </c>
      <c r="BQ531" s="66">
        <f>BP529+BP530</f>
        <v>137650000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4930000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18960000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37920000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37920000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37920000</v>
      </c>
      <c r="BP532" s="38">
        <f t="shared" si="352"/>
        <v>137650000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715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580000</v>
      </c>
      <c r="L535" s="26">
        <f t="shared" si="359"/>
        <v>290000</v>
      </c>
      <c r="M535" s="26">
        <f t="shared" si="359"/>
        <v>580000</v>
      </c>
      <c r="N535" s="26">
        <f t="shared" si="359"/>
        <v>580000</v>
      </c>
      <c r="O535" s="26">
        <f t="shared" si="359"/>
        <v>580000</v>
      </c>
      <c r="P535" s="26">
        <f t="shared" si="359"/>
        <v>580000</v>
      </c>
      <c r="Q535" s="26">
        <f t="shared" si="359"/>
        <v>580000</v>
      </c>
      <c r="R535" s="26">
        <f t="shared" si="359"/>
        <v>580000</v>
      </c>
      <c r="S535" s="26">
        <f t="shared" si="359"/>
        <v>580000</v>
      </c>
      <c r="T535" s="26">
        <f t="shared" si="359"/>
        <v>1580000</v>
      </c>
      <c r="U535" s="26">
        <f t="shared" si="359"/>
        <v>1580000</v>
      </c>
      <c r="V535" s="26">
        <f t="shared" si="359"/>
        <v>1580000</v>
      </c>
      <c r="W535" s="26">
        <f t="shared" si="359"/>
        <v>1580000</v>
      </c>
      <c r="X535" s="26">
        <f t="shared" si="359"/>
        <v>1580000</v>
      </c>
      <c r="Y535" s="26">
        <f t="shared" si="359"/>
        <v>1580000</v>
      </c>
      <c r="Z535" s="26">
        <f t="shared" si="359"/>
        <v>1580000</v>
      </c>
      <c r="AA535" s="26">
        <f t="shared" si="359"/>
        <v>1580000</v>
      </c>
      <c r="AB535" s="26">
        <f t="shared" si="359"/>
        <v>1580000</v>
      </c>
      <c r="AC535" s="26">
        <f t="shared" si="359"/>
        <v>1580000</v>
      </c>
      <c r="AD535" s="26">
        <f t="shared" si="359"/>
        <v>1580000</v>
      </c>
      <c r="AE535" s="26">
        <f t="shared" si="359"/>
        <v>1580000</v>
      </c>
      <c r="AF535" s="26">
        <f t="shared" si="359"/>
        <v>3160000</v>
      </c>
      <c r="AG535" s="26">
        <f t="shared" si="359"/>
        <v>3160000</v>
      </c>
      <c r="AH535" s="26">
        <f t="shared" si="359"/>
        <v>3160000</v>
      </c>
      <c r="AI535" s="26">
        <f t="shared" si="359"/>
        <v>3160000</v>
      </c>
      <c r="AJ535" s="26">
        <f t="shared" si="359"/>
        <v>3160000</v>
      </c>
      <c r="AK535" s="26">
        <f t="shared" si="359"/>
        <v>3160000</v>
      </c>
      <c r="AL535" s="26">
        <f t="shared" si="359"/>
        <v>3160000</v>
      </c>
      <c r="AM535" s="26">
        <f t="shared" ref="AM535:BO535" si="360">AM533+AM531</f>
        <v>3160000</v>
      </c>
      <c r="AN535" s="26">
        <f t="shared" si="360"/>
        <v>3160000</v>
      </c>
      <c r="AO535" s="26">
        <f t="shared" si="360"/>
        <v>3160000</v>
      </c>
      <c r="AP535" s="26">
        <f t="shared" si="360"/>
        <v>3160000</v>
      </c>
      <c r="AQ535" s="26">
        <f t="shared" si="360"/>
        <v>3160000</v>
      </c>
      <c r="AR535" s="26">
        <f t="shared" si="360"/>
        <v>3160000</v>
      </c>
      <c r="AS535" s="26">
        <f t="shared" si="360"/>
        <v>3160000</v>
      </c>
      <c r="AT535" s="26">
        <f t="shared" si="360"/>
        <v>3160000</v>
      </c>
      <c r="AU535" s="26">
        <f t="shared" si="360"/>
        <v>3160000</v>
      </c>
      <c r="AV535" s="26">
        <f t="shared" si="360"/>
        <v>3160000</v>
      </c>
      <c r="AW535" s="26">
        <f t="shared" si="360"/>
        <v>3160000</v>
      </c>
      <c r="AX535" s="26">
        <f t="shared" si="360"/>
        <v>3160000</v>
      </c>
      <c r="AY535" s="26">
        <f t="shared" si="360"/>
        <v>3160000</v>
      </c>
      <c r="AZ535" s="26">
        <f t="shared" si="360"/>
        <v>3160000</v>
      </c>
      <c r="BA535" s="26">
        <f t="shared" si="360"/>
        <v>3160000</v>
      </c>
      <c r="BB535" s="26">
        <f t="shared" si="360"/>
        <v>3160000</v>
      </c>
      <c r="BC535" s="26">
        <f t="shared" si="360"/>
        <v>3160000</v>
      </c>
      <c r="BD535" s="26">
        <f t="shared" si="360"/>
        <v>3160000</v>
      </c>
      <c r="BE535" s="26">
        <f t="shared" si="360"/>
        <v>3160000</v>
      </c>
      <c r="BF535" s="26">
        <f t="shared" si="360"/>
        <v>3160000</v>
      </c>
      <c r="BG535" s="26">
        <f t="shared" si="360"/>
        <v>3160000</v>
      </c>
      <c r="BH535" s="26">
        <f t="shared" si="360"/>
        <v>3160000</v>
      </c>
      <c r="BI535" s="26">
        <f t="shared" si="360"/>
        <v>3160000</v>
      </c>
      <c r="BJ535" s="26">
        <f t="shared" si="360"/>
        <v>3160000</v>
      </c>
      <c r="BK535" s="26">
        <f t="shared" si="360"/>
        <v>3160000</v>
      </c>
      <c r="BL535" s="26">
        <f t="shared" si="360"/>
        <v>3160000</v>
      </c>
      <c r="BM535" s="26">
        <f t="shared" si="360"/>
        <v>3160000</v>
      </c>
      <c r="BN535" s="26">
        <f t="shared" si="360"/>
        <v>3160000</v>
      </c>
      <c r="BO535" s="26">
        <f t="shared" si="360"/>
        <v>3160000</v>
      </c>
      <c r="BP535" s="38">
        <f t="shared" si="352"/>
        <v>137650000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4930000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18960000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37920000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37920000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37920000</v>
      </c>
      <c r="BP536" s="38">
        <f t="shared" si="352"/>
        <v>137650000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0.08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46400</v>
      </c>
      <c r="L540" s="26">
        <f>L531*STAFFPLAN_CWS!$C177</f>
        <v>23200</v>
      </c>
      <c r="M540" s="26">
        <f>M531*STAFFPLAN_CWS!$C177</f>
        <v>46400</v>
      </c>
      <c r="N540" s="26">
        <f>N531*STAFFPLAN_CWS!$C177</f>
        <v>46400</v>
      </c>
      <c r="O540" s="26">
        <f>O531*STAFFPLAN_CWS!$C177</f>
        <v>46400</v>
      </c>
      <c r="P540" s="26">
        <f>P531*STAFFPLAN_CWS!$C177</f>
        <v>46400</v>
      </c>
      <c r="Q540" s="26">
        <f>Q531*STAFFPLAN_CWS!$C177</f>
        <v>46400</v>
      </c>
      <c r="R540" s="26">
        <f>R531*STAFFPLAN_CWS!$C177</f>
        <v>46400</v>
      </c>
      <c r="S540" s="26">
        <f>S531*STAFFPLAN_CWS!$C177</f>
        <v>46400</v>
      </c>
      <c r="T540" s="26">
        <f>T531*STAFFPLAN_CWS!$D177</f>
        <v>252800</v>
      </c>
      <c r="U540" s="26">
        <f>U531*STAFFPLAN_CWS!$D177</f>
        <v>252800</v>
      </c>
      <c r="V540" s="26">
        <f>V531*STAFFPLAN_CWS!$D177</f>
        <v>252800</v>
      </c>
      <c r="W540" s="26">
        <f>W531*STAFFPLAN_CWS!$D177</f>
        <v>252800</v>
      </c>
      <c r="X540" s="26">
        <f>X531*STAFFPLAN_CWS!$D177</f>
        <v>252800</v>
      </c>
      <c r="Y540" s="26">
        <f>Y531*STAFFPLAN_CWS!$D177</f>
        <v>252800</v>
      </c>
      <c r="Z540" s="26">
        <f>Z531*STAFFPLAN_CWS!$D177</f>
        <v>252800</v>
      </c>
      <c r="AA540" s="26">
        <f>AA531*STAFFPLAN_CWS!$D177</f>
        <v>252800</v>
      </c>
      <c r="AB540" s="26">
        <f>AB531*STAFFPLAN_CWS!$D177</f>
        <v>252800</v>
      </c>
      <c r="AC540" s="26">
        <f>AC531*STAFFPLAN_CWS!$D177</f>
        <v>252800</v>
      </c>
      <c r="AD540" s="26">
        <f>AD531*STAFFPLAN_CWS!$D177</f>
        <v>252800</v>
      </c>
      <c r="AE540" s="26">
        <f>AE531*STAFFPLAN_CWS!$D177</f>
        <v>252800</v>
      </c>
      <c r="AF540" s="26">
        <f>AF531*STAFFPLAN_CWS!$E177</f>
        <v>505600</v>
      </c>
      <c r="AG540" s="26">
        <f>AG531*STAFFPLAN_CWS!$E177</f>
        <v>505600</v>
      </c>
      <c r="AH540" s="26">
        <f>AH531*STAFFPLAN_CWS!$E177</f>
        <v>505600</v>
      </c>
      <c r="AI540" s="26">
        <f>AI531*STAFFPLAN_CWS!$E177</f>
        <v>505600</v>
      </c>
      <c r="AJ540" s="26">
        <f>AJ531*STAFFPLAN_CWS!$E177</f>
        <v>505600</v>
      </c>
      <c r="AK540" s="26">
        <f>AK531*STAFFPLAN_CWS!$E177</f>
        <v>505600</v>
      </c>
      <c r="AL540" s="26">
        <f>AL531*STAFFPLAN_CWS!$E177</f>
        <v>505600</v>
      </c>
      <c r="AM540" s="26">
        <f>AM531*STAFFPLAN_CWS!$E177</f>
        <v>505600</v>
      </c>
      <c r="AN540" s="26">
        <f>AN531*STAFFPLAN_CWS!$E177</f>
        <v>505600</v>
      </c>
      <c r="AO540" s="26">
        <f>AO531*STAFFPLAN_CWS!$E177</f>
        <v>505600</v>
      </c>
      <c r="AP540" s="26">
        <f>AP531*STAFFPLAN_CWS!$E177</f>
        <v>505600</v>
      </c>
      <c r="AQ540" s="26">
        <f>AQ531*STAFFPLAN_CWS!$E177</f>
        <v>505600</v>
      </c>
      <c r="AR540" s="26">
        <f>AR531*STAFFPLAN_CWS!$F177</f>
        <v>505600</v>
      </c>
      <c r="AS540" s="26">
        <f>AS531*STAFFPLAN_CWS!$F177</f>
        <v>505600</v>
      </c>
      <c r="AT540" s="26">
        <f>AT531*STAFFPLAN_CWS!$F177</f>
        <v>505600</v>
      </c>
      <c r="AU540" s="26">
        <f>AU531*STAFFPLAN_CWS!$F177</f>
        <v>505600</v>
      </c>
      <c r="AV540" s="26">
        <f>AV531*STAFFPLAN_CWS!$F177</f>
        <v>505600</v>
      </c>
      <c r="AW540" s="26">
        <f>AW531*STAFFPLAN_CWS!$F177</f>
        <v>505600</v>
      </c>
      <c r="AX540" s="26">
        <f>AX531*STAFFPLAN_CWS!$F177</f>
        <v>505600</v>
      </c>
      <c r="AY540" s="26">
        <f>AY531*STAFFPLAN_CWS!$F177</f>
        <v>505600</v>
      </c>
      <c r="AZ540" s="26">
        <f>AZ531*STAFFPLAN_CWS!$F177</f>
        <v>505600</v>
      </c>
      <c r="BA540" s="26">
        <f>BA531*STAFFPLAN_CWS!$F177</f>
        <v>505600</v>
      </c>
      <c r="BB540" s="26">
        <f>BB531*STAFFPLAN_CWS!$F177</f>
        <v>505600</v>
      </c>
      <c r="BC540" s="26">
        <f>BC531*STAFFPLAN_CWS!$F177</f>
        <v>505600</v>
      </c>
      <c r="BD540" s="26">
        <f>BD531*STAFFPLAN_CWS!$G177</f>
        <v>505600</v>
      </c>
      <c r="BE540" s="26">
        <f>BE531*STAFFPLAN_CWS!$G177</f>
        <v>505600</v>
      </c>
      <c r="BF540" s="26">
        <f>BF531*STAFFPLAN_CWS!$G177</f>
        <v>505600</v>
      </c>
      <c r="BG540" s="26">
        <f>BG531*STAFFPLAN_CWS!$G177</f>
        <v>505600</v>
      </c>
      <c r="BH540" s="26">
        <f>BH531*STAFFPLAN_CWS!$G177</f>
        <v>505600</v>
      </c>
      <c r="BI540" s="26">
        <f>BI531*STAFFPLAN_CWS!$G177</f>
        <v>505600</v>
      </c>
      <c r="BJ540" s="26">
        <f>BJ531*STAFFPLAN_CWS!$G177</f>
        <v>505600</v>
      </c>
      <c r="BK540" s="26">
        <f>BK531*STAFFPLAN_CWS!$G177</f>
        <v>505600</v>
      </c>
      <c r="BL540" s="26">
        <f>BL531*STAFFPLAN_CWS!$G177</f>
        <v>505600</v>
      </c>
      <c r="BM540" s="26">
        <f>BM531*STAFFPLAN_CWS!$G177</f>
        <v>505600</v>
      </c>
      <c r="BN540" s="26">
        <f>BN531*STAFFPLAN_CWS!$G177</f>
        <v>505600</v>
      </c>
      <c r="BO540" s="26">
        <f>BO531*STAFFPLAN_CWS!$G177</f>
        <v>505600</v>
      </c>
    </row>
    <row r="541" spans="1:69" outlineLevel="2" x14ac:dyDescent="0.15">
      <c r="A541" s="47" t="str">
        <f>STAFFPLAN_CWS!$A$178</f>
        <v>Salud</v>
      </c>
      <c r="B541" s="32">
        <f>STAFFPLAN_CWS!C178</f>
        <v>0.02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11600</v>
      </c>
      <c r="L541" s="26">
        <f>L531*STAFFPLAN_CWS!$C178</f>
        <v>5800</v>
      </c>
      <c r="M541" s="26">
        <f>M531*STAFFPLAN_CWS!$C178</f>
        <v>11600</v>
      </c>
      <c r="N541" s="26">
        <f>N531*STAFFPLAN_CWS!$C178</f>
        <v>11600</v>
      </c>
      <c r="O541" s="26">
        <f>O531*STAFFPLAN_CWS!$C178</f>
        <v>11600</v>
      </c>
      <c r="P541" s="26">
        <f>P531*STAFFPLAN_CWS!$C178</f>
        <v>11600</v>
      </c>
      <c r="Q541" s="26">
        <f>Q531*STAFFPLAN_CWS!$C178</f>
        <v>11600</v>
      </c>
      <c r="R541" s="26">
        <f>R531*STAFFPLAN_CWS!$C178</f>
        <v>11600</v>
      </c>
      <c r="S541" s="26">
        <f>S531*STAFFPLAN_CWS!$C178</f>
        <v>11600</v>
      </c>
      <c r="T541" s="26">
        <f>T531*STAFFPLAN_CWS!$D178</f>
        <v>63200</v>
      </c>
      <c r="U541" s="26">
        <f>U531*STAFFPLAN_CWS!$D178</f>
        <v>63200</v>
      </c>
      <c r="V541" s="26">
        <f>V531*STAFFPLAN_CWS!$D178</f>
        <v>63200</v>
      </c>
      <c r="W541" s="26">
        <f>W531*STAFFPLAN_CWS!$D178</f>
        <v>63200</v>
      </c>
      <c r="X541" s="26">
        <f>X531*STAFFPLAN_CWS!$D178</f>
        <v>63200</v>
      </c>
      <c r="Y541" s="26">
        <f>Y531*STAFFPLAN_CWS!$D178</f>
        <v>63200</v>
      </c>
      <c r="Z541" s="26">
        <f>Z531*STAFFPLAN_CWS!$D178</f>
        <v>63200</v>
      </c>
      <c r="AA541" s="26">
        <f>AA531*STAFFPLAN_CWS!$D178</f>
        <v>63200</v>
      </c>
      <c r="AB541" s="26">
        <f>AB531*STAFFPLAN_CWS!$D178</f>
        <v>63200</v>
      </c>
      <c r="AC541" s="26">
        <f>AC531*STAFFPLAN_CWS!$D178</f>
        <v>63200</v>
      </c>
      <c r="AD541" s="26">
        <f>AD531*STAFFPLAN_CWS!$D178</f>
        <v>63200</v>
      </c>
      <c r="AE541" s="26">
        <f>AE531*STAFFPLAN_CWS!$D178</f>
        <v>63200</v>
      </c>
      <c r="AF541" s="26">
        <f>AF531*STAFFPLAN_CWS!$E178</f>
        <v>126400</v>
      </c>
      <c r="AG541" s="26">
        <f>AG531*STAFFPLAN_CWS!$E178</f>
        <v>126400</v>
      </c>
      <c r="AH541" s="26">
        <f>AH531*STAFFPLAN_CWS!$E178</f>
        <v>126400</v>
      </c>
      <c r="AI541" s="26">
        <f>AI531*STAFFPLAN_CWS!$E178</f>
        <v>126400</v>
      </c>
      <c r="AJ541" s="26">
        <f>AJ531*STAFFPLAN_CWS!$E178</f>
        <v>126400</v>
      </c>
      <c r="AK541" s="26">
        <f>AK531*STAFFPLAN_CWS!$E178</f>
        <v>126400</v>
      </c>
      <c r="AL541" s="26">
        <f>AL531*STAFFPLAN_CWS!$E178</f>
        <v>126400</v>
      </c>
      <c r="AM541" s="26">
        <f>AM531*STAFFPLAN_CWS!$E178</f>
        <v>126400</v>
      </c>
      <c r="AN541" s="26">
        <f>AN531*STAFFPLAN_CWS!$E178</f>
        <v>126400</v>
      </c>
      <c r="AO541" s="26">
        <f>AO531*STAFFPLAN_CWS!$E178</f>
        <v>126400</v>
      </c>
      <c r="AP541" s="26">
        <f>AP531*STAFFPLAN_CWS!$E178</f>
        <v>126400</v>
      </c>
      <c r="AQ541" s="26">
        <f>AQ531*STAFFPLAN_CWS!$E178</f>
        <v>126400</v>
      </c>
      <c r="AR541" s="26">
        <f>AR531*STAFFPLAN_CWS!$F178</f>
        <v>126400</v>
      </c>
      <c r="AS541" s="26">
        <f>AS531*STAFFPLAN_CWS!$F178</f>
        <v>126400</v>
      </c>
      <c r="AT541" s="26">
        <f>AT531*STAFFPLAN_CWS!$F178</f>
        <v>126400</v>
      </c>
      <c r="AU541" s="26">
        <f>AU531*STAFFPLAN_CWS!$F178</f>
        <v>126400</v>
      </c>
      <c r="AV541" s="26">
        <f>AV531*STAFFPLAN_CWS!$F178</f>
        <v>126400</v>
      </c>
      <c r="AW541" s="26">
        <f>AW531*STAFFPLAN_CWS!$F178</f>
        <v>126400</v>
      </c>
      <c r="AX541" s="26">
        <f>AX531*STAFFPLAN_CWS!$F178</f>
        <v>126400</v>
      </c>
      <c r="AY541" s="26">
        <f>AY531*STAFFPLAN_CWS!$F178</f>
        <v>126400</v>
      </c>
      <c r="AZ541" s="26">
        <f>AZ531*STAFFPLAN_CWS!$F178</f>
        <v>126400</v>
      </c>
      <c r="BA541" s="26">
        <f>BA531*STAFFPLAN_CWS!$F178</f>
        <v>126400</v>
      </c>
      <c r="BB541" s="26">
        <f>BB531*STAFFPLAN_CWS!$F178</f>
        <v>126400</v>
      </c>
      <c r="BC541" s="26">
        <f>BC531*STAFFPLAN_CWS!$F178</f>
        <v>126400</v>
      </c>
      <c r="BD541" s="26">
        <f>BD531*STAFFPLAN_CWS!$G178</f>
        <v>126400</v>
      </c>
      <c r="BE541" s="26">
        <f>BE531*STAFFPLAN_CWS!$G178</f>
        <v>126400</v>
      </c>
      <c r="BF541" s="26">
        <f>BF531*STAFFPLAN_CWS!$G178</f>
        <v>126400</v>
      </c>
      <c r="BG541" s="26">
        <f>BG531*STAFFPLAN_CWS!$G178</f>
        <v>126400</v>
      </c>
      <c r="BH541" s="26">
        <f>BH531*STAFFPLAN_CWS!$G178</f>
        <v>126400</v>
      </c>
      <c r="BI541" s="26">
        <f>BI531*STAFFPLAN_CWS!$G178</f>
        <v>126400</v>
      </c>
      <c r="BJ541" s="26">
        <f>BJ531*STAFFPLAN_CWS!$G178</f>
        <v>126400</v>
      </c>
      <c r="BK541" s="26">
        <f>BK531*STAFFPLAN_CWS!$G178</f>
        <v>126400</v>
      </c>
      <c r="BL541" s="26">
        <f>BL531*STAFFPLAN_CWS!$G178</f>
        <v>126400</v>
      </c>
      <c r="BM541" s="26">
        <f>BM531*STAFFPLAN_CWS!$G178</f>
        <v>126400</v>
      </c>
      <c r="BN541" s="26">
        <f>BN531*STAFFPLAN_CWS!$G178</f>
        <v>126400</v>
      </c>
      <c r="BO541" s="26">
        <f>BO531*STAFFPLAN_CWS!$G178</f>
        <v>126400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58000</v>
      </c>
      <c r="L545" s="26">
        <f t="shared" si="361"/>
        <v>29000</v>
      </c>
      <c r="M545" s="26">
        <f t="shared" si="361"/>
        <v>58000</v>
      </c>
      <c r="N545" s="26">
        <f t="shared" si="361"/>
        <v>58000</v>
      </c>
      <c r="O545" s="26">
        <f t="shared" si="361"/>
        <v>58000</v>
      </c>
      <c r="P545" s="26">
        <f t="shared" si="361"/>
        <v>58000</v>
      </c>
      <c r="Q545" s="26">
        <f t="shared" si="361"/>
        <v>58000</v>
      </c>
      <c r="R545" s="26">
        <f t="shared" si="361"/>
        <v>58000</v>
      </c>
      <c r="S545" s="26">
        <f t="shared" si="361"/>
        <v>58000</v>
      </c>
      <c r="T545" s="26">
        <f t="shared" si="361"/>
        <v>316000</v>
      </c>
      <c r="U545" s="26">
        <f t="shared" si="361"/>
        <v>316000</v>
      </c>
      <c r="V545" s="26">
        <f t="shared" si="361"/>
        <v>316000</v>
      </c>
      <c r="W545" s="26">
        <f t="shared" si="361"/>
        <v>316000</v>
      </c>
      <c r="X545" s="26">
        <f t="shared" si="361"/>
        <v>316000</v>
      </c>
      <c r="Y545" s="26">
        <f t="shared" si="361"/>
        <v>316000</v>
      </c>
      <c r="Z545" s="26">
        <f t="shared" si="361"/>
        <v>316000</v>
      </c>
      <c r="AA545" s="26">
        <f t="shared" si="361"/>
        <v>316000</v>
      </c>
      <c r="AB545" s="26">
        <f t="shared" si="361"/>
        <v>316000</v>
      </c>
      <c r="AC545" s="26">
        <f t="shared" si="361"/>
        <v>316000</v>
      </c>
      <c r="AD545" s="26">
        <f t="shared" si="361"/>
        <v>316000</v>
      </c>
      <c r="AE545" s="26">
        <f t="shared" si="361"/>
        <v>316000</v>
      </c>
      <c r="AF545" s="26">
        <f t="shared" ref="AF545:BO545" si="362">SUM(AF540:AF544)</f>
        <v>632000</v>
      </c>
      <c r="AG545" s="26">
        <f t="shared" si="362"/>
        <v>632000</v>
      </c>
      <c r="AH545" s="26">
        <f t="shared" si="362"/>
        <v>632000</v>
      </c>
      <c r="AI545" s="26">
        <f t="shared" si="362"/>
        <v>632000</v>
      </c>
      <c r="AJ545" s="26">
        <f t="shared" si="362"/>
        <v>632000</v>
      </c>
      <c r="AK545" s="26">
        <f t="shared" si="362"/>
        <v>632000</v>
      </c>
      <c r="AL545" s="26">
        <f t="shared" si="362"/>
        <v>632000</v>
      </c>
      <c r="AM545" s="26">
        <f t="shared" si="362"/>
        <v>632000</v>
      </c>
      <c r="AN545" s="26">
        <f t="shared" si="362"/>
        <v>632000</v>
      </c>
      <c r="AO545" s="26">
        <f t="shared" si="362"/>
        <v>632000</v>
      </c>
      <c r="AP545" s="26">
        <f t="shared" si="362"/>
        <v>632000</v>
      </c>
      <c r="AQ545" s="26">
        <f t="shared" si="362"/>
        <v>632000</v>
      </c>
      <c r="AR545" s="26">
        <f t="shared" si="362"/>
        <v>632000</v>
      </c>
      <c r="AS545" s="26">
        <f t="shared" si="362"/>
        <v>632000</v>
      </c>
      <c r="AT545" s="26">
        <f t="shared" si="362"/>
        <v>632000</v>
      </c>
      <c r="AU545" s="26">
        <f t="shared" si="362"/>
        <v>632000</v>
      </c>
      <c r="AV545" s="26">
        <f t="shared" si="362"/>
        <v>632000</v>
      </c>
      <c r="AW545" s="26">
        <f t="shared" si="362"/>
        <v>632000</v>
      </c>
      <c r="AX545" s="26">
        <f t="shared" si="362"/>
        <v>632000</v>
      </c>
      <c r="AY545" s="26">
        <f t="shared" si="362"/>
        <v>632000</v>
      </c>
      <c r="AZ545" s="26">
        <f t="shared" si="362"/>
        <v>632000</v>
      </c>
      <c r="BA545" s="26">
        <f t="shared" si="362"/>
        <v>632000</v>
      </c>
      <c r="BB545" s="26">
        <f t="shared" si="362"/>
        <v>632000</v>
      </c>
      <c r="BC545" s="26">
        <f t="shared" si="362"/>
        <v>632000</v>
      </c>
      <c r="BD545" s="26">
        <f t="shared" si="362"/>
        <v>632000</v>
      </c>
      <c r="BE545" s="26">
        <f t="shared" si="362"/>
        <v>632000</v>
      </c>
      <c r="BF545" s="26">
        <f t="shared" si="362"/>
        <v>632000</v>
      </c>
      <c r="BG545" s="26">
        <f t="shared" si="362"/>
        <v>632000</v>
      </c>
      <c r="BH545" s="26">
        <f t="shared" si="362"/>
        <v>632000</v>
      </c>
      <c r="BI545" s="26">
        <f t="shared" si="362"/>
        <v>632000</v>
      </c>
      <c r="BJ545" s="26">
        <f t="shared" si="362"/>
        <v>632000</v>
      </c>
      <c r="BK545" s="26">
        <f t="shared" si="362"/>
        <v>632000</v>
      </c>
      <c r="BL545" s="26">
        <f t="shared" si="362"/>
        <v>632000</v>
      </c>
      <c r="BM545" s="26">
        <f t="shared" si="362"/>
        <v>632000</v>
      </c>
      <c r="BN545" s="26">
        <f t="shared" si="362"/>
        <v>632000</v>
      </c>
      <c r="BO545" s="26">
        <f t="shared" si="362"/>
        <v>632000</v>
      </c>
      <c r="BP545" s="38">
        <f>SUM(H545:BO545)</f>
        <v>27037000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493000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3792000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7584000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7584000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7584000</v>
      </c>
      <c r="BP546" s="38">
        <f>SUM(H546:BO546)</f>
        <v>27037000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638000</v>
      </c>
      <c r="L553" s="26">
        <f t="shared" si="365"/>
        <v>319000</v>
      </c>
      <c r="M553" s="26">
        <f t="shared" si="365"/>
        <v>638000</v>
      </c>
      <c r="N553" s="26">
        <f t="shared" si="365"/>
        <v>638000</v>
      </c>
      <c r="O553" s="26">
        <f t="shared" si="365"/>
        <v>638000</v>
      </c>
      <c r="P553" s="26">
        <f t="shared" si="365"/>
        <v>638000</v>
      </c>
      <c r="Q553" s="26">
        <f t="shared" si="365"/>
        <v>638000</v>
      </c>
      <c r="R553" s="26">
        <f t="shared" si="365"/>
        <v>638000</v>
      </c>
      <c r="S553" s="26">
        <f t="shared" si="365"/>
        <v>638000</v>
      </c>
      <c r="T553" s="26">
        <f t="shared" si="365"/>
        <v>1896000</v>
      </c>
      <c r="U553" s="26">
        <f t="shared" si="365"/>
        <v>1896000</v>
      </c>
      <c r="V553" s="26">
        <f t="shared" si="365"/>
        <v>1896000</v>
      </c>
      <c r="W553" s="26">
        <f t="shared" si="365"/>
        <v>1896000</v>
      </c>
      <c r="X553" s="26">
        <f t="shared" si="365"/>
        <v>1896000</v>
      </c>
      <c r="Y553" s="26">
        <f t="shared" si="365"/>
        <v>1896000</v>
      </c>
      <c r="Z553" s="26">
        <f t="shared" si="365"/>
        <v>1896000</v>
      </c>
      <c r="AA553" s="26">
        <f t="shared" si="365"/>
        <v>1896000</v>
      </c>
      <c r="AB553" s="26">
        <f t="shared" si="365"/>
        <v>1896000</v>
      </c>
      <c r="AC553" s="26">
        <f t="shared" si="365"/>
        <v>1896000</v>
      </c>
      <c r="AD553" s="26">
        <f t="shared" si="365"/>
        <v>1896000</v>
      </c>
      <c r="AE553" s="26">
        <f t="shared" si="365"/>
        <v>1896000</v>
      </c>
      <c r="AF553" s="26">
        <f t="shared" si="365"/>
        <v>3792000</v>
      </c>
      <c r="AG553" s="26">
        <f t="shared" si="365"/>
        <v>3792000</v>
      </c>
      <c r="AH553" s="26">
        <f t="shared" si="365"/>
        <v>3792000</v>
      </c>
      <c r="AI553" s="26">
        <f t="shared" si="365"/>
        <v>3792000</v>
      </c>
      <c r="AJ553" s="26">
        <f t="shared" si="365"/>
        <v>3792000</v>
      </c>
      <c r="AK553" s="26">
        <f t="shared" si="365"/>
        <v>3792000</v>
      </c>
      <c r="AL553" s="26">
        <f t="shared" si="365"/>
        <v>3792000</v>
      </c>
      <c r="AM553" s="26">
        <f t="shared" ref="AM553:BO553" si="366">AM551+AM545+AM535</f>
        <v>3792000</v>
      </c>
      <c r="AN553" s="26">
        <f t="shared" si="366"/>
        <v>3792000</v>
      </c>
      <c r="AO553" s="26">
        <f t="shared" si="366"/>
        <v>3792000</v>
      </c>
      <c r="AP553" s="26">
        <f t="shared" si="366"/>
        <v>3792000</v>
      </c>
      <c r="AQ553" s="26">
        <f t="shared" si="366"/>
        <v>3792000</v>
      </c>
      <c r="AR553" s="26">
        <f t="shared" si="366"/>
        <v>3792000</v>
      </c>
      <c r="AS553" s="26">
        <f t="shared" si="366"/>
        <v>3792000</v>
      </c>
      <c r="AT553" s="26">
        <f t="shared" si="366"/>
        <v>3792000</v>
      </c>
      <c r="AU553" s="26">
        <f t="shared" si="366"/>
        <v>3792000</v>
      </c>
      <c r="AV553" s="26">
        <f t="shared" si="366"/>
        <v>3792000</v>
      </c>
      <c r="AW553" s="26">
        <f t="shared" si="366"/>
        <v>3792000</v>
      </c>
      <c r="AX553" s="26">
        <f t="shared" si="366"/>
        <v>3792000</v>
      </c>
      <c r="AY553" s="26">
        <f t="shared" si="366"/>
        <v>3792000</v>
      </c>
      <c r="AZ553" s="26">
        <f t="shared" si="366"/>
        <v>3792000</v>
      </c>
      <c r="BA553" s="26">
        <f t="shared" si="366"/>
        <v>3792000</v>
      </c>
      <c r="BB553" s="26">
        <f t="shared" si="366"/>
        <v>3792000</v>
      </c>
      <c r="BC553" s="26">
        <f t="shared" si="366"/>
        <v>3792000</v>
      </c>
      <c r="BD553" s="26">
        <f t="shared" si="366"/>
        <v>3792000</v>
      </c>
      <c r="BE553" s="26">
        <f t="shared" si="366"/>
        <v>3792000</v>
      </c>
      <c r="BF553" s="26">
        <f t="shared" si="366"/>
        <v>3792000</v>
      </c>
      <c r="BG553" s="26">
        <f t="shared" si="366"/>
        <v>3792000</v>
      </c>
      <c r="BH553" s="26">
        <f t="shared" si="366"/>
        <v>3792000</v>
      </c>
      <c r="BI553" s="26">
        <f t="shared" si="366"/>
        <v>3792000</v>
      </c>
      <c r="BJ553" s="26">
        <f t="shared" si="366"/>
        <v>3792000</v>
      </c>
      <c r="BK553" s="26">
        <f t="shared" si="366"/>
        <v>3792000</v>
      </c>
      <c r="BL553" s="26">
        <f t="shared" si="366"/>
        <v>3792000</v>
      </c>
      <c r="BM553" s="26">
        <f t="shared" si="366"/>
        <v>3792000</v>
      </c>
      <c r="BN553" s="26">
        <f t="shared" si="366"/>
        <v>3792000</v>
      </c>
      <c r="BO553" s="26">
        <f t="shared" si="366"/>
        <v>3792000</v>
      </c>
      <c r="BP553" s="38">
        <f>SUM(G553:BO553)</f>
        <v>164687000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5423000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22752000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45504000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45504000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45504000</v>
      </c>
      <c r="BP554" s="38">
        <f>SUM(G554:BO554)</f>
        <v>164687000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2.5</v>
      </c>
      <c r="L558" s="28">
        <f t="shared" si="367"/>
        <v>2</v>
      </c>
      <c r="M558" s="28">
        <f t="shared" si="367"/>
        <v>3</v>
      </c>
      <c r="N558" s="28">
        <f>N143</f>
        <v>3</v>
      </c>
      <c r="O558" s="28">
        <f t="shared" si="367"/>
        <v>3</v>
      </c>
      <c r="P558" s="28">
        <f t="shared" si="367"/>
        <v>3</v>
      </c>
      <c r="Q558" s="28">
        <f t="shared" si="367"/>
        <v>3</v>
      </c>
      <c r="R558" s="28">
        <f t="shared" si="367"/>
        <v>3</v>
      </c>
      <c r="S558" s="28">
        <f t="shared" si="367"/>
        <v>3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0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2.5</v>
      </c>
      <c r="L560" s="28">
        <f t="shared" si="371"/>
        <v>2</v>
      </c>
      <c r="M560" s="28">
        <f t="shared" si="371"/>
        <v>3</v>
      </c>
      <c r="N560" s="28">
        <f t="shared" si="371"/>
        <v>3</v>
      </c>
      <c r="O560" s="28">
        <f t="shared" si="371"/>
        <v>3</v>
      </c>
      <c r="P560" s="28">
        <f t="shared" si="371"/>
        <v>3</v>
      </c>
      <c r="Q560" s="28">
        <f t="shared" si="371"/>
        <v>3</v>
      </c>
      <c r="R560" s="28">
        <f t="shared" si="371"/>
        <v>3</v>
      </c>
      <c r="S560" s="28">
        <f t="shared" si="371"/>
        <v>3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1006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2725000</v>
      </c>
      <c r="L561" s="26">
        <f t="shared" si="373"/>
        <v>2435000</v>
      </c>
      <c r="M561" s="26">
        <f t="shared" si="373"/>
        <v>2870000</v>
      </c>
      <c r="N561" s="26">
        <f t="shared" si="373"/>
        <v>2870000</v>
      </c>
      <c r="O561" s="26">
        <f t="shared" si="373"/>
        <v>2870000</v>
      </c>
      <c r="P561" s="26">
        <f t="shared" si="373"/>
        <v>2870000</v>
      </c>
      <c r="Q561" s="26">
        <f t="shared" si="373"/>
        <v>2870000</v>
      </c>
      <c r="R561" s="26">
        <f t="shared" si="373"/>
        <v>2870000</v>
      </c>
      <c r="S561" s="26">
        <f t="shared" si="373"/>
        <v>2870000</v>
      </c>
      <c r="T561" s="26">
        <f t="shared" si="373"/>
        <v>3870000</v>
      </c>
      <c r="U561" s="26">
        <f t="shared" si="373"/>
        <v>3870000</v>
      </c>
      <c r="V561" s="26">
        <f t="shared" si="373"/>
        <v>3870000</v>
      </c>
      <c r="W561" s="26">
        <f t="shared" si="373"/>
        <v>3870000</v>
      </c>
      <c r="X561" s="26">
        <f t="shared" si="373"/>
        <v>3870000</v>
      </c>
      <c r="Y561" s="26">
        <f t="shared" si="373"/>
        <v>3870000</v>
      </c>
      <c r="Z561" s="26">
        <f t="shared" si="373"/>
        <v>3870000</v>
      </c>
      <c r="AA561" s="26">
        <f t="shared" si="373"/>
        <v>3870000</v>
      </c>
      <c r="AB561" s="26">
        <f t="shared" si="373"/>
        <v>3870000</v>
      </c>
      <c r="AC561" s="26">
        <f t="shared" si="373"/>
        <v>3870000</v>
      </c>
      <c r="AD561" s="26">
        <f t="shared" si="373"/>
        <v>3870000</v>
      </c>
      <c r="AE561" s="26">
        <f t="shared" si="373"/>
        <v>3870000</v>
      </c>
      <c r="AF561" s="26">
        <f t="shared" si="373"/>
        <v>5740000</v>
      </c>
      <c r="AG561" s="26">
        <f t="shared" si="373"/>
        <v>5740000</v>
      </c>
      <c r="AH561" s="26">
        <f t="shared" si="373"/>
        <v>5740000</v>
      </c>
      <c r="AI561" s="26">
        <f t="shared" si="373"/>
        <v>5740000</v>
      </c>
      <c r="AJ561" s="26">
        <f t="shared" si="373"/>
        <v>5740000</v>
      </c>
      <c r="AK561" s="26">
        <f t="shared" si="373"/>
        <v>5740000</v>
      </c>
      <c r="AL561" s="26">
        <f t="shared" si="373"/>
        <v>5740000</v>
      </c>
      <c r="AM561" s="26">
        <f t="shared" ref="AM561:BO561" si="374">+AM208+AM273+AM356+AM529</f>
        <v>5740000</v>
      </c>
      <c r="AN561" s="26">
        <f t="shared" si="374"/>
        <v>5740000</v>
      </c>
      <c r="AO561" s="26">
        <f t="shared" si="374"/>
        <v>5740000</v>
      </c>
      <c r="AP561" s="26">
        <f t="shared" si="374"/>
        <v>5740000</v>
      </c>
      <c r="AQ561" s="26">
        <f t="shared" si="374"/>
        <v>5740000</v>
      </c>
      <c r="AR561" s="26">
        <f t="shared" si="374"/>
        <v>5740000</v>
      </c>
      <c r="AS561" s="26">
        <f t="shared" si="374"/>
        <v>5740000</v>
      </c>
      <c r="AT561" s="26">
        <f t="shared" si="374"/>
        <v>5740000</v>
      </c>
      <c r="AU561" s="26">
        <f t="shared" si="374"/>
        <v>5740000</v>
      </c>
      <c r="AV561" s="26">
        <f t="shared" si="374"/>
        <v>5740000</v>
      </c>
      <c r="AW561" s="26">
        <f t="shared" si="374"/>
        <v>5740000</v>
      </c>
      <c r="AX561" s="26">
        <f t="shared" si="374"/>
        <v>5740000</v>
      </c>
      <c r="AY561" s="26">
        <f t="shared" si="374"/>
        <v>5740000</v>
      </c>
      <c r="AZ561" s="26">
        <f t="shared" si="374"/>
        <v>5740000</v>
      </c>
      <c r="BA561" s="26">
        <f t="shared" si="374"/>
        <v>5740000</v>
      </c>
      <c r="BB561" s="26">
        <f t="shared" si="374"/>
        <v>5740000</v>
      </c>
      <c r="BC561" s="26">
        <f t="shared" si="374"/>
        <v>5740000</v>
      </c>
      <c r="BD561" s="26">
        <f t="shared" si="374"/>
        <v>5740000</v>
      </c>
      <c r="BE561" s="26">
        <f t="shared" si="374"/>
        <v>5740000</v>
      </c>
      <c r="BF561" s="26">
        <f t="shared" si="374"/>
        <v>5740000</v>
      </c>
      <c r="BG561" s="26">
        <f t="shared" si="374"/>
        <v>5740000</v>
      </c>
      <c r="BH561" s="26">
        <f t="shared" si="374"/>
        <v>5740000</v>
      </c>
      <c r="BI561" s="26">
        <f t="shared" si="374"/>
        <v>5740000</v>
      </c>
      <c r="BJ561" s="26">
        <f t="shared" si="374"/>
        <v>5740000</v>
      </c>
      <c r="BK561" s="26">
        <f t="shared" si="374"/>
        <v>5740000</v>
      </c>
      <c r="BL561" s="26">
        <f t="shared" si="374"/>
        <v>5740000</v>
      </c>
      <c r="BM561" s="26">
        <f t="shared" si="374"/>
        <v>5740000</v>
      </c>
      <c r="BN561" s="26">
        <f t="shared" si="374"/>
        <v>5740000</v>
      </c>
      <c r="BO561" s="26">
        <f t="shared" si="374"/>
        <v>5740000</v>
      </c>
      <c r="BP561" s="38">
        <f t="shared" ref="BP561:BP567" si="375">SUM(H561:BO561)</f>
        <v>278330000</v>
      </c>
    </row>
    <row r="562" spans="1:69" x14ac:dyDescent="0.15">
      <c r="A562" s="44" t="s">
        <v>1007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1008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2725000</v>
      </c>
      <c r="L563" s="26">
        <f t="shared" si="378"/>
        <v>2435000</v>
      </c>
      <c r="M563" s="26">
        <f t="shared" si="378"/>
        <v>2870000</v>
      </c>
      <c r="N563" s="26">
        <f t="shared" si="378"/>
        <v>2870000</v>
      </c>
      <c r="O563" s="26">
        <f t="shared" si="378"/>
        <v>2870000</v>
      </c>
      <c r="P563" s="26">
        <f t="shared" si="378"/>
        <v>2870000</v>
      </c>
      <c r="Q563" s="26">
        <f t="shared" si="378"/>
        <v>2870000</v>
      </c>
      <c r="R563" s="26">
        <f t="shared" si="378"/>
        <v>2870000</v>
      </c>
      <c r="S563" s="26">
        <f t="shared" si="378"/>
        <v>2870000</v>
      </c>
      <c r="T563" s="26">
        <f t="shared" si="378"/>
        <v>3870000</v>
      </c>
      <c r="U563" s="26">
        <f t="shared" si="378"/>
        <v>3870000</v>
      </c>
      <c r="V563" s="26">
        <f t="shared" si="378"/>
        <v>3870000</v>
      </c>
      <c r="W563" s="26">
        <f t="shared" si="378"/>
        <v>3870000</v>
      </c>
      <c r="X563" s="26">
        <f t="shared" si="378"/>
        <v>3870000</v>
      </c>
      <c r="Y563" s="26">
        <f t="shared" si="378"/>
        <v>3870000</v>
      </c>
      <c r="Z563" s="26">
        <f t="shared" si="378"/>
        <v>3870000</v>
      </c>
      <c r="AA563" s="26">
        <f t="shared" si="378"/>
        <v>3870000</v>
      </c>
      <c r="AB563" s="26">
        <f t="shared" si="378"/>
        <v>3870000</v>
      </c>
      <c r="AC563" s="26">
        <f t="shared" si="378"/>
        <v>3870000</v>
      </c>
      <c r="AD563" s="26">
        <f t="shared" si="378"/>
        <v>3870000</v>
      </c>
      <c r="AE563" s="26">
        <f t="shared" si="378"/>
        <v>3870000</v>
      </c>
      <c r="AF563" s="26">
        <f t="shared" si="378"/>
        <v>5740000</v>
      </c>
      <c r="AG563" s="26">
        <f t="shared" si="378"/>
        <v>5740000</v>
      </c>
      <c r="AH563" s="26">
        <f t="shared" si="378"/>
        <v>5740000</v>
      </c>
      <c r="AI563" s="26">
        <f t="shared" si="378"/>
        <v>5740000</v>
      </c>
      <c r="AJ563" s="26">
        <f t="shared" si="378"/>
        <v>5740000</v>
      </c>
      <c r="AK563" s="26">
        <f t="shared" si="378"/>
        <v>5740000</v>
      </c>
      <c r="AL563" s="26">
        <f t="shared" si="378"/>
        <v>5740000</v>
      </c>
      <c r="AM563" s="26">
        <f t="shared" si="378"/>
        <v>5740000</v>
      </c>
      <c r="AN563" s="26">
        <f t="shared" si="378"/>
        <v>5740000</v>
      </c>
      <c r="AO563" s="26">
        <f t="shared" si="378"/>
        <v>5740000</v>
      </c>
      <c r="AP563" s="26">
        <f t="shared" si="378"/>
        <v>5740000</v>
      </c>
      <c r="AQ563" s="26">
        <f t="shared" si="378"/>
        <v>5740000</v>
      </c>
      <c r="AR563" s="26">
        <f t="shared" si="378"/>
        <v>5740000</v>
      </c>
      <c r="AS563" s="26">
        <f t="shared" si="378"/>
        <v>5740000</v>
      </c>
      <c r="AT563" s="26">
        <f t="shared" si="378"/>
        <v>5740000</v>
      </c>
      <c r="AU563" s="26">
        <f t="shared" si="378"/>
        <v>5740000</v>
      </c>
      <c r="AV563" s="26">
        <f t="shared" si="378"/>
        <v>5740000</v>
      </c>
      <c r="AW563" s="26">
        <f t="shared" si="378"/>
        <v>5740000</v>
      </c>
      <c r="AX563" s="26">
        <f t="shared" si="378"/>
        <v>5740000</v>
      </c>
      <c r="AY563" s="26">
        <f t="shared" si="378"/>
        <v>5740000</v>
      </c>
      <c r="AZ563" s="26">
        <f t="shared" si="378"/>
        <v>5740000</v>
      </c>
      <c r="BA563" s="26">
        <f t="shared" si="378"/>
        <v>5740000</v>
      </c>
      <c r="BB563" s="26">
        <f t="shared" si="378"/>
        <v>5740000</v>
      </c>
      <c r="BC563" s="26">
        <f t="shared" si="378"/>
        <v>5740000</v>
      </c>
      <c r="BD563" s="26">
        <f t="shared" si="378"/>
        <v>5740000</v>
      </c>
      <c r="BE563" s="26">
        <f t="shared" si="378"/>
        <v>5740000</v>
      </c>
      <c r="BF563" s="26">
        <f t="shared" si="378"/>
        <v>5740000</v>
      </c>
      <c r="BG563" s="26">
        <f t="shared" si="378"/>
        <v>5740000</v>
      </c>
      <c r="BH563" s="26">
        <f t="shared" si="378"/>
        <v>5740000</v>
      </c>
      <c r="BI563" s="26">
        <f t="shared" si="378"/>
        <v>5740000</v>
      </c>
      <c r="BJ563" s="26">
        <f t="shared" si="378"/>
        <v>5740000</v>
      </c>
      <c r="BK563" s="26">
        <f t="shared" si="378"/>
        <v>5740000</v>
      </c>
      <c r="BL563" s="26">
        <f t="shared" si="378"/>
        <v>5740000</v>
      </c>
      <c r="BM563" s="26">
        <f t="shared" si="378"/>
        <v>5740000</v>
      </c>
      <c r="BN563" s="26">
        <f t="shared" si="378"/>
        <v>5740000</v>
      </c>
      <c r="BO563" s="26">
        <f t="shared" si="378"/>
        <v>5740000</v>
      </c>
      <c r="BP563" s="38">
        <f>SUM(H563:BO563)</f>
        <v>278330000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3000000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2725000</v>
      </c>
      <c r="L565" s="26">
        <f t="shared" si="381"/>
        <v>2435000</v>
      </c>
      <c r="M565" s="26">
        <f t="shared" si="381"/>
        <v>2870000</v>
      </c>
      <c r="N565" s="26">
        <f t="shared" si="381"/>
        <v>2870000</v>
      </c>
      <c r="O565" s="26">
        <f t="shared" si="381"/>
        <v>2870000</v>
      </c>
      <c r="P565" s="26">
        <f t="shared" si="381"/>
        <v>2870000</v>
      </c>
      <c r="Q565" s="26">
        <f t="shared" si="381"/>
        <v>2870000</v>
      </c>
      <c r="R565" s="26">
        <f t="shared" si="381"/>
        <v>2870000</v>
      </c>
      <c r="S565" s="26">
        <f t="shared" si="381"/>
        <v>2870000</v>
      </c>
      <c r="T565" s="26">
        <f t="shared" si="381"/>
        <v>4870000</v>
      </c>
      <c r="U565" s="26">
        <f t="shared" si="381"/>
        <v>4870000</v>
      </c>
      <c r="V565" s="26">
        <f t="shared" si="381"/>
        <v>4870000</v>
      </c>
      <c r="W565" s="26">
        <f t="shared" si="381"/>
        <v>3870000</v>
      </c>
      <c r="X565" s="26">
        <f t="shared" si="381"/>
        <v>3870000</v>
      </c>
      <c r="Y565" s="26">
        <f t="shared" si="381"/>
        <v>3870000</v>
      </c>
      <c r="Z565" s="26">
        <f t="shared" si="381"/>
        <v>3870000</v>
      </c>
      <c r="AA565" s="26">
        <f t="shared" si="381"/>
        <v>3870000</v>
      </c>
      <c r="AB565" s="26">
        <f t="shared" si="381"/>
        <v>3870000</v>
      </c>
      <c r="AC565" s="26">
        <f t="shared" si="381"/>
        <v>3870000</v>
      </c>
      <c r="AD565" s="26">
        <f t="shared" si="381"/>
        <v>3870000</v>
      </c>
      <c r="AE565" s="26">
        <f t="shared" si="381"/>
        <v>3870000</v>
      </c>
      <c r="AF565" s="26">
        <f t="shared" si="381"/>
        <v>5740000</v>
      </c>
      <c r="AG565" s="26">
        <f t="shared" si="381"/>
        <v>5740000</v>
      </c>
      <c r="AH565" s="26">
        <f t="shared" si="381"/>
        <v>5740000</v>
      </c>
      <c r="AI565" s="26">
        <f t="shared" si="381"/>
        <v>5740000</v>
      </c>
      <c r="AJ565" s="26">
        <f t="shared" si="381"/>
        <v>5740000</v>
      </c>
      <c r="AK565" s="26">
        <f t="shared" si="381"/>
        <v>5740000</v>
      </c>
      <c r="AL565" s="26">
        <f t="shared" si="381"/>
        <v>5740000</v>
      </c>
      <c r="AM565" s="26">
        <f t="shared" si="381"/>
        <v>5740000</v>
      </c>
      <c r="AN565" s="26">
        <f t="shared" si="381"/>
        <v>5740000</v>
      </c>
      <c r="AO565" s="26">
        <f t="shared" si="381"/>
        <v>5740000</v>
      </c>
      <c r="AP565" s="26">
        <f t="shared" si="381"/>
        <v>5740000</v>
      </c>
      <c r="AQ565" s="26">
        <f t="shared" si="381"/>
        <v>5740000</v>
      </c>
      <c r="AR565" s="26">
        <f t="shared" si="381"/>
        <v>5740000</v>
      </c>
      <c r="AS565" s="26">
        <f t="shared" si="381"/>
        <v>5740000</v>
      </c>
      <c r="AT565" s="26">
        <f t="shared" si="381"/>
        <v>5740000</v>
      </c>
      <c r="AU565" s="26">
        <f t="shared" si="381"/>
        <v>5740000</v>
      </c>
      <c r="AV565" s="26">
        <f t="shared" si="381"/>
        <v>5740000</v>
      </c>
      <c r="AW565" s="26">
        <f t="shared" si="381"/>
        <v>5740000</v>
      </c>
      <c r="AX565" s="26">
        <f t="shared" si="381"/>
        <v>5740000</v>
      </c>
      <c r="AY565" s="26">
        <f t="shared" si="381"/>
        <v>5740000</v>
      </c>
      <c r="AZ565" s="26">
        <f t="shared" si="381"/>
        <v>5740000</v>
      </c>
      <c r="BA565" s="26">
        <f t="shared" si="381"/>
        <v>5740000</v>
      </c>
      <c r="BB565" s="26">
        <f t="shared" si="381"/>
        <v>5740000</v>
      </c>
      <c r="BC565" s="26">
        <f t="shared" si="381"/>
        <v>5740000</v>
      </c>
      <c r="BD565" s="26">
        <f t="shared" si="381"/>
        <v>5740000</v>
      </c>
      <c r="BE565" s="26">
        <f t="shared" si="381"/>
        <v>5740000</v>
      </c>
      <c r="BF565" s="26">
        <f t="shared" si="381"/>
        <v>5740000</v>
      </c>
      <c r="BG565" s="26">
        <f t="shared" si="381"/>
        <v>5740000</v>
      </c>
      <c r="BH565" s="26">
        <f t="shared" si="381"/>
        <v>5740000</v>
      </c>
      <c r="BI565" s="26">
        <f t="shared" si="381"/>
        <v>5740000</v>
      </c>
      <c r="BJ565" s="26">
        <f t="shared" si="381"/>
        <v>5740000</v>
      </c>
      <c r="BK565" s="26">
        <f t="shared" si="381"/>
        <v>5740000</v>
      </c>
      <c r="BL565" s="26">
        <f t="shared" si="381"/>
        <v>5740000</v>
      </c>
      <c r="BM565" s="26">
        <f t="shared" si="381"/>
        <v>5740000</v>
      </c>
      <c r="BN565" s="26">
        <f t="shared" si="381"/>
        <v>5740000</v>
      </c>
      <c r="BO565" s="26">
        <f t="shared" si="381"/>
        <v>5740000</v>
      </c>
      <c r="BP565" s="38">
        <f t="shared" si="375"/>
        <v>281330000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272500</v>
      </c>
      <c r="L566" s="26">
        <f t="shared" si="382"/>
        <v>243500</v>
      </c>
      <c r="M566" s="26">
        <f t="shared" si="382"/>
        <v>287000</v>
      </c>
      <c r="N566" s="26">
        <f t="shared" si="382"/>
        <v>287000</v>
      </c>
      <c r="O566" s="26">
        <f t="shared" si="382"/>
        <v>287000</v>
      </c>
      <c r="P566" s="26">
        <f t="shared" si="382"/>
        <v>287000</v>
      </c>
      <c r="Q566" s="26">
        <f t="shared" si="382"/>
        <v>287000</v>
      </c>
      <c r="R566" s="26">
        <f t="shared" si="382"/>
        <v>287000</v>
      </c>
      <c r="S566" s="26">
        <f t="shared" si="382"/>
        <v>516000</v>
      </c>
      <c r="T566" s="26">
        <f t="shared" si="382"/>
        <v>774000</v>
      </c>
      <c r="U566" s="26">
        <f t="shared" si="382"/>
        <v>774000</v>
      </c>
      <c r="V566" s="26">
        <f t="shared" si="382"/>
        <v>774000</v>
      </c>
      <c r="W566" s="26">
        <f t="shared" si="382"/>
        <v>774000</v>
      </c>
      <c r="X566" s="26">
        <f t="shared" si="382"/>
        <v>774000</v>
      </c>
      <c r="Y566" s="26">
        <f t="shared" si="382"/>
        <v>774000</v>
      </c>
      <c r="Z566" s="26">
        <f t="shared" si="382"/>
        <v>774000</v>
      </c>
      <c r="AA566" s="26">
        <f t="shared" si="382"/>
        <v>774000</v>
      </c>
      <c r="AB566" s="26">
        <f t="shared" si="382"/>
        <v>774000</v>
      </c>
      <c r="AC566" s="26">
        <f t="shared" si="382"/>
        <v>774000</v>
      </c>
      <c r="AD566" s="26">
        <f t="shared" si="382"/>
        <v>774000</v>
      </c>
      <c r="AE566" s="26">
        <f t="shared" si="382"/>
        <v>774000</v>
      </c>
      <c r="AF566" s="26">
        <f t="shared" si="382"/>
        <v>1148000</v>
      </c>
      <c r="AG566" s="26">
        <f t="shared" si="382"/>
        <v>1148000</v>
      </c>
      <c r="AH566" s="26">
        <f t="shared" si="382"/>
        <v>1148000</v>
      </c>
      <c r="AI566" s="26">
        <f t="shared" si="382"/>
        <v>1148000</v>
      </c>
      <c r="AJ566" s="26">
        <f t="shared" si="382"/>
        <v>1148000</v>
      </c>
      <c r="AK566" s="26">
        <f t="shared" si="382"/>
        <v>1148000</v>
      </c>
      <c r="AL566" s="26">
        <f t="shared" si="382"/>
        <v>1148000</v>
      </c>
      <c r="AM566" s="26">
        <f t="shared" ref="AM566:BO566" si="383">AM289+AM372+AM545+AM224</f>
        <v>1148000</v>
      </c>
      <c r="AN566" s="26">
        <f t="shared" si="383"/>
        <v>1148000</v>
      </c>
      <c r="AO566" s="26">
        <f t="shared" si="383"/>
        <v>1148000</v>
      </c>
      <c r="AP566" s="26">
        <f t="shared" si="383"/>
        <v>1148000</v>
      </c>
      <c r="AQ566" s="26">
        <f t="shared" si="383"/>
        <v>1148000</v>
      </c>
      <c r="AR566" s="26">
        <f t="shared" si="383"/>
        <v>1148000</v>
      </c>
      <c r="AS566" s="26">
        <f t="shared" si="383"/>
        <v>1148000</v>
      </c>
      <c r="AT566" s="26">
        <f t="shared" si="383"/>
        <v>1148000</v>
      </c>
      <c r="AU566" s="26">
        <f t="shared" si="383"/>
        <v>1148000</v>
      </c>
      <c r="AV566" s="26">
        <f t="shared" si="383"/>
        <v>1148000</v>
      </c>
      <c r="AW566" s="26">
        <f t="shared" si="383"/>
        <v>1148000</v>
      </c>
      <c r="AX566" s="26">
        <f t="shared" si="383"/>
        <v>1148000</v>
      </c>
      <c r="AY566" s="26">
        <f t="shared" si="383"/>
        <v>1148000</v>
      </c>
      <c r="AZ566" s="26">
        <f t="shared" si="383"/>
        <v>1148000</v>
      </c>
      <c r="BA566" s="26">
        <f t="shared" si="383"/>
        <v>1148000</v>
      </c>
      <c r="BB566" s="26">
        <f t="shared" si="383"/>
        <v>1148000</v>
      </c>
      <c r="BC566" s="26">
        <f t="shared" si="383"/>
        <v>1148000</v>
      </c>
      <c r="BD566" s="26">
        <f t="shared" si="383"/>
        <v>1148000</v>
      </c>
      <c r="BE566" s="26">
        <f t="shared" si="383"/>
        <v>1148000</v>
      </c>
      <c r="BF566" s="26">
        <f t="shared" si="383"/>
        <v>1148000</v>
      </c>
      <c r="BG566" s="26">
        <f t="shared" si="383"/>
        <v>1148000</v>
      </c>
      <c r="BH566" s="26">
        <f t="shared" si="383"/>
        <v>1148000</v>
      </c>
      <c r="BI566" s="26">
        <f t="shared" si="383"/>
        <v>1148000</v>
      </c>
      <c r="BJ566" s="26">
        <f t="shared" si="383"/>
        <v>1148000</v>
      </c>
      <c r="BK566" s="26">
        <f t="shared" si="383"/>
        <v>1148000</v>
      </c>
      <c r="BL566" s="26">
        <f t="shared" si="383"/>
        <v>1148000</v>
      </c>
      <c r="BM566" s="26">
        <f t="shared" si="383"/>
        <v>1148000</v>
      </c>
      <c r="BN566" s="26">
        <f t="shared" si="383"/>
        <v>1148000</v>
      </c>
      <c r="BO566" s="26">
        <f t="shared" si="383"/>
        <v>1148000</v>
      </c>
      <c r="BP566" s="38">
        <f t="shared" si="375"/>
        <v>53370000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2997500</v>
      </c>
      <c r="L568" s="26">
        <f t="shared" si="386"/>
        <v>2678500</v>
      </c>
      <c r="M568" s="26">
        <f t="shared" si="386"/>
        <v>3157000</v>
      </c>
      <c r="N568" s="26">
        <f t="shared" si="386"/>
        <v>3157000</v>
      </c>
      <c r="O568" s="26">
        <f t="shared" si="386"/>
        <v>3157000</v>
      </c>
      <c r="P568" s="26">
        <f t="shared" si="386"/>
        <v>3157000</v>
      </c>
      <c r="Q568" s="26">
        <f t="shared" si="386"/>
        <v>3157000</v>
      </c>
      <c r="R568" s="26">
        <f t="shared" si="386"/>
        <v>3157000</v>
      </c>
      <c r="S568" s="26">
        <f t="shared" si="386"/>
        <v>3386000</v>
      </c>
      <c r="T568" s="26">
        <f t="shared" si="386"/>
        <v>5644000</v>
      </c>
      <c r="U568" s="26">
        <f t="shared" si="386"/>
        <v>5644000</v>
      </c>
      <c r="V568" s="26">
        <f t="shared" si="386"/>
        <v>5644000</v>
      </c>
      <c r="W568" s="26">
        <f t="shared" si="386"/>
        <v>4644000</v>
      </c>
      <c r="X568" s="26">
        <f t="shared" si="386"/>
        <v>4644000</v>
      </c>
      <c r="Y568" s="26">
        <f t="shared" si="386"/>
        <v>4644000</v>
      </c>
      <c r="Z568" s="26">
        <f t="shared" si="386"/>
        <v>4644000</v>
      </c>
      <c r="AA568" s="26">
        <f t="shared" si="386"/>
        <v>4644000</v>
      </c>
      <c r="AB568" s="26">
        <f t="shared" si="386"/>
        <v>4644000</v>
      </c>
      <c r="AC568" s="26">
        <f t="shared" si="386"/>
        <v>4644000</v>
      </c>
      <c r="AD568" s="26">
        <f t="shared" si="386"/>
        <v>4644000</v>
      </c>
      <c r="AE568" s="26">
        <f t="shared" si="386"/>
        <v>4644000</v>
      </c>
      <c r="AF568" s="26">
        <f t="shared" si="386"/>
        <v>6888000</v>
      </c>
      <c r="AG568" s="26">
        <f t="shared" si="386"/>
        <v>6888000</v>
      </c>
      <c r="AH568" s="26">
        <f t="shared" si="386"/>
        <v>6888000</v>
      </c>
      <c r="AI568" s="26">
        <f t="shared" si="386"/>
        <v>6888000</v>
      </c>
      <c r="AJ568" s="26">
        <f t="shared" si="386"/>
        <v>6888000</v>
      </c>
      <c r="AK568" s="26">
        <f t="shared" si="386"/>
        <v>6888000</v>
      </c>
      <c r="AL568" s="26">
        <f t="shared" si="386"/>
        <v>6888000</v>
      </c>
      <c r="AM568" s="26">
        <f t="shared" ref="AM568:BO568" si="387">AM567+AM566+AM565</f>
        <v>6888000</v>
      </c>
      <c r="AN568" s="26">
        <f t="shared" si="387"/>
        <v>6888000</v>
      </c>
      <c r="AO568" s="26">
        <f t="shared" si="387"/>
        <v>6888000</v>
      </c>
      <c r="AP568" s="26">
        <f t="shared" si="387"/>
        <v>6888000</v>
      </c>
      <c r="AQ568" s="26">
        <f t="shared" si="387"/>
        <v>6888000</v>
      </c>
      <c r="AR568" s="26">
        <f t="shared" si="387"/>
        <v>6888000</v>
      </c>
      <c r="AS568" s="26">
        <f t="shared" si="387"/>
        <v>6888000</v>
      </c>
      <c r="AT568" s="26">
        <f t="shared" si="387"/>
        <v>6888000</v>
      </c>
      <c r="AU568" s="26">
        <f t="shared" si="387"/>
        <v>6888000</v>
      </c>
      <c r="AV568" s="26">
        <f t="shared" si="387"/>
        <v>6888000</v>
      </c>
      <c r="AW568" s="26">
        <f t="shared" si="387"/>
        <v>6888000</v>
      </c>
      <c r="AX568" s="26">
        <f t="shared" si="387"/>
        <v>6888000</v>
      </c>
      <c r="AY568" s="26">
        <f t="shared" si="387"/>
        <v>6888000</v>
      </c>
      <c r="AZ568" s="26">
        <f t="shared" si="387"/>
        <v>6888000</v>
      </c>
      <c r="BA568" s="26">
        <f t="shared" si="387"/>
        <v>6888000</v>
      </c>
      <c r="BB568" s="26">
        <f t="shared" si="387"/>
        <v>6888000</v>
      </c>
      <c r="BC568" s="26">
        <f t="shared" si="387"/>
        <v>6888000</v>
      </c>
      <c r="BD568" s="26">
        <f t="shared" si="387"/>
        <v>6888000</v>
      </c>
      <c r="BE568" s="26">
        <f t="shared" si="387"/>
        <v>6888000</v>
      </c>
      <c r="BF568" s="26">
        <f t="shared" si="387"/>
        <v>6888000</v>
      </c>
      <c r="BG568" s="26">
        <f t="shared" si="387"/>
        <v>6888000</v>
      </c>
      <c r="BH568" s="26">
        <f t="shared" si="387"/>
        <v>6888000</v>
      </c>
      <c r="BI568" s="26">
        <f t="shared" si="387"/>
        <v>6888000</v>
      </c>
      <c r="BJ568" s="26">
        <f t="shared" si="387"/>
        <v>6888000</v>
      </c>
      <c r="BK568" s="26">
        <f t="shared" si="387"/>
        <v>6888000</v>
      </c>
      <c r="BL568" s="26">
        <f t="shared" si="387"/>
        <v>6888000</v>
      </c>
      <c r="BM568" s="26">
        <f t="shared" si="387"/>
        <v>6888000</v>
      </c>
      <c r="BN568" s="26">
        <f t="shared" si="387"/>
        <v>6888000</v>
      </c>
      <c r="BO568" s="26">
        <f t="shared" si="387"/>
        <v>6888000</v>
      </c>
      <c r="BP568" s="38">
        <f>SUM(H568:BO568)</f>
        <v>334700000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28004000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58728000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82656000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82656000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82656000</v>
      </c>
      <c r="BP569" s="38">
        <f>SUM(H569:BO569)</f>
        <v>334700000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2997500</v>
      </c>
      <c r="L570" s="40">
        <f t="shared" si="388"/>
        <v>2678500</v>
      </c>
      <c r="M570" s="40">
        <f t="shared" si="388"/>
        <v>3157000</v>
      </c>
      <c r="N570" s="40">
        <f t="shared" si="388"/>
        <v>3157000</v>
      </c>
      <c r="O570" s="40">
        <f t="shared" si="388"/>
        <v>3157000</v>
      </c>
      <c r="P570" s="40">
        <f t="shared" si="388"/>
        <v>3157000</v>
      </c>
      <c r="Q570" s="40">
        <f t="shared" si="388"/>
        <v>3157000</v>
      </c>
      <c r="R570" s="40">
        <f t="shared" si="388"/>
        <v>3157000</v>
      </c>
      <c r="S570" s="40">
        <f t="shared" si="388"/>
        <v>3386000</v>
      </c>
      <c r="T570" s="40">
        <f t="shared" si="388"/>
        <v>5644000</v>
      </c>
      <c r="U570" s="40">
        <f t="shared" si="388"/>
        <v>5644000</v>
      </c>
      <c r="V570" s="40">
        <f t="shared" si="388"/>
        <v>5644000</v>
      </c>
      <c r="W570" s="40">
        <f t="shared" si="388"/>
        <v>4644000</v>
      </c>
      <c r="X570" s="40">
        <f t="shared" si="388"/>
        <v>4644000</v>
      </c>
      <c r="Y570" s="40">
        <f t="shared" si="388"/>
        <v>4644000</v>
      </c>
      <c r="Z570" s="40">
        <f t="shared" si="388"/>
        <v>4644000</v>
      </c>
      <c r="AA570" s="40">
        <f t="shared" si="388"/>
        <v>4644000</v>
      </c>
      <c r="AB570" s="40">
        <f t="shared" si="388"/>
        <v>4644000</v>
      </c>
      <c r="AC570" s="40">
        <f t="shared" si="388"/>
        <v>4644000</v>
      </c>
      <c r="AD570" s="40">
        <f t="shared" si="388"/>
        <v>4644000</v>
      </c>
      <c r="AE570" s="40">
        <f t="shared" si="388"/>
        <v>4644000</v>
      </c>
      <c r="AF570" s="40">
        <f t="shared" si="388"/>
        <v>6888000</v>
      </c>
      <c r="AG570" s="40">
        <f t="shared" si="388"/>
        <v>6888000</v>
      </c>
      <c r="AH570" s="40">
        <f t="shared" si="388"/>
        <v>6888000</v>
      </c>
      <c r="AI570" s="40">
        <f t="shared" si="388"/>
        <v>6888000</v>
      </c>
      <c r="AJ570" s="40">
        <f t="shared" si="388"/>
        <v>6888000</v>
      </c>
      <c r="AK570" s="40">
        <f t="shared" si="388"/>
        <v>6888000</v>
      </c>
      <c r="AL570" s="40">
        <f t="shared" si="388"/>
        <v>6888000</v>
      </c>
      <c r="AM570" s="40">
        <f t="shared" ref="AM570:BO570" si="389">AM553+AM380+AM297+AM232</f>
        <v>6888000</v>
      </c>
      <c r="AN570" s="40">
        <f t="shared" si="389"/>
        <v>6888000</v>
      </c>
      <c r="AO570" s="40">
        <f t="shared" si="389"/>
        <v>6888000</v>
      </c>
      <c r="AP570" s="40">
        <f t="shared" si="389"/>
        <v>6888000</v>
      </c>
      <c r="AQ570" s="40">
        <f t="shared" si="389"/>
        <v>6888000</v>
      </c>
      <c r="AR570" s="40">
        <f t="shared" si="389"/>
        <v>6888000</v>
      </c>
      <c r="AS570" s="40">
        <f t="shared" si="389"/>
        <v>6888000</v>
      </c>
      <c r="AT570" s="40">
        <f t="shared" si="389"/>
        <v>6888000</v>
      </c>
      <c r="AU570" s="40">
        <f t="shared" si="389"/>
        <v>6888000</v>
      </c>
      <c r="AV570" s="40">
        <f t="shared" si="389"/>
        <v>6888000</v>
      </c>
      <c r="AW570" s="40">
        <f t="shared" si="389"/>
        <v>6888000</v>
      </c>
      <c r="AX570" s="40">
        <f t="shared" si="389"/>
        <v>6888000</v>
      </c>
      <c r="AY570" s="40">
        <f t="shared" si="389"/>
        <v>6888000</v>
      </c>
      <c r="AZ570" s="40">
        <f t="shared" si="389"/>
        <v>6888000</v>
      </c>
      <c r="BA570" s="40">
        <f t="shared" si="389"/>
        <v>6888000</v>
      </c>
      <c r="BB570" s="40">
        <f t="shared" si="389"/>
        <v>6888000</v>
      </c>
      <c r="BC570" s="40">
        <f t="shared" si="389"/>
        <v>6888000</v>
      </c>
      <c r="BD570" s="40">
        <f t="shared" si="389"/>
        <v>6888000</v>
      </c>
      <c r="BE570" s="40">
        <f t="shared" si="389"/>
        <v>6888000</v>
      </c>
      <c r="BF570" s="40">
        <f t="shared" si="389"/>
        <v>6888000</v>
      </c>
      <c r="BG570" s="40">
        <f t="shared" si="389"/>
        <v>6888000</v>
      </c>
      <c r="BH570" s="40">
        <f t="shared" si="389"/>
        <v>6888000</v>
      </c>
      <c r="BI570" s="40">
        <f t="shared" si="389"/>
        <v>6888000</v>
      </c>
      <c r="BJ570" s="40">
        <f t="shared" si="389"/>
        <v>6888000</v>
      </c>
      <c r="BK570" s="40">
        <f t="shared" si="389"/>
        <v>6888000</v>
      </c>
      <c r="BL570" s="40">
        <f t="shared" si="389"/>
        <v>6888000</v>
      </c>
      <c r="BM570" s="40">
        <f t="shared" si="389"/>
        <v>6888000</v>
      </c>
      <c r="BN570" s="40">
        <f t="shared" si="389"/>
        <v>6888000</v>
      </c>
      <c r="BO570" s="40">
        <f t="shared" si="389"/>
        <v>6888000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8:B111 B107 B104:B105 B103 B106 B57:B6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topLeftCell="A159" workbookViewId="0">
      <selection activeCell="D178" sqref="D178"/>
    </sheetView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1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1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3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3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4">
        <v>0.5</v>
      </c>
      <c r="C129" s="384">
        <v>0.5</v>
      </c>
      <c r="D129" s="384">
        <v>0.5</v>
      </c>
      <c r="E129" s="384">
        <v>1</v>
      </c>
      <c r="F129" s="384">
        <v>1</v>
      </c>
      <c r="G129" s="384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4">
        <v>0.5</v>
      </c>
      <c r="C133" s="384">
        <v>0.5</v>
      </c>
      <c r="D133" s="384">
        <v>0.5</v>
      </c>
      <c r="E133" s="384">
        <v>1</v>
      </c>
      <c r="F133" s="384">
        <v>1</v>
      </c>
      <c r="G133" s="384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4">
        <v>0.5</v>
      </c>
      <c r="C137" s="384">
        <v>0.5</v>
      </c>
      <c r="D137" s="384">
        <v>0.5</v>
      </c>
      <c r="E137" s="384">
        <v>1</v>
      </c>
      <c r="F137" s="384">
        <v>1</v>
      </c>
      <c r="G137" s="384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0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4">
        <v>0.5</v>
      </c>
      <c r="C141" s="384">
        <v>0.5</v>
      </c>
      <c r="D141" s="384">
        <v>0.5</v>
      </c>
      <c r="E141" s="384">
        <v>1</v>
      </c>
      <c r="F141" s="384">
        <v>1</v>
      </c>
      <c r="G141" s="384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4">
        <v>0.5</v>
      </c>
      <c r="C145" s="384">
        <v>0.5</v>
      </c>
      <c r="D145" s="384">
        <v>0.5</v>
      </c>
      <c r="E145" s="384">
        <v>1</v>
      </c>
      <c r="F145" s="384">
        <v>1</v>
      </c>
      <c r="G145" s="384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4">
        <v>0.5</v>
      </c>
      <c r="C149" s="384">
        <v>0.5</v>
      </c>
      <c r="D149" s="384">
        <v>0.5</v>
      </c>
      <c r="E149" s="384">
        <v>1</v>
      </c>
      <c r="F149" s="384">
        <v>1</v>
      </c>
      <c r="G149" s="384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4">
        <v>0.5</v>
      </c>
      <c r="C153" s="384">
        <v>0.5</v>
      </c>
      <c r="D153" s="384">
        <v>0.5</v>
      </c>
      <c r="E153" s="384">
        <v>1</v>
      </c>
      <c r="F153" s="384">
        <v>1</v>
      </c>
      <c r="G153" s="384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4">
        <v>0.5</v>
      </c>
      <c r="C157" s="384">
        <v>0.5</v>
      </c>
      <c r="D157" s="384">
        <v>0.5</v>
      </c>
      <c r="E157" s="384">
        <v>1</v>
      </c>
      <c r="F157" s="384">
        <v>1</v>
      </c>
      <c r="G157" s="384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4">
        <v>0.5</v>
      </c>
      <c r="C161" s="384">
        <v>0.5</v>
      </c>
      <c r="D161" s="384">
        <v>0.5</v>
      </c>
      <c r="E161" s="384">
        <v>1</v>
      </c>
      <c r="F161" s="384">
        <v>1</v>
      </c>
      <c r="G161" s="384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4">
        <v>0.5</v>
      </c>
      <c r="C165" s="384">
        <v>0.5</v>
      </c>
      <c r="D165" s="384">
        <v>0.5</v>
      </c>
      <c r="E165" s="384">
        <v>1</v>
      </c>
      <c r="F165" s="384">
        <v>1</v>
      </c>
      <c r="G165" s="384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4">
        <v>0.5</v>
      </c>
      <c r="C169" s="384">
        <v>0.5</v>
      </c>
      <c r="D169" s="384">
        <v>0.5</v>
      </c>
      <c r="E169" s="384">
        <v>1</v>
      </c>
      <c r="F169" s="384">
        <v>1</v>
      </c>
      <c r="G169" s="384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1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1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1180</v>
      </c>
      <c r="B177" s="153">
        <v>0</v>
      </c>
      <c r="C177" s="420">
        <v>0.08</v>
      </c>
      <c r="D177" s="420">
        <v>0.16</v>
      </c>
      <c r="E177" s="420">
        <v>0.16</v>
      </c>
      <c r="F177" s="420">
        <v>0.16</v>
      </c>
      <c r="G177" s="420">
        <v>0.16</v>
      </c>
    </row>
    <row r="178" spans="1:7" x14ac:dyDescent="0.15">
      <c r="A178" s="33" t="s">
        <v>1181</v>
      </c>
      <c r="B178" s="153">
        <v>0</v>
      </c>
      <c r="C178" s="420">
        <v>0.02</v>
      </c>
      <c r="D178" s="420">
        <v>0.04</v>
      </c>
      <c r="E178" s="420">
        <v>0.04</v>
      </c>
      <c r="F178" s="420">
        <v>0.04</v>
      </c>
      <c r="G178" s="420">
        <v>0.04</v>
      </c>
    </row>
    <row r="179" spans="1:7" x14ac:dyDescent="0.15">
      <c r="A179" s="33" t="s">
        <v>1178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1182</v>
      </c>
      <c r="B183" s="122">
        <v>0</v>
      </c>
      <c r="C183" s="317">
        <v>0</v>
      </c>
      <c r="D183" s="317">
        <v>140606</v>
      </c>
      <c r="E183" s="317">
        <v>140606</v>
      </c>
      <c r="F183" s="317">
        <v>140606</v>
      </c>
      <c r="G183" s="317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1153</v>
      </c>
      <c r="C1" s="10" t="s">
        <v>1154</v>
      </c>
      <c r="D1" s="10" t="s">
        <v>1155</v>
      </c>
      <c r="E1" s="10" t="s">
        <v>1156</v>
      </c>
      <c r="F1" s="10" t="s">
        <v>1157</v>
      </c>
    </row>
    <row r="2" spans="1:102" x14ac:dyDescent="0.15">
      <c r="A2" s="14" t="s">
        <v>1152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3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3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25250000</v>
      </c>
      <c r="C7" s="3">
        <f t="shared" si="0"/>
        <v>46440000</v>
      </c>
      <c r="D7" s="3">
        <f t="shared" si="0"/>
        <v>68880000</v>
      </c>
      <c r="E7" s="3">
        <f t="shared" si="0"/>
        <v>68880000</v>
      </c>
      <c r="F7" s="3">
        <f t="shared" si="0"/>
        <v>68880000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25250000</v>
      </c>
      <c r="C9" s="3">
        <f t="shared" si="0"/>
        <v>49440000</v>
      </c>
      <c r="D9" s="3">
        <f t="shared" si="0"/>
        <v>68880000</v>
      </c>
      <c r="E9" s="3">
        <f t="shared" si="0"/>
        <v>68880000</v>
      </c>
      <c r="F9" s="3">
        <f t="shared" si="0"/>
        <v>68880000</v>
      </c>
    </row>
    <row r="10" spans="1:102" x14ac:dyDescent="0.15">
      <c r="A10" s="2" t="s">
        <v>4</v>
      </c>
      <c r="B10" s="3">
        <f t="shared" si="0"/>
        <v>2754000</v>
      </c>
      <c r="C10" s="3">
        <f t="shared" si="0"/>
        <v>9288000</v>
      </c>
      <c r="D10" s="3">
        <f t="shared" si="0"/>
        <v>13776000</v>
      </c>
      <c r="E10" s="3">
        <f t="shared" si="0"/>
        <v>13776000</v>
      </c>
      <c r="F10" s="3">
        <f t="shared" si="0"/>
        <v>13776000</v>
      </c>
    </row>
    <row r="11" spans="1:102" x14ac:dyDescent="0.15">
      <c r="A11" s="5" t="s">
        <v>3</v>
      </c>
      <c r="B11" s="4">
        <f>B10/B9</f>
        <v>0.10906930693069307</v>
      </c>
      <c r="C11" s="4">
        <f>C10/C9</f>
        <v>0.1878640776699029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28004000</v>
      </c>
      <c r="C14" s="3">
        <f>C28+C42+C56+C70</f>
        <v>58728000</v>
      </c>
      <c r="D14" s="3">
        <f>D28+D42+D56+D70</f>
        <v>82656000</v>
      </c>
      <c r="E14" s="3">
        <f>E28+E42+E56+E70</f>
        <v>82656000</v>
      </c>
      <c r="F14" s="3">
        <f>F28+F42+F56+F70</f>
        <v>82656000</v>
      </c>
      <c r="G14" s="1">
        <f>SUM(B14:F14)</f>
        <v>334700000</v>
      </c>
      <c r="H14" s="1">
        <f>+F28+F42+F56+F70</f>
        <v>82656000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20320000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20320000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2261000</v>
      </c>
      <c r="C24" s="26">
        <f>STAFF_CWS!AE225</f>
        <v>5496000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0.11126968503937008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22581000</v>
      </c>
      <c r="C28" s="26">
        <f>STAFF_CWS!AE233</f>
        <v>32976000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1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1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4930000</v>
      </c>
      <c r="C63" s="26">
        <f>STAFF_CWS!AE532</f>
        <v>18960000</v>
      </c>
      <c r="D63" s="26">
        <f>STAFF_CWS!AQ532</f>
        <v>37920000</v>
      </c>
      <c r="E63" s="26">
        <f>STAFF_CWS!BC532</f>
        <v>37920000</v>
      </c>
      <c r="F63" s="26">
        <f>STAFF_CWS!BO532</f>
        <v>37920000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4930000</v>
      </c>
      <c r="C65" s="26">
        <f>STAFF_CWS!AE536</f>
        <v>18960000</v>
      </c>
      <c r="D65" s="26">
        <f>STAFF_CWS!AQ536</f>
        <v>37920000</v>
      </c>
      <c r="E65" s="26">
        <f>STAFF_CWS!BC536</f>
        <v>37920000</v>
      </c>
      <c r="F65" s="26">
        <f>STAFF_CWS!BO536</f>
        <v>37920000</v>
      </c>
    </row>
    <row r="66" spans="1:6" x14ac:dyDescent="0.15">
      <c r="A66" s="2" t="s">
        <v>4</v>
      </c>
      <c r="B66" s="26">
        <f>STAFF_CWS!S546</f>
        <v>493000</v>
      </c>
      <c r="C66" s="26">
        <f>STAFF_CWS!AE546</f>
        <v>3792000</v>
      </c>
      <c r="D66" s="26">
        <f>STAFF_CWS!AQ546</f>
        <v>7584000</v>
      </c>
      <c r="E66" s="26">
        <f>STAFF_CWS!BC546</f>
        <v>7584000</v>
      </c>
      <c r="F66" s="26">
        <f>STAFF_CWS!BO546</f>
        <v>7584000</v>
      </c>
    </row>
    <row r="67" spans="1:6" x14ac:dyDescent="0.15">
      <c r="A67" s="5" t="s">
        <v>3</v>
      </c>
      <c r="B67" s="4">
        <f>B66/B65</f>
        <v>0.1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5423000</v>
      </c>
      <c r="C70" s="26">
        <f>STAFF_CWS!AE554</f>
        <v>22752000</v>
      </c>
      <c r="D70" s="26">
        <f>STAFF_CWS!AQ554</f>
        <v>45504000</v>
      </c>
      <c r="E70" s="26">
        <f>STAFF_CWS!BC554</f>
        <v>45504000</v>
      </c>
      <c r="F70" s="26">
        <f>STAFF_CWS!BO554</f>
        <v>45504000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406" t="s">
        <v>35</v>
      </c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 t="s">
        <v>36</v>
      </c>
      <c r="P1" s="406"/>
      <c r="Q1" s="406"/>
      <c r="R1" s="406"/>
      <c r="S1" s="406"/>
      <c r="T1" s="406"/>
      <c r="U1" s="406"/>
      <c r="V1" s="406"/>
      <c r="W1" s="406"/>
      <c r="X1" s="406"/>
      <c r="Y1" s="406"/>
      <c r="Z1" s="406"/>
      <c r="AA1" s="406" t="s">
        <v>37</v>
      </c>
      <c r="AB1" s="406"/>
      <c r="AC1" s="406"/>
      <c r="AD1" s="406"/>
      <c r="AE1" s="406"/>
      <c r="AF1" s="406"/>
      <c r="AG1" s="406"/>
      <c r="AH1" s="406"/>
      <c r="AI1" s="406"/>
      <c r="AJ1" s="406"/>
      <c r="AK1" s="406"/>
      <c r="AL1" s="406"/>
      <c r="AM1" s="406" t="s">
        <v>38</v>
      </c>
      <c r="AN1" s="406"/>
      <c r="AO1" s="406"/>
      <c r="AP1" s="406"/>
      <c r="AQ1" s="406"/>
      <c r="AR1" s="406"/>
      <c r="AS1" s="406"/>
      <c r="AT1" s="406"/>
      <c r="AU1" s="406"/>
      <c r="AV1" s="406"/>
      <c r="AW1" s="406"/>
      <c r="AX1" s="406"/>
      <c r="AY1" s="406" t="s">
        <v>39</v>
      </c>
      <c r="AZ1" s="406"/>
      <c r="BA1" s="406"/>
      <c r="BB1" s="406"/>
      <c r="BC1" s="406"/>
      <c r="BD1" s="406"/>
      <c r="BE1" s="406"/>
      <c r="BF1" s="406"/>
      <c r="BG1" s="406"/>
      <c r="BH1" s="406"/>
      <c r="BI1" s="406"/>
      <c r="BJ1" s="406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406" t="s">
        <v>151</v>
      </c>
      <c r="B5" s="406"/>
    </row>
    <row r="6" spans="1:63" x14ac:dyDescent="0.15">
      <c r="C6" s="406" t="s">
        <v>35</v>
      </c>
      <c r="D6" s="406"/>
      <c r="E6" s="406"/>
      <c r="F6" s="406"/>
      <c r="G6" s="406"/>
      <c r="H6" s="406"/>
      <c r="I6" s="406"/>
      <c r="J6" s="406"/>
      <c r="K6" s="406"/>
      <c r="L6" s="406"/>
      <c r="M6" s="406"/>
      <c r="N6" s="406"/>
      <c r="O6" s="406" t="s">
        <v>36</v>
      </c>
      <c r="P6" s="406"/>
      <c r="Q6" s="406"/>
      <c r="R6" s="406"/>
      <c r="S6" s="406"/>
      <c r="T6" s="406"/>
      <c r="U6" s="406"/>
      <c r="V6" s="406"/>
      <c r="W6" s="406"/>
      <c r="X6" s="406"/>
      <c r="Y6" s="406"/>
      <c r="Z6" s="406"/>
      <c r="AA6" s="406" t="s">
        <v>37</v>
      </c>
      <c r="AB6" s="406"/>
      <c r="AC6" s="406"/>
      <c r="AD6" s="406"/>
      <c r="AE6" s="406"/>
      <c r="AF6" s="406"/>
      <c r="AG6" s="406"/>
      <c r="AH6" s="406"/>
      <c r="AI6" s="406"/>
      <c r="AJ6" s="406"/>
      <c r="AK6" s="406"/>
      <c r="AL6" s="406"/>
      <c r="AM6" s="406" t="s">
        <v>38</v>
      </c>
      <c r="AN6" s="406"/>
      <c r="AO6" s="406"/>
      <c r="AP6" s="406"/>
      <c r="AQ6" s="406"/>
      <c r="AR6" s="406"/>
      <c r="AS6" s="406"/>
      <c r="AT6" s="406"/>
      <c r="AU6" s="406"/>
      <c r="AV6" s="406"/>
      <c r="AW6" s="406"/>
      <c r="AX6" s="406"/>
      <c r="AY6" s="406" t="s">
        <v>39</v>
      </c>
      <c r="AZ6" s="406"/>
      <c r="BA6" s="406"/>
      <c r="BB6" s="406"/>
      <c r="BC6" s="406"/>
      <c r="BD6" s="406"/>
      <c r="BE6" s="406"/>
      <c r="BF6" s="406"/>
      <c r="BG6" s="406"/>
      <c r="BH6" s="406"/>
      <c r="BI6" s="406"/>
      <c r="BJ6" s="406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2.5</v>
      </c>
      <c r="G8" s="12">
        <f>STAFF_CWS!L560</f>
        <v>2</v>
      </c>
      <c r="H8" s="12">
        <f>STAFF_CWS!M560</f>
        <v>3</v>
      </c>
      <c r="I8" s="12">
        <f>STAFF_CWS!N560</f>
        <v>3</v>
      </c>
      <c r="J8" s="12">
        <f>STAFF_CWS!O560</f>
        <v>3</v>
      </c>
      <c r="K8" s="12">
        <f>STAFF_CWS!P560</f>
        <v>3</v>
      </c>
      <c r="L8" s="12">
        <f>STAFF_CWS!Q560</f>
        <v>3</v>
      </c>
      <c r="M8" s="12">
        <f>STAFF_CWS!R560</f>
        <v>3</v>
      </c>
      <c r="N8" s="12">
        <f>STAFF_CWS!S560</f>
        <v>3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1009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2725000</v>
      </c>
      <c r="G9" s="9">
        <f>+STAFF_CWS!L561</f>
        <v>2435000</v>
      </c>
      <c r="H9" s="9">
        <f>+STAFF_CWS!M561</f>
        <v>2870000</v>
      </c>
      <c r="I9" s="9">
        <f>+STAFF_CWS!N561</f>
        <v>2870000</v>
      </c>
      <c r="J9" s="9">
        <f>+STAFF_CWS!O561</f>
        <v>2870000</v>
      </c>
      <c r="K9" s="9">
        <f>+STAFF_CWS!P561</f>
        <v>2870000</v>
      </c>
      <c r="L9" s="9">
        <f>+STAFF_CWS!Q561</f>
        <v>2870000</v>
      </c>
      <c r="M9" s="9">
        <f>+STAFF_CWS!R561</f>
        <v>2870000</v>
      </c>
      <c r="N9" s="9">
        <f>+STAFF_CWS!S561</f>
        <v>2870000</v>
      </c>
      <c r="O9" s="9">
        <f>+STAFF_CWS!T561</f>
        <v>3870000</v>
      </c>
      <c r="P9" s="9">
        <f>+STAFF_CWS!U561</f>
        <v>3870000</v>
      </c>
      <c r="Q9" s="9">
        <f>+STAFF_CWS!V561</f>
        <v>3870000</v>
      </c>
      <c r="R9" s="9">
        <f>+STAFF_CWS!W561</f>
        <v>3870000</v>
      </c>
      <c r="S9" s="9">
        <f>+STAFF_CWS!X561</f>
        <v>3870000</v>
      </c>
      <c r="T9" s="9">
        <f>+STAFF_CWS!Y561</f>
        <v>3870000</v>
      </c>
      <c r="U9" s="9">
        <f>+STAFF_CWS!Z561</f>
        <v>3870000</v>
      </c>
      <c r="V9" s="9">
        <f>+STAFF_CWS!AA561</f>
        <v>3870000</v>
      </c>
      <c r="W9" s="9">
        <f>+STAFF_CWS!AB561</f>
        <v>3870000</v>
      </c>
      <c r="X9" s="9">
        <f>+STAFF_CWS!AC561</f>
        <v>3870000</v>
      </c>
      <c r="Y9" s="9">
        <f>+STAFF_CWS!AD561</f>
        <v>3870000</v>
      </c>
      <c r="Z9" s="9">
        <f>+STAFF_CWS!AE561</f>
        <v>3870000</v>
      </c>
      <c r="AA9" s="9">
        <f>+STAFF_CWS!AF561</f>
        <v>5740000</v>
      </c>
      <c r="AB9" s="9">
        <f>+STAFF_CWS!AG561</f>
        <v>5740000</v>
      </c>
      <c r="AC9" s="9">
        <f>+STAFF_CWS!AH561</f>
        <v>5740000</v>
      </c>
      <c r="AD9" s="9">
        <f>+STAFF_CWS!AI561</f>
        <v>5740000</v>
      </c>
      <c r="AE9" s="9">
        <f>+STAFF_CWS!AJ561</f>
        <v>5740000</v>
      </c>
      <c r="AF9" s="9">
        <f>+STAFF_CWS!AK561</f>
        <v>5740000</v>
      </c>
      <c r="AG9" s="9">
        <f>+STAFF_CWS!AL561</f>
        <v>5740000</v>
      </c>
      <c r="AH9" s="9">
        <f>+STAFF_CWS!AM561</f>
        <v>5740000</v>
      </c>
      <c r="AI9" s="9">
        <f>+STAFF_CWS!AN561</f>
        <v>5740000</v>
      </c>
      <c r="AJ9" s="9">
        <f>+STAFF_CWS!AO561</f>
        <v>5740000</v>
      </c>
      <c r="AK9" s="9">
        <f>+STAFF_CWS!AP561</f>
        <v>5740000</v>
      </c>
      <c r="AL9" s="9">
        <f>+STAFF_CWS!AQ561</f>
        <v>5740000</v>
      </c>
      <c r="AM9" s="9">
        <f>+STAFF_CWS!AR561</f>
        <v>5740000</v>
      </c>
      <c r="AN9" s="9">
        <f>+STAFF_CWS!AS561</f>
        <v>5740000</v>
      </c>
      <c r="AO9" s="9">
        <f>+STAFF_CWS!AT561</f>
        <v>5740000</v>
      </c>
      <c r="AP9" s="9">
        <f>+STAFF_CWS!AU561</f>
        <v>5740000</v>
      </c>
      <c r="AQ9" s="9">
        <f>+STAFF_CWS!AV561</f>
        <v>5740000</v>
      </c>
      <c r="AR9" s="9">
        <f>+STAFF_CWS!AW561</f>
        <v>5740000</v>
      </c>
      <c r="AS9" s="9">
        <f>+STAFF_CWS!AX561</f>
        <v>5740000</v>
      </c>
      <c r="AT9" s="9">
        <f>+STAFF_CWS!AY561</f>
        <v>5740000</v>
      </c>
      <c r="AU9" s="9">
        <f>+STAFF_CWS!AZ561</f>
        <v>5740000</v>
      </c>
      <c r="AV9" s="9">
        <f>+STAFF_CWS!BA561</f>
        <v>5740000</v>
      </c>
      <c r="AW9" s="9">
        <f>+STAFF_CWS!BB561</f>
        <v>5740000</v>
      </c>
      <c r="AX9" s="9">
        <f>+STAFF_CWS!BC561</f>
        <v>5740000</v>
      </c>
      <c r="AY9" s="9">
        <f>+STAFF_CWS!BD561</f>
        <v>5740000</v>
      </c>
      <c r="AZ9" s="9">
        <f>+STAFF_CWS!BE561</f>
        <v>5740000</v>
      </c>
      <c r="BA9" s="9">
        <f>+STAFF_CWS!BF561</f>
        <v>5740000</v>
      </c>
      <c r="BB9" s="9">
        <f>+STAFF_CWS!BG561</f>
        <v>5740000</v>
      </c>
      <c r="BC9" s="9">
        <f>+STAFF_CWS!BH561</f>
        <v>5740000</v>
      </c>
      <c r="BD9" s="9">
        <f>+STAFF_CWS!BI561</f>
        <v>5740000</v>
      </c>
      <c r="BE9" s="9">
        <f>+STAFF_CWS!BJ561</f>
        <v>5740000</v>
      </c>
      <c r="BF9" s="9">
        <f>+STAFF_CWS!BK561</f>
        <v>5740000</v>
      </c>
      <c r="BG9" s="9">
        <f>+STAFF_CWS!BL561</f>
        <v>5740000</v>
      </c>
      <c r="BH9" s="9">
        <f>+STAFF_CWS!BM561</f>
        <v>5740000</v>
      </c>
      <c r="BI9" s="9">
        <f>+STAFF_CWS!BN561</f>
        <v>5740000</v>
      </c>
      <c r="BJ9" s="9">
        <f>+STAFF_CWS!BO561</f>
        <v>5740000</v>
      </c>
      <c r="BK9" s="37">
        <f>SUM(C9:BJ9)</f>
        <v>278330000</v>
      </c>
    </row>
    <row r="10" spans="1:63" x14ac:dyDescent="0.15">
      <c r="B10" s="33" t="s">
        <v>1010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2725000</v>
      </c>
      <c r="G11" s="9">
        <f t="shared" si="0"/>
        <v>2435000</v>
      </c>
      <c r="H11" s="9">
        <f t="shared" si="0"/>
        <v>2870000</v>
      </c>
      <c r="I11" s="9">
        <f t="shared" si="0"/>
        <v>2870000</v>
      </c>
      <c r="J11" s="9">
        <f t="shared" si="0"/>
        <v>2870000</v>
      </c>
      <c r="K11" s="9">
        <f t="shared" si="0"/>
        <v>2870000</v>
      </c>
      <c r="L11" s="9">
        <f t="shared" si="0"/>
        <v>2870000</v>
      </c>
      <c r="M11" s="9">
        <f t="shared" si="0"/>
        <v>2870000</v>
      </c>
      <c r="N11" s="9">
        <f t="shared" si="0"/>
        <v>2870000</v>
      </c>
      <c r="O11" s="9">
        <f t="shared" si="0"/>
        <v>3870000</v>
      </c>
      <c r="P11" s="9">
        <f t="shared" si="0"/>
        <v>3870000</v>
      </c>
      <c r="Q11" s="9">
        <f t="shared" si="0"/>
        <v>3870000</v>
      </c>
      <c r="R11" s="9">
        <f t="shared" si="0"/>
        <v>3870000</v>
      </c>
      <c r="S11" s="9">
        <f t="shared" si="0"/>
        <v>3870000</v>
      </c>
      <c r="T11" s="9">
        <f t="shared" si="0"/>
        <v>3870000</v>
      </c>
      <c r="U11" s="9">
        <f t="shared" si="0"/>
        <v>3870000</v>
      </c>
      <c r="V11" s="9">
        <f t="shared" si="0"/>
        <v>3870000</v>
      </c>
      <c r="W11" s="9">
        <f t="shared" si="0"/>
        <v>3870000</v>
      </c>
      <c r="X11" s="9">
        <f t="shared" si="0"/>
        <v>3870000</v>
      </c>
      <c r="Y11" s="9">
        <f t="shared" si="0"/>
        <v>3870000</v>
      </c>
      <c r="Z11" s="9">
        <f t="shared" si="0"/>
        <v>3870000</v>
      </c>
      <c r="AA11" s="9">
        <f t="shared" si="0"/>
        <v>5740000</v>
      </c>
      <c r="AB11" s="9">
        <f t="shared" si="0"/>
        <v>5740000</v>
      </c>
      <c r="AC11" s="9">
        <f t="shared" si="0"/>
        <v>5740000</v>
      </c>
      <c r="AD11" s="9">
        <f t="shared" si="0"/>
        <v>5740000</v>
      </c>
      <c r="AE11" s="9">
        <f t="shared" si="0"/>
        <v>5740000</v>
      </c>
      <c r="AF11" s="9">
        <f t="shared" si="0"/>
        <v>5740000</v>
      </c>
      <c r="AG11" s="9">
        <f t="shared" si="0"/>
        <v>5740000</v>
      </c>
      <c r="AH11" s="9">
        <f t="shared" si="0"/>
        <v>5740000</v>
      </c>
      <c r="AI11" s="9">
        <f t="shared" si="0"/>
        <v>5740000</v>
      </c>
      <c r="AJ11" s="9">
        <f t="shared" si="0"/>
        <v>5740000</v>
      </c>
      <c r="AK11" s="9">
        <f t="shared" si="0"/>
        <v>5740000</v>
      </c>
      <c r="AL11" s="9">
        <f t="shared" si="0"/>
        <v>5740000</v>
      </c>
      <c r="AM11" s="9">
        <f t="shared" si="0"/>
        <v>5740000</v>
      </c>
      <c r="AN11" s="9">
        <f t="shared" si="0"/>
        <v>5740000</v>
      </c>
      <c r="AO11" s="9">
        <f t="shared" si="0"/>
        <v>5740000</v>
      </c>
      <c r="AP11" s="9">
        <f t="shared" si="0"/>
        <v>5740000</v>
      </c>
      <c r="AQ11" s="9">
        <f t="shared" si="0"/>
        <v>5740000</v>
      </c>
      <c r="AR11" s="9">
        <f t="shared" si="0"/>
        <v>5740000</v>
      </c>
      <c r="AS11" s="9">
        <f t="shared" si="0"/>
        <v>5740000</v>
      </c>
      <c r="AT11" s="9">
        <f t="shared" si="0"/>
        <v>5740000</v>
      </c>
      <c r="AU11" s="9">
        <f t="shared" si="0"/>
        <v>5740000</v>
      </c>
      <c r="AV11" s="9">
        <f t="shared" si="0"/>
        <v>5740000</v>
      </c>
      <c r="AW11" s="9">
        <f t="shared" si="0"/>
        <v>5740000</v>
      </c>
      <c r="AX11" s="9">
        <f t="shared" si="0"/>
        <v>5740000</v>
      </c>
      <c r="AY11" s="9">
        <f t="shared" si="0"/>
        <v>5740000</v>
      </c>
      <c r="AZ11" s="9">
        <f t="shared" si="0"/>
        <v>5740000</v>
      </c>
      <c r="BA11" s="9">
        <f t="shared" si="0"/>
        <v>5740000</v>
      </c>
      <c r="BB11" s="9">
        <f t="shared" si="0"/>
        <v>5740000</v>
      </c>
      <c r="BC11" s="9">
        <f t="shared" si="0"/>
        <v>5740000</v>
      </c>
      <c r="BD11" s="9">
        <f t="shared" si="0"/>
        <v>5740000</v>
      </c>
      <c r="BE11" s="9">
        <f t="shared" si="0"/>
        <v>5740000</v>
      </c>
      <c r="BF11" s="9">
        <f t="shared" si="0"/>
        <v>5740000</v>
      </c>
      <c r="BG11" s="9">
        <f t="shared" si="0"/>
        <v>5740000</v>
      </c>
      <c r="BH11" s="9">
        <f t="shared" si="0"/>
        <v>5740000</v>
      </c>
      <c r="BI11" s="9">
        <f t="shared" si="0"/>
        <v>5740000</v>
      </c>
      <c r="BJ11" s="9">
        <f t="shared" si="0"/>
        <v>5740000</v>
      </c>
      <c r="BK11" s="37">
        <f>SUM(BK9:BK10)</f>
        <v>278330000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406" t="s">
        <v>154</v>
      </c>
      <c r="B13" s="406"/>
    </row>
    <row r="14" spans="1:63" x14ac:dyDescent="0.15">
      <c r="C14" s="406" t="s">
        <v>35</v>
      </c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 t="s">
        <v>36</v>
      </c>
      <c r="P14" s="406"/>
      <c r="Q14" s="406"/>
      <c r="R14" s="406"/>
      <c r="S14" s="406"/>
      <c r="T14" s="406"/>
      <c r="U14" s="406"/>
      <c r="V14" s="406"/>
      <c r="W14" s="406"/>
      <c r="X14" s="406"/>
      <c r="Y14" s="406"/>
      <c r="Z14" s="406"/>
      <c r="AA14" s="406" t="s">
        <v>37</v>
      </c>
      <c r="AB14" s="406"/>
      <c r="AC14" s="406"/>
      <c r="AD14" s="406"/>
      <c r="AE14" s="406"/>
      <c r="AF14" s="406"/>
      <c r="AG14" s="406"/>
      <c r="AH14" s="406"/>
      <c r="AI14" s="406"/>
      <c r="AJ14" s="406"/>
      <c r="AK14" s="406"/>
      <c r="AL14" s="406"/>
      <c r="AM14" s="406" t="s">
        <v>38</v>
      </c>
      <c r="AN14" s="406"/>
      <c r="AO14" s="406"/>
      <c r="AP14" s="406"/>
      <c r="AQ14" s="406"/>
      <c r="AR14" s="406"/>
      <c r="AS14" s="406"/>
      <c r="AT14" s="406"/>
      <c r="AU14" s="406"/>
      <c r="AV14" s="406"/>
      <c r="AW14" s="406"/>
      <c r="AX14" s="406"/>
      <c r="AY14" s="406" t="s">
        <v>39</v>
      </c>
      <c r="AZ14" s="406"/>
      <c r="BA14" s="406"/>
      <c r="BB14" s="406"/>
      <c r="BC14" s="406"/>
      <c r="BD14" s="406"/>
      <c r="BE14" s="406"/>
      <c r="BF14" s="406"/>
      <c r="BG14" s="406"/>
      <c r="BH14" s="406"/>
      <c r="BI14" s="406"/>
      <c r="BJ14" s="406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1.5</v>
      </c>
      <c r="G16" s="12">
        <f>STAFF_CWS!L27</f>
        <v>1.5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0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0.5</v>
      </c>
      <c r="H19" s="12">
        <f>STAFF_CWS!M135</f>
        <v>1</v>
      </c>
      <c r="I19" s="12">
        <f>STAFF_CWS!N135</f>
        <v>1</v>
      </c>
      <c r="J19" s="12">
        <f>STAFF_CWS!O135</f>
        <v>1</v>
      </c>
      <c r="K19" s="12">
        <f>STAFF_CWS!P135</f>
        <v>1</v>
      </c>
      <c r="L19" s="12">
        <f>STAFF_CWS!Q135</f>
        <v>1</v>
      </c>
      <c r="M19" s="12">
        <f>STAFF_CWS!R135</f>
        <v>1</v>
      </c>
      <c r="N19" s="12">
        <f>STAFF_CWS!S135</f>
        <v>1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2.5</v>
      </c>
      <c r="G20" s="12">
        <f t="shared" si="1"/>
        <v>2</v>
      </c>
      <c r="H20" s="12">
        <f t="shared" si="1"/>
        <v>3</v>
      </c>
      <c r="I20" s="12">
        <f t="shared" si="1"/>
        <v>3</v>
      </c>
      <c r="J20" s="12">
        <f t="shared" si="1"/>
        <v>3</v>
      </c>
      <c r="K20" s="12">
        <f t="shared" si="1"/>
        <v>3</v>
      </c>
      <c r="L20" s="12">
        <f t="shared" si="1"/>
        <v>3</v>
      </c>
      <c r="M20" s="12">
        <f t="shared" si="1"/>
        <v>3</v>
      </c>
      <c r="N20" s="12">
        <f t="shared" si="1"/>
        <v>3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195</vt:i4>
      </vt:variant>
    </vt:vector>
  </HeadingPairs>
  <TitlesOfParts>
    <vt:vector size="25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CostoVentaDiarioDomicilioAN1</vt:lpstr>
      <vt:lpstr>CostoVentaDiarioLocalAN1</vt:lpstr>
      <vt:lpstr>CostoVentaPDiarioAN1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IngresoPDiarioAN1</vt:lpstr>
      <vt:lpstr>IngresoPFusionAN1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PrecioPDiarioAN1</vt:lpstr>
      <vt:lpstr>PronosticoVentaAñ1</vt:lpstr>
      <vt:lpstr>PronosticoVentaAñ2</vt:lpstr>
      <vt:lpstr>PronosticoVentaAñ3</vt:lpstr>
      <vt:lpstr>PronosticoVentaAñ4</vt:lpstr>
      <vt:lpstr>PronosticoVentaAñ5</vt:lpstr>
      <vt:lpstr>PyGGastosAbrilAN1</vt:lpstr>
      <vt:lpstr>PyGIngresoNetoAbrilAN1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2023-05-18T05:52:36Z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