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D5923443-460A-F84B-BD97-4839A0A2631A}" xr6:coauthVersionLast="47" xr6:coauthVersionMax="47" xr10:uidLastSave="{00000000-0000-0000-0000-000000000000}"/>
  <bookViews>
    <workbookView xWindow="0" yWindow="460" windowWidth="18000" windowHeight="12240" firstSheet="25" activeTab="29" xr2:uid="{E50F3A90-6C3A-7E44-BFF9-C5EB15E57DD5}"/>
    <workbookView xWindow="16800" yWindow="460" windowWidth="16800" windowHeight="10260" firstSheet="3" activeTab="6" xr2:uid="{29934939-0187-C44C-BB17-69C1A4EDF04A}"/>
    <workbookView xWindow="5080" yWindow="4060" windowWidth="19640" windowHeight="13440" firstSheet="35" activeTab="40" xr2:uid="{739CD0CF-5A5E-A343-9F92-C8F55810E87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'REV-REVCALC_CWS'!$F$90</definedName>
    <definedName name="TotalIngresoProductoFusion">COGS_DB!$F$97,COGS_DB!$F$123,COGS_DB!$F$128</definedName>
    <definedName name="TotalIngresos">'REV-REVCALC_CWS'!$A$84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47" l="1"/>
  <c r="C19" i="47"/>
  <c r="C36" i="47"/>
  <c r="C38" i="47"/>
  <c r="C6" i="48"/>
  <c r="C9" i="48"/>
  <c r="C8" i="48"/>
  <c r="C13" i="48"/>
  <c r="C35" i="48"/>
  <c r="D78" i="49"/>
  <c r="R78" i="49"/>
  <c r="R139" i="49"/>
  <c r="R141" i="49"/>
  <c r="O45" i="48"/>
  <c r="Q126" i="59"/>
  <c r="Q127" i="59"/>
  <c r="C34" i="48"/>
  <c r="D5" i="49"/>
  <c r="R5" i="49"/>
  <c r="R66" i="49"/>
  <c r="R68" i="49"/>
  <c r="O41" i="48"/>
  <c r="Q121" i="59"/>
  <c r="Q122" i="59"/>
  <c r="O28" i="48"/>
  <c r="Q116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0" i="48"/>
  <c r="P14" i="67"/>
  <c r="P17" i="67"/>
  <c r="P18" i="67"/>
  <c r="P20" i="67"/>
  <c r="P39" i="64"/>
  <c r="D38" i="50"/>
  <c r="D34" i="50"/>
  <c r="D35" i="50"/>
  <c r="D66" i="50"/>
  <c r="D67" i="50"/>
  <c r="D69" i="50"/>
  <c r="E65" i="50"/>
  <c r="D36" i="47"/>
  <c r="D38" i="47"/>
  <c r="D6" i="48"/>
  <c r="D9" i="48"/>
  <c r="D8" i="48"/>
  <c r="D13" i="48"/>
  <c r="E38" i="50"/>
  <c r="E34" i="50"/>
  <c r="E35" i="50"/>
  <c r="E66" i="50"/>
  <c r="E67" i="50"/>
  <c r="E69" i="50"/>
  <c r="F65" i="50"/>
  <c r="E36" i="47"/>
  <c r="E38" i="47"/>
  <c r="E6" i="48"/>
  <c r="E9" i="48"/>
  <c r="E8" i="48"/>
  <c r="E13" i="48"/>
  <c r="F38" i="50"/>
  <c r="F34" i="50"/>
  <c r="F35" i="50"/>
  <c r="F66" i="50"/>
  <c r="F67" i="50"/>
  <c r="F68" i="50"/>
  <c r="F69" i="50"/>
  <c r="G65" i="50"/>
  <c r="F38" i="47"/>
  <c r="F6" i="48"/>
  <c r="F9" i="48"/>
  <c r="F8" i="48"/>
  <c r="F13" i="48"/>
  <c r="G38" i="50"/>
  <c r="G34" i="50"/>
  <c r="G35" i="50"/>
  <c r="G66" i="50"/>
  <c r="G67" i="50"/>
  <c r="G68" i="50"/>
  <c r="G69" i="50"/>
  <c r="H65" i="50"/>
  <c r="G38" i="47"/>
  <c r="G6" i="48"/>
  <c r="G9" i="48"/>
  <c r="G8" i="48"/>
  <c r="G13" i="48"/>
  <c r="H38" i="50"/>
  <c r="H34" i="50"/>
  <c r="H35" i="50"/>
  <c r="H66" i="50"/>
  <c r="H67" i="50"/>
  <c r="H68" i="50"/>
  <c r="H69" i="50"/>
  <c r="I65" i="50"/>
  <c r="H38" i="47"/>
  <c r="H6" i="48"/>
  <c r="H9" i="48"/>
  <c r="H8" i="48"/>
  <c r="H13" i="48"/>
  <c r="I38" i="50"/>
  <c r="I34" i="50"/>
  <c r="I35" i="50"/>
  <c r="I66" i="50"/>
  <c r="I67" i="50"/>
  <c r="I68" i="50"/>
  <c r="I69" i="50"/>
  <c r="J65" i="50"/>
  <c r="I38" i="47"/>
  <c r="I6" i="48"/>
  <c r="I9" i="48"/>
  <c r="I8" i="48"/>
  <c r="I13" i="48"/>
  <c r="J38" i="50"/>
  <c r="J34" i="50"/>
  <c r="J35" i="50"/>
  <c r="J66" i="50"/>
  <c r="J67" i="50"/>
  <c r="J68" i="50"/>
  <c r="J69" i="50"/>
  <c r="K65" i="50"/>
  <c r="J38" i="47"/>
  <c r="J6" i="48"/>
  <c r="J9" i="48"/>
  <c r="J8" i="48"/>
  <c r="J13" i="48"/>
  <c r="K38" i="50"/>
  <c r="K34" i="50"/>
  <c r="K35" i="50"/>
  <c r="K66" i="50"/>
  <c r="K67" i="50"/>
  <c r="K68" i="50"/>
  <c r="K69" i="50"/>
  <c r="L65" i="50"/>
  <c r="K38" i="47"/>
  <c r="K6" i="48"/>
  <c r="K9" i="48"/>
  <c r="K8" i="48"/>
  <c r="K13" i="48"/>
  <c r="L38" i="50"/>
  <c r="L34" i="50"/>
  <c r="L35" i="50"/>
  <c r="L66" i="50"/>
  <c r="L67" i="50"/>
  <c r="L68" i="50"/>
  <c r="L69" i="50"/>
  <c r="M65" i="50"/>
  <c r="L38" i="47"/>
  <c r="L6" i="48"/>
  <c r="L9" i="48"/>
  <c r="L8" i="48"/>
  <c r="L13" i="48"/>
  <c r="M38" i="50"/>
  <c r="M34" i="50"/>
  <c r="M35" i="50"/>
  <c r="M66" i="50"/>
  <c r="M67" i="50"/>
  <c r="M68" i="50"/>
  <c r="M69" i="50"/>
  <c r="N65" i="50"/>
  <c r="M38" i="47"/>
  <c r="M6" i="48"/>
  <c r="M9" i="48"/>
  <c r="M8" i="48"/>
  <c r="M13" i="48"/>
  <c r="N38" i="50"/>
  <c r="N34" i="50"/>
  <c r="N35" i="50"/>
  <c r="N66" i="50"/>
  <c r="N67" i="50"/>
  <c r="N68" i="50"/>
  <c r="N69" i="50"/>
  <c r="O65" i="50"/>
  <c r="N38" i="47"/>
  <c r="N6" i="48"/>
  <c r="N9" i="48"/>
  <c r="N8" i="48"/>
  <c r="N13" i="48"/>
  <c r="O38" i="50"/>
  <c r="O34" i="50"/>
  <c r="O35" i="50"/>
  <c r="O66" i="50"/>
  <c r="O67" i="50"/>
  <c r="O68" i="50"/>
  <c r="O69" i="50"/>
  <c r="P65" i="50"/>
  <c r="P67" i="50"/>
  <c r="P68" i="50"/>
  <c r="P69" i="50"/>
  <c r="P70" i="50"/>
  <c r="P41" i="64"/>
  <c r="P43" i="64"/>
  <c r="P45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4" i="48"/>
  <c r="C50" i="48"/>
  <c r="C72" i="48"/>
  <c r="C81" i="48"/>
  <c r="E125" i="59"/>
  <c r="F78" i="49"/>
  <c r="F139" i="49"/>
  <c r="F141" i="49"/>
  <c r="C45" i="48"/>
  <c r="E126" i="59"/>
  <c r="E127" i="59"/>
  <c r="C38" i="48"/>
  <c r="C40" i="48"/>
  <c r="C71" i="48"/>
  <c r="C75" i="48"/>
  <c r="C77" i="48"/>
  <c r="E120" i="59"/>
  <c r="F5" i="49"/>
  <c r="F66" i="49"/>
  <c r="F68" i="49"/>
  <c r="C41" i="48"/>
  <c r="E121" i="59"/>
  <c r="E122" i="59"/>
  <c r="C21" i="48"/>
  <c r="C22" i="48"/>
  <c r="C23" i="48"/>
  <c r="C24" i="48"/>
  <c r="C26" i="48"/>
  <c r="C28" i="48"/>
  <c r="C51" i="48"/>
  <c r="C54" i="48"/>
  <c r="C58" i="48"/>
  <c r="C59" i="48"/>
  <c r="C60" i="48"/>
  <c r="C61" i="48"/>
  <c r="C63" i="48"/>
  <c r="C65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9" i="50"/>
  <c r="D43" i="50"/>
  <c r="D40" i="64"/>
  <c r="D70" i="50"/>
  <c r="D41" i="64"/>
  <c r="D43" i="64"/>
  <c r="D45" i="64"/>
  <c r="D67" i="64"/>
  <c r="D70" i="64"/>
  <c r="E69" i="64"/>
  <c r="D35" i="48"/>
  <c r="D44" i="48"/>
  <c r="D50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D14" i="48"/>
  <c r="D17" i="48"/>
  <c r="D21" i="48"/>
  <c r="D22" i="48"/>
  <c r="D23" i="48"/>
  <c r="D24" i="48"/>
  <c r="D26" i="48"/>
  <c r="D28" i="48"/>
  <c r="D51" i="48"/>
  <c r="D54" i="48"/>
  <c r="D58" i="48"/>
  <c r="D59" i="48"/>
  <c r="D60" i="48"/>
  <c r="D61" i="48"/>
  <c r="D63" i="48"/>
  <c r="D65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35" i="48"/>
  <c r="E44" i="48"/>
  <c r="E50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E14" i="48"/>
  <c r="E17" i="48"/>
  <c r="E21" i="48"/>
  <c r="E22" i="48"/>
  <c r="E23" i="48"/>
  <c r="E24" i="48"/>
  <c r="E26" i="48"/>
  <c r="E28" i="48"/>
  <c r="E51" i="48"/>
  <c r="E54" i="48"/>
  <c r="E58" i="48"/>
  <c r="E59" i="48"/>
  <c r="E60" i="48"/>
  <c r="E61" i="48"/>
  <c r="E63" i="48"/>
  <c r="E65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35" i="48"/>
  <c r="F44" i="48"/>
  <c r="F50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F14" i="48"/>
  <c r="F22" i="48"/>
  <c r="F23" i="48"/>
  <c r="F24" i="48"/>
  <c r="F28" i="48"/>
  <c r="F51" i="48"/>
  <c r="F54" i="48"/>
  <c r="F58" i="48"/>
  <c r="F59" i="48"/>
  <c r="F60" i="48"/>
  <c r="F61" i="48"/>
  <c r="F63" i="48"/>
  <c r="F65" i="48"/>
  <c r="H116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35" i="48"/>
  <c r="G44" i="48"/>
  <c r="G50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G22" i="48"/>
  <c r="G23" i="48"/>
  <c r="G24" i="48"/>
  <c r="G28" i="48"/>
  <c r="G51" i="48"/>
  <c r="G54" i="48"/>
  <c r="G58" i="48"/>
  <c r="G59" i="48"/>
  <c r="G60" i="48"/>
  <c r="G61" i="48"/>
  <c r="G63" i="48"/>
  <c r="G65" i="48"/>
  <c r="I116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35" i="48"/>
  <c r="H44" i="48"/>
  <c r="H50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H22" i="48"/>
  <c r="H23" i="48"/>
  <c r="H24" i="48"/>
  <c r="H28" i="48"/>
  <c r="H51" i="48"/>
  <c r="H54" i="48"/>
  <c r="H58" i="48"/>
  <c r="H59" i="48"/>
  <c r="H60" i="48"/>
  <c r="H61" i="48"/>
  <c r="H63" i="48"/>
  <c r="H65" i="48"/>
  <c r="J116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0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I35" i="48"/>
  <c r="I44" i="48"/>
  <c r="I50" i="48"/>
  <c r="I72" i="48"/>
  <c r="I81" i="48"/>
  <c r="K125" i="59"/>
  <c r="D84" i="49"/>
  <c r="L84" i="49"/>
  <c r="L139" i="49"/>
  <c r="L141" i="49"/>
  <c r="I45" i="48"/>
  <c r="K126" i="59"/>
  <c r="K127" i="59"/>
  <c r="I34" i="48"/>
  <c r="I38" i="48"/>
  <c r="I40" i="48"/>
  <c r="I71" i="48"/>
  <c r="I75" i="48"/>
  <c r="I77" i="48"/>
  <c r="K120" i="59"/>
  <c r="D11" i="49"/>
  <c r="L11" i="49"/>
  <c r="L66" i="49"/>
  <c r="L68" i="49"/>
  <c r="I41" i="48"/>
  <c r="K121" i="59"/>
  <c r="K122" i="59"/>
  <c r="I22" i="48"/>
  <c r="I23" i="48"/>
  <c r="I24" i="48"/>
  <c r="I28" i="48"/>
  <c r="I51" i="48"/>
  <c r="I54" i="48"/>
  <c r="I58" i="48"/>
  <c r="I59" i="48"/>
  <c r="I60" i="48"/>
  <c r="I61" i="48"/>
  <c r="I63" i="48"/>
  <c r="I65" i="48"/>
  <c r="K116" i="59"/>
  <c r="K129" i="59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0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J35" i="48"/>
  <c r="J44" i="48"/>
  <c r="J50" i="48"/>
  <c r="J72" i="48"/>
  <c r="J81" i="48"/>
  <c r="L125" i="59"/>
  <c r="D85" i="49"/>
  <c r="M85" i="49"/>
  <c r="M139" i="49"/>
  <c r="M141" i="49"/>
  <c r="J45" i="48"/>
  <c r="L126" i="59"/>
  <c r="L127" i="59"/>
  <c r="J34" i="48"/>
  <c r="J38" i="48"/>
  <c r="J40" i="48"/>
  <c r="J71" i="48"/>
  <c r="J75" i="48"/>
  <c r="J77" i="48"/>
  <c r="L120" i="59"/>
  <c r="D12" i="49"/>
  <c r="M12" i="49"/>
  <c r="M66" i="49"/>
  <c r="M68" i="49"/>
  <c r="J41" i="48"/>
  <c r="L121" i="59"/>
  <c r="L122" i="59"/>
  <c r="J22" i="48"/>
  <c r="J23" i="48"/>
  <c r="J24" i="48"/>
  <c r="J28" i="48"/>
  <c r="J51" i="48"/>
  <c r="J54" i="48"/>
  <c r="J58" i="48"/>
  <c r="J59" i="48"/>
  <c r="J60" i="48"/>
  <c r="J61" i="48"/>
  <c r="J63" i="48"/>
  <c r="J65" i="48"/>
  <c r="L116" i="59"/>
  <c r="L129" i="59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0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K35" i="48"/>
  <c r="K44" i="48"/>
  <c r="K50" i="48"/>
  <c r="K72" i="48"/>
  <c r="K81" i="48"/>
  <c r="M125" i="59"/>
  <c r="D86" i="49"/>
  <c r="N86" i="49"/>
  <c r="N139" i="49"/>
  <c r="N141" i="49"/>
  <c r="K45" i="48"/>
  <c r="M126" i="59"/>
  <c r="M127" i="59"/>
  <c r="K34" i="48"/>
  <c r="K38" i="48"/>
  <c r="K40" i="48"/>
  <c r="K71" i="48"/>
  <c r="K75" i="48"/>
  <c r="K77" i="48"/>
  <c r="M120" i="59"/>
  <c r="D13" i="49"/>
  <c r="N13" i="49"/>
  <c r="N66" i="49"/>
  <c r="N68" i="49"/>
  <c r="K41" i="48"/>
  <c r="M121" i="59"/>
  <c r="M122" i="59"/>
  <c r="K22" i="48"/>
  <c r="K23" i="48"/>
  <c r="K24" i="48"/>
  <c r="K28" i="48"/>
  <c r="K51" i="48"/>
  <c r="K54" i="48"/>
  <c r="K58" i="48"/>
  <c r="K59" i="48"/>
  <c r="K60" i="48"/>
  <c r="K61" i="48"/>
  <c r="K63" i="48"/>
  <c r="K65" i="48"/>
  <c r="M116" i="59"/>
  <c r="M129" i="59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0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L35" i="48"/>
  <c r="L44" i="48"/>
  <c r="L50" i="48"/>
  <c r="L72" i="48"/>
  <c r="L81" i="48"/>
  <c r="N125" i="59"/>
  <c r="D87" i="49"/>
  <c r="O87" i="49"/>
  <c r="O139" i="49"/>
  <c r="O141" i="49"/>
  <c r="L45" i="48"/>
  <c r="N126" i="59"/>
  <c r="N127" i="59"/>
  <c r="L34" i="48"/>
  <c r="L38" i="48"/>
  <c r="L40" i="48"/>
  <c r="L71" i="48"/>
  <c r="L75" i="48"/>
  <c r="L77" i="48"/>
  <c r="N120" i="59"/>
  <c r="D14" i="49"/>
  <c r="O14" i="49"/>
  <c r="O66" i="49"/>
  <c r="O68" i="49"/>
  <c r="L41" i="48"/>
  <c r="N121" i="59"/>
  <c r="N122" i="59"/>
  <c r="L22" i="48"/>
  <c r="L23" i="48"/>
  <c r="L24" i="48"/>
  <c r="L28" i="48"/>
  <c r="L51" i="48"/>
  <c r="L54" i="48"/>
  <c r="L58" i="48"/>
  <c r="L59" i="48"/>
  <c r="L60" i="48"/>
  <c r="L61" i="48"/>
  <c r="L63" i="48"/>
  <c r="L65" i="48"/>
  <c r="N116" i="59"/>
  <c r="N129" i="59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0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M35" i="48"/>
  <c r="M44" i="48"/>
  <c r="M50" i="48"/>
  <c r="M72" i="48"/>
  <c r="M81" i="48"/>
  <c r="O125" i="59"/>
  <c r="D88" i="49"/>
  <c r="P88" i="49"/>
  <c r="P139" i="49"/>
  <c r="P141" i="49"/>
  <c r="M45" i="48"/>
  <c r="O126" i="59"/>
  <c r="O127" i="59"/>
  <c r="M34" i="48"/>
  <c r="M38" i="48"/>
  <c r="M40" i="48"/>
  <c r="M71" i="48"/>
  <c r="M75" i="48"/>
  <c r="M77" i="48"/>
  <c r="O120" i="59"/>
  <c r="D15" i="49"/>
  <c r="P15" i="49"/>
  <c r="P66" i="49"/>
  <c r="P68" i="49"/>
  <c r="M41" i="48"/>
  <c r="O121" i="59"/>
  <c r="O122" i="59"/>
  <c r="M22" i="48"/>
  <c r="M23" i="48"/>
  <c r="M24" i="48"/>
  <c r="M28" i="48"/>
  <c r="M51" i="48"/>
  <c r="M54" i="48"/>
  <c r="M58" i="48"/>
  <c r="M59" i="48"/>
  <c r="M60" i="48"/>
  <c r="M61" i="48"/>
  <c r="M63" i="48"/>
  <c r="M65" i="48"/>
  <c r="O116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0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O69" i="64"/>
  <c r="N35" i="48"/>
  <c r="N44" i="48"/>
  <c r="N50" i="48"/>
  <c r="N72" i="48"/>
  <c r="N81" i="48"/>
  <c r="P125" i="59"/>
  <c r="D89" i="49"/>
  <c r="Q89" i="49"/>
  <c r="Q139" i="49"/>
  <c r="Q141" i="49"/>
  <c r="N45" i="48"/>
  <c r="P126" i="59"/>
  <c r="P127" i="59"/>
  <c r="N34" i="48"/>
  <c r="N38" i="48"/>
  <c r="N40" i="48"/>
  <c r="N71" i="48"/>
  <c r="N75" i="48"/>
  <c r="N77" i="48"/>
  <c r="P120" i="59"/>
  <c r="D16" i="49"/>
  <c r="Q16" i="49"/>
  <c r="Q66" i="49"/>
  <c r="Q68" i="49"/>
  <c r="N41" i="48"/>
  <c r="P121" i="59"/>
  <c r="P122" i="59"/>
  <c r="N22" i="48"/>
  <c r="N23" i="48"/>
  <c r="N24" i="48"/>
  <c r="N28" i="48"/>
  <c r="N51" i="48"/>
  <c r="N54" i="48"/>
  <c r="N58" i="48"/>
  <c r="N59" i="48"/>
  <c r="N60" i="48"/>
  <c r="N61" i="48"/>
  <c r="N63" i="48"/>
  <c r="N65" i="48"/>
  <c r="P116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0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0" i="64"/>
  <c r="P69" i="64"/>
  <c r="P70" i="64"/>
  <c r="Q69" i="64"/>
  <c r="S79" i="49"/>
  <c r="S139" i="49"/>
  <c r="S141" i="49"/>
  <c r="P45" i="48"/>
  <c r="R126" i="59"/>
  <c r="R127" i="59"/>
  <c r="S6" i="49"/>
  <c r="S66" i="49"/>
  <c r="S68" i="49"/>
  <c r="P41" i="48"/>
  <c r="R121" i="59"/>
  <c r="R122" i="59"/>
  <c r="P28" i="48"/>
  <c r="R116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0" i="48"/>
  <c r="Q14" i="67"/>
  <c r="Q17" i="67"/>
  <c r="Q18" i="67"/>
  <c r="Q20" i="67"/>
  <c r="Q39" i="64"/>
  <c r="Q65" i="50"/>
  <c r="Q67" i="50"/>
  <c r="Q68" i="50"/>
  <c r="Q69" i="50"/>
  <c r="Q70" i="50"/>
  <c r="Q41" i="64"/>
  <c r="Q43" i="64"/>
  <c r="Q45" i="64"/>
  <c r="Q67" i="64"/>
  <c r="Q70" i="64"/>
  <c r="R69" i="64"/>
  <c r="T80" i="49"/>
  <c r="T139" i="49"/>
  <c r="T141" i="49"/>
  <c r="Q45" i="48"/>
  <c r="S126" i="59"/>
  <c r="S127" i="59"/>
  <c r="T7" i="49"/>
  <c r="T66" i="49"/>
  <c r="T68" i="49"/>
  <c r="Q41" i="48"/>
  <c r="S121" i="59"/>
  <c r="S122" i="59"/>
  <c r="Q28" i="48"/>
  <c r="S116" i="59"/>
  <c r="S129" i="59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0" i="48"/>
  <c r="R14" i="67"/>
  <c r="R17" i="67"/>
  <c r="R18" i="67"/>
  <c r="R20" i="67"/>
  <c r="R39" i="64"/>
  <c r="R65" i="50"/>
  <c r="R67" i="50"/>
  <c r="R68" i="50"/>
  <c r="R69" i="50"/>
  <c r="R70" i="50"/>
  <c r="R41" i="64"/>
  <c r="R43" i="64"/>
  <c r="R45" i="64"/>
  <c r="R67" i="64"/>
  <c r="R70" i="64"/>
  <c r="S69" i="64"/>
  <c r="U81" i="49"/>
  <c r="U139" i="49"/>
  <c r="U141" i="49"/>
  <c r="R45" i="48"/>
  <c r="T126" i="59"/>
  <c r="T127" i="59"/>
  <c r="U8" i="49"/>
  <c r="U66" i="49"/>
  <c r="U68" i="49"/>
  <c r="R41" i="48"/>
  <c r="T121" i="59"/>
  <c r="T122" i="59"/>
  <c r="R28" i="48"/>
  <c r="T116" i="59"/>
  <c r="T129" i="59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0" i="48"/>
  <c r="S14" i="67"/>
  <c r="S17" i="67"/>
  <c r="S18" i="67"/>
  <c r="S20" i="67"/>
  <c r="S39" i="64"/>
  <c r="S65" i="50"/>
  <c r="S67" i="50"/>
  <c r="S68" i="50"/>
  <c r="S69" i="50"/>
  <c r="S70" i="50"/>
  <c r="S41" i="64"/>
  <c r="S43" i="64"/>
  <c r="S45" i="64"/>
  <c r="S67" i="64"/>
  <c r="S70" i="64"/>
  <c r="T69" i="64"/>
  <c r="V82" i="49"/>
  <c r="V139" i="49"/>
  <c r="V141" i="49"/>
  <c r="S45" i="48"/>
  <c r="U126" i="59"/>
  <c r="U127" i="59"/>
  <c r="V9" i="49"/>
  <c r="V66" i="49"/>
  <c r="V68" i="49"/>
  <c r="S41" i="48"/>
  <c r="U121" i="59"/>
  <c r="U122" i="59"/>
  <c r="S28" i="48"/>
  <c r="U116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0" i="48"/>
  <c r="T14" i="67"/>
  <c r="T17" i="67"/>
  <c r="T18" i="67"/>
  <c r="T20" i="67"/>
  <c r="T39" i="64"/>
  <c r="T65" i="50"/>
  <c r="T67" i="50"/>
  <c r="T68" i="50"/>
  <c r="T69" i="50"/>
  <c r="T70" i="50"/>
  <c r="T41" i="64"/>
  <c r="T43" i="64"/>
  <c r="T45" i="64"/>
  <c r="T67" i="64"/>
  <c r="T70" i="64"/>
  <c r="U69" i="64"/>
  <c r="W83" i="49"/>
  <c r="W139" i="49"/>
  <c r="W141" i="49"/>
  <c r="T45" i="48"/>
  <c r="V126" i="59"/>
  <c r="V127" i="59"/>
  <c r="W10" i="49"/>
  <c r="W66" i="49"/>
  <c r="W68" i="49"/>
  <c r="T41" i="48"/>
  <c r="V121" i="59"/>
  <c r="V122" i="59"/>
  <c r="T28" i="48"/>
  <c r="V116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0" i="48"/>
  <c r="U14" i="67"/>
  <c r="U17" i="67"/>
  <c r="U18" i="67"/>
  <c r="U20" i="67"/>
  <c r="U39" i="64"/>
  <c r="U65" i="50"/>
  <c r="U67" i="50"/>
  <c r="U68" i="50"/>
  <c r="U69" i="50"/>
  <c r="U70" i="50"/>
  <c r="U41" i="64"/>
  <c r="U43" i="64"/>
  <c r="U45" i="64"/>
  <c r="U67" i="64"/>
  <c r="U70" i="64"/>
  <c r="V69" i="64"/>
  <c r="X84" i="49"/>
  <c r="X139" i="49"/>
  <c r="X141" i="49"/>
  <c r="U45" i="48"/>
  <c r="W126" i="59"/>
  <c r="W127" i="59"/>
  <c r="X11" i="49"/>
  <c r="X66" i="49"/>
  <c r="X68" i="49"/>
  <c r="U41" i="48"/>
  <c r="W121" i="59"/>
  <c r="W122" i="59"/>
  <c r="U28" i="48"/>
  <c r="W116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0" i="48"/>
  <c r="V14" i="67"/>
  <c r="V17" i="67"/>
  <c r="V18" i="67"/>
  <c r="V20" i="67"/>
  <c r="V39" i="64"/>
  <c r="V65" i="50"/>
  <c r="V67" i="50"/>
  <c r="V68" i="50"/>
  <c r="V69" i="50"/>
  <c r="V70" i="50"/>
  <c r="V41" i="64"/>
  <c r="V43" i="64"/>
  <c r="V45" i="64"/>
  <c r="V67" i="64"/>
  <c r="V70" i="64"/>
  <c r="W69" i="64"/>
  <c r="Y85" i="49"/>
  <c r="Y139" i="49"/>
  <c r="Y141" i="49"/>
  <c r="V45" i="48"/>
  <c r="X126" i="59"/>
  <c r="X127" i="59"/>
  <c r="Y12" i="49"/>
  <c r="Y66" i="49"/>
  <c r="Y68" i="49"/>
  <c r="V41" i="48"/>
  <c r="X121" i="59"/>
  <c r="X122" i="59"/>
  <c r="V28" i="48"/>
  <c r="X116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0" i="48"/>
  <c r="W14" i="67"/>
  <c r="W17" i="67"/>
  <c r="W18" i="67"/>
  <c r="W20" i="67"/>
  <c r="W39" i="64"/>
  <c r="W65" i="50"/>
  <c r="W67" i="50"/>
  <c r="W68" i="50"/>
  <c r="W69" i="50"/>
  <c r="W70" i="50"/>
  <c r="W41" i="64"/>
  <c r="W43" i="64"/>
  <c r="W45" i="64"/>
  <c r="W67" i="64"/>
  <c r="W70" i="64"/>
  <c r="X69" i="64"/>
  <c r="Z86" i="49"/>
  <c r="Z139" i="49"/>
  <c r="Z141" i="49"/>
  <c r="W45" i="48"/>
  <c r="Y126" i="59"/>
  <c r="Y127" i="59"/>
  <c r="Z13" i="49"/>
  <c r="Z66" i="49"/>
  <c r="Z68" i="49"/>
  <c r="W41" i="48"/>
  <c r="Y121" i="59"/>
  <c r="Y122" i="59"/>
  <c r="W28" i="48"/>
  <c r="Y116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0" i="48"/>
  <c r="X14" i="67"/>
  <c r="X17" i="67"/>
  <c r="X18" i="67"/>
  <c r="X20" i="67"/>
  <c r="X39" i="64"/>
  <c r="X65" i="50"/>
  <c r="X67" i="50"/>
  <c r="X68" i="50"/>
  <c r="X69" i="50"/>
  <c r="X70" i="50"/>
  <c r="X41" i="64"/>
  <c r="X43" i="64"/>
  <c r="X45" i="64"/>
  <c r="X67" i="64"/>
  <c r="X70" i="64"/>
  <c r="Y69" i="64"/>
  <c r="AA87" i="49"/>
  <c r="AA139" i="49"/>
  <c r="AA141" i="49"/>
  <c r="X45" i="48"/>
  <c r="Z126" i="59"/>
  <c r="Z127" i="59"/>
  <c r="AA14" i="49"/>
  <c r="AA66" i="49"/>
  <c r="AA68" i="49"/>
  <c r="X41" i="48"/>
  <c r="Z121" i="59"/>
  <c r="Z122" i="59"/>
  <c r="X28" i="48"/>
  <c r="Z116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0" i="48"/>
  <c r="Y14" i="67"/>
  <c r="Y17" i="67"/>
  <c r="Y18" i="67"/>
  <c r="Y20" i="67"/>
  <c r="Y39" i="64"/>
  <c r="Y65" i="50"/>
  <c r="Y67" i="50"/>
  <c r="Y68" i="50"/>
  <c r="Y69" i="50"/>
  <c r="Y70" i="50"/>
  <c r="Y41" i="64"/>
  <c r="Y43" i="64"/>
  <c r="Y45" i="64"/>
  <c r="Y67" i="64"/>
  <c r="Y70" i="64"/>
  <c r="Z69" i="64"/>
  <c r="AB88" i="49"/>
  <c r="AB139" i="49"/>
  <c r="AB141" i="49"/>
  <c r="Y45" i="48"/>
  <c r="AA126" i="59"/>
  <c r="AA127" i="59"/>
  <c r="AB15" i="49"/>
  <c r="AB66" i="49"/>
  <c r="AB68" i="49"/>
  <c r="Y41" i="48"/>
  <c r="AA121" i="59"/>
  <c r="AA122" i="59"/>
  <c r="Y28" i="48"/>
  <c r="AA116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0" i="48"/>
  <c r="Z14" i="67"/>
  <c r="Z17" i="67"/>
  <c r="Z18" i="67"/>
  <c r="Z20" i="67"/>
  <c r="Z39" i="64"/>
  <c r="Z65" i="50"/>
  <c r="Z67" i="50"/>
  <c r="Z68" i="50"/>
  <c r="Z69" i="50"/>
  <c r="Z70" i="50"/>
  <c r="Z41" i="64"/>
  <c r="Z43" i="64"/>
  <c r="Z45" i="64"/>
  <c r="Z67" i="64"/>
  <c r="Z70" i="64"/>
  <c r="AA69" i="64"/>
  <c r="AC89" i="49"/>
  <c r="AC139" i="49"/>
  <c r="AC141" i="49"/>
  <c r="Z45" i="48"/>
  <c r="AB126" i="59"/>
  <c r="AB127" i="59"/>
  <c r="AC16" i="49"/>
  <c r="AC66" i="49"/>
  <c r="AC68" i="49"/>
  <c r="Z41" i="48"/>
  <c r="AB121" i="59"/>
  <c r="AB122" i="59"/>
  <c r="Z28" i="48"/>
  <c r="AB116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0" i="48"/>
  <c r="AA14" i="67"/>
  <c r="AA17" i="67"/>
  <c r="AA18" i="67"/>
  <c r="AA20" i="67"/>
  <c r="AA39" i="64"/>
  <c r="AA65" i="50"/>
  <c r="AA67" i="50"/>
  <c r="AA68" i="50"/>
  <c r="AA69" i="50"/>
  <c r="AA70" i="50"/>
  <c r="AA41" i="64"/>
  <c r="AA43" i="64"/>
  <c r="AA45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139" i="49"/>
  <c r="AD141" i="49"/>
  <c r="AA45" i="48"/>
  <c r="AC126" i="59"/>
  <c r="AC127" i="59"/>
  <c r="AD5" i="49"/>
  <c r="AD66" i="49"/>
  <c r="AD68" i="49"/>
  <c r="AA41" i="48"/>
  <c r="AC121" i="59"/>
  <c r="AC122" i="59"/>
  <c r="AA28" i="48"/>
  <c r="AC116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0" i="48"/>
  <c r="AB14" i="67"/>
  <c r="AB17" i="67"/>
  <c r="AB18" i="67"/>
  <c r="AB20" i="67"/>
  <c r="AB39" i="64"/>
  <c r="AB65" i="50"/>
  <c r="AB67" i="50"/>
  <c r="AB68" i="50"/>
  <c r="AB69" i="50"/>
  <c r="AB70" i="50"/>
  <c r="AB41" i="64"/>
  <c r="AB43" i="64"/>
  <c r="AB45" i="64"/>
  <c r="AB67" i="64"/>
  <c r="AB70" i="64"/>
  <c r="AC69" i="64"/>
  <c r="AE79" i="49"/>
  <c r="AE139" i="49"/>
  <c r="AE141" i="49"/>
  <c r="AB45" i="48"/>
  <c r="AD126" i="59"/>
  <c r="AD127" i="59"/>
  <c r="AE6" i="49"/>
  <c r="AE66" i="49"/>
  <c r="AE68" i="49"/>
  <c r="AB41" i="48"/>
  <c r="AD121" i="59"/>
  <c r="AD122" i="59"/>
  <c r="AB28" i="48"/>
  <c r="AD116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0" i="48"/>
  <c r="AC14" i="67"/>
  <c r="AC17" i="67"/>
  <c r="AC18" i="67"/>
  <c r="AC20" i="67"/>
  <c r="AC39" i="64"/>
  <c r="AC65" i="50"/>
  <c r="AC67" i="50"/>
  <c r="AC68" i="50"/>
  <c r="AC69" i="50"/>
  <c r="AC70" i="50"/>
  <c r="AC41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O6" i="48"/>
  <c r="O9" i="48"/>
  <c r="O8" i="48"/>
  <c r="O13" i="48"/>
  <c r="O35" i="48"/>
  <c r="O44" i="48"/>
  <c r="O50" i="48"/>
  <c r="O72" i="48"/>
  <c r="O81" i="48"/>
  <c r="Q125" i="59"/>
  <c r="D90" i="49"/>
  <c r="R90" i="49"/>
  <c r="O34" i="48"/>
  <c r="O38" i="48"/>
  <c r="O40" i="48"/>
  <c r="O71" i="48"/>
  <c r="O75" i="48"/>
  <c r="O77" i="48"/>
  <c r="Q120" i="59"/>
  <c r="D17" i="49"/>
  <c r="R17" i="49"/>
  <c r="O22" i="48"/>
  <c r="O23" i="48"/>
  <c r="O24" i="48"/>
  <c r="O51" i="48"/>
  <c r="O54" i="48"/>
  <c r="O58" i="48"/>
  <c r="O59" i="48"/>
  <c r="O60" i="48"/>
  <c r="O61" i="48"/>
  <c r="O63" i="48"/>
  <c r="O65" i="48"/>
  <c r="P38" i="50"/>
  <c r="P34" i="50"/>
  <c r="P35" i="50"/>
  <c r="P39" i="50"/>
  <c r="P43" i="50"/>
  <c r="P40" i="64"/>
  <c r="P66" i="50"/>
  <c r="D42" i="47"/>
  <c r="P6" i="48"/>
  <c r="P9" i="48"/>
  <c r="P8" i="48"/>
  <c r="P13" i="48"/>
  <c r="P35" i="48"/>
  <c r="P44" i="48"/>
  <c r="P50" i="48"/>
  <c r="P72" i="48"/>
  <c r="P81" i="48"/>
  <c r="R125" i="59"/>
  <c r="D91" i="49"/>
  <c r="S91" i="49"/>
  <c r="P34" i="48"/>
  <c r="P38" i="48"/>
  <c r="P40" i="48"/>
  <c r="P71" i="48"/>
  <c r="P75" i="48"/>
  <c r="P77" i="48"/>
  <c r="R120" i="59"/>
  <c r="D18" i="49"/>
  <c r="S18" i="49"/>
  <c r="P22" i="48"/>
  <c r="P23" i="48"/>
  <c r="P24" i="48"/>
  <c r="P51" i="48"/>
  <c r="P54" i="48"/>
  <c r="P58" i="48"/>
  <c r="P59" i="48"/>
  <c r="P60" i="48"/>
  <c r="P61" i="48"/>
  <c r="P63" i="48"/>
  <c r="P65" i="48"/>
  <c r="Q38" i="50"/>
  <c r="Q34" i="50"/>
  <c r="Q35" i="50"/>
  <c r="Q39" i="50"/>
  <c r="Q43" i="50"/>
  <c r="Q40" i="64"/>
  <c r="Q66" i="50"/>
  <c r="E42" i="47"/>
  <c r="Q6" i="48"/>
  <c r="Q9" i="48"/>
  <c r="Q8" i="48"/>
  <c r="Q13" i="48"/>
  <c r="Q35" i="48"/>
  <c r="Q44" i="48"/>
  <c r="Q50" i="48"/>
  <c r="Q72" i="48"/>
  <c r="Q81" i="48"/>
  <c r="S125" i="59"/>
  <c r="D92" i="49"/>
  <c r="T92" i="49"/>
  <c r="Q34" i="48"/>
  <c r="Q38" i="48"/>
  <c r="Q40" i="48"/>
  <c r="Q71" i="48"/>
  <c r="Q75" i="48"/>
  <c r="Q77" i="48"/>
  <c r="S120" i="59"/>
  <c r="D19" i="49"/>
  <c r="T19" i="49"/>
  <c r="Q22" i="48"/>
  <c r="Q23" i="48"/>
  <c r="Q24" i="48"/>
  <c r="Q51" i="48"/>
  <c r="Q54" i="48"/>
  <c r="Q58" i="48"/>
  <c r="Q59" i="48"/>
  <c r="Q60" i="48"/>
  <c r="Q61" i="48"/>
  <c r="Q63" i="48"/>
  <c r="Q65" i="48"/>
  <c r="R38" i="50"/>
  <c r="R34" i="50"/>
  <c r="R35" i="50"/>
  <c r="R39" i="50"/>
  <c r="R43" i="50"/>
  <c r="R40" i="64"/>
  <c r="R66" i="50"/>
  <c r="F42" i="47"/>
  <c r="R6" i="48"/>
  <c r="R9" i="48"/>
  <c r="R8" i="48"/>
  <c r="R13" i="48"/>
  <c r="R35" i="48"/>
  <c r="R44" i="48"/>
  <c r="R50" i="48"/>
  <c r="R72" i="48"/>
  <c r="R81" i="48"/>
  <c r="T125" i="59"/>
  <c r="D93" i="49"/>
  <c r="U93" i="49"/>
  <c r="R34" i="48"/>
  <c r="R38" i="48"/>
  <c r="R40" i="48"/>
  <c r="R71" i="48"/>
  <c r="R75" i="48"/>
  <c r="R77" i="48"/>
  <c r="T120" i="59"/>
  <c r="D20" i="49"/>
  <c r="U20" i="49"/>
  <c r="R22" i="48"/>
  <c r="R23" i="48"/>
  <c r="R24" i="48"/>
  <c r="R51" i="48"/>
  <c r="R54" i="48"/>
  <c r="R58" i="48"/>
  <c r="R59" i="48"/>
  <c r="R60" i="48"/>
  <c r="R61" i="48"/>
  <c r="R63" i="48"/>
  <c r="R65" i="48"/>
  <c r="S38" i="50"/>
  <c r="S34" i="50"/>
  <c r="S35" i="50"/>
  <c r="S39" i="50"/>
  <c r="S43" i="50"/>
  <c r="S40" i="64"/>
  <c r="S66" i="50"/>
  <c r="G42" i="47"/>
  <c r="S6" i="48"/>
  <c r="S9" i="48"/>
  <c r="S8" i="48"/>
  <c r="S13" i="48"/>
  <c r="S35" i="48"/>
  <c r="S44" i="48"/>
  <c r="S50" i="48"/>
  <c r="S72" i="48"/>
  <c r="S81" i="48"/>
  <c r="U125" i="59"/>
  <c r="D94" i="49"/>
  <c r="V94" i="49"/>
  <c r="S34" i="48"/>
  <c r="S38" i="48"/>
  <c r="S40" i="48"/>
  <c r="S71" i="48"/>
  <c r="S75" i="48"/>
  <c r="S77" i="48"/>
  <c r="U120" i="59"/>
  <c r="D21" i="49"/>
  <c r="V21" i="49"/>
  <c r="S22" i="48"/>
  <c r="S23" i="48"/>
  <c r="S24" i="48"/>
  <c r="S51" i="48"/>
  <c r="S54" i="48"/>
  <c r="S58" i="48"/>
  <c r="S59" i="48"/>
  <c r="S60" i="48"/>
  <c r="S61" i="48"/>
  <c r="S63" i="48"/>
  <c r="S65" i="48"/>
  <c r="T38" i="50"/>
  <c r="T34" i="50"/>
  <c r="T35" i="50"/>
  <c r="T39" i="50"/>
  <c r="T43" i="50"/>
  <c r="T40" i="64"/>
  <c r="T66" i="50"/>
  <c r="H42" i="47"/>
  <c r="T6" i="48"/>
  <c r="T9" i="48"/>
  <c r="T8" i="48"/>
  <c r="T13" i="48"/>
  <c r="T35" i="48"/>
  <c r="T44" i="48"/>
  <c r="T50" i="48"/>
  <c r="T72" i="48"/>
  <c r="T81" i="48"/>
  <c r="V125" i="59"/>
  <c r="D95" i="49"/>
  <c r="W95" i="49"/>
  <c r="T34" i="48"/>
  <c r="T38" i="48"/>
  <c r="T40" i="48"/>
  <c r="T71" i="48"/>
  <c r="T75" i="48"/>
  <c r="T77" i="48"/>
  <c r="V120" i="59"/>
  <c r="D22" i="49"/>
  <c r="W22" i="49"/>
  <c r="T22" i="48"/>
  <c r="T23" i="48"/>
  <c r="T24" i="48"/>
  <c r="T51" i="48"/>
  <c r="T54" i="48"/>
  <c r="T58" i="48"/>
  <c r="T59" i="48"/>
  <c r="T60" i="48"/>
  <c r="T61" i="48"/>
  <c r="T63" i="48"/>
  <c r="T65" i="48"/>
  <c r="U38" i="50"/>
  <c r="U34" i="50"/>
  <c r="U35" i="50"/>
  <c r="U39" i="50"/>
  <c r="U43" i="50"/>
  <c r="U40" i="64"/>
  <c r="U66" i="50"/>
  <c r="I42" i="47"/>
  <c r="U6" i="48"/>
  <c r="U9" i="48"/>
  <c r="U8" i="48"/>
  <c r="U13" i="48"/>
  <c r="U35" i="48"/>
  <c r="U44" i="48"/>
  <c r="U50" i="48"/>
  <c r="U72" i="48"/>
  <c r="U81" i="48"/>
  <c r="W125" i="59"/>
  <c r="D96" i="49"/>
  <c r="X96" i="49"/>
  <c r="U34" i="48"/>
  <c r="U38" i="48"/>
  <c r="U40" i="48"/>
  <c r="U71" i="48"/>
  <c r="U75" i="48"/>
  <c r="U77" i="48"/>
  <c r="W120" i="59"/>
  <c r="D23" i="49"/>
  <c r="X23" i="49"/>
  <c r="U22" i="48"/>
  <c r="U23" i="48"/>
  <c r="U24" i="48"/>
  <c r="U51" i="48"/>
  <c r="U54" i="48"/>
  <c r="U58" i="48"/>
  <c r="U59" i="48"/>
  <c r="U60" i="48"/>
  <c r="U61" i="48"/>
  <c r="U63" i="48"/>
  <c r="U65" i="48"/>
  <c r="V38" i="50"/>
  <c r="V34" i="50"/>
  <c r="V35" i="50"/>
  <c r="V39" i="50"/>
  <c r="V43" i="50"/>
  <c r="V40" i="64"/>
  <c r="V66" i="50"/>
  <c r="J42" i="47"/>
  <c r="V6" i="48"/>
  <c r="V9" i="48"/>
  <c r="V8" i="48"/>
  <c r="V13" i="48"/>
  <c r="V35" i="48"/>
  <c r="V44" i="48"/>
  <c r="V50" i="48"/>
  <c r="V72" i="48"/>
  <c r="V81" i="48"/>
  <c r="X125" i="59"/>
  <c r="D97" i="49"/>
  <c r="Y97" i="49"/>
  <c r="V34" i="48"/>
  <c r="V38" i="48"/>
  <c r="V40" i="48"/>
  <c r="V71" i="48"/>
  <c r="V75" i="48"/>
  <c r="V77" i="48"/>
  <c r="X120" i="59"/>
  <c r="D24" i="49"/>
  <c r="Y24" i="49"/>
  <c r="V22" i="48"/>
  <c r="V23" i="48"/>
  <c r="V24" i="48"/>
  <c r="V51" i="48"/>
  <c r="V54" i="48"/>
  <c r="V58" i="48"/>
  <c r="V59" i="48"/>
  <c r="V60" i="48"/>
  <c r="V61" i="48"/>
  <c r="V63" i="48"/>
  <c r="V65" i="48"/>
  <c r="W38" i="50"/>
  <c r="W34" i="50"/>
  <c r="W35" i="50"/>
  <c r="W39" i="50"/>
  <c r="W43" i="50"/>
  <c r="W40" i="64"/>
  <c r="W66" i="50"/>
  <c r="K42" i="47"/>
  <c r="W6" i="48"/>
  <c r="W9" i="48"/>
  <c r="W8" i="48"/>
  <c r="W13" i="48"/>
  <c r="W35" i="48"/>
  <c r="W44" i="48"/>
  <c r="W50" i="48"/>
  <c r="W72" i="48"/>
  <c r="W81" i="48"/>
  <c r="Y125" i="59"/>
  <c r="D98" i="49"/>
  <c r="Z98" i="49"/>
  <c r="W34" i="48"/>
  <c r="W38" i="48"/>
  <c r="W40" i="48"/>
  <c r="W71" i="48"/>
  <c r="W75" i="48"/>
  <c r="W77" i="48"/>
  <c r="Y120" i="59"/>
  <c r="D25" i="49"/>
  <c r="Z25" i="49"/>
  <c r="W22" i="48"/>
  <c r="W23" i="48"/>
  <c r="W24" i="48"/>
  <c r="W51" i="48"/>
  <c r="W54" i="48"/>
  <c r="W58" i="48"/>
  <c r="W59" i="48"/>
  <c r="W60" i="48"/>
  <c r="W61" i="48"/>
  <c r="W63" i="48"/>
  <c r="W65" i="48"/>
  <c r="X38" i="50"/>
  <c r="X34" i="50"/>
  <c r="X35" i="50"/>
  <c r="X39" i="50"/>
  <c r="X43" i="50"/>
  <c r="X40" i="64"/>
  <c r="X66" i="50"/>
  <c r="L42" i="47"/>
  <c r="X6" i="48"/>
  <c r="X9" i="48"/>
  <c r="X8" i="48"/>
  <c r="X13" i="48"/>
  <c r="X35" i="48"/>
  <c r="X44" i="48"/>
  <c r="X50" i="48"/>
  <c r="X72" i="48"/>
  <c r="X81" i="48"/>
  <c r="Z125" i="59"/>
  <c r="D99" i="49"/>
  <c r="AA99" i="49"/>
  <c r="X34" i="48"/>
  <c r="X38" i="48"/>
  <c r="X40" i="48"/>
  <c r="X71" i="48"/>
  <c r="X75" i="48"/>
  <c r="X77" i="48"/>
  <c r="Z120" i="59"/>
  <c r="D26" i="49"/>
  <c r="AA26" i="49"/>
  <c r="X22" i="48"/>
  <c r="X23" i="48"/>
  <c r="X24" i="48"/>
  <c r="X51" i="48"/>
  <c r="X54" i="48"/>
  <c r="X58" i="48"/>
  <c r="X59" i="48"/>
  <c r="X60" i="48"/>
  <c r="X61" i="48"/>
  <c r="X63" i="48"/>
  <c r="X65" i="48"/>
  <c r="Y38" i="50"/>
  <c r="Y34" i="50"/>
  <c r="Y35" i="50"/>
  <c r="Y39" i="50"/>
  <c r="Y43" i="50"/>
  <c r="Y40" i="64"/>
  <c r="Y66" i="50"/>
  <c r="M42" i="47"/>
  <c r="Y6" i="48"/>
  <c r="Y9" i="48"/>
  <c r="Y8" i="48"/>
  <c r="Y13" i="48"/>
  <c r="Y35" i="48"/>
  <c r="Y44" i="48"/>
  <c r="Y50" i="48"/>
  <c r="Y72" i="48"/>
  <c r="Y81" i="48"/>
  <c r="AA125" i="59"/>
  <c r="D100" i="49"/>
  <c r="AB100" i="49"/>
  <c r="Y34" i="48"/>
  <c r="Y38" i="48"/>
  <c r="Y40" i="48"/>
  <c r="Y71" i="48"/>
  <c r="Y75" i="48"/>
  <c r="Y77" i="48"/>
  <c r="AA120" i="59"/>
  <c r="D27" i="49"/>
  <c r="AB27" i="49"/>
  <c r="Y22" i="48"/>
  <c r="Y23" i="48"/>
  <c r="Y24" i="48"/>
  <c r="Y51" i="48"/>
  <c r="Y54" i="48"/>
  <c r="Y58" i="48"/>
  <c r="Y59" i="48"/>
  <c r="Y60" i="48"/>
  <c r="Y61" i="48"/>
  <c r="Y63" i="48"/>
  <c r="Y65" i="48"/>
  <c r="Z38" i="50"/>
  <c r="Z34" i="50"/>
  <c r="Z35" i="50"/>
  <c r="Z39" i="50"/>
  <c r="Z43" i="50"/>
  <c r="Z40" i="64"/>
  <c r="Z66" i="50"/>
  <c r="N42" i="47"/>
  <c r="Z6" i="48"/>
  <c r="Z9" i="48"/>
  <c r="Z8" i="48"/>
  <c r="Z13" i="48"/>
  <c r="Z35" i="48"/>
  <c r="Z44" i="48"/>
  <c r="Z50" i="48"/>
  <c r="Z72" i="48"/>
  <c r="Z81" i="48"/>
  <c r="AB125" i="59"/>
  <c r="D101" i="49"/>
  <c r="AC101" i="49"/>
  <c r="Z34" i="48"/>
  <c r="Z38" i="48"/>
  <c r="Z40" i="48"/>
  <c r="Z71" i="48"/>
  <c r="Z75" i="48"/>
  <c r="Z77" i="48"/>
  <c r="AB120" i="59"/>
  <c r="D28" i="49"/>
  <c r="AC28" i="49"/>
  <c r="Z22" i="48"/>
  <c r="Z23" i="48"/>
  <c r="Z24" i="48"/>
  <c r="Z51" i="48"/>
  <c r="Z54" i="48"/>
  <c r="Z58" i="48"/>
  <c r="Z59" i="48"/>
  <c r="Z60" i="48"/>
  <c r="Z61" i="48"/>
  <c r="Z63" i="48"/>
  <c r="Z65" i="48"/>
  <c r="AA38" i="50"/>
  <c r="AA34" i="50"/>
  <c r="AA35" i="50"/>
  <c r="AA39" i="50"/>
  <c r="AA43" i="50"/>
  <c r="AA40" i="64"/>
  <c r="AA66" i="50"/>
  <c r="D10" i="47"/>
  <c r="C46" i="47"/>
  <c r="AA6" i="48"/>
  <c r="AA9" i="48"/>
  <c r="AA8" i="48"/>
  <c r="AA13" i="48"/>
  <c r="AA35" i="48"/>
  <c r="AA44" i="48"/>
  <c r="AA50" i="48"/>
  <c r="AA72" i="48"/>
  <c r="AA81" i="48"/>
  <c r="AC125" i="59"/>
  <c r="AD90" i="49"/>
  <c r="D102" i="49"/>
  <c r="AD102" i="49"/>
  <c r="AA34" i="48"/>
  <c r="AA38" i="48"/>
  <c r="AA40" i="48"/>
  <c r="AA71" i="48"/>
  <c r="AA75" i="48"/>
  <c r="AA77" i="48"/>
  <c r="AC120" i="59"/>
  <c r="AD17" i="49"/>
  <c r="D29" i="49"/>
  <c r="AD29" i="49"/>
  <c r="AA22" i="48"/>
  <c r="AA23" i="48"/>
  <c r="AA24" i="48"/>
  <c r="AA51" i="48"/>
  <c r="AA54" i="48"/>
  <c r="AA58" i="48"/>
  <c r="AA59" i="48"/>
  <c r="AA60" i="48"/>
  <c r="AA61" i="48"/>
  <c r="AA63" i="48"/>
  <c r="AA65" i="48"/>
  <c r="AB38" i="50"/>
  <c r="AB34" i="50"/>
  <c r="AB35" i="50"/>
  <c r="AB39" i="50"/>
  <c r="AB43" i="50"/>
  <c r="AB40" i="64"/>
  <c r="AB66" i="50"/>
  <c r="D46" i="47"/>
  <c r="AB6" i="48"/>
  <c r="AB9" i="48"/>
  <c r="AB8" i="48"/>
  <c r="AB13" i="48"/>
  <c r="AB35" i="48"/>
  <c r="AB44" i="48"/>
  <c r="AB50" i="48"/>
  <c r="AB72" i="48"/>
  <c r="AB81" i="48"/>
  <c r="AD125" i="59"/>
  <c r="AE91" i="49"/>
  <c r="D103" i="49"/>
  <c r="AE103" i="49"/>
  <c r="AB34" i="48"/>
  <c r="AB38" i="48"/>
  <c r="AB40" i="48"/>
  <c r="AB71" i="48"/>
  <c r="AB75" i="48"/>
  <c r="AB77" i="48"/>
  <c r="AD120" i="59"/>
  <c r="AE18" i="49"/>
  <c r="D30" i="49"/>
  <c r="AE30" i="49"/>
  <c r="AB22" i="48"/>
  <c r="AB23" i="48"/>
  <c r="AB24" i="48"/>
  <c r="AB51" i="48"/>
  <c r="AB54" i="48"/>
  <c r="AB58" i="48"/>
  <c r="AB59" i="48"/>
  <c r="AB60" i="48"/>
  <c r="AB61" i="48"/>
  <c r="AB63" i="48"/>
  <c r="AB65" i="48"/>
  <c r="AC38" i="50"/>
  <c r="AC34" i="50"/>
  <c r="AC35" i="50"/>
  <c r="AC39" i="50"/>
  <c r="AC43" i="50"/>
  <c r="AC40" i="64"/>
  <c r="AC66" i="50"/>
  <c r="AD69" i="64"/>
  <c r="E46" i="47"/>
  <c r="AC6" i="48"/>
  <c r="AC9" i="48"/>
  <c r="AC8" i="48"/>
  <c r="AC13" i="48"/>
  <c r="AC35" i="48"/>
  <c r="AC44" i="48"/>
  <c r="AC50" i="48"/>
  <c r="AC72" i="48"/>
  <c r="AC81" i="48"/>
  <c r="AE125" i="59"/>
  <c r="AF92" i="49"/>
  <c r="D104" i="49"/>
  <c r="AF104" i="49"/>
  <c r="AF80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19" i="49"/>
  <c r="D31" i="49"/>
  <c r="AF31" i="49"/>
  <c r="AF7" i="49"/>
  <c r="AF66" i="49"/>
  <c r="AF68" i="49"/>
  <c r="AC41" i="48"/>
  <c r="AE121" i="59"/>
  <c r="AE122" i="59"/>
  <c r="AC22" i="48"/>
  <c r="AC23" i="48"/>
  <c r="AC24" i="48"/>
  <c r="AC28" i="48"/>
  <c r="AC51" i="48"/>
  <c r="AC54" i="48"/>
  <c r="AC58" i="48"/>
  <c r="AC59" i="48"/>
  <c r="AC60" i="48"/>
  <c r="AC61" i="48"/>
  <c r="AC63" i="48"/>
  <c r="AC65" i="48"/>
  <c r="AE116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0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F46" i="47"/>
  <c r="AD6" i="48"/>
  <c r="AD9" i="48"/>
  <c r="AD8" i="48"/>
  <c r="AD13" i="48"/>
  <c r="AD35" i="48"/>
  <c r="AD44" i="48"/>
  <c r="AD50" i="48"/>
  <c r="AD72" i="48"/>
  <c r="AD81" i="48"/>
  <c r="AF125" i="59"/>
  <c r="AG93" i="49"/>
  <c r="D105" i="49"/>
  <c r="AG105" i="49"/>
  <c r="AG81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20" i="49"/>
  <c r="D32" i="49"/>
  <c r="AG32" i="49"/>
  <c r="AG8" i="49"/>
  <c r="AG66" i="49"/>
  <c r="AG68" i="49"/>
  <c r="AD41" i="48"/>
  <c r="AF121" i="59"/>
  <c r="AF122" i="59"/>
  <c r="AD22" i="48"/>
  <c r="AD23" i="48"/>
  <c r="AD24" i="48"/>
  <c r="AD28" i="48"/>
  <c r="AD51" i="48"/>
  <c r="AD54" i="48"/>
  <c r="AD58" i="48"/>
  <c r="AD59" i="48"/>
  <c r="AD60" i="48"/>
  <c r="AD61" i="48"/>
  <c r="AD63" i="48"/>
  <c r="AD65" i="48"/>
  <c r="AF116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0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6" i="48"/>
  <c r="AE9" i="48"/>
  <c r="AE8" i="48"/>
  <c r="AE13" i="48"/>
  <c r="AE35" i="48"/>
  <c r="AE44" i="48"/>
  <c r="AE50" i="48"/>
  <c r="AE72" i="48"/>
  <c r="AE81" i="48"/>
  <c r="AG125" i="59"/>
  <c r="AH94" i="49"/>
  <c r="D106" i="49"/>
  <c r="AH106" i="49"/>
  <c r="AH82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21" i="49"/>
  <c r="D33" i="49"/>
  <c r="AH33" i="49"/>
  <c r="AH9" i="49"/>
  <c r="AH66" i="49"/>
  <c r="AH68" i="49"/>
  <c r="AE41" i="48"/>
  <c r="AG121" i="59"/>
  <c r="AG122" i="59"/>
  <c r="AE22" i="48"/>
  <c r="AE23" i="48"/>
  <c r="AE24" i="48"/>
  <c r="AE28" i="48"/>
  <c r="AE51" i="48"/>
  <c r="AE54" i="48"/>
  <c r="AE58" i="48"/>
  <c r="AE59" i="48"/>
  <c r="AE60" i="48"/>
  <c r="AE61" i="48"/>
  <c r="AE63" i="48"/>
  <c r="AE65" i="48"/>
  <c r="AG116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0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78" i="48"/>
  <c r="BI78" i="48"/>
  <c r="BH78" i="48"/>
  <c r="BG78" i="48"/>
  <c r="BF78" i="48"/>
  <c r="BE78" i="48"/>
  <c r="BD78" i="48"/>
  <c r="BC78" i="48"/>
  <c r="BB78" i="48"/>
  <c r="BA78" i="48"/>
  <c r="AZ78" i="48"/>
  <c r="AY78" i="48"/>
  <c r="AX78" i="48"/>
  <c r="AW78" i="48"/>
  <c r="AV78" i="48"/>
  <c r="AU78" i="48"/>
  <c r="AT78" i="48"/>
  <c r="AS78" i="48"/>
  <c r="AR78" i="48"/>
  <c r="AQ78" i="48"/>
  <c r="AP78" i="48"/>
  <c r="AO78" i="48"/>
  <c r="AN78" i="48"/>
  <c r="AM78" i="48"/>
  <c r="AL78" i="48"/>
  <c r="AK78" i="48"/>
  <c r="AJ78" i="48"/>
  <c r="AI78" i="48"/>
  <c r="AH78" i="48"/>
  <c r="AG78" i="48"/>
  <c r="AF78" i="48"/>
  <c r="AE78" i="48"/>
  <c r="AD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AR104" i="49"/>
  <c r="B20" i="59"/>
  <c r="B15" i="59"/>
  <c r="B16" i="59"/>
  <c r="C14" i="48"/>
  <c r="C15" i="48"/>
  <c r="C17" i="48"/>
  <c r="B8" i="47"/>
  <c r="C52" i="48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D208" i="59"/>
  <c r="C35" i="64"/>
  <c r="C38" i="64"/>
  <c r="C43" i="64"/>
  <c r="C45" i="64"/>
  <c r="C48" i="64"/>
  <c r="C50" i="64"/>
  <c r="C67" i="64"/>
  <c r="C70" i="64"/>
  <c r="D69" i="64"/>
  <c r="D15" i="48"/>
  <c r="D52" i="48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E15" i="48"/>
  <c r="E52" i="48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F15" i="48"/>
  <c r="F52" i="48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G15" i="48"/>
  <c r="G52" i="48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H15" i="48"/>
  <c r="H52" i="48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I15" i="48"/>
  <c r="I52" i="48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J15" i="48"/>
  <c r="J52" i="48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K15" i="48"/>
  <c r="K52" i="48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L15" i="48"/>
  <c r="L52" i="48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M15" i="48"/>
  <c r="M52" i="48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N15" i="48"/>
  <c r="N52" i="48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33" i="48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13" i="48"/>
  <c r="AN33" i="48"/>
  <c r="AN35" i="48"/>
  <c r="B70" i="46"/>
  <c r="B120" i="46"/>
  <c r="B170" i="46"/>
  <c r="AN44" i="48"/>
  <c r="C50" i="47"/>
  <c r="E50" i="47"/>
  <c r="F50" i="47"/>
  <c r="G50" i="47"/>
  <c r="H50" i="47"/>
  <c r="I50" i="47"/>
  <c r="J50" i="47"/>
  <c r="K50" i="47"/>
  <c r="L50" i="47"/>
  <c r="M50" i="47"/>
  <c r="N50" i="47"/>
  <c r="AM6" i="48" a="1"/>
  <c r="AN7" i="48"/>
  <c r="AN9" i="48"/>
  <c r="AN50" i="48"/>
  <c r="AN70" i="48"/>
  <c r="AN72" i="48"/>
  <c r="B95" i="46"/>
  <c r="B145" i="46"/>
  <c r="B195" i="46"/>
  <c r="AN81" i="48"/>
  <c r="AP125" i="59"/>
  <c r="N7" i="48"/>
  <c r="N33" i="48"/>
  <c r="AO89" i="49"/>
  <c r="C8" i="47"/>
  <c r="Z7" i="48"/>
  <c r="Z33" i="48"/>
  <c r="AO101" i="49"/>
  <c r="D8" i="47"/>
  <c r="N46" i="47"/>
  <c r="AL6" i="48"/>
  <c r="AL7" i="48"/>
  <c r="AL9" i="48"/>
  <c r="AL8" i="48"/>
  <c r="AL13" i="48"/>
  <c r="AL33" i="48"/>
  <c r="AL35" i="48"/>
  <c r="D113" i="49"/>
  <c r="AO113" i="49"/>
  <c r="AO139" i="49"/>
  <c r="D87" i="46"/>
  <c r="D89" i="46"/>
  <c r="D90" i="46"/>
  <c r="AO140" i="49"/>
  <c r="AO141" i="49"/>
  <c r="AN45" i="48"/>
  <c r="AP126" i="59"/>
  <c r="AP127" i="59"/>
  <c r="AN34" i="48"/>
  <c r="AN38" i="48"/>
  <c r="AN39" i="48"/>
  <c r="AN40" i="48"/>
  <c r="AN71" i="48"/>
  <c r="AN75" i="48"/>
  <c r="AN76" i="48"/>
  <c r="AN77" i="48"/>
  <c r="AP120" i="59"/>
  <c r="AO16" i="49"/>
  <c r="AO28" i="49"/>
  <c r="AL34" i="48"/>
  <c r="D40" i="49"/>
  <c r="AO40" i="49"/>
  <c r="AO66" i="49"/>
  <c r="D114" i="46"/>
  <c r="AO67" i="49"/>
  <c r="AO68" i="49"/>
  <c r="AN41" i="48"/>
  <c r="AP121" i="59"/>
  <c r="AP122" i="59"/>
  <c r="B155" i="46"/>
  <c r="AN15" i="48"/>
  <c r="E155" i="46"/>
  <c r="E156" i="46"/>
  <c r="AN22" i="48"/>
  <c r="E57" i="46"/>
  <c r="E107" i="46"/>
  <c r="E157" i="46"/>
  <c r="AN23" i="48"/>
  <c r="E58" i="46"/>
  <c r="E108" i="46"/>
  <c r="E158" i="46"/>
  <c r="AN24" i="48"/>
  <c r="AN28" i="48"/>
  <c r="B179" i="46"/>
  <c r="AN51" i="48"/>
  <c r="AN52" i="48"/>
  <c r="AN54" i="48"/>
  <c r="E79" i="46"/>
  <c r="E129" i="46"/>
  <c r="AN58" i="48"/>
  <c r="E80" i="46"/>
  <c r="E130" i="46"/>
  <c r="AN59" i="48"/>
  <c r="E81" i="46"/>
  <c r="E131" i="46"/>
  <c r="AN60" i="48"/>
  <c r="E82" i="46"/>
  <c r="E132" i="46"/>
  <c r="AN61" i="48"/>
  <c r="AN63" i="48"/>
  <c r="AN65" i="48"/>
  <c r="AP116" i="59"/>
  <c r="AP129" i="59"/>
  <c r="AN91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C7" i="48"/>
  <c r="AC15" i="48"/>
  <c r="AC33" i="48"/>
  <c r="AC39" i="48"/>
  <c r="E7" i="48"/>
  <c r="E33" i="48"/>
  <c r="Q7" i="48"/>
  <c r="Q33" i="48"/>
  <c r="AF67" i="49"/>
  <c r="AF140" i="49"/>
  <c r="AC52" i="48"/>
  <c r="AC70" i="48"/>
  <c r="AC76" i="48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0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C7" i="48"/>
  <c r="D7" i="48"/>
  <c r="H7" i="48"/>
  <c r="I7" i="48"/>
  <c r="J7" i="48"/>
  <c r="K7" i="48"/>
  <c r="L7" i="48"/>
  <c r="M7" i="48"/>
  <c r="O7" i="48"/>
  <c r="P7" i="48"/>
  <c r="R7" i="48"/>
  <c r="S7" i="48"/>
  <c r="T7" i="48"/>
  <c r="U7" i="48"/>
  <c r="V7" i="48"/>
  <c r="W7" i="48"/>
  <c r="X7" i="48"/>
  <c r="Y7" i="48"/>
  <c r="AA7" i="48"/>
  <c r="E70" i="46"/>
  <c r="E71" i="46"/>
  <c r="E72" i="46"/>
  <c r="E74" i="46"/>
  <c r="AB7" i="48"/>
  <c r="AD27" i="50"/>
  <c r="AD7" i="48"/>
  <c r="AE27" i="50"/>
  <c r="AE7" i="48"/>
  <c r="AF27" i="50"/>
  <c r="AG65" i="50"/>
  <c r="H46" i="47"/>
  <c r="AF6" i="48"/>
  <c r="AF7" i="48"/>
  <c r="AF9" i="48"/>
  <c r="AF8" i="48"/>
  <c r="AF13" i="48"/>
  <c r="AG38" i="50"/>
  <c r="AG34" i="50"/>
  <c r="AG27" i="50"/>
  <c r="AG35" i="50"/>
  <c r="AG66" i="50"/>
  <c r="AG67" i="50"/>
  <c r="AG68" i="50"/>
  <c r="AG69" i="50"/>
  <c r="AH65" i="50"/>
  <c r="I46" i="47"/>
  <c r="AG6" i="48"/>
  <c r="AG7" i="48"/>
  <c r="AG9" i="48"/>
  <c r="AG8" i="48"/>
  <c r="AG13" i="48"/>
  <c r="AH38" i="50"/>
  <c r="AH34" i="50"/>
  <c r="AH27" i="50"/>
  <c r="AH35" i="50"/>
  <c r="AH66" i="50"/>
  <c r="AH67" i="50"/>
  <c r="AH68" i="50"/>
  <c r="AH69" i="50"/>
  <c r="AI65" i="50"/>
  <c r="J46" i="47"/>
  <c r="AH6" i="48"/>
  <c r="AH7" i="48"/>
  <c r="AH9" i="48"/>
  <c r="AH8" i="48"/>
  <c r="AH13" i="48"/>
  <c r="AI38" i="50"/>
  <c r="AI34" i="50"/>
  <c r="AI27" i="50"/>
  <c r="AI35" i="50"/>
  <c r="AI66" i="50"/>
  <c r="AI67" i="50"/>
  <c r="AI68" i="50"/>
  <c r="AI69" i="50"/>
  <c r="AJ65" i="50"/>
  <c r="K46" i="47"/>
  <c r="AI6" i="48"/>
  <c r="AI7" i="48"/>
  <c r="AI9" i="48"/>
  <c r="AI8" i="48"/>
  <c r="AI13" i="48"/>
  <c r="AJ38" i="50"/>
  <c r="AJ34" i="50"/>
  <c r="AJ27" i="50"/>
  <c r="AJ35" i="50"/>
  <c r="AJ66" i="50"/>
  <c r="AJ67" i="50"/>
  <c r="AJ68" i="50"/>
  <c r="AJ69" i="50"/>
  <c r="AK65" i="50"/>
  <c r="L46" i="47"/>
  <c r="AJ6" i="48"/>
  <c r="AJ7" i="48"/>
  <c r="AJ9" i="48"/>
  <c r="AJ8" i="48"/>
  <c r="AJ13" i="48"/>
  <c r="AK38" i="50"/>
  <c r="AK34" i="50"/>
  <c r="AK27" i="50"/>
  <c r="AK35" i="50"/>
  <c r="AK66" i="50"/>
  <c r="AK67" i="50"/>
  <c r="AK68" i="50"/>
  <c r="AK69" i="50"/>
  <c r="AL65" i="50"/>
  <c r="M46" i="47"/>
  <c r="AK6" i="48"/>
  <c r="AK7" i="48"/>
  <c r="AK9" i="48"/>
  <c r="AK8" i="48"/>
  <c r="AK13" i="48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M13" i="48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13" i="48"/>
  <c r="AO33" i="48"/>
  <c r="AO35" i="48"/>
  <c r="AO44" i="48"/>
  <c r="AO7" i="48"/>
  <c r="AO9" i="48"/>
  <c r="AO50" i="48"/>
  <c r="AO70" i="48"/>
  <c r="AO72" i="48"/>
  <c r="AO81" i="48"/>
  <c r="AQ125" i="59"/>
  <c r="AO45" i="48"/>
  <c r="AQ126" i="59"/>
  <c r="AQ127" i="59"/>
  <c r="AO34" i="48"/>
  <c r="AO38" i="48"/>
  <c r="AO39" i="48"/>
  <c r="AO40" i="48"/>
  <c r="AO71" i="48"/>
  <c r="AO75" i="48"/>
  <c r="AO76" i="48"/>
  <c r="AO77" i="48"/>
  <c r="AQ120" i="59"/>
  <c r="AO41" i="48"/>
  <c r="AQ121" i="59"/>
  <c r="AQ122" i="59"/>
  <c r="AO15" i="48"/>
  <c r="AO22" i="48"/>
  <c r="AO23" i="48"/>
  <c r="AO24" i="48"/>
  <c r="AO28" i="48"/>
  <c r="AO51" i="48"/>
  <c r="AO52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D15" i="48"/>
  <c r="AD33" i="48"/>
  <c r="AD39" i="48"/>
  <c r="R33" i="48"/>
  <c r="AG67" i="49"/>
  <c r="AG140" i="49"/>
  <c r="AD52" i="48"/>
  <c r="AD70" i="48"/>
  <c r="AD76" i="48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0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13" i="48"/>
  <c r="AP33" i="48"/>
  <c r="AP35" i="48"/>
  <c r="AP44" i="48"/>
  <c r="AP7" i="48"/>
  <c r="AP9" i="48"/>
  <c r="AP50" i="48"/>
  <c r="AP70" i="48"/>
  <c r="AP72" i="48"/>
  <c r="AP81" i="48"/>
  <c r="AR125" i="59"/>
  <c r="AP45" i="48"/>
  <c r="AR126" i="59"/>
  <c r="AR127" i="59"/>
  <c r="AP34" i="48"/>
  <c r="AP38" i="48"/>
  <c r="AP39" i="48"/>
  <c r="AP40" i="48"/>
  <c r="AP71" i="48"/>
  <c r="AP75" i="48"/>
  <c r="AP76" i="48"/>
  <c r="AP77" i="48"/>
  <c r="AR120" i="59"/>
  <c r="AP41" i="48"/>
  <c r="AR121" i="59"/>
  <c r="AR122" i="59"/>
  <c r="AP15" i="48"/>
  <c r="AP22" i="48"/>
  <c r="AP23" i="48"/>
  <c r="AP24" i="48"/>
  <c r="AP28" i="48"/>
  <c r="AP51" i="48"/>
  <c r="AP52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E15" i="48"/>
  <c r="AE33" i="48"/>
  <c r="AE39" i="48"/>
  <c r="G33" i="48"/>
  <c r="S33" i="48"/>
  <c r="AH67" i="49"/>
  <c r="AH140" i="49"/>
  <c r="AE52" i="48"/>
  <c r="AE70" i="48"/>
  <c r="AE76" i="48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0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13" i="48"/>
  <c r="AQ33" i="48"/>
  <c r="AQ35" i="48"/>
  <c r="AQ44" i="48"/>
  <c r="AQ7" i="48"/>
  <c r="AQ9" i="48"/>
  <c r="AQ50" i="48"/>
  <c r="AQ70" i="48"/>
  <c r="AQ72" i="48"/>
  <c r="AQ81" i="48"/>
  <c r="AS125" i="59"/>
  <c r="AQ45" i="48"/>
  <c r="AS126" i="59"/>
  <c r="AS127" i="59"/>
  <c r="AQ34" i="48"/>
  <c r="AQ38" i="48"/>
  <c r="AQ39" i="48"/>
  <c r="AQ40" i="48"/>
  <c r="AQ71" i="48"/>
  <c r="AQ75" i="48"/>
  <c r="AQ76" i="48"/>
  <c r="AQ77" i="48"/>
  <c r="AS120" i="59"/>
  <c r="AQ41" i="48"/>
  <c r="AS121" i="59"/>
  <c r="AS122" i="59"/>
  <c r="AQ15" i="48"/>
  <c r="AQ22" i="48"/>
  <c r="AQ23" i="48"/>
  <c r="AQ24" i="48"/>
  <c r="AQ28" i="48"/>
  <c r="AQ51" i="48"/>
  <c r="AQ52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15" i="48"/>
  <c r="AF22" i="48"/>
  <c r="AF23" i="48"/>
  <c r="AF24" i="48"/>
  <c r="AF28" i="48"/>
  <c r="AF33" i="48"/>
  <c r="AF35" i="48"/>
  <c r="AF34" i="48"/>
  <c r="AF38" i="48"/>
  <c r="AF39" i="48"/>
  <c r="AF40" i="48"/>
  <c r="H33" i="48"/>
  <c r="AI10" i="49"/>
  <c r="T33" i="48"/>
  <c r="AI22" i="49"/>
  <c r="D34" i="49"/>
  <c r="AI34" i="49"/>
  <c r="AI66" i="49"/>
  <c r="AI67" i="49"/>
  <c r="AI68" i="49"/>
  <c r="AF41" i="48"/>
  <c r="AF44" i="48"/>
  <c r="AI83" i="49"/>
  <c r="AI95" i="49"/>
  <c r="D107" i="49"/>
  <c r="AI107" i="49"/>
  <c r="AI139" i="49"/>
  <c r="AI140" i="49"/>
  <c r="AI141" i="49"/>
  <c r="AF45" i="48"/>
  <c r="AF50" i="48"/>
  <c r="AF51" i="48"/>
  <c r="AF52" i="48"/>
  <c r="AF54" i="48"/>
  <c r="AF58" i="48"/>
  <c r="AF59" i="48"/>
  <c r="AF60" i="48"/>
  <c r="AF61" i="48"/>
  <c r="AF63" i="48"/>
  <c r="AF65" i="48"/>
  <c r="AF70" i="48"/>
  <c r="AF72" i="48"/>
  <c r="AF71" i="48"/>
  <c r="AF75" i="48"/>
  <c r="AF76" i="48"/>
  <c r="AF77" i="48"/>
  <c r="AF81" i="48"/>
  <c r="AF91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0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13" i="48"/>
  <c r="AR33" i="48"/>
  <c r="AR35" i="48"/>
  <c r="AR44" i="48"/>
  <c r="AR7" i="48"/>
  <c r="AR9" i="48"/>
  <c r="AR50" i="48"/>
  <c r="AR70" i="48"/>
  <c r="AR72" i="48"/>
  <c r="AR81" i="48"/>
  <c r="AT125" i="59"/>
  <c r="AR45" i="48"/>
  <c r="AT126" i="59"/>
  <c r="AT127" i="59"/>
  <c r="AR34" i="48"/>
  <c r="AR38" i="48"/>
  <c r="AR39" i="48"/>
  <c r="AR40" i="48"/>
  <c r="AR71" i="48"/>
  <c r="AR75" i="48"/>
  <c r="AR76" i="48"/>
  <c r="AR77" i="48"/>
  <c r="AT120" i="59"/>
  <c r="AR41" i="48"/>
  <c r="AT121" i="59"/>
  <c r="AT122" i="59"/>
  <c r="AR15" i="48"/>
  <c r="AR22" i="48"/>
  <c r="AR23" i="48"/>
  <c r="AR24" i="48"/>
  <c r="AR28" i="48"/>
  <c r="AR51" i="48"/>
  <c r="AR52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15" i="48"/>
  <c r="AG22" i="48"/>
  <c r="AG23" i="48"/>
  <c r="AG24" i="48"/>
  <c r="AG28" i="48"/>
  <c r="AG33" i="48"/>
  <c r="AG35" i="48"/>
  <c r="AG34" i="48"/>
  <c r="AG38" i="48"/>
  <c r="AG39" i="48"/>
  <c r="AG40" i="48"/>
  <c r="I33" i="48"/>
  <c r="AJ11" i="49"/>
  <c r="U33" i="48"/>
  <c r="AJ23" i="49"/>
  <c r="D35" i="49"/>
  <c r="AJ35" i="49"/>
  <c r="AJ66" i="49"/>
  <c r="AJ67" i="49"/>
  <c r="AJ68" i="49"/>
  <c r="AG41" i="48"/>
  <c r="AG44" i="48"/>
  <c r="AJ84" i="49"/>
  <c r="AJ96" i="49"/>
  <c r="D108" i="49"/>
  <c r="AJ108" i="49"/>
  <c r="AJ139" i="49"/>
  <c r="AJ140" i="49"/>
  <c r="AJ141" i="49"/>
  <c r="AG45" i="48"/>
  <c r="AG50" i="48"/>
  <c r="AG51" i="48"/>
  <c r="AG52" i="48"/>
  <c r="AG54" i="48"/>
  <c r="AG58" i="48"/>
  <c r="AG59" i="48"/>
  <c r="AG60" i="48"/>
  <c r="AG61" i="48"/>
  <c r="AG63" i="48"/>
  <c r="AG65" i="48"/>
  <c r="AG70" i="48"/>
  <c r="AG72" i="48"/>
  <c r="AG71" i="48"/>
  <c r="AG75" i="48"/>
  <c r="AG76" i="48"/>
  <c r="AG77" i="48"/>
  <c r="AG81" i="48"/>
  <c r="AG91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0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13" i="48"/>
  <c r="AS33" i="48"/>
  <c r="AS35" i="48"/>
  <c r="AS44" i="48"/>
  <c r="AS7" i="48"/>
  <c r="AS9" i="48"/>
  <c r="AS50" i="48"/>
  <c r="AS70" i="48"/>
  <c r="AS72" i="48"/>
  <c r="AS81" i="48"/>
  <c r="AU125" i="59"/>
  <c r="AS45" i="48"/>
  <c r="AU126" i="59"/>
  <c r="AU127" i="59"/>
  <c r="AS34" i="48"/>
  <c r="AS38" i="48"/>
  <c r="AS39" i="48"/>
  <c r="AS40" i="48"/>
  <c r="AS71" i="48"/>
  <c r="AS75" i="48"/>
  <c r="AS76" i="48"/>
  <c r="AS77" i="48"/>
  <c r="AU120" i="59"/>
  <c r="AS41" i="48"/>
  <c r="AU121" i="59"/>
  <c r="AU122" i="59"/>
  <c r="AS15" i="48"/>
  <c r="AS22" i="48"/>
  <c r="AS23" i="48"/>
  <c r="AS24" i="48"/>
  <c r="AS28" i="48"/>
  <c r="AS51" i="48"/>
  <c r="AS52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15" i="48"/>
  <c r="AH22" i="48"/>
  <c r="AH23" i="48"/>
  <c r="AH24" i="48"/>
  <c r="AH28" i="48"/>
  <c r="AH33" i="48"/>
  <c r="AH35" i="48"/>
  <c r="AH34" i="48"/>
  <c r="AH38" i="48"/>
  <c r="AH39" i="48"/>
  <c r="AH40" i="48"/>
  <c r="J33" i="48"/>
  <c r="AK12" i="49"/>
  <c r="V33" i="48"/>
  <c r="AK24" i="49"/>
  <c r="D36" i="49"/>
  <c r="AK36" i="49"/>
  <c r="AK66" i="49"/>
  <c r="AK67" i="49"/>
  <c r="AK68" i="49"/>
  <c r="AH41" i="48"/>
  <c r="AH44" i="48"/>
  <c r="AK85" i="49"/>
  <c r="AK97" i="49"/>
  <c r="D109" i="49"/>
  <c r="AK109" i="49"/>
  <c r="AK139" i="49"/>
  <c r="AK140" i="49"/>
  <c r="AK141" i="49"/>
  <c r="AH45" i="48"/>
  <c r="AH50" i="48"/>
  <c r="AH51" i="48"/>
  <c r="AH52" i="48"/>
  <c r="AH54" i="48"/>
  <c r="AH58" i="48"/>
  <c r="AH59" i="48"/>
  <c r="AH60" i="48"/>
  <c r="AH61" i="48"/>
  <c r="AH63" i="48"/>
  <c r="AH65" i="48"/>
  <c r="AH70" i="48"/>
  <c r="AH72" i="48"/>
  <c r="AH71" i="48"/>
  <c r="AH75" i="48"/>
  <c r="AH76" i="48"/>
  <c r="AH77" i="48"/>
  <c r="AH81" i="48"/>
  <c r="AH91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0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13" i="48"/>
  <c r="AT33" i="48"/>
  <c r="AT35" i="48"/>
  <c r="AT44" i="48"/>
  <c r="AT7" i="48"/>
  <c r="AT9" i="48"/>
  <c r="AT50" i="48"/>
  <c r="AT70" i="48"/>
  <c r="AT72" i="48"/>
  <c r="AT81" i="48"/>
  <c r="AV125" i="59"/>
  <c r="AT45" i="48"/>
  <c r="AV126" i="59"/>
  <c r="AV127" i="59"/>
  <c r="AT34" i="48"/>
  <c r="AT38" i="48"/>
  <c r="AT39" i="48"/>
  <c r="AT40" i="48"/>
  <c r="AT71" i="48"/>
  <c r="AT75" i="48"/>
  <c r="AT76" i="48"/>
  <c r="AT77" i="48"/>
  <c r="AV120" i="59"/>
  <c r="AT41" i="48"/>
  <c r="AV121" i="59"/>
  <c r="AV122" i="59"/>
  <c r="AT15" i="48"/>
  <c r="AT22" i="48"/>
  <c r="AT23" i="48"/>
  <c r="AT24" i="48"/>
  <c r="AT28" i="48"/>
  <c r="AT51" i="48"/>
  <c r="AT52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15" i="48"/>
  <c r="AI22" i="48"/>
  <c r="AI23" i="48"/>
  <c r="AI24" i="48"/>
  <c r="AI28" i="48"/>
  <c r="AI33" i="48"/>
  <c r="AI35" i="48"/>
  <c r="AI34" i="48"/>
  <c r="AI38" i="48"/>
  <c r="AI39" i="48"/>
  <c r="AI40" i="48"/>
  <c r="K33" i="48"/>
  <c r="AL13" i="49"/>
  <c r="W33" i="48"/>
  <c r="AL25" i="49"/>
  <c r="D37" i="49"/>
  <c r="AL37" i="49"/>
  <c r="AL66" i="49"/>
  <c r="AL67" i="49"/>
  <c r="AL68" i="49"/>
  <c r="AI41" i="48"/>
  <c r="AI44" i="48"/>
  <c r="AL86" i="49"/>
  <c r="AL98" i="49"/>
  <c r="D110" i="49"/>
  <c r="AL110" i="49"/>
  <c r="AL139" i="49"/>
  <c r="AL140" i="49"/>
  <c r="AL141" i="49"/>
  <c r="AI45" i="48"/>
  <c r="AI50" i="48"/>
  <c r="AI51" i="48"/>
  <c r="AI52" i="48"/>
  <c r="AI54" i="48"/>
  <c r="AI58" i="48"/>
  <c r="AI59" i="48"/>
  <c r="AI60" i="48"/>
  <c r="AI61" i="48"/>
  <c r="AI63" i="48"/>
  <c r="AI65" i="48"/>
  <c r="AI70" i="48"/>
  <c r="AI72" i="48"/>
  <c r="AI71" i="48"/>
  <c r="AI75" i="48"/>
  <c r="AI76" i="48"/>
  <c r="AI77" i="48"/>
  <c r="AI81" i="48"/>
  <c r="AI91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0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13" i="48"/>
  <c r="AU33" i="48"/>
  <c r="AU35" i="48"/>
  <c r="AU44" i="48"/>
  <c r="AU7" i="48"/>
  <c r="AU9" i="48"/>
  <c r="AU50" i="48"/>
  <c r="AU70" i="48"/>
  <c r="AU72" i="48"/>
  <c r="AU81" i="48"/>
  <c r="AW125" i="59"/>
  <c r="AU45" i="48"/>
  <c r="AW126" i="59"/>
  <c r="AW127" i="59"/>
  <c r="AU34" i="48"/>
  <c r="AU38" i="48"/>
  <c r="AU39" i="48"/>
  <c r="AU40" i="48"/>
  <c r="AU71" i="48"/>
  <c r="AU75" i="48"/>
  <c r="AU76" i="48"/>
  <c r="AU77" i="48"/>
  <c r="AW120" i="59"/>
  <c r="AU41" i="48"/>
  <c r="AW121" i="59"/>
  <c r="AW122" i="59"/>
  <c r="AU15" i="48"/>
  <c r="AU22" i="48"/>
  <c r="AU23" i="48"/>
  <c r="AU24" i="48"/>
  <c r="AU28" i="48"/>
  <c r="AU51" i="48"/>
  <c r="AU52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15" i="48"/>
  <c r="AJ22" i="48"/>
  <c r="AJ23" i="48"/>
  <c r="AJ24" i="48"/>
  <c r="AJ28" i="48"/>
  <c r="AJ33" i="48"/>
  <c r="AJ35" i="48"/>
  <c r="AJ34" i="48"/>
  <c r="AJ38" i="48"/>
  <c r="AJ39" i="48"/>
  <c r="AJ40" i="48"/>
  <c r="L33" i="48"/>
  <c r="AM14" i="49"/>
  <c r="X33" i="48"/>
  <c r="AM26" i="49"/>
  <c r="D38" i="49"/>
  <c r="AM38" i="49"/>
  <c r="AM66" i="49"/>
  <c r="AM67" i="49"/>
  <c r="AM68" i="49"/>
  <c r="AJ41" i="48"/>
  <c r="AJ44" i="48"/>
  <c r="AM87" i="49"/>
  <c r="AM99" i="49"/>
  <c r="D111" i="49"/>
  <c r="AM111" i="49"/>
  <c r="AM139" i="49"/>
  <c r="AM140" i="49"/>
  <c r="AM141" i="49"/>
  <c r="AJ45" i="48"/>
  <c r="AJ50" i="48"/>
  <c r="AJ51" i="48"/>
  <c r="AJ52" i="48"/>
  <c r="AJ54" i="48"/>
  <c r="AJ58" i="48"/>
  <c r="AJ59" i="48"/>
  <c r="AJ60" i="48"/>
  <c r="AJ61" i="48"/>
  <c r="AJ63" i="48"/>
  <c r="AJ65" i="48"/>
  <c r="AJ70" i="48"/>
  <c r="AJ72" i="48"/>
  <c r="AJ71" i="48"/>
  <c r="AJ75" i="48"/>
  <c r="AJ76" i="48"/>
  <c r="AJ77" i="48"/>
  <c r="AJ81" i="48"/>
  <c r="AJ91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0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13" i="48"/>
  <c r="AV33" i="48"/>
  <c r="AV35" i="48"/>
  <c r="AV44" i="48"/>
  <c r="AV7" i="48"/>
  <c r="AV9" i="48"/>
  <c r="AV50" i="48"/>
  <c r="AV70" i="48"/>
  <c r="AV72" i="48"/>
  <c r="AV81" i="48"/>
  <c r="AX125" i="59"/>
  <c r="AV45" i="48"/>
  <c r="AX126" i="59"/>
  <c r="AX127" i="59"/>
  <c r="AV34" i="48"/>
  <c r="AV38" i="48"/>
  <c r="AV39" i="48"/>
  <c r="AV40" i="48"/>
  <c r="AV71" i="48"/>
  <c r="AV75" i="48"/>
  <c r="AV76" i="48"/>
  <c r="AV77" i="48"/>
  <c r="AX120" i="59"/>
  <c r="AV41" i="48"/>
  <c r="AX121" i="59"/>
  <c r="AX122" i="59"/>
  <c r="AV15" i="48"/>
  <c r="AV22" i="48"/>
  <c r="AV23" i="48"/>
  <c r="AV24" i="48"/>
  <c r="AV28" i="48"/>
  <c r="AV51" i="48"/>
  <c r="AV52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15" i="48"/>
  <c r="AK22" i="48"/>
  <c r="AK23" i="48"/>
  <c r="AK24" i="48"/>
  <c r="AK28" i="48"/>
  <c r="AK33" i="48"/>
  <c r="AK35" i="48"/>
  <c r="AK34" i="48"/>
  <c r="AK38" i="48"/>
  <c r="AK39" i="48"/>
  <c r="AK40" i="48"/>
  <c r="M33" i="48"/>
  <c r="AN15" i="49"/>
  <c r="Y33" i="48"/>
  <c r="AN27" i="49"/>
  <c r="D39" i="49"/>
  <c r="AN39" i="49"/>
  <c r="AN66" i="49"/>
  <c r="AN67" i="49"/>
  <c r="AN68" i="49"/>
  <c r="AK41" i="48"/>
  <c r="AK44" i="48"/>
  <c r="AN88" i="49"/>
  <c r="AN100" i="49"/>
  <c r="D112" i="49"/>
  <c r="AN112" i="49"/>
  <c r="AN139" i="49"/>
  <c r="AN140" i="49"/>
  <c r="AN141" i="49"/>
  <c r="AK45" i="48"/>
  <c r="AK50" i="48"/>
  <c r="AK51" i="48"/>
  <c r="AK52" i="48"/>
  <c r="AK54" i="48"/>
  <c r="AK58" i="48"/>
  <c r="AK59" i="48"/>
  <c r="AK60" i="48"/>
  <c r="AK61" i="48"/>
  <c r="AK63" i="48"/>
  <c r="AK65" i="48"/>
  <c r="AK70" i="48"/>
  <c r="AK72" i="48"/>
  <c r="AK71" i="48"/>
  <c r="AK75" i="48"/>
  <c r="AK76" i="48"/>
  <c r="AK77" i="48"/>
  <c r="AK81" i="48"/>
  <c r="AK91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0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13" i="48"/>
  <c r="AW33" i="48"/>
  <c r="AW35" i="48"/>
  <c r="AW44" i="48"/>
  <c r="AW7" i="48"/>
  <c r="AW9" i="48"/>
  <c r="AW50" i="48"/>
  <c r="AW70" i="48"/>
  <c r="AW72" i="48"/>
  <c r="AW81" i="48"/>
  <c r="AY125" i="59"/>
  <c r="AW45" i="48"/>
  <c r="AY126" i="59"/>
  <c r="AY127" i="59"/>
  <c r="AW34" i="48"/>
  <c r="AW38" i="48"/>
  <c r="AW39" i="48"/>
  <c r="AW40" i="48"/>
  <c r="AW71" i="48"/>
  <c r="AW75" i="48"/>
  <c r="AW76" i="48"/>
  <c r="AW77" i="48"/>
  <c r="AY120" i="59"/>
  <c r="AW41" i="48"/>
  <c r="AY121" i="59"/>
  <c r="AY122" i="59"/>
  <c r="AW15" i="48"/>
  <c r="AW22" i="48"/>
  <c r="AW23" i="48"/>
  <c r="AW24" i="48"/>
  <c r="AW28" i="48"/>
  <c r="AW51" i="48"/>
  <c r="AW52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15" i="48"/>
  <c r="AL22" i="48"/>
  <c r="AL23" i="48"/>
  <c r="AL24" i="48"/>
  <c r="AL28" i="48"/>
  <c r="AL38" i="48"/>
  <c r="AL39" i="48"/>
  <c r="AL40" i="48"/>
  <c r="AL41" i="48"/>
  <c r="AL44" i="48"/>
  <c r="AL45" i="48"/>
  <c r="AL50" i="48"/>
  <c r="AL51" i="48"/>
  <c r="AL52" i="48"/>
  <c r="AL54" i="48"/>
  <c r="AL58" i="48"/>
  <c r="AL59" i="48"/>
  <c r="AL60" i="48"/>
  <c r="AL61" i="48"/>
  <c r="AL63" i="48"/>
  <c r="AL65" i="48"/>
  <c r="AL70" i="48"/>
  <c r="AL72" i="48"/>
  <c r="AL71" i="48"/>
  <c r="AL75" i="48"/>
  <c r="AL76" i="48"/>
  <c r="AL77" i="48"/>
  <c r="AL81" i="48"/>
  <c r="AL91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0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13" i="48"/>
  <c r="AX33" i="48"/>
  <c r="AX35" i="48"/>
  <c r="AX44" i="48"/>
  <c r="AX7" i="48"/>
  <c r="AX9" i="48"/>
  <c r="AX50" i="48"/>
  <c r="AX70" i="48"/>
  <c r="AX72" i="48"/>
  <c r="AX81" i="48"/>
  <c r="AZ125" i="59"/>
  <c r="AX45" i="48"/>
  <c r="AZ126" i="59"/>
  <c r="AZ127" i="59"/>
  <c r="AX34" i="48"/>
  <c r="AX38" i="48"/>
  <c r="AX39" i="48"/>
  <c r="AX40" i="48"/>
  <c r="AX71" i="48"/>
  <c r="AX75" i="48"/>
  <c r="AX76" i="48"/>
  <c r="AX77" i="48"/>
  <c r="AZ120" i="59"/>
  <c r="AX41" i="48"/>
  <c r="AZ121" i="59"/>
  <c r="AZ122" i="59"/>
  <c r="AX15" i="48"/>
  <c r="AX22" i="48"/>
  <c r="AX23" i="48"/>
  <c r="AX24" i="48"/>
  <c r="AX28" i="48"/>
  <c r="AX51" i="48"/>
  <c r="AX52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15" i="48"/>
  <c r="AM22" i="48"/>
  <c r="AM23" i="48"/>
  <c r="AM24" i="48"/>
  <c r="AM28" i="48"/>
  <c r="AM33" i="48"/>
  <c r="AM35" i="48"/>
  <c r="AM34" i="48"/>
  <c r="AM38" i="48"/>
  <c r="AM39" i="48"/>
  <c r="AM40" i="48"/>
  <c r="AM41" i="48"/>
  <c r="AM44" i="48"/>
  <c r="AM45" i="48"/>
  <c r="AM6" i="48"/>
  <c r="AM7" i="48"/>
  <c r="AM9" i="48"/>
  <c r="AM50" i="48"/>
  <c r="AM51" i="48"/>
  <c r="AM52" i="48"/>
  <c r="AM54" i="48"/>
  <c r="AM58" i="48"/>
  <c r="AM59" i="48"/>
  <c r="AM60" i="48"/>
  <c r="AM61" i="48"/>
  <c r="AM63" i="48"/>
  <c r="AM65" i="48"/>
  <c r="AM70" i="48"/>
  <c r="AM72" i="48"/>
  <c r="AM71" i="48"/>
  <c r="AM75" i="48"/>
  <c r="AM76" i="48"/>
  <c r="AM77" i="48"/>
  <c r="AM81" i="48"/>
  <c r="AM91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0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13" i="48"/>
  <c r="AY33" i="48"/>
  <c r="AY35" i="48"/>
  <c r="B220" i="46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7" i="48"/>
  <c r="AY9" i="48"/>
  <c r="AY50" i="48"/>
  <c r="AY70" i="48"/>
  <c r="AY72" i="48"/>
  <c r="B245" i="46"/>
  <c r="AY81" i="48"/>
  <c r="BA125" i="59"/>
  <c r="AY45" i="48"/>
  <c r="BA126" i="59"/>
  <c r="BA127" i="59"/>
  <c r="AY34" i="48"/>
  <c r="AY38" i="48"/>
  <c r="AY39" i="48"/>
  <c r="AY40" i="48"/>
  <c r="AY71" i="48"/>
  <c r="AY75" i="48"/>
  <c r="AY76" i="48"/>
  <c r="AY77" i="48"/>
  <c r="BA120" i="59"/>
  <c r="AY41" i="48"/>
  <c r="BA121" i="59"/>
  <c r="BA122" i="59"/>
  <c r="B205" i="46"/>
  <c r="AY15" i="48"/>
  <c r="E205" i="46"/>
  <c r="E206" i="46"/>
  <c r="AY22" i="48"/>
  <c r="E207" i="46"/>
  <c r="AY23" i="48"/>
  <c r="E208" i="46"/>
  <c r="AY24" i="48"/>
  <c r="AY28" i="48"/>
  <c r="AY51" i="48"/>
  <c r="AY52" i="48"/>
  <c r="AY54" i="48"/>
  <c r="E179" i="46"/>
  <c r="AY58" i="48"/>
  <c r="E180" i="46"/>
  <c r="AY59" i="48"/>
  <c r="E181" i="46"/>
  <c r="AY60" i="48"/>
  <c r="E182" i="46"/>
  <c r="AY61" i="48"/>
  <c r="AY63" i="48"/>
  <c r="AY65" i="48"/>
  <c r="BA116" i="59"/>
  <c r="BA129" i="59"/>
  <c r="AY91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0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13" i="48"/>
  <c r="AZ33" i="48"/>
  <c r="AZ35" i="48"/>
  <c r="AZ44" i="48"/>
  <c r="AZ7" i="48"/>
  <c r="AZ9" i="48"/>
  <c r="AZ50" i="48"/>
  <c r="AZ70" i="48"/>
  <c r="AZ72" i="48"/>
  <c r="AZ81" i="48"/>
  <c r="BB125" i="59"/>
  <c r="AZ45" i="48"/>
  <c r="BB126" i="59"/>
  <c r="BB127" i="59"/>
  <c r="AZ34" i="48"/>
  <c r="AZ38" i="48"/>
  <c r="AZ39" i="48"/>
  <c r="AZ40" i="48"/>
  <c r="AZ71" i="48"/>
  <c r="AZ75" i="48"/>
  <c r="AZ76" i="48"/>
  <c r="AZ77" i="48"/>
  <c r="BB120" i="59"/>
  <c r="AZ41" i="48"/>
  <c r="BB121" i="59"/>
  <c r="BB122" i="59"/>
  <c r="AZ15" i="48"/>
  <c r="AZ22" i="48"/>
  <c r="AZ23" i="48"/>
  <c r="AZ24" i="48"/>
  <c r="AZ28" i="48"/>
  <c r="AZ51" i="48"/>
  <c r="AZ52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0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13" i="48"/>
  <c r="BA33" i="48"/>
  <c r="BA35" i="48"/>
  <c r="BA44" i="48"/>
  <c r="BA7" i="48"/>
  <c r="BA9" i="48"/>
  <c r="BA50" i="48"/>
  <c r="BA70" i="48"/>
  <c r="BA72" i="48"/>
  <c r="BA81" i="48"/>
  <c r="BC125" i="59"/>
  <c r="BA45" i="48"/>
  <c r="BC126" i="59"/>
  <c r="BC127" i="59"/>
  <c r="BA34" i="48"/>
  <c r="BA38" i="48"/>
  <c r="BA39" i="48"/>
  <c r="BA40" i="48"/>
  <c r="BA71" i="48"/>
  <c r="BA75" i="48"/>
  <c r="BA76" i="48"/>
  <c r="BA77" i="48"/>
  <c r="BC120" i="59"/>
  <c r="BA41" i="48"/>
  <c r="BD104" i="49"/>
  <c r="BC121" i="59"/>
  <c r="BC122" i="59"/>
  <c r="BA15" i="48"/>
  <c r="BA22" i="48"/>
  <c r="BA23" i="48"/>
  <c r="BA24" i="48"/>
  <c r="BA28" i="48"/>
  <c r="BA51" i="48"/>
  <c r="BA52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0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13" i="48"/>
  <c r="BB33" i="48"/>
  <c r="BB35" i="48"/>
  <c r="BB44" i="48"/>
  <c r="BB7" i="48"/>
  <c r="BB9" i="48"/>
  <c r="BB50" i="48"/>
  <c r="BB70" i="48"/>
  <c r="BB72" i="48"/>
  <c r="BB81" i="48"/>
  <c r="BD125" i="59"/>
  <c r="BB45" i="48"/>
  <c r="BD126" i="59"/>
  <c r="BD127" i="59"/>
  <c r="BB34" i="48"/>
  <c r="BB38" i="48"/>
  <c r="BB39" i="48"/>
  <c r="BB40" i="48"/>
  <c r="BB71" i="48"/>
  <c r="BB75" i="48"/>
  <c r="BB76" i="48"/>
  <c r="BB77" i="48"/>
  <c r="BD120" i="59"/>
  <c r="BB41" i="48"/>
  <c r="BD121" i="59"/>
  <c r="BD122" i="59"/>
  <c r="BB15" i="48"/>
  <c r="BB22" i="48"/>
  <c r="BB23" i="48"/>
  <c r="BB24" i="48"/>
  <c r="BB28" i="48"/>
  <c r="BB51" i="48"/>
  <c r="BB52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0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13" i="48"/>
  <c r="BC33" i="48"/>
  <c r="BC35" i="48"/>
  <c r="BC44" i="48"/>
  <c r="BC7" i="48"/>
  <c r="BC9" i="48"/>
  <c r="BC50" i="48"/>
  <c r="BC70" i="48"/>
  <c r="BC72" i="48"/>
  <c r="BC81" i="48"/>
  <c r="BE125" i="59"/>
  <c r="BC45" i="48"/>
  <c r="BE126" i="59"/>
  <c r="BE127" i="59"/>
  <c r="BC34" i="48"/>
  <c r="BC38" i="48"/>
  <c r="BC39" i="48"/>
  <c r="BC40" i="48"/>
  <c r="BC71" i="48"/>
  <c r="BC75" i="48"/>
  <c r="BC76" i="48"/>
  <c r="BC77" i="48"/>
  <c r="BE120" i="59"/>
  <c r="BC41" i="48"/>
  <c r="BE121" i="59"/>
  <c r="BE122" i="59"/>
  <c r="BC15" i="48"/>
  <c r="BC22" i="48"/>
  <c r="BC23" i="48"/>
  <c r="BC24" i="48"/>
  <c r="BC28" i="48"/>
  <c r="BC51" i="48"/>
  <c r="BC52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0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13" i="48"/>
  <c r="BD33" i="48"/>
  <c r="BD35" i="48"/>
  <c r="BD44" i="48"/>
  <c r="BD7" i="48"/>
  <c r="BD9" i="48"/>
  <c r="BD50" i="48"/>
  <c r="BD70" i="48"/>
  <c r="BD72" i="48"/>
  <c r="BD81" i="48"/>
  <c r="BF125" i="59"/>
  <c r="BD45" i="48"/>
  <c r="BF126" i="59"/>
  <c r="BF127" i="59"/>
  <c r="BD34" i="48"/>
  <c r="BD38" i="48"/>
  <c r="BD39" i="48"/>
  <c r="BD40" i="48"/>
  <c r="BD71" i="48"/>
  <c r="BD75" i="48"/>
  <c r="BD76" i="48"/>
  <c r="BD77" i="48"/>
  <c r="BF120" i="59"/>
  <c r="BD41" i="48"/>
  <c r="BF121" i="59"/>
  <c r="BF122" i="59"/>
  <c r="BD15" i="48"/>
  <c r="BD22" i="48"/>
  <c r="BD23" i="48"/>
  <c r="BD24" i="48"/>
  <c r="BD28" i="48"/>
  <c r="BD51" i="48"/>
  <c r="BD52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0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13" i="48"/>
  <c r="BE33" i="48"/>
  <c r="BE35" i="48"/>
  <c r="BE44" i="48"/>
  <c r="BE7" i="48"/>
  <c r="BE9" i="48"/>
  <c r="BE50" i="48"/>
  <c r="BE70" i="48"/>
  <c r="BE72" i="48"/>
  <c r="BE81" i="48"/>
  <c r="BG125" i="59"/>
  <c r="BE45" i="48"/>
  <c r="BG126" i="59"/>
  <c r="BG127" i="59"/>
  <c r="BE34" i="48"/>
  <c r="BE38" i="48"/>
  <c r="BE39" i="48"/>
  <c r="BE40" i="48"/>
  <c r="BE71" i="48"/>
  <c r="BE75" i="48"/>
  <c r="BE76" i="48"/>
  <c r="BE77" i="48"/>
  <c r="BG120" i="59"/>
  <c r="BE41" i="48"/>
  <c r="BG121" i="59"/>
  <c r="BG122" i="59"/>
  <c r="BE15" i="48"/>
  <c r="BE22" i="48"/>
  <c r="BE23" i="48"/>
  <c r="BE24" i="48"/>
  <c r="BE28" i="48"/>
  <c r="BE51" i="48"/>
  <c r="BE52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0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13" i="48"/>
  <c r="BF33" i="48"/>
  <c r="BF35" i="48"/>
  <c r="BF44" i="48"/>
  <c r="BF7" i="48"/>
  <c r="BF9" i="48"/>
  <c r="BF50" i="48"/>
  <c r="BF70" i="48"/>
  <c r="BF72" i="48"/>
  <c r="BF81" i="48"/>
  <c r="BH125" i="59"/>
  <c r="BF45" i="48"/>
  <c r="BH126" i="59"/>
  <c r="BH127" i="59"/>
  <c r="BF34" i="48"/>
  <c r="BF38" i="48"/>
  <c r="BF39" i="48"/>
  <c r="BF40" i="48"/>
  <c r="BF71" i="48"/>
  <c r="BF75" i="48"/>
  <c r="BF76" i="48"/>
  <c r="BF77" i="48"/>
  <c r="BH120" i="59"/>
  <c r="BF41" i="48"/>
  <c r="BH121" i="59"/>
  <c r="BH122" i="59"/>
  <c r="BF15" i="48"/>
  <c r="BF22" i="48"/>
  <c r="BF23" i="48"/>
  <c r="BF24" i="48"/>
  <c r="BF28" i="48"/>
  <c r="BF51" i="48"/>
  <c r="BF52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0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13" i="48"/>
  <c r="BG33" i="48"/>
  <c r="BG35" i="48"/>
  <c r="BG44" i="48"/>
  <c r="BG7" i="48"/>
  <c r="BG9" i="48"/>
  <c r="BG50" i="48"/>
  <c r="BG70" i="48"/>
  <c r="BG72" i="48"/>
  <c r="BG81" i="48"/>
  <c r="BI125" i="59"/>
  <c r="BG45" i="48"/>
  <c r="BI126" i="59"/>
  <c r="BI127" i="59"/>
  <c r="BG34" i="48"/>
  <c r="BG38" i="48"/>
  <c r="BG39" i="48"/>
  <c r="BG40" i="48"/>
  <c r="BG71" i="48"/>
  <c r="BG75" i="48"/>
  <c r="BG76" i="48"/>
  <c r="BG77" i="48"/>
  <c r="BI120" i="59"/>
  <c r="BG41" i="48"/>
  <c r="BI121" i="59"/>
  <c r="BI122" i="59"/>
  <c r="BG15" i="48"/>
  <c r="BG22" i="48"/>
  <c r="BG23" i="48"/>
  <c r="BG24" i="48"/>
  <c r="BG28" i="48"/>
  <c r="BG51" i="48"/>
  <c r="BG52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0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13" i="48"/>
  <c r="BH33" i="48"/>
  <c r="BH35" i="48"/>
  <c r="BH44" i="48"/>
  <c r="BH7" i="48"/>
  <c r="BH9" i="48"/>
  <c r="BH50" i="48"/>
  <c r="BH70" i="48"/>
  <c r="BH72" i="48"/>
  <c r="BH81" i="48"/>
  <c r="BJ125" i="59"/>
  <c r="BH45" i="48"/>
  <c r="BJ126" i="59"/>
  <c r="BJ127" i="59"/>
  <c r="BH34" i="48"/>
  <c r="BH38" i="48"/>
  <c r="BH39" i="48"/>
  <c r="BH40" i="48"/>
  <c r="BH71" i="48"/>
  <c r="BH75" i="48"/>
  <c r="BH76" i="48"/>
  <c r="BH77" i="48"/>
  <c r="BJ120" i="59"/>
  <c r="BH41" i="48"/>
  <c r="BJ121" i="59"/>
  <c r="BJ122" i="59"/>
  <c r="BH15" i="48"/>
  <c r="BH22" i="48"/>
  <c r="BH23" i="48"/>
  <c r="BH24" i="48"/>
  <c r="BH28" i="48"/>
  <c r="BH51" i="48"/>
  <c r="BH52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0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13" i="48"/>
  <c r="BI33" i="48"/>
  <c r="BI35" i="48"/>
  <c r="BI44" i="48"/>
  <c r="BI7" i="48"/>
  <c r="BI9" i="48"/>
  <c r="BI50" i="48"/>
  <c r="BI70" i="48"/>
  <c r="BI72" i="48"/>
  <c r="BI81" i="48"/>
  <c r="BK125" i="59"/>
  <c r="BI45" i="48"/>
  <c r="BK126" i="59"/>
  <c r="BK127" i="59"/>
  <c r="BI34" i="48"/>
  <c r="BI38" i="48"/>
  <c r="BI39" i="48"/>
  <c r="BI40" i="48"/>
  <c r="BI71" i="48"/>
  <c r="BI75" i="48"/>
  <c r="BI76" i="48"/>
  <c r="BI77" i="48"/>
  <c r="BK120" i="59"/>
  <c r="BI41" i="48"/>
  <c r="BK121" i="59"/>
  <c r="BK122" i="59"/>
  <c r="BI15" i="48"/>
  <c r="BI22" i="48"/>
  <c r="BI23" i="48"/>
  <c r="BI24" i="48"/>
  <c r="BI28" i="48"/>
  <c r="BI51" i="48"/>
  <c r="BI52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0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13" i="48"/>
  <c r="BJ33" i="48"/>
  <c r="BJ35" i="48"/>
  <c r="BJ44" i="48"/>
  <c r="BJ7" i="48"/>
  <c r="BJ9" i="48"/>
  <c r="BJ50" i="48"/>
  <c r="BJ70" i="48"/>
  <c r="BJ72" i="48"/>
  <c r="BJ81" i="48"/>
  <c r="BL125" i="59"/>
  <c r="BJ45" i="48"/>
  <c r="BL126" i="59"/>
  <c r="BL127" i="59"/>
  <c r="BJ34" i="48"/>
  <c r="BJ38" i="48"/>
  <c r="BJ39" i="48"/>
  <c r="BJ40" i="48"/>
  <c r="BJ71" i="48"/>
  <c r="BJ75" i="48"/>
  <c r="BJ76" i="48"/>
  <c r="BJ77" i="48"/>
  <c r="BL120" i="59"/>
  <c r="BJ41" i="48"/>
  <c r="BL121" i="59"/>
  <c r="BL122" i="59"/>
  <c r="BJ15" i="48"/>
  <c r="BJ22" i="48"/>
  <c r="BJ23" i="48"/>
  <c r="BJ24" i="48"/>
  <c r="BJ28" i="48"/>
  <c r="BJ51" i="48"/>
  <c r="BJ52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0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A15" i="48"/>
  <c r="AA52" i="48"/>
  <c r="AA33" i="48"/>
  <c r="AA39" i="48"/>
  <c r="AD67" i="49"/>
  <c r="C33" i="48"/>
  <c r="O33" i="48"/>
  <c r="AD140" i="49"/>
  <c r="AA70" i="48"/>
  <c r="AA76" i="48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0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B15" i="48"/>
  <c r="AB52" i="48"/>
  <c r="AB33" i="48"/>
  <c r="AB39" i="48"/>
  <c r="AE67" i="49"/>
  <c r="D33" i="48"/>
  <c r="P33" i="48"/>
  <c r="AE140" i="49"/>
  <c r="AB70" i="48"/>
  <c r="AB76" i="48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0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0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0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0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0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0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0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S70" i="48"/>
  <c r="V140" i="49"/>
  <c r="S39" i="48"/>
  <c r="S76" i="48"/>
  <c r="D64" i="46"/>
  <c r="V67" i="49"/>
  <c r="S15" i="48"/>
  <c r="S52" i="48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H39" i="48"/>
  <c r="K67" i="49"/>
  <c r="K140" i="49"/>
  <c r="H70" i="48"/>
  <c r="B40" i="46"/>
  <c r="H76" i="48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T70" i="48"/>
  <c r="W140" i="49"/>
  <c r="T39" i="48"/>
  <c r="T76" i="48"/>
  <c r="W67" i="49"/>
  <c r="T15" i="48"/>
  <c r="T52" i="48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I39" i="48"/>
  <c r="L67" i="49"/>
  <c r="L140" i="49"/>
  <c r="I70" i="48"/>
  <c r="I76" i="48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U70" i="48"/>
  <c r="X140" i="49"/>
  <c r="U39" i="48"/>
  <c r="U76" i="48"/>
  <c r="X67" i="49"/>
  <c r="U15" i="48"/>
  <c r="U52" i="48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J39" i="48"/>
  <c r="M67" i="49"/>
  <c r="M140" i="49"/>
  <c r="J70" i="48"/>
  <c r="J76" i="48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V70" i="48"/>
  <c r="Y140" i="49"/>
  <c r="V39" i="48"/>
  <c r="V76" i="48"/>
  <c r="Y67" i="49"/>
  <c r="V15" i="48"/>
  <c r="V52" i="48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K39" i="48"/>
  <c r="N67" i="49"/>
  <c r="N140" i="49"/>
  <c r="K70" i="48"/>
  <c r="K76" i="48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W70" i="48"/>
  <c r="Z140" i="49"/>
  <c r="W39" i="48"/>
  <c r="W76" i="48"/>
  <c r="Z67" i="49"/>
  <c r="W15" i="48"/>
  <c r="W52" i="48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L39" i="48"/>
  <c r="O67" i="49"/>
  <c r="O140" i="49"/>
  <c r="L70" i="48"/>
  <c r="L76" i="48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X70" i="48"/>
  <c r="AA140" i="49"/>
  <c r="X39" i="48"/>
  <c r="X76" i="48"/>
  <c r="AA67" i="49"/>
  <c r="X15" i="48"/>
  <c r="X52" i="48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M39" i="48"/>
  <c r="P67" i="49"/>
  <c r="P140" i="49"/>
  <c r="M70" i="48"/>
  <c r="M76" i="48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Y70" i="48"/>
  <c r="AB140" i="49"/>
  <c r="Y39" i="48"/>
  <c r="Y76" i="48"/>
  <c r="AB67" i="49"/>
  <c r="Y15" i="48"/>
  <c r="Y52" i="48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N39" i="48"/>
  <c r="Q67" i="49"/>
  <c r="Q140" i="49"/>
  <c r="N70" i="48"/>
  <c r="N76" i="48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Z70" i="48"/>
  <c r="AC140" i="49"/>
  <c r="Z39" i="48"/>
  <c r="Z76" i="48"/>
  <c r="AC67" i="49"/>
  <c r="Z15" i="48"/>
  <c r="Z52" i="48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O15" i="48"/>
  <c r="O39" i="48"/>
  <c r="R67" i="49"/>
  <c r="R140" i="49"/>
  <c r="O52" i="48"/>
  <c r="O70" i="48"/>
  <c r="O76" i="48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P15" i="48"/>
  <c r="P39" i="48"/>
  <c r="S67" i="49"/>
  <c r="S140" i="49"/>
  <c r="P52" i="48"/>
  <c r="P70" i="48"/>
  <c r="P76" i="48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Q15" i="48"/>
  <c r="Q39" i="48"/>
  <c r="T67" i="49"/>
  <c r="T140" i="49"/>
  <c r="Q52" i="48"/>
  <c r="Q70" i="48"/>
  <c r="Q76" i="48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R15" i="48"/>
  <c r="R39" i="48"/>
  <c r="U67" i="49"/>
  <c r="U140" i="49"/>
  <c r="R52" i="48"/>
  <c r="R70" i="48"/>
  <c r="R76" i="48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F39" i="48"/>
  <c r="F70" i="48"/>
  <c r="F76" i="48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G39" i="48"/>
  <c r="J67" i="49"/>
  <c r="J140" i="49"/>
  <c r="G70" i="48"/>
  <c r="G76" i="48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C70" i="48"/>
  <c r="F140" i="49"/>
  <c r="C39" i="48"/>
  <c r="C76" i="48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D70" i="48"/>
  <c r="G140" i="49"/>
  <c r="D39" i="48"/>
  <c r="D76" i="48"/>
  <c r="G67" i="49"/>
  <c r="E70" i="48"/>
  <c r="H140" i="49"/>
  <c r="E39" i="48"/>
  <c r="E76" i="48"/>
  <c r="H67" i="49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1" i="48"/>
  <c r="F26" i="92"/>
  <c r="F110" i="91"/>
  <c r="F16" i="92"/>
  <c r="J76" i="6"/>
  <c r="F111" i="91"/>
  <c r="F17" i="92"/>
  <c r="F18" i="92"/>
  <c r="F27" i="92"/>
  <c r="F28" i="92"/>
  <c r="D91" i="48"/>
  <c r="E26" i="92"/>
  <c r="E110" i="91"/>
  <c r="E16" i="92"/>
  <c r="I76" i="6"/>
  <c r="E111" i="91"/>
  <c r="E17" i="92"/>
  <c r="E18" i="92"/>
  <c r="E27" i="92"/>
  <c r="E28" i="92"/>
  <c r="C91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27" i="59"/>
  <c r="D122" i="59"/>
  <c r="D129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35" i="48"/>
  <c r="A43" i="48"/>
  <c r="B124" i="59"/>
  <c r="A34" i="48"/>
  <c r="A37" i="48"/>
  <c r="B119" i="59"/>
  <c r="A44" i="48"/>
  <c r="B125" i="59"/>
  <c r="A38" i="48"/>
  <c r="A40" i="48"/>
  <c r="B120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1" i="48"/>
  <c r="A75" i="48"/>
  <c r="A119" i="82"/>
  <c r="A74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E78" i="48"/>
  <c r="D78" i="48"/>
  <c r="C78" i="48"/>
  <c r="BK52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20" i="67"/>
  <c r="C9" i="67"/>
  <c r="D6" i="67"/>
  <c r="C33" i="92"/>
  <c r="G214" i="6"/>
  <c r="C10" i="67"/>
  <c r="C39" i="64"/>
  <c r="C9" i="64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A80" i="48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77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<sst xmlns="http://schemas.openxmlformats.org/spreadsheetml/2006/main" count="7612" uniqueCount="1277">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</sst>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3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400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9" fontId="27" fillId="0" borderId="0" xfId="3" applyNumberFormat="1" applyFont="1" applyAlignment="1">
      <alignment horizontal="center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-15235916.666666668</c:v>
                </c:pt>
                <c:pt idx="6">
                  <c:v>-15140916.666666668</c:v>
                </c:pt>
                <c:pt idx="7">
                  <c:v>-14172250</c:v>
                </c:pt>
                <c:pt idx="8">
                  <c:v>-14172250</c:v>
                </c:pt>
                <c:pt idx="9">
                  <c:v>-14172250</c:v>
                </c:pt>
                <c:pt idx="10">
                  <c:v>-14172250</c:v>
                </c:pt>
                <c:pt idx="11">
                  <c:v>-14172250</c:v>
                </c:pt>
                <c:pt idx="12">
                  <c:v>-14364750</c:v>
                </c:pt>
                <c:pt idx="13">
                  <c:v>-16296350</c:v>
                </c:pt>
                <c:pt idx="14">
                  <c:v>-13816625</c:v>
                </c:pt>
                <c:pt idx="15">
                  <c:v>-12987375</c:v>
                </c:pt>
                <c:pt idx="16">
                  <c:v>-11987375</c:v>
                </c:pt>
                <c:pt idx="17">
                  <c:v>-11987375</c:v>
                </c:pt>
                <c:pt idx="18">
                  <c:v>-11987375</c:v>
                </c:pt>
                <c:pt idx="19">
                  <c:v>-11987375</c:v>
                </c:pt>
                <c:pt idx="20">
                  <c:v>-11987375</c:v>
                </c:pt>
                <c:pt idx="21">
                  <c:v>-11987375</c:v>
                </c:pt>
                <c:pt idx="22">
                  <c:v>-11987375</c:v>
                </c:pt>
                <c:pt idx="23">
                  <c:v>-11987375</c:v>
                </c:pt>
                <c:pt idx="24">
                  <c:v>-14467100</c:v>
                </c:pt>
                <c:pt idx="25">
                  <c:v>-12255809.249999998</c:v>
                </c:pt>
                <c:pt idx="26">
                  <c:v>-5077286.2499999963</c:v>
                </c:pt>
                <c:pt idx="27">
                  <c:v>-2675858.5</c:v>
                </c:pt>
                <c:pt idx="28">
                  <c:v>-2675858.5</c:v>
                </c:pt>
                <c:pt idx="29">
                  <c:v>-2675858.5</c:v>
                </c:pt>
                <c:pt idx="30">
                  <c:v>-2675858.5</c:v>
                </c:pt>
                <c:pt idx="31">
                  <c:v>-2675858.5</c:v>
                </c:pt>
                <c:pt idx="32">
                  <c:v>-2675858.5</c:v>
                </c:pt>
                <c:pt idx="33">
                  <c:v>-2675858.5</c:v>
                </c:pt>
                <c:pt idx="34">
                  <c:v>-2675858.5</c:v>
                </c:pt>
                <c:pt idx="35">
                  <c:v>-2675858.5</c:v>
                </c:pt>
                <c:pt idx="36">
                  <c:v>-9868692.7499999981</c:v>
                </c:pt>
                <c:pt idx="37">
                  <c:v>-10605053.974999998</c:v>
                </c:pt>
                <c:pt idx="38">
                  <c:v>-1646423.2814999968</c:v>
                </c:pt>
                <c:pt idx="39">
                  <c:v>1338766.0805000067</c:v>
                </c:pt>
                <c:pt idx="40">
                  <c:v>1338766.0805000067</c:v>
                </c:pt>
                <c:pt idx="41">
                  <c:v>1338766.0805000067</c:v>
                </c:pt>
                <c:pt idx="42">
                  <c:v>1338766.0805000067</c:v>
                </c:pt>
                <c:pt idx="43">
                  <c:v>1338766.0805000067</c:v>
                </c:pt>
                <c:pt idx="44">
                  <c:v>1338766.0805000067</c:v>
                </c:pt>
                <c:pt idx="45">
                  <c:v>1338766.0805000067</c:v>
                </c:pt>
                <c:pt idx="46">
                  <c:v>1338766.0805000067</c:v>
                </c:pt>
                <c:pt idx="47">
                  <c:v>1338766.0805000067</c:v>
                </c:pt>
                <c:pt idx="48">
                  <c:v>-7619864.612999998</c:v>
                </c:pt>
                <c:pt idx="49">
                  <c:v>-14002742.476325003</c:v>
                </c:pt>
                <c:pt idx="50">
                  <c:v>-6233780.5213000029</c:v>
                </c:pt>
                <c:pt idx="51">
                  <c:v>-3656579.7089999989</c:v>
                </c:pt>
                <c:pt idx="52">
                  <c:v>-3656579.7089999989</c:v>
                </c:pt>
                <c:pt idx="53">
                  <c:v>-3656579.7089999989</c:v>
                </c:pt>
                <c:pt idx="54">
                  <c:v>-3656579.7089999989</c:v>
                </c:pt>
                <c:pt idx="55">
                  <c:v>-3656579.7089999989</c:v>
                </c:pt>
                <c:pt idx="56">
                  <c:v>-3656579.7089999989</c:v>
                </c:pt>
                <c:pt idx="57">
                  <c:v>-3656579.7089999989</c:v>
                </c:pt>
                <c:pt idx="58">
                  <c:v>-3656579.7089999989</c:v>
                </c:pt>
                <c:pt idx="59">
                  <c:v>-3656579.7089999989</c:v>
                </c:pt>
                <c:pt idx="60">
                  <c:v>-11408500.399974998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-15220000.000000002</c:v>
                </c:pt>
                <c:pt idx="6">
                  <c:v>-14965000.000000002</c:v>
                </c:pt>
                <c:pt idx="7">
                  <c:v>-14075000</c:v>
                </c:pt>
                <c:pt idx="8">
                  <c:v>-13995000</c:v>
                </c:pt>
                <c:pt idx="9">
                  <c:v>-13995000</c:v>
                </c:pt>
                <c:pt idx="10">
                  <c:v>-13995000</c:v>
                </c:pt>
                <c:pt idx="11">
                  <c:v>-13995000</c:v>
                </c:pt>
                <c:pt idx="12">
                  <c:v>-14187500</c:v>
                </c:pt>
                <c:pt idx="13">
                  <c:v>-16119100</c:v>
                </c:pt>
                <c:pt idx="14">
                  <c:v>-13639375</c:v>
                </c:pt>
                <c:pt idx="15">
                  <c:v>-12810125</c:v>
                </c:pt>
                <c:pt idx="16">
                  <c:v>-11810125</c:v>
                </c:pt>
                <c:pt idx="17">
                  <c:v>-11810125</c:v>
                </c:pt>
                <c:pt idx="18">
                  <c:v>-11810125</c:v>
                </c:pt>
                <c:pt idx="19">
                  <c:v>-11810125</c:v>
                </c:pt>
                <c:pt idx="20">
                  <c:v>-11810125</c:v>
                </c:pt>
                <c:pt idx="21">
                  <c:v>-11810125</c:v>
                </c:pt>
                <c:pt idx="22">
                  <c:v>-11810125</c:v>
                </c:pt>
                <c:pt idx="23">
                  <c:v>-11810125</c:v>
                </c:pt>
                <c:pt idx="24">
                  <c:v>-14289850</c:v>
                </c:pt>
                <c:pt idx="25">
                  <c:v>-12078559.249999998</c:v>
                </c:pt>
                <c:pt idx="26">
                  <c:v>-4900036.2499999963</c:v>
                </c:pt>
                <c:pt idx="27">
                  <c:v>-2498608.5</c:v>
                </c:pt>
                <c:pt idx="28">
                  <c:v>-2498608.5</c:v>
                </c:pt>
                <c:pt idx="29">
                  <c:v>-2498608.5</c:v>
                </c:pt>
                <c:pt idx="30">
                  <c:v>-2498608.5</c:v>
                </c:pt>
                <c:pt idx="31">
                  <c:v>-2498608.5</c:v>
                </c:pt>
                <c:pt idx="32">
                  <c:v>-2498608.5</c:v>
                </c:pt>
                <c:pt idx="33">
                  <c:v>-2498608.5</c:v>
                </c:pt>
                <c:pt idx="34">
                  <c:v>-2498608.5</c:v>
                </c:pt>
                <c:pt idx="35">
                  <c:v>-2498608.5</c:v>
                </c:pt>
                <c:pt idx="36">
                  <c:v>-9691442.7499999981</c:v>
                </c:pt>
                <c:pt idx="37">
                  <c:v>-10427803.974999998</c:v>
                </c:pt>
                <c:pt idx="38">
                  <c:v>-1469173.2814999968</c:v>
                </c:pt>
                <c:pt idx="39">
                  <c:v>1516016.0805000067</c:v>
                </c:pt>
                <c:pt idx="40">
                  <c:v>1516016.0805000067</c:v>
                </c:pt>
                <c:pt idx="41">
                  <c:v>1516016.0805000067</c:v>
                </c:pt>
                <c:pt idx="42">
                  <c:v>1516016.0805000067</c:v>
                </c:pt>
                <c:pt idx="43">
                  <c:v>1516016.0805000067</c:v>
                </c:pt>
                <c:pt idx="44">
                  <c:v>1516016.0805000067</c:v>
                </c:pt>
                <c:pt idx="45">
                  <c:v>1516016.0805000067</c:v>
                </c:pt>
                <c:pt idx="46">
                  <c:v>1516016.0805000067</c:v>
                </c:pt>
                <c:pt idx="47">
                  <c:v>1516016.0805000067</c:v>
                </c:pt>
                <c:pt idx="48">
                  <c:v>-7442614.612999998</c:v>
                </c:pt>
                <c:pt idx="49">
                  <c:v>-13825492.476325003</c:v>
                </c:pt>
                <c:pt idx="50">
                  <c:v>-6056530.5213000029</c:v>
                </c:pt>
                <c:pt idx="51">
                  <c:v>-3479329.7089999989</c:v>
                </c:pt>
                <c:pt idx="52">
                  <c:v>-3479329.7089999989</c:v>
                </c:pt>
                <c:pt idx="53">
                  <c:v>-3479329.7089999989</c:v>
                </c:pt>
                <c:pt idx="54">
                  <c:v>-3479329.7089999989</c:v>
                </c:pt>
                <c:pt idx="55">
                  <c:v>-3479329.7089999989</c:v>
                </c:pt>
                <c:pt idx="56">
                  <c:v>-3479329.7089999989</c:v>
                </c:pt>
                <c:pt idx="57">
                  <c:v>-3479329.7089999989</c:v>
                </c:pt>
                <c:pt idx="58">
                  <c:v>-3479329.7089999989</c:v>
                </c:pt>
                <c:pt idx="59">
                  <c:v>-3479329.7089999989</c:v>
                </c:pt>
                <c:pt idx="60">
                  <c:v>-11231250.399974998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-15235916.666666668</c:v>
                </c:pt>
                <c:pt idx="6">
                  <c:v>-15140916.666666668</c:v>
                </c:pt>
                <c:pt idx="7">
                  <c:v>-14172250</c:v>
                </c:pt>
                <c:pt idx="8">
                  <c:v>-14172250</c:v>
                </c:pt>
                <c:pt idx="9">
                  <c:v>-14172250</c:v>
                </c:pt>
                <c:pt idx="10">
                  <c:v>-14172250</c:v>
                </c:pt>
                <c:pt idx="11">
                  <c:v>-14172250</c:v>
                </c:pt>
                <c:pt idx="12">
                  <c:v>-14364750</c:v>
                </c:pt>
                <c:pt idx="13">
                  <c:v>-16296350</c:v>
                </c:pt>
                <c:pt idx="14">
                  <c:v>-13816625</c:v>
                </c:pt>
                <c:pt idx="15">
                  <c:v>-12987375</c:v>
                </c:pt>
                <c:pt idx="16">
                  <c:v>-11987375</c:v>
                </c:pt>
                <c:pt idx="17">
                  <c:v>-11987375</c:v>
                </c:pt>
                <c:pt idx="18">
                  <c:v>-11987375</c:v>
                </c:pt>
                <c:pt idx="19">
                  <c:v>-11987375</c:v>
                </c:pt>
                <c:pt idx="20">
                  <c:v>-11987375</c:v>
                </c:pt>
                <c:pt idx="21">
                  <c:v>-11987375</c:v>
                </c:pt>
                <c:pt idx="22">
                  <c:v>-11987375</c:v>
                </c:pt>
                <c:pt idx="23">
                  <c:v>-11987375</c:v>
                </c:pt>
                <c:pt idx="24">
                  <c:v>-14467100</c:v>
                </c:pt>
                <c:pt idx="25">
                  <c:v>-12255809.249999998</c:v>
                </c:pt>
                <c:pt idx="26">
                  <c:v>-5077286.2499999963</c:v>
                </c:pt>
                <c:pt idx="27">
                  <c:v>-2675858.5</c:v>
                </c:pt>
                <c:pt idx="28">
                  <c:v>-2675858.5</c:v>
                </c:pt>
                <c:pt idx="29">
                  <c:v>-2675858.5</c:v>
                </c:pt>
                <c:pt idx="30">
                  <c:v>-2675858.5</c:v>
                </c:pt>
                <c:pt idx="31">
                  <c:v>-2675858.5</c:v>
                </c:pt>
                <c:pt idx="32">
                  <c:v>-2675858.5</c:v>
                </c:pt>
                <c:pt idx="33">
                  <c:v>-2675858.5</c:v>
                </c:pt>
                <c:pt idx="34">
                  <c:v>-2675858.5</c:v>
                </c:pt>
                <c:pt idx="35">
                  <c:v>-2675858.5</c:v>
                </c:pt>
                <c:pt idx="36">
                  <c:v>-9868692.7499999981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-36914166.666666672</c:v>
                </c:pt>
                <c:pt idx="6">
                  <c:v>-52055083.333333343</c:v>
                </c:pt>
                <c:pt idx="7">
                  <c:v>-66227333.333333343</c:v>
                </c:pt>
                <c:pt idx="8">
                  <c:v>-80399583.333333343</c:v>
                </c:pt>
                <c:pt idx="9">
                  <c:v>-94571833.333333343</c:v>
                </c:pt>
                <c:pt idx="10">
                  <c:v>-108744083.33333334</c:v>
                </c:pt>
                <c:pt idx="11">
                  <c:v>-122916333.33333334</c:v>
                </c:pt>
                <c:pt idx="12">
                  <c:v>-137281083.33333334</c:v>
                </c:pt>
                <c:pt idx="13">
                  <c:v>-153577433.33333334</c:v>
                </c:pt>
                <c:pt idx="14">
                  <c:v>-167394058.33333334</c:v>
                </c:pt>
                <c:pt idx="15">
                  <c:v>-180381433.33333334</c:v>
                </c:pt>
                <c:pt idx="16">
                  <c:v>-192368808.33333334</c:v>
                </c:pt>
                <c:pt idx="17">
                  <c:v>-204356183.33333334</c:v>
                </c:pt>
                <c:pt idx="18">
                  <c:v>-216343558.33333334</c:v>
                </c:pt>
                <c:pt idx="19">
                  <c:v>-228330933.33333334</c:v>
                </c:pt>
                <c:pt idx="20">
                  <c:v>-240318308.33333334</c:v>
                </c:pt>
                <c:pt idx="21">
                  <c:v>-252305683.33333334</c:v>
                </c:pt>
                <c:pt idx="22">
                  <c:v>-264293058.33333334</c:v>
                </c:pt>
                <c:pt idx="23">
                  <c:v>-276280433.33333337</c:v>
                </c:pt>
                <c:pt idx="24">
                  <c:v>-290747533.33333337</c:v>
                </c:pt>
                <c:pt idx="25">
                  <c:v>-303003342.58333337</c:v>
                </c:pt>
                <c:pt idx="26">
                  <c:v>-308080628.83333337</c:v>
                </c:pt>
                <c:pt idx="27">
                  <c:v>-310756487.33333337</c:v>
                </c:pt>
                <c:pt idx="28">
                  <c:v>-313432345.83333337</c:v>
                </c:pt>
                <c:pt idx="29">
                  <c:v>-316108204.33333337</c:v>
                </c:pt>
                <c:pt idx="30">
                  <c:v>-318784062.83333337</c:v>
                </c:pt>
                <c:pt idx="31">
                  <c:v>-321459921.33333337</c:v>
                </c:pt>
                <c:pt idx="32">
                  <c:v>-324135779.83333337</c:v>
                </c:pt>
                <c:pt idx="33">
                  <c:v>-326811638.33333337</c:v>
                </c:pt>
                <c:pt idx="34">
                  <c:v>-329487496.83333337</c:v>
                </c:pt>
                <c:pt idx="35">
                  <c:v>-332163355.33333337</c:v>
                </c:pt>
                <c:pt idx="36">
                  <c:v>-342032048.08333337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-15220000.000000002</c:v>
                </c:pt>
                <c:pt idx="6">
                  <c:v>-14965000.000000002</c:v>
                </c:pt>
                <c:pt idx="7">
                  <c:v>-14075000</c:v>
                </c:pt>
                <c:pt idx="8">
                  <c:v>-13995000</c:v>
                </c:pt>
                <c:pt idx="9">
                  <c:v>-13995000</c:v>
                </c:pt>
                <c:pt idx="10">
                  <c:v>-13995000</c:v>
                </c:pt>
                <c:pt idx="11">
                  <c:v>-13995000</c:v>
                </c:pt>
                <c:pt idx="12">
                  <c:v>-14187500</c:v>
                </c:pt>
                <c:pt idx="13">
                  <c:v>-16119100</c:v>
                </c:pt>
                <c:pt idx="14">
                  <c:v>-13639375</c:v>
                </c:pt>
                <c:pt idx="15">
                  <c:v>-12810125</c:v>
                </c:pt>
                <c:pt idx="16">
                  <c:v>-11810125</c:v>
                </c:pt>
                <c:pt idx="17">
                  <c:v>-11810125</c:v>
                </c:pt>
                <c:pt idx="18">
                  <c:v>-11810125</c:v>
                </c:pt>
                <c:pt idx="19">
                  <c:v>-11810125</c:v>
                </c:pt>
                <c:pt idx="20">
                  <c:v>-11810125</c:v>
                </c:pt>
                <c:pt idx="21">
                  <c:v>-11810125</c:v>
                </c:pt>
                <c:pt idx="22">
                  <c:v>-11810125</c:v>
                </c:pt>
                <c:pt idx="23">
                  <c:v>-11810125</c:v>
                </c:pt>
                <c:pt idx="24">
                  <c:v>-14289850</c:v>
                </c:pt>
                <c:pt idx="25">
                  <c:v>-12078559.249999998</c:v>
                </c:pt>
                <c:pt idx="26">
                  <c:v>-4900036.2499999963</c:v>
                </c:pt>
                <c:pt idx="27">
                  <c:v>-2498608.5</c:v>
                </c:pt>
                <c:pt idx="28">
                  <c:v>-2498608.5</c:v>
                </c:pt>
                <c:pt idx="29">
                  <c:v>-2498608.5</c:v>
                </c:pt>
                <c:pt idx="30">
                  <c:v>-2498608.5</c:v>
                </c:pt>
                <c:pt idx="31">
                  <c:v>-2498608.5</c:v>
                </c:pt>
                <c:pt idx="32">
                  <c:v>-2498608.5</c:v>
                </c:pt>
                <c:pt idx="33">
                  <c:v>-2498608.5</c:v>
                </c:pt>
                <c:pt idx="34">
                  <c:v>-2498608.5</c:v>
                </c:pt>
                <c:pt idx="35">
                  <c:v>-2498608.5</c:v>
                </c:pt>
                <c:pt idx="36">
                  <c:v>-9691442.7499999981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-47120000</c:v>
                </c:pt>
                <c:pt idx="6">
                  <c:v>-62085000</c:v>
                </c:pt>
                <c:pt idx="7">
                  <c:v>-76160000</c:v>
                </c:pt>
                <c:pt idx="8">
                  <c:v>-90155000</c:v>
                </c:pt>
                <c:pt idx="9">
                  <c:v>-104150000</c:v>
                </c:pt>
                <c:pt idx="10">
                  <c:v>-118145000</c:v>
                </c:pt>
                <c:pt idx="11">
                  <c:v>-132140000</c:v>
                </c:pt>
                <c:pt idx="12">
                  <c:v>-146327500</c:v>
                </c:pt>
                <c:pt idx="13">
                  <c:v>-162446600</c:v>
                </c:pt>
                <c:pt idx="14">
                  <c:v>-176085975</c:v>
                </c:pt>
                <c:pt idx="15">
                  <c:v>-188896100</c:v>
                </c:pt>
                <c:pt idx="16">
                  <c:v>-200706225</c:v>
                </c:pt>
                <c:pt idx="17">
                  <c:v>-212516350</c:v>
                </c:pt>
                <c:pt idx="18">
                  <c:v>-224326475</c:v>
                </c:pt>
                <c:pt idx="19">
                  <c:v>-236136600</c:v>
                </c:pt>
                <c:pt idx="20">
                  <c:v>-247946725</c:v>
                </c:pt>
                <c:pt idx="21">
                  <c:v>-259756850</c:v>
                </c:pt>
                <c:pt idx="22">
                  <c:v>-271566975</c:v>
                </c:pt>
                <c:pt idx="23">
                  <c:v>-283377100</c:v>
                </c:pt>
                <c:pt idx="24">
                  <c:v>-297666950</c:v>
                </c:pt>
                <c:pt idx="25">
                  <c:v>-309745509.25</c:v>
                </c:pt>
                <c:pt idx="26">
                  <c:v>-314645545.5</c:v>
                </c:pt>
                <c:pt idx="27">
                  <c:v>-317144154</c:v>
                </c:pt>
                <c:pt idx="28">
                  <c:v>-319642762.5</c:v>
                </c:pt>
                <c:pt idx="29">
                  <c:v>-322141371</c:v>
                </c:pt>
                <c:pt idx="30">
                  <c:v>-324639979.5</c:v>
                </c:pt>
                <c:pt idx="31">
                  <c:v>-327138588</c:v>
                </c:pt>
                <c:pt idx="32">
                  <c:v>-329637196.5</c:v>
                </c:pt>
                <c:pt idx="33">
                  <c:v>-332135805</c:v>
                </c:pt>
                <c:pt idx="34">
                  <c:v>-334634413.5</c:v>
                </c:pt>
                <c:pt idx="35">
                  <c:v>-337133022</c:v>
                </c:pt>
                <c:pt idx="36">
                  <c:v>-346824464.75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-15235916.666666668</c:v>
                </c:pt>
                <c:pt idx="6">
                  <c:v>-15140916.666666668</c:v>
                </c:pt>
                <c:pt idx="7">
                  <c:v>-14172250</c:v>
                </c:pt>
                <c:pt idx="8">
                  <c:v>-14172250</c:v>
                </c:pt>
                <c:pt idx="9">
                  <c:v>-14172250</c:v>
                </c:pt>
                <c:pt idx="10">
                  <c:v>-14172250</c:v>
                </c:pt>
                <c:pt idx="11">
                  <c:v>-14172250</c:v>
                </c:pt>
                <c:pt idx="12">
                  <c:v>-14364750</c:v>
                </c:pt>
                <c:pt idx="13">
                  <c:v>-16296350</c:v>
                </c:pt>
                <c:pt idx="14">
                  <c:v>-13816625</c:v>
                </c:pt>
                <c:pt idx="15">
                  <c:v>-12987375</c:v>
                </c:pt>
                <c:pt idx="16">
                  <c:v>-11987375</c:v>
                </c:pt>
                <c:pt idx="17">
                  <c:v>-11987375</c:v>
                </c:pt>
                <c:pt idx="18">
                  <c:v>-11987375</c:v>
                </c:pt>
                <c:pt idx="19">
                  <c:v>-11987375</c:v>
                </c:pt>
                <c:pt idx="20">
                  <c:v>-11987375</c:v>
                </c:pt>
                <c:pt idx="21">
                  <c:v>-11987375</c:v>
                </c:pt>
                <c:pt idx="22">
                  <c:v>-11987375</c:v>
                </c:pt>
                <c:pt idx="23">
                  <c:v>-11987375</c:v>
                </c:pt>
                <c:pt idx="24">
                  <c:v>-14467100</c:v>
                </c:pt>
                <c:pt idx="25">
                  <c:v>-12255809.249999998</c:v>
                </c:pt>
                <c:pt idx="26">
                  <c:v>-5077286.2499999963</c:v>
                </c:pt>
                <c:pt idx="27">
                  <c:v>-2675858.5</c:v>
                </c:pt>
                <c:pt idx="28">
                  <c:v>-2675858.5</c:v>
                </c:pt>
                <c:pt idx="29">
                  <c:v>-2675858.5</c:v>
                </c:pt>
                <c:pt idx="30">
                  <c:v>-2675858.5</c:v>
                </c:pt>
                <c:pt idx="31">
                  <c:v>-2675858.5</c:v>
                </c:pt>
                <c:pt idx="32">
                  <c:v>-2675858.5</c:v>
                </c:pt>
                <c:pt idx="33">
                  <c:v>-2675858.5</c:v>
                </c:pt>
                <c:pt idx="34">
                  <c:v>-2675858.5</c:v>
                </c:pt>
                <c:pt idx="35">
                  <c:v>-2675858.5</c:v>
                </c:pt>
                <c:pt idx="36">
                  <c:v>-9868692.7499999981</c:v>
                </c:pt>
                <c:pt idx="37">
                  <c:v>-10605053.974999998</c:v>
                </c:pt>
                <c:pt idx="38">
                  <c:v>-1646423.2814999968</c:v>
                </c:pt>
                <c:pt idx="39">
                  <c:v>1338766.0805000067</c:v>
                </c:pt>
                <c:pt idx="40">
                  <c:v>1338766.0805000067</c:v>
                </c:pt>
                <c:pt idx="41">
                  <c:v>1338766.0805000067</c:v>
                </c:pt>
                <c:pt idx="42">
                  <c:v>1338766.0805000067</c:v>
                </c:pt>
                <c:pt idx="43">
                  <c:v>1338766.0805000067</c:v>
                </c:pt>
                <c:pt idx="44">
                  <c:v>1338766.0805000067</c:v>
                </c:pt>
                <c:pt idx="45">
                  <c:v>1338766.0805000067</c:v>
                </c:pt>
                <c:pt idx="46">
                  <c:v>1338766.0805000067</c:v>
                </c:pt>
                <c:pt idx="47">
                  <c:v>1338766.0805000067</c:v>
                </c:pt>
                <c:pt idx="48">
                  <c:v>-7619864.612999998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-36914166.666666672</c:v>
                </c:pt>
                <c:pt idx="6">
                  <c:v>-52055083.333333343</c:v>
                </c:pt>
                <c:pt idx="7">
                  <c:v>-66227333.333333343</c:v>
                </c:pt>
                <c:pt idx="8">
                  <c:v>-80399583.333333343</c:v>
                </c:pt>
                <c:pt idx="9">
                  <c:v>-94571833.333333343</c:v>
                </c:pt>
                <c:pt idx="10">
                  <c:v>-108744083.33333334</c:v>
                </c:pt>
                <c:pt idx="11">
                  <c:v>-122916333.33333334</c:v>
                </c:pt>
                <c:pt idx="12">
                  <c:v>-137281083.33333334</c:v>
                </c:pt>
                <c:pt idx="13">
                  <c:v>-153577433.33333334</c:v>
                </c:pt>
                <c:pt idx="14">
                  <c:v>-167394058.33333334</c:v>
                </c:pt>
                <c:pt idx="15">
                  <c:v>-180381433.33333334</c:v>
                </c:pt>
                <c:pt idx="16">
                  <c:v>-192368808.33333334</c:v>
                </c:pt>
                <c:pt idx="17">
                  <c:v>-204356183.33333334</c:v>
                </c:pt>
                <c:pt idx="18">
                  <c:v>-216343558.33333334</c:v>
                </c:pt>
                <c:pt idx="19">
                  <c:v>-228330933.33333334</c:v>
                </c:pt>
                <c:pt idx="20">
                  <c:v>-240318308.33333334</c:v>
                </c:pt>
                <c:pt idx="21">
                  <c:v>-252305683.33333334</c:v>
                </c:pt>
                <c:pt idx="22">
                  <c:v>-264293058.33333334</c:v>
                </c:pt>
                <c:pt idx="23">
                  <c:v>-276280433.33333337</c:v>
                </c:pt>
                <c:pt idx="24">
                  <c:v>-290747533.33333337</c:v>
                </c:pt>
                <c:pt idx="25">
                  <c:v>-303003342.58333337</c:v>
                </c:pt>
                <c:pt idx="26">
                  <c:v>-308080628.83333337</c:v>
                </c:pt>
                <c:pt idx="27">
                  <c:v>-310756487.33333337</c:v>
                </c:pt>
                <c:pt idx="28">
                  <c:v>-313432345.83333337</c:v>
                </c:pt>
                <c:pt idx="29">
                  <c:v>-316108204.33333337</c:v>
                </c:pt>
                <c:pt idx="30">
                  <c:v>-318784062.83333337</c:v>
                </c:pt>
                <c:pt idx="31">
                  <c:v>-321459921.33333337</c:v>
                </c:pt>
                <c:pt idx="32">
                  <c:v>-324135779.83333337</c:v>
                </c:pt>
                <c:pt idx="33">
                  <c:v>-326811638.33333337</c:v>
                </c:pt>
                <c:pt idx="34">
                  <c:v>-329487496.83333337</c:v>
                </c:pt>
                <c:pt idx="35">
                  <c:v>-332163355.33333337</c:v>
                </c:pt>
                <c:pt idx="36">
                  <c:v>-342032048.08333337</c:v>
                </c:pt>
                <c:pt idx="37">
                  <c:v>-352637102.0583334</c:v>
                </c:pt>
                <c:pt idx="38">
                  <c:v>-354283525.33983338</c:v>
                </c:pt>
                <c:pt idx="39">
                  <c:v>-352944759.25933337</c:v>
                </c:pt>
                <c:pt idx="40">
                  <c:v>-351605993.17883337</c:v>
                </c:pt>
                <c:pt idx="41">
                  <c:v>-350267227.09833336</c:v>
                </c:pt>
                <c:pt idx="42">
                  <c:v>-348928461.01783335</c:v>
                </c:pt>
                <c:pt idx="43">
                  <c:v>-347589694.93733335</c:v>
                </c:pt>
                <c:pt idx="44">
                  <c:v>-346250928.85683334</c:v>
                </c:pt>
                <c:pt idx="45">
                  <c:v>-344912162.77633333</c:v>
                </c:pt>
                <c:pt idx="46">
                  <c:v>-343573396.69583333</c:v>
                </c:pt>
                <c:pt idx="47">
                  <c:v>-342234630.61533332</c:v>
                </c:pt>
                <c:pt idx="48">
                  <c:v>-349854495.22833329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-15220000.000000002</c:v>
                </c:pt>
                <c:pt idx="6">
                  <c:v>-14965000.000000002</c:v>
                </c:pt>
                <c:pt idx="7">
                  <c:v>-14075000</c:v>
                </c:pt>
                <c:pt idx="8">
                  <c:v>-13995000</c:v>
                </c:pt>
                <c:pt idx="9">
                  <c:v>-13995000</c:v>
                </c:pt>
                <c:pt idx="10">
                  <c:v>-13995000</c:v>
                </c:pt>
                <c:pt idx="11">
                  <c:v>-13995000</c:v>
                </c:pt>
                <c:pt idx="12">
                  <c:v>-14187500</c:v>
                </c:pt>
                <c:pt idx="13">
                  <c:v>-16119100</c:v>
                </c:pt>
                <c:pt idx="14">
                  <c:v>-13639375</c:v>
                </c:pt>
                <c:pt idx="15">
                  <c:v>-12810125</c:v>
                </c:pt>
                <c:pt idx="16">
                  <c:v>-11810125</c:v>
                </c:pt>
                <c:pt idx="17">
                  <c:v>-11810125</c:v>
                </c:pt>
                <c:pt idx="18">
                  <c:v>-11810125</c:v>
                </c:pt>
                <c:pt idx="19">
                  <c:v>-11810125</c:v>
                </c:pt>
                <c:pt idx="20">
                  <c:v>-11810125</c:v>
                </c:pt>
                <c:pt idx="21">
                  <c:v>-11810125</c:v>
                </c:pt>
                <c:pt idx="22">
                  <c:v>-11810125</c:v>
                </c:pt>
                <c:pt idx="23">
                  <c:v>-11810125</c:v>
                </c:pt>
                <c:pt idx="24">
                  <c:v>-14289850</c:v>
                </c:pt>
                <c:pt idx="25">
                  <c:v>-12078559.249999998</c:v>
                </c:pt>
                <c:pt idx="26">
                  <c:v>-4900036.2499999963</c:v>
                </c:pt>
                <c:pt idx="27">
                  <c:v>-2498608.5</c:v>
                </c:pt>
                <c:pt idx="28">
                  <c:v>-2498608.5</c:v>
                </c:pt>
                <c:pt idx="29">
                  <c:v>-2498608.5</c:v>
                </c:pt>
                <c:pt idx="30">
                  <c:v>-2498608.5</c:v>
                </c:pt>
                <c:pt idx="31">
                  <c:v>-2498608.5</c:v>
                </c:pt>
                <c:pt idx="32">
                  <c:v>-2498608.5</c:v>
                </c:pt>
                <c:pt idx="33">
                  <c:v>-2498608.5</c:v>
                </c:pt>
                <c:pt idx="34">
                  <c:v>-2498608.5</c:v>
                </c:pt>
                <c:pt idx="35">
                  <c:v>-2498608.5</c:v>
                </c:pt>
                <c:pt idx="36">
                  <c:v>-9691442.7499999981</c:v>
                </c:pt>
                <c:pt idx="37">
                  <c:v>-10427803.974999998</c:v>
                </c:pt>
                <c:pt idx="38">
                  <c:v>-1469173.2814999968</c:v>
                </c:pt>
                <c:pt idx="39">
                  <c:v>1516016.0805000067</c:v>
                </c:pt>
                <c:pt idx="40">
                  <c:v>1516016.0805000067</c:v>
                </c:pt>
                <c:pt idx="41">
                  <c:v>1516016.0805000067</c:v>
                </c:pt>
                <c:pt idx="42">
                  <c:v>1516016.0805000067</c:v>
                </c:pt>
                <c:pt idx="43">
                  <c:v>1516016.0805000067</c:v>
                </c:pt>
                <c:pt idx="44">
                  <c:v>1516016.0805000067</c:v>
                </c:pt>
                <c:pt idx="45">
                  <c:v>1516016.0805000067</c:v>
                </c:pt>
                <c:pt idx="46">
                  <c:v>1516016.0805000067</c:v>
                </c:pt>
                <c:pt idx="47">
                  <c:v>1516016.0805000067</c:v>
                </c:pt>
                <c:pt idx="48">
                  <c:v>-7442614.612999998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-47120000</c:v>
                </c:pt>
                <c:pt idx="6">
                  <c:v>-62085000</c:v>
                </c:pt>
                <c:pt idx="7">
                  <c:v>-76160000</c:v>
                </c:pt>
                <c:pt idx="8">
                  <c:v>-90155000</c:v>
                </c:pt>
                <c:pt idx="9">
                  <c:v>-104150000</c:v>
                </c:pt>
                <c:pt idx="10">
                  <c:v>-118145000</c:v>
                </c:pt>
                <c:pt idx="11">
                  <c:v>-132140000</c:v>
                </c:pt>
                <c:pt idx="12">
                  <c:v>-146327500</c:v>
                </c:pt>
                <c:pt idx="13">
                  <c:v>-162446600</c:v>
                </c:pt>
                <c:pt idx="14">
                  <c:v>-176085975</c:v>
                </c:pt>
                <c:pt idx="15">
                  <c:v>-188896100</c:v>
                </c:pt>
                <c:pt idx="16">
                  <c:v>-200706225</c:v>
                </c:pt>
                <c:pt idx="17">
                  <c:v>-212516350</c:v>
                </c:pt>
                <c:pt idx="18">
                  <c:v>-224326475</c:v>
                </c:pt>
                <c:pt idx="19">
                  <c:v>-236136600</c:v>
                </c:pt>
                <c:pt idx="20">
                  <c:v>-247946725</c:v>
                </c:pt>
                <c:pt idx="21">
                  <c:v>-259756850</c:v>
                </c:pt>
                <c:pt idx="22">
                  <c:v>-271566975</c:v>
                </c:pt>
                <c:pt idx="23">
                  <c:v>-283377100</c:v>
                </c:pt>
                <c:pt idx="24">
                  <c:v>-297666950</c:v>
                </c:pt>
                <c:pt idx="25">
                  <c:v>-309745509.25</c:v>
                </c:pt>
                <c:pt idx="26">
                  <c:v>-314645545.5</c:v>
                </c:pt>
                <c:pt idx="27">
                  <c:v>-317144154</c:v>
                </c:pt>
                <c:pt idx="28">
                  <c:v>-319642762.5</c:v>
                </c:pt>
                <c:pt idx="29">
                  <c:v>-322141371</c:v>
                </c:pt>
                <c:pt idx="30">
                  <c:v>-324639979.5</c:v>
                </c:pt>
                <c:pt idx="31">
                  <c:v>-327138588</c:v>
                </c:pt>
                <c:pt idx="32">
                  <c:v>-329637196.5</c:v>
                </c:pt>
                <c:pt idx="33">
                  <c:v>-332135805</c:v>
                </c:pt>
                <c:pt idx="34">
                  <c:v>-334634413.5</c:v>
                </c:pt>
                <c:pt idx="35">
                  <c:v>-337133022</c:v>
                </c:pt>
                <c:pt idx="36">
                  <c:v>-346824464.75</c:v>
                </c:pt>
                <c:pt idx="37">
                  <c:v>-357252268.72500002</c:v>
                </c:pt>
                <c:pt idx="38">
                  <c:v>-358721442.00650001</c:v>
                </c:pt>
                <c:pt idx="39">
                  <c:v>-357205425.926</c:v>
                </c:pt>
                <c:pt idx="40">
                  <c:v>-355689409.84549999</c:v>
                </c:pt>
                <c:pt idx="41">
                  <c:v>-354173393.76499999</c:v>
                </c:pt>
                <c:pt idx="42">
                  <c:v>-352657377.68449998</c:v>
                </c:pt>
                <c:pt idx="43">
                  <c:v>-351141361.60399997</c:v>
                </c:pt>
                <c:pt idx="44">
                  <c:v>-349625345.52349997</c:v>
                </c:pt>
                <c:pt idx="45">
                  <c:v>-348109329.44299996</c:v>
                </c:pt>
                <c:pt idx="46">
                  <c:v>-346593313.36249995</c:v>
                </c:pt>
                <c:pt idx="47">
                  <c:v>-345077297.28199995</c:v>
                </c:pt>
                <c:pt idx="48">
                  <c:v>-352519911.89499992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-15235916.666666668</c:v>
                </c:pt>
                <c:pt idx="6">
                  <c:v>-15140916.666666668</c:v>
                </c:pt>
                <c:pt idx="7">
                  <c:v>-14172250</c:v>
                </c:pt>
                <c:pt idx="8">
                  <c:v>-14172250</c:v>
                </c:pt>
                <c:pt idx="9">
                  <c:v>-14172250</c:v>
                </c:pt>
                <c:pt idx="10">
                  <c:v>-14172250</c:v>
                </c:pt>
                <c:pt idx="11">
                  <c:v>-14172250</c:v>
                </c:pt>
                <c:pt idx="12">
                  <c:v>-14364750</c:v>
                </c:pt>
                <c:pt idx="13">
                  <c:v>-16296350</c:v>
                </c:pt>
                <c:pt idx="14">
                  <c:v>-13816625</c:v>
                </c:pt>
                <c:pt idx="15">
                  <c:v>-12987375</c:v>
                </c:pt>
                <c:pt idx="16">
                  <c:v>-11987375</c:v>
                </c:pt>
                <c:pt idx="17">
                  <c:v>-11987375</c:v>
                </c:pt>
                <c:pt idx="18">
                  <c:v>-11987375</c:v>
                </c:pt>
                <c:pt idx="19">
                  <c:v>-11987375</c:v>
                </c:pt>
                <c:pt idx="20">
                  <c:v>-11987375</c:v>
                </c:pt>
                <c:pt idx="21">
                  <c:v>-11987375</c:v>
                </c:pt>
                <c:pt idx="22">
                  <c:v>-11987375</c:v>
                </c:pt>
                <c:pt idx="23">
                  <c:v>-11987375</c:v>
                </c:pt>
                <c:pt idx="24">
                  <c:v>-14467100</c:v>
                </c:pt>
                <c:pt idx="25">
                  <c:v>-12255809.249999998</c:v>
                </c:pt>
                <c:pt idx="26">
                  <c:v>-5077286.2499999963</c:v>
                </c:pt>
                <c:pt idx="27">
                  <c:v>-2675858.5</c:v>
                </c:pt>
                <c:pt idx="28">
                  <c:v>-2675858.5</c:v>
                </c:pt>
                <c:pt idx="29">
                  <c:v>-2675858.5</c:v>
                </c:pt>
                <c:pt idx="30">
                  <c:v>-2675858.5</c:v>
                </c:pt>
                <c:pt idx="31">
                  <c:v>-2675858.5</c:v>
                </c:pt>
                <c:pt idx="32">
                  <c:v>-2675858.5</c:v>
                </c:pt>
                <c:pt idx="33">
                  <c:v>-2675858.5</c:v>
                </c:pt>
                <c:pt idx="34">
                  <c:v>-2675858.5</c:v>
                </c:pt>
                <c:pt idx="35">
                  <c:v>-2675858.5</c:v>
                </c:pt>
                <c:pt idx="36">
                  <c:v>-9868692.7499999981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-36914166.666666672</c:v>
                </c:pt>
                <c:pt idx="6">
                  <c:v>-52055083.333333343</c:v>
                </c:pt>
                <c:pt idx="7">
                  <c:v>-66227333.333333343</c:v>
                </c:pt>
                <c:pt idx="8">
                  <c:v>-80399583.333333343</c:v>
                </c:pt>
                <c:pt idx="9">
                  <c:v>-94571833.333333343</c:v>
                </c:pt>
                <c:pt idx="10">
                  <c:v>-108744083.33333334</c:v>
                </c:pt>
                <c:pt idx="11">
                  <c:v>-122916333.33333334</c:v>
                </c:pt>
                <c:pt idx="12">
                  <c:v>-137281083.33333334</c:v>
                </c:pt>
                <c:pt idx="13">
                  <c:v>-153577433.33333334</c:v>
                </c:pt>
                <c:pt idx="14">
                  <c:v>-167394058.33333334</c:v>
                </c:pt>
                <c:pt idx="15">
                  <c:v>-180381433.33333334</c:v>
                </c:pt>
                <c:pt idx="16">
                  <c:v>-192368808.33333334</c:v>
                </c:pt>
                <c:pt idx="17">
                  <c:v>-204356183.33333334</c:v>
                </c:pt>
                <c:pt idx="18">
                  <c:v>-216343558.33333334</c:v>
                </c:pt>
                <c:pt idx="19">
                  <c:v>-228330933.33333334</c:v>
                </c:pt>
                <c:pt idx="20">
                  <c:v>-240318308.33333334</c:v>
                </c:pt>
                <c:pt idx="21">
                  <c:v>-252305683.33333334</c:v>
                </c:pt>
                <c:pt idx="22">
                  <c:v>-264293058.33333334</c:v>
                </c:pt>
                <c:pt idx="23">
                  <c:v>-276280433.33333337</c:v>
                </c:pt>
                <c:pt idx="24">
                  <c:v>-290747533.33333337</c:v>
                </c:pt>
                <c:pt idx="25">
                  <c:v>-303003342.58333337</c:v>
                </c:pt>
                <c:pt idx="26">
                  <c:v>-308080628.83333337</c:v>
                </c:pt>
                <c:pt idx="27">
                  <c:v>-310756487.33333337</c:v>
                </c:pt>
                <c:pt idx="28">
                  <c:v>-313432345.83333337</c:v>
                </c:pt>
                <c:pt idx="29">
                  <c:v>-316108204.33333337</c:v>
                </c:pt>
                <c:pt idx="30">
                  <c:v>-318784062.83333337</c:v>
                </c:pt>
                <c:pt idx="31">
                  <c:v>-321459921.33333337</c:v>
                </c:pt>
                <c:pt idx="32">
                  <c:v>-324135779.83333337</c:v>
                </c:pt>
                <c:pt idx="33">
                  <c:v>-326811638.33333337</c:v>
                </c:pt>
                <c:pt idx="34">
                  <c:v>-329487496.83333337</c:v>
                </c:pt>
                <c:pt idx="35">
                  <c:v>-332163355.33333337</c:v>
                </c:pt>
                <c:pt idx="36">
                  <c:v>-342032048.08333337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-15220000.000000002</c:v>
                </c:pt>
                <c:pt idx="6">
                  <c:v>-14965000.000000002</c:v>
                </c:pt>
                <c:pt idx="7">
                  <c:v>-14075000</c:v>
                </c:pt>
                <c:pt idx="8">
                  <c:v>-13995000</c:v>
                </c:pt>
                <c:pt idx="9">
                  <c:v>-13995000</c:v>
                </c:pt>
                <c:pt idx="10">
                  <c:v>-13995000</c:v>
                </c:pt>
                <c:pt idx="11">
                  <c:v>-13995000</c:v>
                </c:pt>
                <c:pt idx="12">
                  <c:v>-14187500</c:v>
                </c:pt>
                <c:pt idx="13">
                  <c:v>-16119100</c:v>
                </c:pt>
                <c:pt idx="14">
                  <c:v>-13639375</c:v>
                </c:pt>
                <c:pt idx="15">
                  <c:v>-12810125</c:v>
                </c:pt>
                <c:pt idx="16">
                  <c:v>-11810125</c:v>
                </c:pt>
                <c:pt idx="17">
                  <c:v>-11810125</c:v>
                </c:pt>
                <c:pt idx="18">
                  <c:v>-11810125</c:v>
                </c:pt>
                <c:pt idx="19">
                  <c:v>-11810125</c:v>
                </c:pt>
                <c:pt idx="20">
                  <c:v>-11810125</c:v>
                </c:pt>
                <c:pt idx="21">
                  <c:v>-11810125</c:v>
                </c:pt>
                <c:pt idx="22">
                  <c:v>-11810125</c:v>
                </c:pt>
                <c:pt idx="23">
                  <c:v>-11810125</c:v>
                </c:pt>
                <c:pt idx="24">
                  <c:v>-14289850</c:v>
                </c:pt>
                <c:pt idx="25">
                  <c:v>-12078559.249999998</c:v>
                </c:pt>
                <c:pt idx="26">
                  <c:v>-4900036.2499999963</c:v>
                </c:pt>
                <c:pt idx="27">
                  <c:v>-2498608.5</c:v>
                </c:pt>
                <c:pt idx="28">
                  <c:v>-2498608.5</c:v>
                </c:pt>
                <c:pt idx="29">
                  <c:v>-2498608.5</c:v>
                </c:pt>
                <c:pt idx="30">
                  <c:v>-2498608.5</c:v>
                </c:pt>
                <c:pt idx="31">
                  <c:v>-2498608.5</c:v>
                </c:pt>
                <c:pt idx="32">
                  <c:v>-2498608.5</c:v>
                </c:pt>
                <c:pt idx="33">
                  <c:v>-2498608.5</c:v>
                </c:pt>
                <c:pt idx="34">
                  <c:v>-2498608.5</c:v>
                </c:pt>
                <c:pt idx="35">
                  <c:v>-2498608.5</c:v>
                </c:pt>
                <c:pt idx="36">
                  <c:v>-9691442.7499999981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-47120000</c:v>
                </c:pt>
                <c:pt idx="6">
                  <c:v>-62085000</c:v>
                </c:pt>
                <c:pt idx="7">
                  <c:v>-76160000</c:v>
                </c:pt>
                <c:pt idx="8">
                  <c:v>-90155000</c:v>
                </c:pt>
                <c:pt idx="9">
                  <c:v>-104150000</c:v>
                </c:pt>
                <c:pt idx="10">
                  <c:v>-118145000</c:v>
                </c:pt>
                <c:pt idx="11">
                  <c:v>-132140000</c:v>
                </c:pt>
                <c:pt idx="12">
                  <c:v>-146327500</c:v>
                </c:pt>
                <c:pt idx="13">
                  <c:v>-162446600</c:v>
                </c:pt>
                <c:pt idx="14">
                  <c:v>-176085975</c:v>
                </c:pt>
                <c:pt idx="15">
                  <c:v>-188896100</c:v>
                </c:pt>
                <c:pt idx="16">
                  <c:v>-200706225</c:v>
                </c:pt>
                <c:pt idx="17">
                  <c:v>-212516350</c:v>
                </c:pt>
                <c:pt idx="18">
                  <c:v>-224326475</c:v>
                </c:pt>
                <c:pt idx="19">
                  <c:v>-236136600</c:v>
                </c:pt>
                <c:pt idx="20">
                  <c:v>-247946725</c:v>
                </c:pt>
                <c:pt idx="21">
                  <c:v>-259756850</c:v>
                </c:pt>
                <c:pt idx="22">
                  <c:v>-271566975</c:v>
                </c:pt>
                <c:pt idx="23">
                  <c:v>-283377100</c:v>
                </c:pt>
                <c:pt idx="24">
                  <c:v>-297666950</c:v>
                </c:pt>
                <c:pt idx="25">
                  <c:v>-309745509.25</c:v>
                </c:pt>
                <c:pt idx="26">
                  <c:v>-314645545.5</c:v>
                </c:pt>
                <c:pt idx="27">
                  <c:v>-317144154</c:v>
                </c:pt>
                <c:pt idx="28">
                  <c:v>-319642762.5</c:v>
                </c:pt>
                <c:pt idx="29">
                  <c:v>-322141371</c:v>
                </c:pt>
                <c:pt idx="30">
                  <c:v>-324639979.5</c:v>
                </c:pt>
                <c:pt idx="31">
                  <c:v>-327138588</c:v>
                </c:pt>
                <c:pt idx="32">
                  <c:v>-329637196.5</c:v>
                </c:pt>
                <c:pt idx="33">
                  <c:v>-332135805</c:v>
                </c:pt>
                <c:pt idx="34">
                  <c:v>-334634413.5</c:v>
                </c:pt>
                <c:pt idx="35">
                  <c:v>-337133022</c:v>
                </c:pt>
                <c:pt idx="36">
                  <c:v>-346824464.75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76160000</c:v>
                </c:pt>
                <c:pt idx="1">
                  <c:v>76160000</c:v>
                </c:pt>
                <c:pt idx="2">
                  <c:v>76160000</c:v>
                </c:pt>
                <c:pt idx="3">
                  <c:v>76160000</c:v>
                </c:pt>
                <c:pt idx="4">
                  <c:v>44260000</c:v>
                </c:pt>
                <c:pt idx="5">
                  <c:v>29040000</c:v>
                </c:pt>
                <c:pt idx="6">
                  <c:v>14074999.999999998</c:v>
                </c:pt>
                <c:pt idx="7">
                  <c:v>0</c:v>
                </c:pt>
                <c:pt idx="8">
                  <c:v>85930975</c:v>
                </c:pt>
                <c:pt idx="9">
                  <c:v>71935975</c:v>
                </c:pt>
                <c:pt idx="10">
                  <c:v>57940975</c:v>
                </c:pt>
                <c:pt idx="11">
                  <c:v>43945975</c:v>
                </c:pt>
                <c:pt idx="12">
                  <c:v>29758475</c:v>
                </c:pt>
                <c:pt idx="13">
                  <c:v>13639375</c:v>
                </c:pt>
                <c:pt idx="14">
                  <c:v>0</c:v>
                </c:pt>
                <c:pt idx="15">
                  <c:v>108770850</c:v>
                </c:pt>
                <c:pt idx="16">
                  <c:v>96960725</c:v>
                </c:pt>
                <c:pt idx="17">
                  <c:v>85150600</c:v>
                </c:pt>
                <c:pt idx="18">
                  <c:v>73340475</c:v>
                </c:pt>
                <c:pt idx="19">
                  <c:v>61530350</c:v>
                </c:pt>
                <c:pt idx="20">
                  <c:v>49720225</c:v>
                </c:pt>
                <c:pt idx="21">
                  <c:v>37910100</c:v>
                </c:pt>
                <c:pt idx="22">
                  <c:v>26099975</c:v>
                </c:pt>
                <c:pt idx="23">
                  <c:v>14289850</c:v>
                </c:pt>
                <c:pt idx="24">
                  <c:v>0</c:v>
                </c:pt>
                <c:pt idx="25">
                  <c:v>-12078559.249999998</c:v>
                </c:pt>
                <c:pt idx="26">
                  <c:v>-16978595.499999993</c:v>
                </c:pt>
                <c:pt idx="27">
                  <c:v>-19477203.999999993</c:v>
                </c:pt>
                <c:pt idx="28">
                  <c:v>-21975812.499999993</c:v>
                </c:pt>
                <c:pt idx="29">
                  <c:v>-24474420.999999993</c:v>
                </c:pt>
                <c:pt idx="30">
                  <c:v>-26973029.499999993</c:v>
                </c:pt>
                <c:pt idx="31">
                  <c:v>-29471637.999999993</c:v>
                </c:pt>
                <c:pt idx="32">
                  <c:v>-31970246.499999993</c:v>
                </c:pt>
                <c:pt idx="33">
                  <c:v>-34468854.999999993</c:v>
                </c:pt>
                <c:pt idx="34">
                  <c:v>-36967463.499999993</c:v>
                </c:pt>
                <c:pt idx="35">
                  <c:v>-39466071.999999993</c:v>
                </c:pt>
                <c:pt idx="36">
                  <c:v>-49157514.749999993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-15235916.666666668</c:v>
                </c:pt>
                <c:pt idx="6">
                  <c:v>-15140916.666666668</c:v>
                </c:pt>
                <c:pt idx="7">
                  <c:v>-14172250</c:v>
                </c:pt>
                <c:pt idx="8">
                  <c:v>-14172250</c:v>
                </c:pt>
                <c:pt idx="9">
                  <c:v>-14172250</c:v>
                </c:pt>
                <c:pt idx="10">
                  <c:v>-14172250</c:v>
                </c:pt>
                <c:pt idx="11">
                  <c:v>-14172250</c:v>
                </c:pt>
                <c:pt idx="12">
                  <c:v>-14364750</c:v>
                </c:pt>
                <c:pt idx="13">
                  <c:v>-16296350</c:v>
                </c:pt>
                <c:pt idx="14">
                  <c:v>-13816625</c:v>
                </c:pt>
                <c:pt idx="15">
                  <c:v>-12987375</c:v>
                </c:pt>
                <c:pt idx="16">
                  <c:v>-11987375</c:v>
                </c:pt>
                <c:pt idx="17">
                  <c:v>-11987375</c:v>
                </c:pt>
                <c:pt idx="18">
                  <c:v>-11987375</c:v>
                </c:pt>
                <c:pt idx="19">
                  <c:v>-11987375</c:v>
                </c:pt>
                <c:pt idx="20">
                  <c:v>-11987375</c:v>
                </c:pt>
                <c:pt idx="21">
                  <c:v>-11987375</c:v>
                </c:pt>
                <c:pt idx="22">
                  <c:v>-11987375</c:v>
                </c:pt>
                <c:pt idx="23">
                  <c:v>-11987375</c:v>
                </c:pt>
                <c:pt idx="24">
                  <c:v>-14467100</c:v>
                </c:pt>
                <c:pt idx="25">
                  <c:v>-12255809.249999998</c:v>
                </c:pt>
                <c:pt idx="26">
                  <c:v>-5077286.2499999963</c:v>
                </c:pt>
                <c:pt idx="27">
                  <c:v>-2675858.5</c:v>
                </c:pt>
                <c:pt idx="28">
                  <c:v>-2675858.5</c:v>
                </c:pt>
                <c:pt idx="29">
                  <c:v>-2675858.5</c:v>
                </c:pt>
                <c:pt idx="30">
                  <c:v>-2675858.5</c:v>
                </c:pt>
                <c:pt idx="31">
                  <c:v>-2675858.5</c:v>
                </c:pt>
                <c:pt idx="32">
                  <c:v>-2675858.5</c:v>
                </c:pt>
                <c:pt idx="33">
                  <c:v>-2675858.5</c:v>
                </c:pt>
                <c:pt idx="34">
                  <c:v>-2675858.5</c:v>
                </c:pt>
                <c:pt idx="35">
                  <c:v>-2675858.5</c:v>
                </c:pt>
                <c:pt idx="36">
                  <c:v>-9868692.7499999981</c:v>
                </c:pt>
                <c:pt idx="37">
                  <c:v>-10605053.974999998</c:v>
                </c:pt>
                <c:pt idx="38">
                  <c:v>-1646423.2814999968</c:v>
                </c:pt>
                <c:pt idx="39">
                  <c:v>1338766.0805000067</c:v>
                </c:pt>
                <c:pt idx="40">
                  <c:v>1338766.0805000067</c:v>
                </c:pt>
                <c:pt idx="41">
                  <c:v>1338766.0805000067</c:v>
                </c:pt>
                <c:pt idx="42">
                  <c:v>1338766.0805000067</c:v>
                </c:pt>
                <c:pt idx="43">
                  <c:v>1338766.0805000067</c:v>
                </c:pt>
                <c:pt idx="44">
                  <c:v>1338766.0805000067</c:v>
                </c:pt>
                <c:pt idx="45">
                  <c:v>1338766.0805000067</c:v>
                </c:pt>
                <c:pt idx="46">
                  <c:v>1338766.0805000067</c:v>
                </c:pt>
                <c:pt idx="47">
                  <c:v>1338766.0805000067</c:v>
                </c:pt>
                <c:pt idx="48">
                  <c:v>-7619864.612999998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-21678250</c:v>
                </c:pt>
                <c:pt idx="5">
                  <c:v>-36914166.666666672</c:v>
                </c:pt>
                <c:pt idx="6">
                  <c:v>-52055083.333333343</c:v>
                </c:pt>
                <c:pt idx="7">
                  <c:v>-66227333.333333343</c:v>
                </c:pt>
                <c:pt idx="8">
                  <c:v>-80399583.333333343</c:v>
                </c:pt>
                <c:pt idx="9">
                  <c:v>-94571833.333333343</c:v>
                </c:pt>
                <c:pt idx="10">
                  <c:v>-108744083.33333334</c:v>
                </c:pt>
                <c:pt idx="11">
                  <c:v>-122916333.33333334</c:v>
                </c:pt>
                <c:pt idx="12">
                  <c:v>-137281083.33333334</c:v>
                </c:pt>
                <c:pt idx="13">
                  <c:v>-153577433.33333334</c:v>
                </c:pt>
                <c:pt idx="14">
                  <c:v>-167394058.33333334</c:v>
                </c:pt>
                <c:pt idx="15">
                  <c:v>-180381433.33333334</c:v>
                </c:pt>
                <c:pt idx="16">
                  <c:v>-192368808.33333334</c:v>
                </c:pt>
                <c:pt idx="17">
                  <c:v>-204356183.33333334</c:v>
                </c:pt>
                <c:pt idx="18">
                  <c:v>-216343558.33333334</c:v>
                </c:pt>
                <c:pt idx="19">
                  <c:v>-228330933.33333334</c:v>
                </c:pt>
                <c:pt idx="20">
                  <c:v>-240318308.33333334</c:v>
                </c:pt>
                <c:pt idx="21">
                  <c:v>-252305683.33333334</c:v>
                </c:pt>
                <c:pt idx="22">
                  <c:v>-264293058.33333334</c:v>
                </c:pt>
                <c:pt idx="23">
                  <c:v>-276280433.33333337</c:v>
                </c:pt>
                <c:pt idx="24">
                  <c:v>-290747533.33333337</c:v>
                </c:pt>
                <c:pt idx="25">
                  <c:v>-303003342.58333337</c:v>
                </c:pt>
                <c:pt idx="26">
                  <c:v>-308080628.83333337</c:v>
                </c:pt>
                <c:pt idx="27">
                  <c:v>-310756487.33333337</c:v>
                </c:pt>
                <c:pt idx="28">
                  <c:v>-313432345.83333337</c:v>
                </c:pt>
                <c:pt idx="29">
                  <c:v>-316108204.33333337</c:v>
                </c:pt>
                <c:pt idx="30">
                  <c:v>-318784062.83333337</c:v>
                </c:pt>
                <c:pt idx="31">
                  <c:v>-321459921.33333337</c:v>
                </c:pt>
                <c:pt idx="32">
                  <c:v>-324135779.83333337</c:v>
                </c:pt>
                <c:pt idx="33">
                  <c:v>-326811638.33333337</c:v>
                </c:pt>
                <c:pt idx="34">
                  <c:v>-329487496.83333337</c:v>
                </c:pt>
                <c:pt idx="35">
                  <c:v>-332163355.33333337</c:v>
                </c:pt>
                <c:pt idx="36">
                  <c:v>-342032048.08333337</c:v>
                </c:pt>
                <c:pt idx="37">
                  <c:v>-352637102.0583334</c:v>
                </c:pt>
                <c:pt idx="38">
                  <c:v>-354283525.33983338</c:v>
                </c:pt>
                <c:pt idx="39">
                  <c:v>-352944759.25933337</c:v>
                </c:pt>
                <c:pt idx="40">
                  <c:v>-351605993.17883337</c:v>
                </c:pt>
                <c:pt idx="41">
                  <c:v>-350267227.09833336</c:v>
                </c:pt>
                <c:pt idx="42">
                  <c:v>-348928461.01783335</c:v>
                </c:pt>
                <c:pt idx="43">
                  <c:v>-347589694.93733335</c:v>
                </c:pt>
                <c:pt idx="44">
                  <c:v>-346250928.85683334</c:v>
                </c:pt>
                <c:pt idx="45">
                  <c:v>-344912162.77633333</c:v>
                </c:pt>
                <c:pt idx="46">
                  <c:v>-343573396.69583333</c:v>
                </c:pt>
                <c:pt idx="47">
                  <c:v>-342234630.61533332</c:v>
                </c:pt>
                <c:pt idx="48">
                  <c:v>-349854495.22833329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-15220000.000000002</c:v>
                </c:pt>
                <c:pt idx="6">
                  <c:v>-14965000.000000002</c:v>
                </c:pt>
                <c:pt idx="7">
                  <c:v>-14075000</c:v>
                </c:pt>
                <c:pt idx="8">
                  <c:v>-13995000</c:v>
                </c:pt>
                <c:pt idx="9">
                  <c:v>-13995000</c:v>
                </c:pt>
                <c:pt idx="10">
                  <c:v>-13995000</c:v>
                </c:pt>
                <c:pt idx="11">
                  <c:v>-13995000</c:v>
                </c:pt>
                <c:pt idx="12">
                  <c:v>-14187500</c:v>
                </c:pt>
                <c:pt idx="13">
                  <c:v>-16119100</c:v>
                </c:pt>
                <c:pt idx="14">
                  <c:v>-13639375</c:v>
                </c:pt>
                <c:pt idx="15">
                  <c:v>-12810125</c:v>
                </c:pt>
                <c:pt idx="16">
                  <c:v>-11810125</c:v>
                </c:pt>
                <c:pt idx="17">
                  <c:v>-11810125</c:v>
                </c:pt>
                <c:pt idx="18">
                  <c:v>-11810125</c:v>
                </c:pt>
                <c:pt idx="19">
                  <c:v>-11810125</c:v>
                </c:pt>
                <c:pt idx="20">
                  <c:v>-11810125</c:v>
                </c:pt>
                <c:pt idx="21">
                  <c:v>-11810125</c:v>
                </c:pt>
                <c:pt idx="22">
                  <c:v>-11810125</c:v>
                </c:pt>
                <c:pt idx="23">
                  <c:v>-11810125</c:v>
                </c:pt>
                <c:pt idx="24">
                  <c:v>-14289850</c:v>
                </c:pt>
                <c:pt idx="25">
                  <c:v>-12078559.249999998</c:v>
                </c:pt>
                <c:pt idx="26">
                  <c:v>-4900036.2499999963</c:v>
                </c:pt>
                <c:pt idx="27">
                  <c:v>-2498608.5</c:v>
                </c:pt>
                <c:pt idx="28">
                  <c:v>-2498608.5</c:v>
                </c:pt>
                <c:pt idx="29">
                  <c:v>-2498608.5</c:v>
                </c:pt>
                <c:pt idx="30">
                  <c:v>-2498608.5</c:v>
                </c:pt>
                <c:pt idx="31">
                  <c:v>-2498608.5</c:v>
                </c:pt>
                <c:pt idx="32">
                  <c:v>-2498608.5</c:v>
                </c:pt>
                <c:pt idx="33">
                  <c:v>-2498608.5</c:v>
                </c:pt>
                <c:pt idx="34">
                  <c:v>-2498608.5</c:v>
                </c:pt>
                <c:pt idx="35">
                  <c:v>-2498608.5</c:v>
                </c:pt>
                <c:pt idx="36">
                  <c:v>-9691442.7499999981</c:v>
                </c:pt>
                <c:pt idx="37">
                  <c:v>-10427803.974999998</c:v>
                </c:pt>
                <c:pt idx="38">
                  <c:v>-1469173.2814999968</c:v>
                </c:pt>
                <c:pt idx="39">
                  <c:v>1516016.0805000067</c:v>
                </c:pt>
                <c:pt idx="40">
                  <c:v>1516016.0805000067</c:v>
                </c:pt>
                <c:pt idx="41">
                  <c:v>1516016.0805000067</c:v>
                </c:pt>
                <c:pt idx="42">
                  <c:v>1516016.0805000067</c:v>
                </c:pt>
                <c:pt idx="43">
                  <c:v>1516016.0805000067</c:v>
                </c:pt>
                <c:pt idx="44">
                  <c:v>1516016.0805000067</c:v>
                </c:pt>
                <c:pt idx="45">
                  <c:v>1516016.0805000067</c:v>
                </c:pt>
                <c:pt idx="46">
                  <c:v>1516016.0805000067</c:v>
                </c:pt>
                <c:pt idx="47">
                  <c:v>1516016.0805000067</c:v>
                </c:pt>
                <c:pt idx="48">
                  <c:v>-7442614.612999998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-31900000</c:v>
                </c:pt>
                <c:pt idx="5">
                  <c:v>-47120000</c:v>
                </c:pt>
                <c:pt idx="6">
                  <c:v>-62085000</c:v>
                </c:pt>
                <c:pt idx="7">
                  <c:v>-76160000</c:v>
                </c:pt>
                <c:pt idx="8">
                  <c:v>-90155000</c:v>
                </c:pt>
                <c:pt idx="9">
                  <c:v>-104150000</c:v>
                </c:pt>
                <c:pt idx="10">
                  <c:v>-118145000</c:v>
                </c:pt>
                <c:pt idx="11">
                  <c:v>-132140000</c:v>
                </c:pt>
                <c:pt idx="12">
                  <c:v>-146327500</c:v>
                </c:pt>
                <c:pt idx="13">
                  <c:v>-162446600</c:v>
                </c:pt>
                <c:pt idx="14">
                  <c:v>-176085975</c:v>
                </c:pt>
                <c:pt idx="15">
                  <c:v>-188896100</c:v>
                </c:pt>
                <c:pt idx="16">
                  <c:v>-200706225</c:v>
                </c:pt>
                <c:pt idx="17">
                  <c:v>-212516350</c:v>
                </c:pt>
                <c:pt idx="18">
                  <c:v>-224326475</c:v>
                </c:pt>
                <c:pt idx="19">
                  <c:v>-236136600</c:v>
                </c:pt>
                <c:pt idx="20">
                  <c:v>-247946725</c:v>
                </c:pt>
                <c:pt idx="21">
                  <c:v>-259756850</c:v>
                </c:pt>
                <c:pt idx="22">
                  <c:v>-271566975</c:v>
                </c:pt>
                <c:pt idx="23">
                  <c:v>-283377100</c:v>
                </c:pt>
                <c:pt idx="24">
                  <c:v>-297666950</c:v>
                </c:pt>
                <c:pt idx="25">
                  <c:v>-309745509.25</c:v>
                </c:pt>
                <c:pt idx="26">
                  <c:v>-314645545.5</c:v>
                </c:pt>
                <c:pt idx="27">
                  <c:v>-317144154</c:v>
                </c:pt>
                <c:pt idx="28">
                  <c:v>-319642762.5</c:v>
                </c:pt>
                <c:pt idx="29">
                  <c:v>-322141371</c:v>
                </c:pt>
                <c:pt idx="30">
                  <c:v>-324639979.5</c:v>
                </c:pt>
                <c:pt idx="31">
                  <c:v>-327138588</c:v>
                </c:pt>
                <c:pt idx="32">
                  <c:v>-329637196.5</c:v>
                </c:pt>
                <c:pt idx="33">
                  <c:v>-332135805</c:v>
                </c:pt>
                <c:pt idx="34">
                  <c:v>-334634413.5</c:v>
                </c:pt>
                <c:pt idx="35">
                  <c:v>-337133022</c:v>
                </c:pt>
                <c:pt idx="36">
                  <c:v>-346824464.75</c:v>
                </c:pt>
                <c:pt idx="37">
                  <c:v>-357252268.72500002</c:v>
                </c:pt>
                <c:pt idx="38">
                  <c:v>-358721442.00650001</c:v>
                </c:pt>
                <c:pt idx="39">
                  <c:v>-357205425.926</c:v>
                </c:pt>
                <c:pt idx="40">
                  <c:v>-355689409.84549999</c:v>
                </c:pt>
                <c:pt idx="41">
                  <c:v>-354173393.76499999</c:v>
                </c:pt>
                <c:pt idx="42">
                  <c:v>-352657377.68449998</c:v>
                </c:pt>
                <c:pt idx="43">
                  <c:v>-351141361.60399997</c:v>
                </c:pt>
                <c:pt idx="44">
                  <c:v>-349625345.52349997</c:v>
                </c:pt>
                <c:pt idx="45">
                  <c:v>-348109329.44299996</c:v>
                </c:pt>
                <c:pt idx="46">
                  <c:v>-346593313.36249995</c:v>
                </c:pt>
                <c:pt idx="47">
                  <c:v>-345077297.28199995</c:v>
                </c:pt>
                <c:pt idx="48">
                  <c:v>-352519911.89499992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76160000</c:v>
                </c:pt>
                <c:pt idx="1">
                  <c:v>76160000</c:v>
                </c:pt>
                <c:pt idx="2">
                  <c:v>76160000</c:v>
                </c:pt>
                <c:pt idx="3">
                  <c:v>76160000</c:v>
                </c:pt>
                <c:pt idx="4">
                  <c:v>44260000</c:v>
                </c:pt>
                <c:pt idx="5">
                  <c:v>29040000</c:v>
                </c:pt>
                <c:pt idx="6">
                  <c:v>14074999.999999998</c:v>
                </c:pt>
                <c:pt idx="7">
                  <c:v>0</c:v>
                </c:pt>
                <c:pt idx="8">
                  <c:v>85930975</c:v>
                </c:pt>
                <c:pt idx="9">
                  <c:v>71935975</c:v>
                </c:pt>
                <c:pt idx="10">
                  <c:v>57940975</c:v>
                </c:pt>
                <c:pt idx="11">
                  <c:v>43945975</c:v>
                </c:pt>
                <c:pt idx="12">
                  <c:v>29758475</c:v>
                </c:pt>
                <c:pt idx="13">
                  <c:v>13639375</c:v>
                </c:pt>
                <c:pt idx="14">
                  <c:v>0</c:v>
                </c:pt>
                <c:pt idx="15">
                  <c:v>108770850</c:v>
                </c:pt>
                <c:pt idx="16">
                  <c:v>96960725</c:v>
                </c:pt>
                <c:pt idx="17">
                  <c:v>85150600</c:v>
                </c:pt>
                <c:pt idx="18">
                  <c:v>73340475</c:v>
                </c:pt>
                <c:pt idx="19">
                  <c:v>61530350</c:v>
                </c:pt>
                <c:pt idx="20">
                  <c:v>49720225</c:v>
                </c:pt>
                <c:pt idx="21">
                  <c:v>37910100</c:v>
                </c:pt>
                <c:pt idx="22">
                  <c:v>26099975</c:v>
                </c:pt>
                <c:pt idx="23">
                  <c:v>14289850</c:v>
                </c:pt>
                <c:pt idx="24">
                  <c:v>0</c:v>
                </c:pt>
                <c:pt idx="25">
                  <c:v>-12078559.249999998</c:v>
                </c:pt>
                <c:pt idx="26">
                  <c:v>-16978595.499999993</c:v>
                </c:pt>
                <c:pt idx="27">
                  <c:v>-19477203.999999993</c:v>
                </c:pt>
                <c:pt idx="28">
                  <c:v>-21975812.499999993</c:v>
                </c:pt>
                <c:pt idx="29">
                  <c:v>-24474420.999999993</c:v>
                </c:pt>
                <c:pt idx="30">
                  <c:v>-26973029.499999993</c:v>
                </c:pt>
                <c:pt idx="31">
                  <c:v>-29471637.999999993</c:v>
                </c:pt>
                <c:pt idx="32">
                  <c:v>-31970246.499999993</c:v>
                </c:pt>
                <c:pt idx="33">
                  <c:v>-34468854.999999993</c:v>
                </c:pt>
                <c:pt idx="34">
                  <c:v>-36967463.499999993</c:v>
                </c:pt>
                <c:pt idx="35">
                  <c:v>-39466071.999999993</c:v>
                </c:pt>
                <c:pt idx="36">
                  <c:v>-49157514.749999993</c:v>
                </c:pt>
                <c:pt idx="37">
                  <c:v>-59585318.724999994</c:v>
                </c:pt>
                <c:pt idx="38">
                  <c:v>-61054492.006499991</c:v>
                </c:pt>
                <c:pt idx="39">
                  <c:v>-59538475.925999984</c:v>
                </c:pt>
                <c:pt idx="40">
                  <c:v>-58022459.845499977</c:v>
                </c:pt>
                <c:pt idx="41">
                  <c:v>-56506443.764999971</c:v>
                </c:pt>
                <c:pt idx="42">
                  <c:v>-54990427.684499964</c:v>
                </c:pt>
                <c:pt idx="43">
                  <c:v>-53474411.603999957</c:v>
                </c:pt>
                <c:pt idx="44">
                  <c:v>-51958395.523499951</c:v>
                </c:pt>
                <c:pt idx="45">
                  <c:v>-50442379.442999944</c:v>
                </c:pt>
                <c:pt idx="46">
                  <c:v>-48926363.362499937</c:v>
                </c:pt>
                <c:pt idx="47">
                  <c:v>-47410347.281999931</c:v>
                </c:pt>
                <c:pt idx="48">
                  <c:v>-54852961.894999929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9009000</c:v>
                </c:pt>
                <c:pt idx="4">
                  <c:v>12002000</c:v>
                </c:pt>
                <c:pt idx="5">
                  <c:v>16437000</c:v>
                </c:pt>
                <c:pt idx="6">
                  <c:v>16437000</c:v>
                </c:pt>
                <c:pt idx="7">
                  <c:v>16437000</c:v>
                </c:pt>
                <c:pt idx="8">
                  <c:v>16437000</c:v>
                </c:pt>
                <c:pt idx="9">
                  <c:v>16437000</c:v>
                </c:pt>
                <c:pt idx="10">
                  <c:v>16437000</c:v>
                </c:pt>
                <c:pt idx="11">
                  <c:v>16052500</c:v>
                </c:pt>
                <c:pt idx="12">
                  <c:v>16860860</c:v>
                </c:pt>
                <c:pt idx="13">
                  <c:v>21793025</c:v>
                </c:pt>
                <c:pt idx="14">
                  <c:v>23444035</c:v>
                </c:pt>
                <c:pt idx="15">
                  <c:v>23444035</c:v>
                </c:pt>
                <c:pt idx="16">
                  <c:v>23444035</c:v>
                </c:pt>
                <c:pt idx="17">
                  <c:v>23444035</c:v>
                </c:pt>
                <c:pt idx="18">
                  <c:v>23444035</c:v>
                </c:pt>
                <c:pt idx="19">
                  <c:v>23444035</c:v>
                </c:pt>
                <c:pt idx="20">
                  <c:v>23444035</c:v>
                </c:pt>
                <c:pt idx="21">
                  <c:v>23444035</c:v>
                </c:pt>
                <c:pt idx="22">
                  <c:v>23444035</c:v>
                </c:pt>
                <c:pt idx="23">
                  <c:v>18511870</c:v>
                </c:pt>
                <c:pt idx="24">
                  <c:v>33083071.150000002</c:v>
                </c:pt>
                <c:pt idx="25">
                  <c:v>47735501.350000001</c:v>
                </c:pt>
                <c:pt idx="26">
                  <c:v>52637390.700000003</c:v>
                </c:pt>
                <c:pt idx="27">
                  <c:v>52637390.700000003</c:v>
                </c:pt>
                <c:pt idx="28">
                  <c:v>52637390.700000003</c:v>
                </c:pt>
                <c:pt idx="29">
                  <c:v>52637390.700000003</c:v>
                </c:pt>
                <c:pt idx="30">
                  <c:v>52637390.700000003</c:v>
                </c:pt>
                <c:pt idx="31">
                  <c:v>52637390.700000003</c:v>
                </c:pt>
                <c:pt idx="32">
                  <c:v>52637390.700000003</c:v>
                </c:pt>
                <c:pt idx="33">
                  <c:v>52637390.700000003</c:v>
                </c:pt>
                <c:pt idx="34">
                  <c:v>52637390.700000003</c:v>
                </c:pt>
                <c:pt idx="35">
                  <c:v>37956910.450000003</c:v>
                </c:pt>
                <c:pt idx="36">
                  <c:v>36401850.025000006</c:v>
                </c:pt>
                <c:pt idx="37">
                  <c:v>53067947.5185</c:v>
                </c:pt>
                <c:pt idx="38">
                  <c:v>58622292.480500005</c:v>
                </c:pt>
                <c:pt idx="39">
                  <c:v>58622292.480500005</c:v>
                </c:pt>
                <c:pt idx="40">
                  <c:v>58622292.480500005</c:v>
                </c:pt>
                <c:pt idx="41">
                  <c:v>58622292.480500005</c:v>
                </c:pt>
                <c:pt idx="42">
                  <c:v>58622292.480500005</c:v>
                </c:pt>
                <c:pt idx="43">
                  <c:v>58622292.480500005</c:v>
                </c:pt>
                <c:pt idx="44">
                  <c:v>58622292.480500005</c:v>
                </c:pt>
                <c:pt idx="45">
                  <c:v>58622292.480500005</c:v>
                </c:pt>
                <c:pt idx="46">
                  <c:v>58622292.480500005</c:v>
                </c:pt>
                <c:pt idx="47">
                  <c:v>41956194.987000003</c:v>
                </c:pt>
                <c:pt idx="48">
                  <c:v>35721001.751675002</c:v>
                </c:pt>
                <c:pt idx="49">
                  <c:v>51986861.954700008</c:v>
                </c:pt>
                <c:pt idx="50">
                  <c:v>57386561.839000009</c:v>
                </c:pt>
                <c:pt idx="51">
                  <c:v>57386561.839000009</c:v>
                </c:pt>
                <c:pt idx="52">
                  <c:v>57386561.839000009</c:v>
                </c:pt>
                <c:pt idx="53">
                  <c:v>57386561.839000009</c:v>
                </c:pt>
                <c:pt idx="54">
                  <c:v>57386561.839000009</c:v>
                </c:pt>
                <c:pt idx="55">
                  <c:v>57386561.839000009</c:v>
                </c:pt>
                <c:pt idx="56">
                  <c:v>57386561.839000009</c:v>
                </c:pt>
                <c:pt idx="57">
                  <c:v>57386561.839000009</c:v>
                </c:pt>
                <c:pt idx="58">
                  <c:v>57386561.839000009</c:v>
                </c:pt>
                <c:pt idx="59">
                  <c:v>41152443.416025005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616</c:v>
                </c:pt>
                <c:pt idx="5">
                  <c:v>726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385000</c:v>
                </c:pt>
                <c:pt idx="4">
                  <c:v>1830000</c:v>
                </c:pt>
                <c:pt idx="5">
                  <c:v>3925000</c:v>
                </c:pt>
                <c:pt idx="6">
                  <c:v>3925000</c:v>
                </c:pt>
                <c:pt idx="7">
                  <c:v>3925000</c:v>
                </c:pt>
                <c:pt idx="8">
                  <c:v>3925000</c:v>
                </c:pt>
                <c:pt idx="9">
                  <c:v>3925000</c:v>
                </c:pt>
                <c:pt idx="10">
                  <c:v>3925000</c:v>
                </c:pt>
                <c:pt idx="11">
                  <c:v>3732500</c:v>
                </c:pt>
                <c:pt idx="12">
                  <c:v>4140900</c:v>
                </c:pt>
                <c:pt idx="13">
                  <c:v>6620625</c:v>
                </c:pt>
                <c:pt idx="14">
                  <c:v>7449875</c:v>
                </c:pt>
                <c:pt idx="15">
                  <c:v>7449875</c:v>
                </c:pt>
                <c:pt idx="16">
                  <c:v>7449875</c:v>
                </c:pt>
                <c:pt idx="17">
                  <c:v>7449875</c:v>
                </c:pt>
                <c:pt idx="18">
                  <c:v>7449875</c:v>
                </c:pt>
                <c:pt idx="19">
                  <c:v>7449875</c:v>
                </c:pt>
                <c:pt idx="20">
                  <c:v>7449875</c:v>
                </c:pt>
                <c:pt idx="21">
                  <c:v>7449875</c:v>
                </c:pt>
                <c:pt idx="22">
                  <c:v>7449875</c:v>
                </c:pt>
                <c:pt idx="23">
                  <c:v>4970150</c:v>
                </c:pt>
                <c:pt idx="24">
                  <c:v>11984240.750000002</c:v>
                </c:pt>
                <c:pt idx="25">
                  <c:v>19162763.750000004</c:v>
                </c:pt>
                <c:pt idx="26">
                  <c:v>21564191.5</c:v>
                </c:pt>
                <c:pt idx="27">
                  <c:v>21564191.5</c:v>
                </c:pt>
                <c:pt idx="28">
                  <c:v>21564191.5</c:v>
                </c:pt>
                <c:pt idx="29">
                  <c:v>21564191.5</c:v>
                </c:pt>
                <c:pt idx="30">
                  <c:v>21564191.5</c:v>
                </c:pt>
                <c:pt idx="31">
                  <c:v>21564191.5</c:v>
                </c:pt>
                <c:pt idx="32">
                  <c:v>21564191.5</c:v>
                </c:pt>
                <c:pt idx="33">
                  <c:v>21564191.5</c:v>
                </c:pt>
                <c:pt idx="34">
                  <c:v>21564191.5</c:v>
                </c:pt>
                <c:pt idx="35">
                  <c:v>14371357.250000002</c:v>
                </c:pt>
                <c:pt idx="36">
                  <c:v>14932072.025000002</c:v>
                </c:pt>
                <c:pt idx="37">
                  <c:v>23890702.718500003</c:v>
                </c:pt>
                <c:pt idx="38">
                  <c:v>26875892.080500007</c:v>
                </c:pt>
                <c:pt idx="39">
                  <c:v>26875892.080500007</c:v>
                </c:pt>
                <c:pt idx="40">
                  <c:v>26875892.080500007</c:v>
                </c:pt>
                <c:pt idx="41">
                  <c:v>26875892.080500007</c:v>
                </c:pt>
                <c:pt idx="42">
                  <c:v>26875892.080500007</c:v>
                </c:pt>
                <c:pt idx="43">
                  <c:v>26875892.080500007</c:v>
                </c:pt>
                <c:pt idx="44">
                  <c:v>26875892.080500007</c:v>
                </c:pt>
                <c:pt idx="45">
                  <c:v>26875892.080500007</c:v>
                </c:pt>
                <c:pt idx="46">
                  <c:v>26875892.080500007</c:v>
                </c:pt>
                <c:pt idx="47">
                  <c:v>17917261.387000002</c:v>
                </c:pt>
                <c:pt idx="48">
                  <c:v>12940404.843675001</c:v>
                </c:pt>
                <c:pt idx="49">
                  <c:v>20709366.798700001</c:v>
                </c:pt>
                <c:pt idx="50">
                  <c:v>23286567.611000009</c:v>
                </c:pt>
                <c:pt idx="51">
                  <c:v>23286567.611000009</c:v>
                </c:pt>
                <c:pt idx="52">
                  <c:v>23286567.611000009</c:v>
                </c:pt>
                <c:pt idx="53">
                  <c:v>23286567.611000009</c:v>
                </c:pt>
                <c:pt idx="54">
                  <c:v>23286567.611000009</c:v>
                </c:pt>
                <c:pt idx="55">
                  <c:v>23286567.611000009</c:v>
                </c:pt>
                <c:pt idx="56">
                  <c:v>23286567.611000009</c:v>
                </c:pt>
                <c:pt idx="57">
                  <c:v>23286567.611000009</c:v>
                </c:pt>
                <c:pt idx="58">
                  <c:v>23286567.611000009</c:v>
                </c:pt>
                <c:pt idx="59">
                  <c:v>15534646.920025006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4182000</c:v>
                </c:pt>
                <c:pt idx="4">
                  <c:v>5803500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7498560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16722934.700000001</c:v>
                </c:pt>
                <c:pt idx="25">
                  <c:v>26748737.75</c:v>
                </c:pt>
                <c:pt idx="26">
                  <c:v>30095872.449999999</c:v>
                </c:pt>
                <c:pt idx="27">
                  <c:v>30095872.449999999</c:v>
                </c:pt>
                <c:pt idx="28">
                  <c:v>30095872.449999999</c:v>
                </c:pt>
                <c:pt idx="29">
                  <c:v>30095872.449999999</c:v>
                </c:pt>
                <c:pt idx="30">
                  <c:v>30095872.449999999</c:v>
                </c:pt>
                <c:pt idx="31">
                  <c:v>30095872.449999999</c:v>
                </c:pt>
                <c:pt idx="32">
                  <c:v>30095872.449999999</c:v>
                </c:pt>
                <c:pt idx="33">
                  <c:v>30095872.449999999</c:v>
                </c:pt>
                <c:pt idx="34">
                  <c:v>30095872.449999999</c:v>
                </c:pt>
                <c:pt idx="35">
                  <c:v>20060837.750000004</c:v>
                </c:pt>
                <c:pt idx="36">
                  <c:v>18324193.194000002</c:v>
                </c:pt>
                <c:pt idx="37">
                  <c:v>29318341.597500004</c:v>
                </c:pt>
                <c:pt idx="38">
                  <c:v>32983057.732000008</c:v>
                </c:pt>
                <c:pt idx="39">
                  <c:v>32983057.732000008</c:v>
                </c:pt>
                <c:pt idx="40">
                  <c:v>32983057.732000008</c:v>
                </c:pt>
                <c:pt idx="41">
                  <c:v>32983057.732000008</c:v>
                </c:pt>
                <c:pt idx="42">
                  <c:v>32983057.732000008</c:v>
                </c:pt>
                <c:pt idx="43">
                  <c:v>32983057.732000008</c:v>
                </c:pt>
                <c:pt idx="44">
                  <c:v>32983057.732000008</c:v>
                </c:pt>
                <c:pt idx="45">
                  <c:v>32983057.732000008</c:v>
                </c:pt>
                <c:pt idx="46">
                  <c:v>32983057.732000008</c:v>
                </c:pt>
                <c:pt idx="47">
                  <c:v>21988909.328500006</c:v>
                </c:pt>
                <c:pt idx="48">
                  <c:v>20191501.73804</c:v>
                </c:pt>
                <c:pt idx="49">
                  <c:v>32314398.636525009</c:v>
                </c:pt>
                <c:pt idx="50">
                  <c:v>36346407.16328501</c:v>
                </c:pt>
                <c:pt idx="51">
                  <c:v>36346407.16328501</c:v>
                </c:pt>
                <c:pt idx="52">
                  <c:v>36346407.16328501</c:v>
                </c:pt>
                <c:pt idx="53">
                  <c:v>36346407.16328501</c:v>
                </c:pt>
                <c:pt idx="54">
                  <c:v>36346407.16328501</c:v>
                </c:pt>
                <c:pt idx="55">
                  <c:v>36346407.16328501</c:v>
                </c:pt>
                <c:pt idx="56">
                  <c:v>36346407.16328501</c:v>
                </c:pt>
                <c:pt idx="57">
                  <c:v>36346407.16328501</c:v>
                </c:pt>
                <c:pt idx="58">
                  <c:v>36346407.16328501</c:v>
                </c:pt>
                <c:pt idx="59">
                  <c:v>24239895.214925002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2209500</c:v>
                </c:pt>
                <c:pt idx="4">
                  <c:v>3066000</c:v>
                </c:pt>
                <c:pt idx="5">
                  <c:v>3865500</c:v>
                </c:pt>
                <c:pt idx="6">
                  <c:v>3865500</c:v>
                </c:pt>
                <c:pt idx="7">
                  <c:v>3865500</c:v>
                </c:pt>
                <c:pt idx="8">
                  <c:v>3865500</c:v>
                </c:pt>
                <c:pt idx="9">
                  <c:v>3865500</c:v>
                </c:pt>
                <c:pt idx="10">
                  <c:v>3865500</c:v>
                </c:pt>
                <c:pt idx="11">
                  <c:v>3681000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1972500</c:v>
                </c:pt>
                <c:pt idx="4">
                  <c:v>2737500</c:v>
                </c:pt>
                <c:pt idx="5">
                  <c:v>3452500</c:v>
                </c:pt>
                <c:pt idx="6">
                  <c:v>3452500</c:v>
                </c:pt>
                <c:pt idx="7">
                  <c:v>3452500</c:v>
                </c:pt>
                <c:pt idx="8">
                  <c:v>3452500</c:v>
                </c:pt>
                <c:pt idx="9">
                  <c:v>3452500</c:v>
                </c:pt>
                <c:pt idx="10">
                  <c:v>3452500</c:v>
                </c:pt>
                <c:pt idx="11">
                  <c:v>3282500</c:v>
                </c:pt>
                <c:pt idx="12">
                  <c:v>3514950</c:v>
                </c:pt>
                <c:pt idx="13">
                  <c:v>5799400</c:v>
                </c:pt>
                <c:pt idx="14">
                  <c:v>6527000</c:v>
                </c:pt>
                <c:pt idx="15">
                  <c:v>6527000</c:v>
                </c:pt>
                <c:pt idx="16">
                  <c:v>6527000</c:v>
                </c:pt>
                <c:pt idx="17">
                  <c:v>6527000</c:v>
                </c:pt>
                <c:pt idx="18">
                  <c:v>6527000</c:v>
                </c:pt>
                <c:pt idx="19">
                  <c:v>6527000</c:v>
                </c:pt>
                <c:pt idx="20">
                  <c:v>6527000</c:v>
                </c:pt>
                <c:pt idx="21">
                  <c:v>6527000</c:v>
                </c:pt>
                <c:pt idx="22">
                  <c:v>6527000</c:v>
                </c:pt>
                <c:pt idx="23">
                  <c:v>4354900</c:v>
                </c:pt>
                <c:pt idx="24">
                  <c:v>11242870.850000001</c:v>
                </c:pt>
                <c:pt idx="25">
                  <c:v>17977086.399999999</c:v>
                </c:pt>
                <c:pt idx="26">
                  <c:v>20231414.050000001</c:v>
                </c:pt>
                <c:pt idx="27">
                  <c:v>20231414.050000001</c:v>
                </c:pt>
                <c:pt idx="28">
                  <c:v>20231414.050000001</c:v>
                </c:pt>
                <c:pt idx="29">
                  <c:v>20231414.050000001</c:v>
                </c:pt>
                <c:pt idx="30">
                  <c:v>20231414.050000001</c:v>
                </c:pt>
                <c:pt idx="31">
                  <c:v>20231414.050000001</c:v>
                </c:pt>
                <c:pt idx="32">
                  <c:v>20231414.050000001</c:v>
                </c:pt>
                <c:pt idx="33">
                  <c:v>20231414.050000001</c:v>
                </c:pt>
                <c:pt idx="34">
                  <c:v>20231414.050000001</c:v>
                </c:pt>
                <c:pt idx="35">
                  <c:v>13482814.800000003</c:v>
                </c:pt>
                <c:pt idx="36">
                  <c:v>12314744.7575</c:v>
                </c:pt>
                <c:pt idx="37">
                  <c:v>19701754.047500007</c:v>
                </c:pt>
                <c:pt idx="38">
                  <c:v>22164090.477500007</c:v>
                </c:pt>
                <c:pt idx="39">
                  <c:v>22164090.477500007</c:v>
                </c:pt>
                <c:pt idx="40">
                  <c:v>22164090.477500007</c:v>
                </c:pt>
                <c:pt idx="41">
                  <c:v>22164090.477500007</c:v>
                </c:pt>
                <c:pt idx="42">
                  <c:v>22164090.477500007</c:v>
                </c:pt>
                <c:pt idx="43">
                  <c:v>22164090.477500007</c:v>
                </c:pt>
                <c:pt idx="44">
                  <c:v>22164090.477500007</c:v>
                </c:pt>
                <c:pt idx="45">
                  <c:v>22164090.477500007</c:v>
                </c:pt>
                <c:pt idx="46">
                  <c:v>22164090.477500007</c:v>
                </c:pt>
                <c:pt idx="47">
                  <c:v>14777081.187500004</c:v>
                </c:pt>
                <c:pt idx="48">
                  <c:v>13570015.693525003</c:v>
                </c:pt>
                <c:pt idx="49">
                  <c:v>21716612.895675004</c:v>
                </c:pt>
                <c:pt idx="50">
                  <c:v>24420129.666300002</c:v>
                </c:pt>
                <c:pt idx="51">
                  <c:v>24420129.666300002</c:v>
                </c:pt>
                <c:pt idx="52">
                  <c:v>24420129.666300002</c:v>
                </c:pt>
                <c:pt idx="53">
                  <c:v>24420129.666300002</c:v>
                </c:pt>
                <c:pt idx="54">
                  <c:v>24420129.666300002</c:v>
                </c:pt>
                <c:pt idx="55">
                  <c:v>24420129.666300002</c:v>
                </c:pt>
                <c:pt idx="56">
                  <c:v>24420129.666300002</c:v>
                </c:pt>
                <c:pt idx="57">
                  <c:v>24420129.666300002</c:v>
                </c:pt>
                <c:pt idx="58">
                  <c:v>24420129.666300002</c:v>
                </c:pt>
                <c:pt idx="59">
                  <c:v>16289917.414275002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385000</c:v>
                </c:pt>
                <c:pt idx="4">
                  <c:v>455000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8624000</c:v>
                </c:pt>
                <c:pt idx="4">
                  <c:v>8624000</c:v>
                </c:pt>
                <c:pt idx="5">
                  <c:v>8624000</c:v>
                </c:pt>
                <c:pt idx="6">
                  <c:v>8624000</c:v>
                </c:pt>
                <c:pt idx="7">
                  <c:v>8624000</c:v>
                </c:pt>
                <c:pt idx="8">
                  <c:v>8624000</c:v>
                </c:pt>
                <c:pt idx="9">
                  <c:v>8624000</c:v>
                </c:pt>
                <c:pt idx="10">
                  <c:v>8624000</c:v>
                </c:pt>
                <c:pt idx="11">
                  <c:v>8624000</c:v>
                </c:pt>
                <c:pt idx="12">
                  <c:v>8624000</c:v>
                </c:pt>
                <c:pt idx="13">
                  <c:v>8624000</c:v>
                </c:pt>
                <c:pt idx="14">
                  <c:v>8624000</c:v>
                </c:pt>
                <c:pt idx="15">
                  <c:v>8624000</c:v>
                </c:pt>
                <c:pt idx="16">
                  <c:v>8624000</c:v>
                </c:pt>
                <c:pt idx="17">
                  <c:v>8624000</c:v>
                </c:pt>
                <c:pt idx="18">
                  <c:v>8624000</c:v>
                </c:pt>
                <c:pt idx="19">
                  <c:v>8624000</c:v>
                </c:pt>
                <c:pt idx="20">
                  <c:v>8624000</c:v>
                </c:pt>
                <c:pt idx="21">
                  <c:v>8624000</c:v>
                </c:pt>
                <c:pt idx="22">
                  <c:v>8624000</c:v>
                </c:pt>
                <c:pt idx="23">
                  <c:v>8624000</c:v>
                </c:pt>
                <c:pt idx="24">
                  <c:v>8624000</c:v>
                </c:pt>
                <c:pt idx="25">
                  <c:v>8624000</c:v>
                </c:pt>
                <c:pt idx="26">
                  <c:v>8624000</c:v>
                </c:pt>
                <c:pt idx="27">
                  <c:v>8624000</c:v>
                </c:pt>
                <c:pt idx="28">
                  <c:v>8624000</c:v>
                </c:pt>
                <c:pt idx="29">
                  <c:v>8624000</c:v>
                </c:pt>
                <c:pt idx="30">
                  <c:v>8624000</c:v>
                </c:pt>
                <c:pt idx="31">
                  <c:v>8624000</c:v>
                </c:pt>
                <c:pt idx="32">
                  <c:v>8624000</c:v>
                </c:pt>
                <c:pt idx="33">
                  <c:v>8624000</c:v>
                </c:pt>
                <c:pt idx="34">
                  <c:v>8624000</c:v>
                </c:pt>
                <c:pt idx="35">
                  <c:v>8624000</c:v>
                </c:pt>
                <c:pt idx="36">
                  <c:v>8624000</c:v>
                </c:pt>
                <c:pt idx="37">
                  <c:v>8624000</c:v>
                </c:pt>
                <c:pt idx="38">
                  <c:v>8624000</c:v>
                </c:pt>
                <c:pt idx="39">
                  <c:v>8624000</c:v>
                </c:pt>
                <c:pt idx="40">
                  <c:v>8624000</c:v>
                </c:pt>
                <c:pt idx="41">
                  <c:v>8624000</c:v>
                </c:pt>
                <c:pt idx="42">
                  <c:v>8624000</c:v>
                </c:pt>
                <c:pt idx="43">
                  <c:v>8624000</c:v>
                </c:pt>
                <c:pt idx="44">
                  <c:v>8624000</c:v>
                </c:pt>
                <c:pt idx="45">
                  <c:v>8624000</c:v>
                </c:pt>
                <c:pt idx="46">
                  <c:v>8624000</c:v>
                </c:pt>
                <c:pt idx="47">
                  <c:v>8624000</c:v>
                </c:pt>
                <c:pt idx="48">
                  <c:v>8624000</c:v>
                </c:pt>
                <c:pt idx="49">
                  <c:v>8624000</c:v>
                </c:pt>
                <c:pt idx="50">
                  <c:v>8624000</c:v>
                </c:pt>
                <c:pt idx="51">
                  <c:v>8624000</c:v>
                </c:pt>
                <c:pt idx="52">
                  <c:v>8624000</c:v>
                </c:pt>
                <c:pt idx="53">
                  <c:v>8624000</c:v>
                </c:pt>
                <c:pt idx="54">
                  <c:v>8624000</c:v>
                </c:pt>
                <c:pt idx="55">
                  <c:v>8624000</c:v>
                </c:pt>
                <c:pt idx="56">
                  <c:v>8624000</c:v>
                </c:pt>
                <c:pt idx="57">
                  <c:v>8624000</c:v>
                </c:pt>
                <c:pt idx="58">
                  <c:v>8624000</c:v>
                </c:pt>
                <c:pt idx="59">
                  <c:v>8624000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1152</v>
      </c>
      <c r="C1" s="325"/>
    </row>
    <row r="2" spans="1:5" ht="19" x14ac:dyDescent="0.25">
      <c r="A2" s="326" t="s">
        <v>1151</v>
      </c>
      <c r="C2" s="326" t="s">
        <v>1150</v>
      </c>
      <c r="D2" s="326" t="s">
        <v>1211</v>
      </c>
    </row>
    <row r="3" spans="1:5" ht="3" customHeight="1" x14ac:dyDescent="0.2"/>
    <row r="4" spans="1:5" ht="15" x14ac:dyDescent="0.2">
      <c r="A4" s="327" t="s">
        <v>1132</v>
      </c>
      <c r="C4" s="327" t="s">
        <v>1088</v>
      </c>
      <c r="D4" s="327" t="s">
        <v>1116</v>
      </c>
    </row>
    <row r="5" spans="1:5" ht="15" x14ac:dyDescent="0.2">
      <c r="A5" s="328" t="s">
        <v>1137</v>
      </c>
      <c r="C5" s="327" t="s">
        <v>1089</v>
      </c>
      <c r="D5" s="327" t="s">
        <v>1122</v>
      </c>
    </row>
    <row r="6" spans="1:5" ht="15" x14ac:dyDescent="0.2">
      <c r="A6" s="327" t="s">
        <v>1135</v>
      </c>
      <c r="C6" s="327" t="s">
        <v>1090</v>
      </c>
      <c r="D6" s="327" t="s">
        <v>1127</v>
      </c>
    </row>
    <row r="7" spans="1:5" ht="15" x14ac:dyDescent="0.2">
      <c r="A7" s="327" t="s">
        <v>1133</v>
      </c>
      <c r="C7" s="327" t="s">
        <v>1091</v>
      </c>
      <c r="D7" s="327" t="s">
        <v>1123</v>
      </c>
    </row>
    <row r="8" spans="1:5" ht="15" x14ac:dyDescent="0.2">
      <c r="A8" s="327" t="s">
        <v>1134</v>
      </c>
      <c r="C8" s="327" t="s">
        <v>1092</v>
      </c>
      <c r="D8" s="327" t="s">
        <v>1117</v>
      </c>
    </row>
    <row r="9" spans="1:5" ht="15" x14ac:dyDescent="0.2">
      <c r="A9" s="327" t="s">
        <v>1090</v>
      </c>
      <c r="C9" s="327" t="s">
        <v>1093</v>
      </c>
      <c r="D9" s="327" t="s">
        <v>1130</v>
      </c>
    </row>
    <row r="10" spans="1:5" ht="15" x14ac:dyDescent="0.2">
      <c r="A10" s="327" t="s">
        <v>1088</v>
      </c>
      <c r="C10" s="327" t="s">
        <v>1094</v>
      </c>
      <c r="D10" s="327" t="s">
        <v>1121</v>
      </c>
    </row>
    <row r="11" spans="1:5" ht="15" x14ac:dyDescent="0.2">
      <c r="A11" s="328" t="s">
        <v>1139</v>
      </c>
      <c r="C11" s="327" t="s">
        <v>1095</v>
      </c>
      <c r="D11" s="327" t="s">
        <v>1094</v>
      </c>
    </row>
    <row r="12" spans="1:5" ht="15" x14ac:dyDescent="0.2">
      <c r="A12" s="328" t="s">
        <v>1146</v>
      </c>
      <c r="C12" s="327" t="s">
        <v>1096</v>
      </c>
      <c r="D12" s="327" t="s">
        <v>1115</v>
      </c>
      <c r="E12" s="324" t="s">
        <v>753</v>
      </c>
    </row>
    <row r="13" spans="1:5" ht="15" x14ac:dyDescent="0.2">
      <c r="A13" s="328" t="s">
        <v>1124</v>
      </c>
      <c r="C13" s="327" t="s">
        <v>1097</v>
      </c>
      <c r="D13" s="327" t="s">
        <v>1108</v>
      </c>
      <c r="E13" s="324" t="s">
        <v>753</v>
      </c>
    </row>
    <row r="14" spans="1:5" ht="15" x14ac:dyDescent="0.2">
      <c r="A14" s="328" t="s">
        <v>1120</v>
      </c>
      <c r="C14" s="328" t="s">
        <v>1098</v>
      </c>
      <c r="D14" s="327" t="s">
        <v>1143</v>
      </c>
    </row>
    <row r="15" spans="1:5" ht="15" x14ac:dyDescent="0.2">
      <c r="A15" s="327" t="s">
        <v>1123</v>
      </c>
      <c r="C15" s="328" t="s">
        <v>1099</v>
      </c>
      <c r="D15" s="327" t="s">
        <v>1097</v>
      </c>
    </row>
    <row r="16" spans="1:5" ht="15" x14ac:dyDescent="0.2">
      <c r="A16" s="327" t="s">
        <v>1121</v>
      </c>
      <c r="C16" s="328" t="s">
        <v>1100</v>
      </c>
    </row>
    <row r="17" spans="1:3" ht="15" x14ac:dyDescent="0.2">
      <c r="A17" s="327" t="s">
        <v>1122</v>
      </c>
      <c r="C17" s="327" t="s">
        <v>1101</v>
      </c>
    </row>
    <row r="18" spans="1:3" ht="15" x14ac:dyDescent="0.2">
      <c r="A18" s="327" t="s">
        <v>1112</v>
      </c>
      <c r="C18" s="328" t="s">
        <v>1102</v>
      </c>
    </row>
    <row r="19" spans="1:3" ht="15" x14ac:dyDescent="0.2">
      <c r="A19" s="328" t="s">
        <v>1109</v>
      </c>
      <c r="C19" s="328" t="s">
        <v>1103</v>
      </c>
    </row>
    <row r="20" spans="1:3" ht="15" x14ac:dyDescent="0.2">
      <c r="A20" s="328" t="s">
        <v>1111</v>
      </c>
      <c r="C20" s="327" t="s">
        <v>1104</v>
      </c>
    </row>
    <row r="21" spans="1:3" ht="15" x14ac:dyDescent="0.2">
      <c r="A21" s="328" t="s">
        <v>1110</v>
      </c>
      <c r="C21" s="327" t="s">
        <v>1105</v>
      </c>
    </row>
    <row r="22" spans="1:3" ht="15" x14ac:dyDescent="0.2">
      <c r="A22" s="327" t="s">
        <v>1115</v>
      </c>
      <c r="C22" s="328" t="s">
        <v>1106</v>
      </c>
    </row>
    <row r="23" spans="1:3" ht="15" x14ac:dyDescent="0.2">
      <c r="A23" s="327" t="s">
        <v>1114</v>
      </c>
      <c r="C23" s="328" t="s">
        <v>1107</v>
      </c>
    </row>
    <row r="24" spans="1:3" ht="15" x14ac:dyDescent="0.2">
      <c r="A24" s="327" t="s">
        <v>1113</v>
      </c>
      <c r="C24" s="327" t="s">
        <v>1108</v>
      </c>
    </row>
    <row r="25" spans="1:3" ht="15" x14ac:dyDescent="0.2">
      <c r="A25" s="327" t="s">
        <v>1118</v>
      </c>
      <c r="C25" s="328" t="s">
        <v>1109</v>
      </c>
    </row>
    <row r="26" spans="1:3" ht="15" x14ac:dyDescent="0.2">
      <c r="A26" s="327" t="s">
        <v>1119</v>
      </c>
      <c r="C26" s="328" t="s">
        <v>1110</v>
      </c>
    </row>
    <row r="27" spans="1:3" ht="15" x14ac:dyDescent="0.2">
      <c r="A27" s="327" t="s">
        <v>1104</v>
      </c>
      <c r="C27" s="328" t="s">
        <v>1111</v>
      </c>
    </row>
    <row r="28" spans="1:3" ht="15" x14ac:dyDescent="0.2">
      <c r="A28" s="328" t="s">
        <v>1107</v>
      </c>
      <c r="C28" s="327" t="s">
        <v>1112</v>
      </c>
    </row>
    <row r="29" spans="1:3" ht="15" x14ac:dyDescent="0.2">
      <c r="A29" s="328" t="s">
        <v>1103</v>
      </c>
      <c r="C29" s="327" t="s">
        <v>1113</v>
      </c>
    </row>
    <row r="30" spans="1:3" ht="15" x14ac:dyDescent="0.2">
      <c r="A30" s="328" t="s">
        <v>1106</v>
      </c>
      <c r="C30" s="327" t="s">
        <v>1114</v>
      </c>
    </row>
    <row r="31" spans="1:3" ht="15" x14ac:dyDescent="0.2">
      <c r="A31" s="327" t="s">
        <v>1108</v>
      </c>
      <c r="C31" s="327" t="s">
        <v>1115</v>
      </c>
    </row>
    <row r="32" spans="1:3" ht="15" x14ac:dyDescent="0.2">
      <c r="A32" s="327" t="s">
        <v>1105</v>
      </c>
      <c r="C32" s="327" t="s">
        <v>1116</v>
      </c>
    </row>
    <row r="33" spans="1:3" ht="15" x14ac:dyDescent="0.2">
      <c r="A33" s="328" t="s">
        <v>1098</v>
      </c>
      <c r="C33" s="327" t="s">
        <v>1117</v>
      </c>
    </row>
    <row r="34" spans="1:3" ht="15" x14ac:dyDescent="0.2">
      <c r="A34" s="327" t="s">
        <v>1101</v>
      </c>
      <c r="C34" s="327" t="s">
        <v>1118</v>
      </c>
    </row>
    <row r="35" spans="1:3" ht="15" x14ac:dyDescent="0.2">
      <c r="A35" s="328" t="s">
        <v>1099</v>
      </c>
      <c r="C35" s="327" t="s">
        <v>1119</v>
      </c>
    </row>
    <row r="36" spans="1:3" ht="15" x14ac:dyDescent="0.2">
      <c r="A36" s="328" t="s">
        <v>1100</v>
      </c>
      <c r="C36" s="328" t="s">
        <v>1120</v>
      </c>
    </row>
    <row r="37" spans="1:3" ht="15" x14ac:dyDescent="0.2">
      <c r="A37" s="327" t="s">
        <v>1095</v>
      </c>
      <c r="C37" s="327" t="s">
        <v>1121</v>
      </c>
    </row>
    <row r="38" spans="1:3" ht="15" x14ac:dyDescent="0.2">
      <c r="A38" s="327" t="s">
        <v>1094</v>
      </c>
      <c r="C38" s="327" t="s">
        <v>1122</v>
      </c>
    </row>
    <row r="39" spans="1:3" ht="15" x14ac:dyDescent="0.2">
      <c r="A39" s="327" t="s">
        <v>1092</v>
      </c>
      <c r="C39" s="327" t="s">
        <v>1123</v>
      </c>
    </row>
    <row r="40" spans="1:3" ht="15" x14ac:dyDescent="0.2">
      <c r="A40" s="327" t="s">
        <v>1093</v>
      </c>
      <c r="C40" s="328" t="s">
        <v>1124</v>
      </c>
    </row>
    <row r="41" spans="1:3" ht="15" x14ac:dyDescent="0.2">
      <c r="A41" s="327" t="s">
        <v>1091</v>
      </c>
      <c r="C41" s="328" t="s">
        <v>1125</v>
      </c>
    </row>
    <row r="42" spans="1:3" ht="15" x14ac:dyDescent="0.2">
      <c r="A42" s="327" t="s">
        <v>1097</v>
      </c>
      <c r="C42" s="327" t="s">
        <v>1126</v>
      </c>
    </row>
    <row r="43" spans="1:3" ht="15" x14ac:dyDescent="0.2">
      <c r="A43" s="327" t="s">
        <v>1096</v>
      </c>
      <c r="C43" s="327" t="s">
        <v>1127</v>
      </c>
    </row>
    <row r="44" spans="1:3" ht="15" x14ac:dyDescent="0.2">
      <c r="A44" s="327" t="s">
        <v>1089</v>
      </c>
      <c r="C44" s="328" t="s">
        <v>1128</v>
      </c>
    </row>
    <row r="45" spans="1:3" ht="15" x14ac:dyDescent="0.2">
      <c r="A45" s="328" t="s">
        <v>1136</v>
      </c>
      <c r="C45" s="327" t="s">
        <v>1129</v>
      </c>
    </row>
    <row r="46" spans="1:3" ht="15" x14ac:dyDescent="0.2">
      <c r="A46" s="327" t="s">
        <v>1142</v>
      </c>
      <c r="C46" s="327" t="s">
        <v>1130</v>
      </c>
    </row>
    <row r="47" spans="1:3" ht="15" x14ac:dyDescent="0.2">
      <c r="A47" s="327" t="s">
        <v>1140</v>
      </c>
      <c r="C47" s="328" t="s">
        <v>1131</v>
      </c>
    </row>
    <row r="48" spans="1:3" ht="15" x14ac:dyDescent="0.2">
      <c r="A48" s="327" t="s">
        <v>1141</v>
      </c>
      <c r="C48" s="327" t="s">
        <v>1132</v>
      </c>
    </row>
    <row r="49" spans="1:3" ht="15" x14ac:dyDescent="0.2">
      <c r="A49" s="327" t="s">
        <v>1138</v>
      </c>
      <c r="C49" s="327" t="s">
        <v>1133</v>
      </c>
    </row>
    <row r="50" spans="1:3" ht="15" x14ac:dyDescent="0.2">
      <c r="A50" s="328" t="s">
        <v>1125</v>
      </c>
      <c r="C50" s="327" t="s">
        <v>1134</v>
      </c>
    </row>
    <row r="51" spans="1:3" ht="15" x14ac:dyDescent="0.2">
      <c r="A51" s="328" t="s">
        <v>1131</v>
      </c>
      <c r="C51" s="327" t="s">
        <v>1135</v>
      </c>
    </row>
    <row r="52" spans="1:3" ht="15" x14ac:dyDescent="0.2">
      <c r="A52" s="328" t="s">
        <v>1102</v>
      </c>
      <c r="C52" s="328" t="s">
        <v>1136</v>
      </c>
    </row>
    <row r="53" spans="1:3" ht="15" x14ac:dyDescent="0.2">
      <c r="A53" s="328" t="s">
        <v>1128</v>
      </c>
      <c r="C53" s="328" t="s">
        <v>1137</v>
      </c>
    </row>
    <row r="54" spans="1:3" ht="15" x14ac:dyDescent="0.2">
      <c r="A54" s="327" t="s">
        <v>1117</v>
      </c>
      <c r="C54" s="327" t="s">
        <v>1138</v>
      </c>
    </row>
    <row r="55" spans="1:3" ht="15" x14ac:dyDescent="0.2">
      <c r="A55" s="327" t="s">
        <v>1130</v>
      </c>
      <c r="C55" s="328" t="s">
        <v>1139</v>
      </c>
    </row>
    <row r="56" spans="1:3" ht="15" x14ac:dyDescent="0.2">
      <c r="A56" s="327" t="s">
        <v>1126</v>
      </c>
      <c r="C56" s="327" t="s">
        <v>1140</v>
      </c>
    </row>
    <row r="57" spans="1:3" ht="15" x14ac:dyDescent="0.2">
      <c r="A57" s="327" t="s">
        <v>1129</v>
      </c>
      <c r="C57" s="327" t="s">
        <v>1141</v>
      </c>
    </row>
    <row r="58" spans="1:3" ht="15" x14ac:dyDescent="0.2">
      <c r="A58" s="327" t="s">
        <v>1127</v>
      </c>
      <c r="C58" s="327" t="s">
        <v>1142</v>
      </c>
    </row>
    <row r="59" spans="1:3" ht="15" x14ac:dyDescent="0.2">
      <c r="A59" s="327" t="s">
        <v>1116</v>
      </c>
      <c r="C59" s="327" t="s">
        <v>1143</v>
      </c>
    </row>
    <row r="60" spans="1:3" ht="15" x14ac:dyDescent="0.2">
      <c r="A60" s="328" t="s">
        <v>1148</v>
      </c>
      <c r="C60" s="327" t="s">
        <v>1144</v>
      </c>
    </row>
    <row r="61" spans="1:3" ht="15" x14ac:dyDescent="0.2">
      <c r="A61" s="328" t="s">
        <v>1149</v>
      </c>
      <c r="C61" s="327" t="s">
        <v>1145</v>
      </c>
    </row>
    <row r="62" spans="1:3" ht="15" x14ac:dyDescent="0.2">
      <c r="A62" s="327" t="s">
        <v>1147</v>
      </c>
      <c r="C62" s="328" t="s">
        <v>1146</v>
      </c>
    </row>
    <row r="63" spans="1:3" ht="15" x14ac:dyDescent="0.2">
      <c r="A63" s="327" t="s">
        <v>1143</v>
      </c>
      <c r="C63" s="327" t="s">
        <v>1147</v>
      </c>
    </row>
    <row r="64" spans="1:3" ht="15" x14ac:dyDescent="0.2">
      <c r="A64" s="327" t="s">
        <v>1145</v>
      </c>
      <c r="C64" s="328" t="s">
        <v>1148</v>
      </c>
    </row>
    <row r="65" spans="1:3" ht="15" x14ac:dyDescent="0.2">
      <c r="A65" s="327" t="s">
        <v>1144</v>
      </c>
      <c r="C65" s="328" t="s">
        <v>1149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919</v>
      </c>
      <c r="E2" s="6" t="s">
        <v>832</v>
      </c>
      <c r="F2" s="6" t="s">
        <v>892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922</v>
      </c>
      <c r="D9" s="6" t="s">
        <v>919</v>
      </c>
      <c r="E9" s="6" t="s">
        <v>832</v>
      </c>
      <c r="F9" s="6" t="s">
        <v>892</v>
      </c>
    </row>
    <row r="10" spans="2:6" x14ac:dyDescent="0.15">
      <c r="D10" s="6"/>
      <c r="E10" s="6"/>
    </row>
    <row r="11" spans="2:6" x14ac:dyDescent="0.15">
      <c r="B11" t="s">
        <v>920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921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1020</v>
      </c>
      <c r="D22" s="6" t="s">
        <v>1021</v>
      </c>
      <c r="E22" s="6" t="s">
        <v>1022</v>
      </c>
      <c r="F22" s="6" t="s">
        <v>1026</v>
      </c>
    </row>
    <row r="23" spans="2:7" x14ac:dyDescent="0.15">
      <c r="B23" s="21" t="s">
        <v>841</v>
      </c>
      <c r="C23" s="9"/>
      <c r="D23" s="9"/>
      <c r="F23"/>
    </row>
    <row r="24" spans="2:7" x14ac:dyDescent="0.15">
      <c r="B24" t="s">
        <v>926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927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928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929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930</v>
      </c>
      <c r="D29" s="252">
        <f>NPV(D27,C19:G19)</f>
        <v>785408.06015043741</v>
      </c>
      <c r="F29"/>
    </row>
    <row r="30" spans="2:7" x14ac:dyDescent="0.15">
      <c r="B30" t="s">
        <v>931</v>
      </c>
      <c r="E30" s="252">
        <f>NPV(E27,D19:G19)</f>
        <v>2486810.2746222913</v>
      </c>
      <c r="F30"/>
    </row>
    <row r="31" spans="2:7" x14ac:dyDescent="0.15">
      <c r="B31" t="s">
        <v>932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1025</v>
      </c>
      <c r="C34" s="6"/>
      <c r="D34" s="6">
        <f>+C20</f>
        <v>150000</v>
      </c>
      <c r="E34" s="6">
        <f>+D20</f>
        <v>250000</v>
      </c>
      <c r="F34" s="6" t="s">
        <v>1024</v>
      </c>
      <c r="G34" s="6" t="s">
        <v>1027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1047</v>
      </c>
      <c r="D36" s="295"/>
      <c r="E36" s="295"/>
      <c r="G36" s="6"/>
    </row>
    <row r="37" spans="2:7" x14ac:dyDescent="0.15">
      <c r="B37" t="s">
        <v>910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1023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1023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1024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764</v>
      </c>
      <c r="D1" s="33" t="s">
        <v>766</v>
      </c>
      <c r="E1" s="33" t="s">
        <v>768</v>
      </c>
      <c r="F1" s="33" t="s">
        <v>767</v>
      </c>
      <c r="H1" s="34" t="s">
        <v>769</v>
      </c>
      <c r="I1" s="34" t="s">
        <v>993</v>
      </c>
      <c r="J1" s="34" t="s">
        <v>994</v>
      </c>
      <c r="K1" s="34" t="s">
        <v>313</v>
      </c>
    </row>
    <row r="2" spans="1:11" x14ac:dyDescent="0.15">
      <c r="C2" s="33" t="s">
        <v>765</v>
      </c>
    </row>
    <row r="3" spans="1:11" x14ac:dyDescent="0.15">
      <c r="A3" s="271">
        <v>1</v>
      </c>
      <c r="B3" s="271">
        <v>1</v>
      </c>
      <c r="C3" s="185" t="s">
        <v>759</v>
      </c>
      <c r="D3" s="185" t="s">
        <v>599</v>
      </c>
      <c r="E3" s="185" t="s">
        <v>656</v>
      </c>
      <c r="F3" s="185" t="s">
        <v>747</v>
      </c>
      <c r="G3" s="272">
        <v>1</v>
      </c>
      <c r="H3" s="261" t="s">
        <v>992</v>
      </c>
      <c r="I3" s="10"/>
      <c r="J3" s="10"/>
    </row>
    <row r="4" spans="1:11" x14ac:dyDescent="0.15">
      <c r="A4" s="271" t="s">
        <v>996</v>
      </c>
      <c r="B4" s="271">
        <v>1</v>
      </c>
      <c r="C4" s="185" t="s">
        <v>759</v>
      </c>
      <c r="D4" s="185" t="s">
        <v>995</v>
      </c>
      <c r="E4" s="185" t="s">
        <v>741</v>
      </c>
      <c r="F4" s="185" t="s">
        <v>747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759</v>
      </c>
      <c r="D5" s="185" t="s">
        <v>600</v>
      </c>
      <c r="E5" s="185" t="s">
        <v>740</v>
      </c>
      <c r="F5" s="185" t="s">
        <v>750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759</v>
      </c>
      <c r="D6" s="185" t="s">
        <v>598</v>
      </c>
      <c r="E6" s="185" t="s">
        <v>739</v>
      </c>
      <c r="F6" s="185" t="s">
        <v>748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760</v>
      </c>
      <c r="D7" s="185" t="s">
        <v>594</v>
      </c>
      <c r="E7" s="185" t="s">
        <v>608</v>
      </c>
      <c r="F7" s="185" t="s">
        <v>747</v>
      </c>
      <c r="G7" s="272">
        <v>1</v>
      </c>
      <c r="H7" s="10"/>
      <c r="I7" s="10" t="s">
        <v>992</v>
      </c>
      <c r="J7" s="10" t="s">
        <v>992</v>
      </c>
    </row>
    <row r="8" spans="1:11" x14ac:dyDescent="0.15">
      <c r="A8" s="271">
        <v>0</v>
      </c>
      <c r="B8" s="271">
        <v>2</v>
      </c>
      <c r="C8" s="185" t="s">
        <v>760</v>
      </c>
      <c r="D8" s="185" t="s">
        <v>596</v>
      </c>
      <c r="E8" s="185" t="s">
        <v>605</v>
      </c>
      <c r="F8" s="185" t="s">
        <v>747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760</v>
      </c>
      <c r="D9" s="185" t="s">
        <v>609</v>
      </c>
      <c r="E9" s="185" t="s">
        <v>610</v>
      </c>
      <c r="F9" s="185" t="s">
        <v>747</v>
      </c>
      <c r="G9" s="272">
        <v>1</v>
      </c>
      <c r="H9" s="261" t="s">
        <v>992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760</v>
      </c>
      <c r="D10" s="185" t="s">
        <v>597</v>
      </c>
      <c r="E10" s="185" t="s">
        <v>603</v>
      </c>
      <c r="F10" s="185" t="s">
        <v>747</v>
      </c>
      <c r="G10" s="272">
        <v>1</v>
      </c>
      <c r="H10" s="10"/>
      <c r="I10" s="10"/>
      <c r="J10" s="10"/>
    </row>
    <row r="11" spans="1:11" x14ac:dyDescent="0.15">
      <c r="A11" s="271" t="s">
        <v>996</v>
      </c>
      <c r="B11" s="271">
        <v>2</v>
      </c>
      <c r="C11" s="185" t="s">
        <v>760</v>
      </c>
      <c r="D11" s="185" t="s">
        <v>593</v>
      </c>
      <c r="E11" s="185" t="s">
        <v>607</v>
      </c>
      <c r="F11" s="185" t="s">
        <v>750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760</v>
      </c>
      <c r="D12" s="185" t="s">
        <v>595</v>
      </c>
      <c r="E12" s="185" t="s">
        <v>602</v>
      </c>
      <c r="F12" s="185" t="s">
        <v>748</v>
      </c>
      <c r="G12" s="272">
        <v>3</v>
      </c>
      <c r="H12" s="10"/>
      <c r="I12" s="10"/>
      <c r="J12" s="10"/>
    </row>
    <row r="13" spans="1:11" x14ac:dyDescent="0.15">
      <c r="A13" s="271" t="s">
        <v>997</v>
      </c>
      <c r="B13" s="271">
        <v>2</v>
      </c>
      <c r="C13" s="185" t="s">
        <v>760</v>
      </c>
      <c r="D13" s="185" t="s">
        <v>745</v>
      </c>
      <c r="E13" s="185" t="s">
        <v>746</v>
      </c>
      <c r="F13" s="185" t="s">
        <v>752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329</v>
      </c>
      <c r="D14" s="185" t="s">
        <v>611</v>
      </c>
      <c r="E14" s="185" t="s">
        <v>606</v>
      </c>
      <c r="F14" s="185" t="s">
        <v>747</v>
      </c>
      <c r="G14" s="272">
        <v>1</v>
      </c>
      <c r="H14" s="10"/>
      <c r="I14" s="10" t="s">
        <v>992</v>
      </c>
      <c r="J14" s="10" t="s">
        <v>992</v>
      </c>
    </row>
    <row r="15" spans="1:11" x14ac:dyDescent="0.15">
      <c r="A15" s="271">
        <v>0</v>
      </c>
      <c r="B15" s="271">
        <v>3</v>
      </c>
      <c r="C15" s="185" t="s">
        <v>329</v>
      </c>
      <c r="D15" s="185" t="s">
        <v>612</v>
      </c>
      <c r="E15" s="185" t="s">
        <v>604</v>
      </c>
      <c r="F15" s="185" t="s">
        <v>747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329</v>
      </c>
      <c r="D16" s="185" t="s">
        <v>756</v>
      </c>
      <c r="E16" s="185" t="s">
        <v>757</v>
      </c>
      <c r="F16" s="185" t="s">
        <v>750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758</v>
      </c>
      <c r="D17" s="185" t="s">
        <v>582</v>
      </c>
      <c r="E17" s="185" t="s">
        <v>660</v>
      </c>
      <c r="F17" s="185" t="s">
        <v>747</v>
      </c>
      <c r="G17" s="272">
        <v>1</v>
      </c>
      <c r="H17" s="10" t="s">
        <v>992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758</v>
      </c>
      <c r="D18" s="185" t="s">
        <v>601</v>
      </c>
      <c r="E18" s="185" t="s">
        <v>704</v>
      </c>
      <c r="F18" s="185" t="s">
        <v>747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758</v>
      </c>
      <c r="D19" s="185" t="s">
        <v>583</v>
      </c>
      <c r="E19" s="185" t="s">
        <v>658</v>
      </c>
      <c r="F19" s="185" t="s">
        <v>747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758</v>
      </c>
      <c r="D20" s="185" t="s">
        <v>584</v>
      </c>
      <c r="E20" s="185" t="s">
        <v>659</v>
      </c>
      <c r="F20" s="185" t="s">
        <v>747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758</v>
      </c>
      <c r="D21" s="185" t="s">
        <v>654</v>
      </c>
      <c r="E21" s="185" t="s">
        <v>655</v>
      </c>
      <c r="F21" s="185" t="s">
        <v>750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758</v>
      </c>
      <c r="D22" s="185" t="s">
        <v>705</v>
      </c>
      <c r="E22" s="185" t="s">
        <v>710</v>
      </c>
      <c r="F22" s="185" t="s">
        <v>748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763</v>
      </c>
      <c r="D23" s="185" t="s">
        <v>706</v>
      </c>
      <c r="E23" s="185" t="s">
        <v>709</v>
      </c>
      <c r="F23" s="185" t="s">
        <v>747</v>
      </c>
      <c r="G23" s="272">
        <v>1</v>
      </c>
      <c r="H23" s="10" t="s">
        <v>992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763</v>
      </c>
      <c r="D24" s="185" t="s">
        <v>707</v>
      </c>
      <c r="E24" s="185" t="s">
        <v>708</v>
      </c>
      <c r="F24" s="185" t="s">
        <v>750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763</v>
      </c>
      <c r="D25" s="185" t="s">
        <v>731</v>
      </c>
      <c r="E25" s="185" t="s">
        <v>732</v>
      </c>
      <c r="F25" s="185" t="s">
        <v>748</v>
      </c>
      <c r="G25" s="272">
        <v>3</v>
      </c>
      <c r="H25" s="10"/>
      <c r="I25" s="10"/>
      <c r="J25" s="10"/>
    </row>
    <row r="26" spans="1:10" x14ac:dyDescent="0.15">
      <c r="A26" s="271" t="s">
        <v>997</v>
      </c>
      <c r="B26" s="271">
        <v>5</v>
      </c>
      <c r="C26" s="185" t="s">
        <v>763</v>
      </c>
      <c r="D26" s="185" t="s">
        <v>743</v>
      </c>
      <c r="E26" s="185" t="s">
        <v>744</v>
      </c>
      <c r="F26" s="185" t="s">
        <v>753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761</v>
      </c>
      <c r="D27" s="185" t="s">
        <v>589</v>
      </c>
      <c r="E27" s="185" t="s">
        <v>736</v>
      </c>
      <c r="F27" s="185" t="s">
        <v>751</v>
      </c>
      <c r="G27" s="272">
        <v>1</v>
      </c>
      <c r="H27" s="10"/>
      <c r="I27" s="10"/>
      <c r="J27" s="10"/>
    </row>
    <row r="28" spans="1:10" x14ac:dyDescent="0.15">
      <c r="A28" s="271" t="s">
        <v>999</v>
      </c>
      <c r="B28" s="271">
        <v>6</v>
      </c>
      <c r="C28" s="185" t="s">
        <v>761</v>
      </c>
      <c r="D28" s="185" t="s">
        <v>591</v>
      </c>
      <c r="E28" s="185" t="s">
        <v>736</v>
      </c>
      <c r="F28" s="185" t="s">
        <v>747</v>
      </c>
      <c r="G28" s="272">
        <v>1</v>
      </c>
      <c r="H28" s="10" t="s">
        <v>992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761</v>
      </c>
      <c r="D29" s="185" t="s">
        <v>742</v>
      </c>
      <c r="E29" s="185" t="s">
        <v>610</v>
      </c>
      <c r="F29" s="185" t="s">
        <v>747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761</v>
      </c>
      <c r="D30" s="185" t="s">
        <v>592</v>
      </c>
      <c r="E30" s="185" t="s">
        <v>738</v>
      </c>
      <c r="F30" s="185" t="s">
        <v>750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761</v>
      </c>
      <c r="D31" s="185" t="s">
        <v>590</v>
      </c>
      <c r="E31" s="185" t="s">
        <v>737</v>
      </c>
      <c r="F31" s="185" t="s">
        <v>748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579</v>
      </c>
      <c r="E32" s="185" t="s">
        <v>819</v>
      </c>
      <c r="F32" s="185" t="s">
        <v>747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580</v>
      </c>
      <c r="E33" s="185" t="s">
        <v>733</v>
      </c>
      <c r="F33" s="185" t="s">
        <v>747</v>
      </c>
      <c r="G33" s="272">
        <v>1</v>
      </c>
      <c r="H33" s="10"/>
      <c r="I33" s="10"/>
      <c r="J33" s="10" t="s">
        <v>992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581</v>
      </c>
      <c r="E34" s="185" t="s">
        <v>734</v>
      </c>
      <c r="F34" s="185" t="s">
        <v>750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756</v>
      </c>
      <c r="E35" s="185" t="s">
        <v>757</v>
      </c>
      <c r="F35" s="185" t="s">
        <v>750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754</v>
      </c>
      <c r="E36" s="185" t="s">
        <v>755</v>
      </c>
      <c r="F36" s="185" t="s">
        <v>749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762</v>
      </c>
      <c r="D37" s="185" t="s">
        <v>585</v>
      </c>
      <c r="E37" s="185" t="s">
        <v>729</v>
      </c>
      <c r="F37" s="185" t="s">
        <v>747</v>
      </c>
      <c r="G37" s="272">
        <v>1</v>
      </c>
      <c r="H37" s="10"/>
      <c r="I37" s="10"/>
      <c r="J37" s="10" t="s">
        <v>992</v>
      </c>
    </row>
    <row r="38" spans="1:10" x14ac:dyDescent="0.15">
      <c r="A38" s="271">
        <v>0</v>
      </c>
      <c r="B38" s="271">
        <v>8</v>
      </c>
      <c r="C38" s="185" t="s">
        <v>762</v>
      </c>
      <c r="D38" s="185" t="s">
        <v>586</v>
      </c>
      <c r="E38" s="185" t="s">
        <v>818</v>
      </c>
      <c r="F38" s="185" t="s">
        <v>747</v>
      </c>
      <c r="G38" s="272">
        <v>1</v>
      </c>
      <c r="H38" s="10"/>
      <c r="I38" s="10" t="s">
        <v>992</v>
      </c>
      <c r="J38" s="10" t="s">
        <v>992</v>
      </c>
    </row>
    <row r="39" spans="1:10" x14ac:dyDescent="0.15">
      <c r="A39" s="271">
        <v>5</v>
      </c>
      <c r="B39" s="271">
        <v>8</v>
      </c>
      <c r="C39" s="185" t="s">
        <v>762</v>
      </c>
      <c r="D39" s="185" t="s">
        <v>587</v>
      </c>
      <c r="E39" s="185" t="s">
        <v>730</v>
      </c>
      <c r="F39" s="185" t="s">
        <v>747</v>
      </c>
      <c r="G39" s="272">
        <v>1</v>
      </c>
      <c r="H39" s="10" t="s">
        <v>992</v>
      </c>
      <c r="I39" s="10" t="s">
        <v>992</v>
      </c>
      <c r="J39" s="10"/>
    </row>
    <row r="40" spans="1:10" x14ac:dyDescent="0.15">
      <c r="A40" s="271">
        <v>0</v>
      </c>
      <c r="B40" s="271">
        <v>8</v>
      </c>
      <c r="C40" s="185" t="s">
        <v>762</v>
      </c>
      <c r="D40" s="185" t="s">
        <v>770</v>
      </c>
      <c r="E40" s="185" t="s">
        <v>771</v>
      </c>
      <c r="F40" s="185" t="s">
        <v>747</v>
      </c>
      <c r="G40" s="272">
        <v>1</v>
      </c>
      <c r="H40" s="10"/>
      <c r="I40" s="10" t="s">
        <v>992</v>
      </c>
      <c r="J40" s="10"/>
    </row>
    <row r="41" spans="1:10" x14ac:dyDescent="0.15">
      <c r="A41" s="271">
        <v>0</v>
      </c>
      <c r="B41" s="271">
        <v>8</v>
      </c>
      <c r="C41" s="185" t="s">
        <v>762</v>
      </c>
      <c r="D41" s="185" t="s">
        <v>772</v>
      </c>
      <c r="E41" s="185" t="s">
        <v>773</v>
      </c>
      <c r="F41" s="185" t="s">
        <v>747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762</v>
      </c>
      <c r="D42" s="185" t="s">
        <v>934</v>
      </c>
      <c r="E42" s="185" t="s">
        <v>935</v>
      </c>
      <c r="F42" s="185" t="s">
        <v>750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762</v>
      </c>
      <c r="D43" s="185" t="s">
        <v>984</v>
      </c>
      <c r="E43" s="185" t="s">
        <v>970</v>
      </c>
      <c r="F43" s="185" t="s">
        <v>748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762</v>
      </c>
      <c r="D44" s="185" t="s">
        <v>588</v>
      </c>
      <c r="E44" s="185" t="s">
        <v>735</v>
      </c>
      <c r="F44" s="185" t="s">
        <v>749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578</v>
      </c>
      <c r="E45" s="185" t="s">
        <v>657</v>
      </c>
      <c r="F45" s="185" t="s">
        <v>747</v>
      </c>
      <c r="G45" s="171">
        <v>1</v>
      </c>
      <c r="H45" s="10"/>
      <c r="I45" s="10" t="s">
        <v>992</v>
      </c>
      <c r="J45" s="10"/>
    </row>
    <row r="46" spans="1:10" x14ac:dyDescent="0.15">
      <c r="B46" s="180">
        <v>1</v>
      </c>
      <c r="C46" s="185" t="s">
        <v>759</v>
      </c>
      <c r="G46" s="272"/>
    </row>
    <row r="47" spans="1:10" x14ac:dyDescent="0.15">
      <c r="E47" s="185" t="s">
        <v>998</v>
      </c>
    </row>
    <row r="48" spans="1:10" x14ac:dyDescent="0.15">
      <c r="E48" s="185"/>
    </row>
    <row r="49" spans="3:6" x14ac:dyDescent="0.15">
      <c r="C49" s="273" t="s">
        <v>765</v>
      </c>
      <c r="D49" s="273" t="s">
        <v>1000</v>
      </c>
      <c r="E49" s="273" t="s">
        <v>768</v>
      </c>
      <c r="F49" s="273" t="s">
        <v>767</v>
      </c>
    </row>
    <row r="51" spans="3:6" x14ac:dyDescent="0.15">
      <c r="C51" s="185" t="s">
        <v>759</v>
      </c>
      <c r="D51" s="185" t="s">
        <v>599</v>
      </c>
      <c r="E51" s="185" t="s">
        <v>656</v>
      </c>
      <c r="F51" s="185" t="s">
        <v>747</v>
      </c>
    </row>
    <row r="52" spans="3:6" x14ac:dyDescent="0.15">
      <c r="C52" s="185" t="s">
        <v>759</v>
      </c>
      <c r="D52" s="185" t="s">
        <v>995</v>
      </c>
      <c r="E52" s="185" t="s">
        <v>741</v>
      </c>
      <c r="F52" s="185" t="s">
        <v>747</v>
      </c>
    </row>
    <row r="53" spans="3:6" x14ac:dyDescent="0.15">
      <c r="C53" s="185" t="s">
        <v>759</v>
      </c>
      <c r="D53" s="185" t="s">
        <v>600</v>
      </c>
      <c r="E53" s="185" t="s">
        <v>740</v>
      </c>
      <c r="F53" s="185" t="s">
        <v>750</v>
      </c>
    </row>
    <row r="54" spans="3:6" x14ac:dyDescent="0.15">
      <c r="C54" s="185" t="s">
        <v>759</v>
      </c>
      <c r="D54" s="185" t="s">
        <v>598</v>
      </c>
      <c r="E54" s="185" t="s">
        <v>739</v>
      </c>
      <c r="F54" s="185" t="s">
        <v>748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760</v>
      </c>
      <c r="D56" s="185" t="s">
        <v>594</v>
      </c>
      <c r="E56" s="185" t="s">
        <v>608</v>
      </c>
      <c r="F56" s="185" t="s">
        <v>747</v>
      </c>
    </row>
    <row r="57" spans="3:6" x14ac:dyDescent="0.15">
      <c r="C57" s="185" t="s">
        <v>760</v>
      </c>
      <c r="D57" s="185" t="s">
        <v>596</v>
      </c>
      <c r="E57" s="185" t="s">
        <v>605</v>
      </c>
      <c r="F57" s="185" t="s">
        <v>747</v>
      </c>
    </row>
    <row r="58" spans="3:6" x14ac:dyDescent="0.15">
      <c r="C58" s="185" t="s">
        <v>760</v>
      </c>
      <c r="D58" s="185" t="s">
        <v>609</v>
      </c>
      <c r="E58" s="185" t="s">
        <v>610</v>
      </c>
      <c r="F58" s="185" t="s">
        <v>747</v>
      </c>
    </row>
    <row r="59" spans="3:6" x14ac:dyDescent="0.15">
      <c r="C59" s="185" t="s">
        <v>760</v>
      </c>
      <c r="D59" s="185" t="s">
        <v>597</v>
      </c>
      <c r="E59" s="185" t="s">
        <v>603</v>
      </c>
      <c r="F59" s="185" t="s">
        <v>747</v>
      </c>
    </row>
    <row r="60" spans="3:6" x14ac:dyDescent="0.15">
      <c r="C60" s="185" t="s">
        <v>760</v>
      </c>
      <c r="D60" s="185" t="s">
        <v>593</v>
      </c>
      <c r="E60" s="185" t="s">
        <v>607</v>
      </c>
      <c r="F60" s="185" t="s">
        <v>750</v>
      </c>
    </row>
    <row r="61" spans="3:6" x14ac:dyDescent="0.15">
      <c r="C61" s="185" t="s">
        <v>760</v>
      </c>
      <c r="D61" s="185" t="s">
        <v>595</v>
      </c>
      <c r="E61" s="185" t="s">
        <v>602</v>
      </c>
      <c r="F61" s="185" t="s">
        <v>748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329</v>
      </c>
      <c r="D63" s="185" t="s">
        <v>611</v>
      </c>
      <c r="E63" s="185" t="s">
        <v>606</v>
      </c>
      <c r="F63" s="185" t="s">
        <v>747</v>
      </c>
    </row>
    <row r="64" spans="3:6" x14ac:dyDescent="0.15">
      <c r="C64" s="185" t="s">
        <v>329</v>
      </c>
      <c r="D64" s="185" t="s">
        <v>612</v>
      </c>
      <c r="E64" s="185" t="s">
        <v>604</v>
      </c>
      <c r="F64" s="185" t="s">
        <v>747</v>
      </c>
    </row>
    <row r="65" spans="3:6" x14ac:dyDescent="0.15">
      <c r="C65" s="185" t="s">
        <v>329</v>
      </c>
      <c r="D65" s="185" t="s">
        <v>756</v>
      </c>
      <c r="E65" s="185" t="s">
        <v>757</v>
      </c>
      <c r="F65" s="185" t="s">
        <v>750</v>
      </c>
    </row>
    <row r="66" spans="3:6" x14ac:dyDescent="0.15">
      <c r="C66" s="185" t="s">
        <v>760</v>
      </c>
      <c r="D66" s="185" t="s">
        <v>595</v>
      </c>
      <c r="E66" s="185" t="s">
        <v>602</v>
      </c>
      <c r="F66" s="185" t="s">
        <v>748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758</v>
      </c>
      <c r="D68" s="185" t="s">
        <v>582</v>
      </c>
      <c r="E68" s="185" t="s">
        <v>660</v>
      </c>
      <c r="F68" s="185" t="s">
        <v>747</v>
      </c>
    </row>
    <row r="69" spans="3:6" x14ac:dyDescent="0.15">
      <c r="C69" s="185" t="s">
        <v>758</v>
      </c>
      <c r="D69" s="185" t="s">
        <v>601</v>
      </c>
      <c r="E69" s="185" t="s">
        <v>704</v>
      </c>
      <c r="F69" s="185" t="s">
        <v>747</v>
      </c>
    </row>
    <row r="70" spans="3:6" x14ac:dyDescent="0.15">
      <c r="C70" s="185" t="s">
        <v>758</v>
      </c>
      <c r="D70" s="185" t="s">
        <v>583</v>
      </c>
      <c r="E70" s="185" t="s">
        <v>658</v>
      </c>
      <c r="F70" s="185" t="s">
        <v>747</v>
      </c>
    </row>
    <row r="71" spans="3:6" x14ac:dyDescent="0.15">
      <c r="C71" s="185" t="s">
        <v>758</v>
      </c>
      <c r="D71" s="185" t="s">
        <v>584</v>
      </c>
      <c r="E71" s="185" t="s">
        <v>659</v>
      </c>
      <c r="F71" s="185" t="s">
        <v>747</v>
      </c>
    </row>
    <row r="72" spans="3:6" x14ac:dyDescent="0.15">
      <c r="C72" s="185" t="s">
        <v>758</v>
      </c>
      <c r="D72" s="185" t="s">
        <v>654</v>
      </c>
      <c r="E72" s="185" t="s">
        <v>655</v>
      </c>
      <c r="F72" s="185" t="s">
        <v>750</v>
      </c>
    </row>
    <row r="73" spans="3:6" x14ac:dyDescent="0.15">
      <c r="C73" s="185" t="s">
        <v>758</v>
      </c>
      <c r="D73" s="185" t="s">
        <v>1072</v>
      </c>
      <c r="E73" s="185" t="s">
        <v>1073</v>
      </c>
      <c r="F73" s="185" t="s">
        <v>748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763</v>
      </c>
      <c r="D75" s="185" t="s">
        <v>706</v>
      </c>
      <c r="E75" s="185" t="s">
        <v>709</v>
      </c>
      <c r="F75" s="185" t="s">
        <v>747</v>
      </c>
    </row>
    <row r="76" spans="3:6" x14ac:dyDescent="0.15">
      <c r="C76" s="185" t="s">
        <v>763</v>
      </c>
      <c r="D76" s="185" t="s">
        <v>707</v>
      </c>
      <c r="E76" s="185" t="s">
        <v>708</v>
      </c>
      <c r="F76" s="185" t="s">
        <v>750</v>
      </c>
    </row>
    <row r="77" spans="3:6" x14ac:dyDescent="0.15">
      <c r="C77" s="185" t="s">
        <v>763</v>
      </c>
      <c r="D77" s="185" t="s">
        <v>705</v>
      </c>
      <c r="E77" s="185" t="s">
        <v>710</v>
      </c>
      <c r="F77" s="185" t="s">
        <v>748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761</v>
      </c>
      <c r="D79" s="185" t="s">
        <v>589</v>
      </c>
      <c r="E79" s="185" t="s">
        <v>736</v>
      </c>
      <c r="F79" s="185" t="s">
        <v>751</v>
      </c>
    </row>
    <row r="80" spans="3:6" x14ac:dyDescent="0.15">
      <c r="C80" s="185" t="s">
        <v>761</v>
      </c>
      <c r="D80" s="185" t="s">
        <v>1074</v>
      </c>
      <c r="E80" s="185" t="s">
        <v>736</v>
      </c>
      <c r="F80" s="185" t="s">
        <v>747</v>
      </c>
    </row>
    <row r="81" spans="3:6" x14ac:dyDescent="0.15">
      <c r="C81" s="185" t="s">
        <v>761</v>
      </c>
      <c r="D81" s="185" t="s">
        <v>592</v>
      </c>
      <c r="E81" s="185" t="s">
        <v>738</v>
      </c>
      <c r="F81" s="185" t="s">
        <v>750</v>
      </c>
    </row>
    <row r="82" spans="3:6" x14ac:dyDescent="0.15">
      <c r="C82" s="185" t="s">
        <v>761</v>
      </c>
      <c r="D82" s="185" t="s">
        <v>590</v>
      </c>
      <c r="E82" s="185" t="s">
        <v>737</v>
      </c>
      <c r="F82" s="185" t="s">
        <v>748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578</v>
      </c>
      <c r="E84" s="185" t="s">
        <v>657</v>
      </c>
      <c r="F84" s="185" t="s">
        <v>747</v>
      </c>
    </row>
    <row r="85" spans="3:6" x14ac:dyDescent="0.15">
      <c r="C85" s="185" t="s">
        <v>272</v>
      </c>
      <c r="D85" s="185" t="s">
        <v>579</v>
      </c>
      <c r="E85" s="185" t="s">
        <v>819</v>
      </c>
      <c r="F85" s="185" t="s">
        <v>747</v>
      </c>
    </row>
    <row r="86" spans="3:6" x14ac:dyDescent="0.15">
      <c r="C86" s="185" t="s">
        <v>272</v>
      </c>
      <c r="D86" s="185" t="s">
        <v>580</v>
      </c>
      <c r="E86" s="185" t="s">
        <v>733</v>
      </c>
      <c r="F86" s="185" t="s">
        <v>747</v>
      </c>
    </row>
    <row r="87" spans="3:6" x14ac:dyDescent="0.15">
      <c r="C87" s="185" t="s">
        <v>272</v>
      </c>
      <c r="D87" s="185" t="s">
        <v>581</v>
      </c>
      <c r="E87" s="185" t="s">
        <v>734</v>
      </c>
      <c r="F87" s="185" t="s">
        <v>750</v>
      </c>
    </row>
    <row r="88" spans="3:6" x14ac:dyDescent="0.15">
      <c r="C88" s="185" t="s">
        <v>272</v>
      </c>
      <c r="D88" s="185" t="s">
        <v>756</v>
      </c>
      <c r="E88" s="185" t="s">
        <v>757</v>
      </c>
      <c r="F88" s="185" t="s">
        <v>750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762</v>
      </c>
      <c r="D90" s="185" t="s">
        <v>585</v>
      </c>
      <c r="E90" s="185" t="s">
        <v>729</v>
      </c>
      <c r="F90" s="185" t="s">
        <v>747</v>
      </c>
    </row>
    <row r="91" spans="3:6" x14ac:dyDescent="0.15">
      <c r="C91" s="185" t="s">
        <v>762</v>
      </c>
      <c r="D91" s="185" t="s">
        <v>586</v>
      </c>
      <c r="E91" s="185" t="s">
        <v>818</v>
      </c>
      <c r="F91" s="185" t="s">
        <v>747</v>
      </c>
    </row>
    <row r="92" spans="3:6" x14ac:dyDescent="0.15">
      <c r="C92" s="185" t="s">
        <v>762</v>
      </c>
      <c r="D92" s="185" t="s">
        <v>587</v>
      </c>
      <c r="E92" s="185" t="s">
        <v>730</v>
      </c>
      <c r="F92" s="185" t="s">
        <v>747</v>
      </c>
    </row>
    <row r="93" spans="3:6" x14ac:dyDescent="0.15">
      <c r="C93" s="185" t="s">
        <v>762</v>
      </c>
      <c r="D93" s="185" t="s">
        <v>770</v>
      </c>
      <c r="E93" s="185" t="s">
        <v>771</v>
      </c>
      <c r="F93" s="185" t="s">
        <v>747</v>
      </c>
    </row>
    <row r="94" spans="3:6" x14ac:dyDescent="0.15">
      <c r="C94" s="185" t="s">
        <v>762</v>
      </c>
      <c r="D94" s="185" t="s">
        <v>772</v>
      </c>
      <c r="E94" s="185" t="s">
        <v>773</v>
      </c>
      <c r="F94" s="185" t="s">
        <v>747</v>
      </c>
    </row>
    <row r="95" spans="3:6" x14ac:dyDescent="0.15">
      <c r="C95" s="185" t="s">
        <v>762</v>
      </c>
      <c r="D95" s="185" t="s">
        <v>934</v>
      </c>
      <c r="E95" s="185" t="s">
        <v>935</v>
      </c>
      <c r="F95" s="185" t="s">
        <v>750</v>
      </c>
    </row>
    <row r="96" spans="3:6" x14ac:dyDescent="0.15">
      <c r="C96" s="185" t="s">
        <v>762</v>
      </c>
      <c r="D96" s="185" t="s">
        <v>984</v>
      </c>
      <c r="E96" s="185" t="s">
        <v>970</v>
      </c>
      <c r="F96" s="185" t="s">
        <v>750</v>
      </c>
    </row>
    <row r="97" spans="3:6" x14ac:dyDescent="0.15">
      <c r="C97" s="185" t="s">
        <v>762</v>
      </c>
      <c r="D97" s="185" t="s">
        <v>1071</v>
      </c>
      <c r="E97" s="185" t="s">
        <v>732</v>
      </c>
      <c r="F97" s="185" t="s">
        <v>748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801</v>
      </c>
      <c r="C2" s="10" t="s">
        <v>785</v>
      </c>
      <c r="D2" s="10" t="s">
        <v>786</v>
      </c>
      <c r="E2" s="34"/>
      <c r="F2" s="390" t="s">
        <v>795</v>
      </c>
      <c r="G2" s="390"/>
      <c r="H2" s="390"/>
      <c r="J2" s="390" t="s">
        <v>444</v>
      </c>
      <c r="K2" s="390"/>
      <c r="L2" s="390"/>
      <c r="M2" s="390"/>
      <c r="N2" s="390"/>
      <c r="O2" s="390"/>
    </row>
    <row r="3" spans="2:15" x14ac:dyDescent="0.15">
      <c r="E3" s="33"/>
      <c r="F3" s="14"/>
      <c r="G3" s="10" t="s">
        <v>785</v>
      </c>
      <c r="H3" s="10" t="s">
        <v>786</v>
      </c>
      <c r="K3" s="10" t="s">
        <v>785</v>
      </c>
      <c r="L3" s="10" t="s">
        <v>786</v>
      </c>
      <c r="M3" s="10"/>
      <c r="N3" s="10" t="s">
        <v>1060</v>
      </c>
      <c r="O3" s="10" t="s">
        <v>1061</v>
      </c>
    </row>
    <row r="4" spans="2:15" x14ac:dyDescent="0.15">
      <c r="B4" s="33" t="s">
        <v>800</v>
      </c>
      <c r="C4" s="9">
        <v>15000</v>
      </c>
      <c r="D4" s="9">
        <v>25000</v>
      </c>
      <c r="E4" s="33"/>
      <c r="G4" s="34"/>
      <c r="H4" s="33"/>
      <c r="J4" s="135" t="s">
        <v>445</v>
      </c>
    </row>
    <row r="5" spans="2:15" x14ac:dyDescent="0.15">
      <c r="B5" s="47" t="s">
        <v>787</v>
      </c>
      <c r="C5" s="9">
        <v>3500</v>
      </c>
      <c r="D5" s="9">
        <v>5000</v>
      </c>
      <c r="E5" s="66"/>
      <c r="F5" s="33" t="s">
        <v>776</v>
      </c>
      <c r="G5" s="9">
        <v>0</v>
      </c>
      <c r="H5" s="9">
        <f>+G8</f>
        <v>12500</v>
      </c>
      <c r="J5" s="135" t="s">
        <v>446</v>
      </c>
    </row>
    <row r="6" spans="2:15" x14ac:dyDescent="0.15">
      <c r="B6" s="33" t="s">
        <v>779</v>
      </c>
      <c r="C6" s="9">
        <f>+C4-C5</f>
        <v>11500</v>
      </c>
      <c r="D6" s="9">
        <f>+D4-D5</f>
        <v>20000</v>
      </c>
      <c r="E6" s="66"/>
      <c r="F6" s="33" t="s">
        <v>800</v>
      </c>
      <c r="G6" s="9">
        <f>+C4</f>
        <v>15000</v>
      </c>
      <c r="H6" s="9">
        <f>+D4</f>
        <v>25000</v>
      </c>
      <c r="J6" s="127" t="s">
        <v>442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1069</v>
      </c>
    </row>
    <row r="7" spans="2:15" x14ac:dyDescent="0.15">
      <c r="C7" s="9"/>
      <c r="D7" s="9"/>
      <c r="F7" s="33" t="s">
        <v>777</v>
      </c>
      <c r="G7" s="9">
        <v>2500</v>
      </c>
      <c r="H7" s="9">
        <v>9000</v>
      </c>
      <c r="J7" s="127" t="s">
        <v>447</v>
      </c>
      <c r="K7" s="9">
        <f>+G8</f>
        <v>12500</v>
      </c>
      <c r="L7" s="66">
        <f>+H8</f>
        <v>28500</v>
      </c>
      <c r="M7" s="66"/>
      <c r="N7" t="s">
        <v>795</v>
      </c>
      <c r="O7" s="33" t="s">
        <v>1064</v>
      </c>
    </row>
    <row r="8" spans="2:15" x14ac:dyDescent="0.15">
      <c r="B8" s="47" t="s">
        <v>780</v>
      </c>
      <c r="C8" s="9">
        <v>1500</v>
      </c>
      <c r="D8" s="9">
        <v>2000</v>
      </c>
      <c r="E8" s="66"/>
      <c r="F8" s="33" t="s">
        <v>778</v>
      </c>
      <c r="G8" s="9">
        <f>+G5+G6-G7</f>
        <v>12500</v>
      </c>
      <c r="H8" s="9">
        <f>+H5+H6-H7</f>
        <v>28500</v>
      </c>
      <c r="J8" s="127" t="s">
        <v>448</v>
      </c>
      <c r="K8" s="9">
        <f>+G33</f>
        <v>500</v>
      </c>
      <c r="L8" s="66">
        <f>+H30</f>
        <v>1500</v>
      </c>
      <c r="M8" s="66"/>
      <c r="N8" t="s">
        <v>448</v>
      </c>
      <c r="O8" s="33" t="s">
        <v>1065</v>
      </c>
    </row>
    <row r="9" spans="2:15" x14ac:dyDescent="0.15">
      <c r="B9" s="47" t="s">
        <v>781</v>
      </c>
      <c r="C9" s="9">
        <v>1000</v>
      </c>
      <c r="D9" s="9">
        <v>1000</v>
      </c>
      <c r="G9" s="9"/>
      <c r="H9" s="9"/>
      <c r="J9" s="135" t="s">
        <v>449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782</v>
      </c>
      <c r="C10" s="9">
        <v>2500</v>
      </c>
      <c r="D10" s="9">
        <v>2500</v>
      </c>
      <c r="F10" s="33" t="s">
        <v>1033</v>
      </c>
      <c r="G10" s="9">
        <f>+G7</f>
        <v>2500</v>
      </c>
      <c r="H10" s="9">
        <f>+H7</f>
        <v>9000</v>
      </c>
      <c r="J10" s="136" t="s">
        <v>443</v>
      </c>
    </row>
    <row r="11" spans="2:15" x14ac:dyDescent="0.15">
      <c r="B11" s="47" t="s">
        <v>783</v>
      </c>
      <c r="C11" s="9">
        <v>1500</v>
      </c>
      <c r="D11" s="9">
        <v>2500</v>
      </c>
      <c r="E11" s="66"/>
      <c r="F11" s="33" t="s">
        <v>1034</v>
      </c>
      <c r="G11" s="9">
        <f>+G8-G5</f>
        <v>12500</v>
      </c>
      <c r="H11" s="9">
        <f>+H8-H5</f>
        <v>16000</v>
      </c>
      <c r="J11" s="135" t="s">
        <v>450</v>
      </c>
    </row>
    <row r="12" spans="2:15" x14ac:dyDescent="0.15">
      <c r="B12" s="47" t="s">
        <v>1045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1068</v>
      </c>
    </row>
    <row r="13" spans="2:15" x14ac:dyDescent="0.15">
      <c r="B13" s="47" t="s">
        <v>167</v>
      </c>
      <c r="C13" s="9">
        <v>500</v>
      </c>
      <c r="D13" s="9">
        <v>500</v>
      </c>
      <c r="F13" s="390" t="s">
        <v>1046</v>
      </c>
      <c r="G13" s="390"/>
      <c r="H13" s="39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1068</v>
      </c>
    </row>
    <row r="14" spans="2:15" x14ac:dyDescent="0.15">
      <c r="B14" s="44" t="s">
        <v>784</v>
      </c>
      <c r="C14" s="66">
        <f>+C13+C12</f>
        <v>7000</v>
      </c>
      <c r="D14" s="66">
        <f>+D13+D12</f>
        <v>8500</v>
      </c>
      <c r="E14" s="9"/>
      <c r="F14" s="14"/>
      <c r="G14" s="10" t="s">
        <v>785</v>
      </c>
      <c r="H14" s="14" t="s">
        <v>786</v>
      </c>
      <c r="J14" s="135" t="s">
        <v>451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776</v>
      </c>
      <c r="G16" s="9">
        <v>0</v>
      </c>
      <c r="H16" s="66">
        <f>+G19</f>
        <v>1000</v>
      </c>
      <c r="J16" s="135" t="s">
        <v>452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788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797</v>
      </c>
      <c r="G18" s="9">
        <f>+G17*0.75</f>
        <v>3000</v>
      </c>
      <c r="H18" s="9">
        <f>+H17*0.8</f>
        <v>4800</v>
      </c>
      <c r="J18" s="135" t="s">
        <v>1028</v>
      </c>
    </row>
    <row r="19" spans="2:15" x14ac:dyDescent="0.15">
      <c r="B19" s="14" t="s">
        <v>774</v>
      </c>
      <c r="E19" s="9"/>
      <c r="F19" s="33" t="s">
        <v>778</v>
      </c>
      <c r="G19" s="9">
        <f>+G16+G17-G18</f>
        <v>1000</v>
      </c>
      <c r="H19" s="66">
        <f>+H16+H17-H18</f>
        <v>2200</v>
      </c>
      <c r="J19" s="135" t="s">
        <v>453</v>
      </c>
    </row>
    <row r="20" spans="2:15" x14ac:dyDescent="0.15">
      <c r="B20" s="136" t="s">
        <v>460</v>
      </c>
      <c r="C20" s="66">
        <f>+C15</f>
        <v>4500</v>
      </c>
      <c r="D20" s="66">
        <f>+D15</f>
        <v>11500</v>
      </c>
      <c r="E20" s="9"/>
      <c r="J20" s="127" t="s">
        <v>360</v>
      </c>
      <c r="K20" s="9">
        <f>+G19+G42</f>
        <v>2625</v>
      </c>
      <c r="L20" s="66">
        <f>+H19+H42</f>
        <v>5825</v>
      </c>
      <c r="M20" s="66"/>
      <c r="N20" s="33" t="s">
        <v>1063</v>
      </c>
      <c r="O20" s="33" t="s">
        <v>1066</v>
      </c>
    </row>
    <row r="21" spans="2:15" x14ac:dyDescent="0.15">
      <c r="E21" s="9"/>
      <c r="F21" s="33" t="s">
        <v>1036</v>
      </c>
      <c r="G21" s="66">
        <f>+G18*-1</f>
        <v>-3000</v>
      </c>
      <c r="H21" s="66">
        <f>+H18*-1</f>
        <v>-4800</v>
      </c>
      <c r="J21" s="135" t="s">
        <v>454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804</v>
      </c>
      <c r="E22" s="9"/>
      <c r="F22" s="33" t="s">
        <v>1035</v>
      </c>
      <c r="G22" s="66">
        <f>+G19-G16</f>
        <v>1000</v>
      </c>
      <c r="H22" s="66">
        <f>+H19-H16</f>
        <v>1200</v>
      </c>
      <c r="J22" s="136" t="s">
        <v>443</v>
      </c>
    </row>
    <row r="23" spans="2:15" x14ac:dyDescent="0.15">
      <c r="B23" s="127" t="s">
        <v>475</v>
      </c>
      <c r="C23" s="9">
        <f>+C13</f>
        <v>500</v>
      </c>
      <c r="D23" s="9">
        <f>+D13</f>
        <v>500</v>
      </c>
      <c r="E23" s="9"/>
      <c r="J23" s="135" t="s">
        <v>455</v>
      </c>
    </row>
    <row r="24" spans="2:15" x14ac:dyDescent="0.15">
      <c r="B24" s="127" t="s">
        <v>462</v>
      </c>
      <c r="C24" s="70">
        <f>+G11*-1</f>
        <v>-12500</v>
      </c>
      <c r="D24" s="70">
        <f>+H11*-1</f>
        <v>-16000</v>
      </c>
      <c r="F24" s="390" t="s">
        <v>448</v>
      </c>
      <c r="G24" s="390"/>
      <c r="H24" s="390"/>
      <c r="J24" s="127" t="s">
        <v>456</v>
      </c>
      <c r="K24" s="9">
        <v>0</v>
      </c>
      <c r="L24" s="9">
        <v>0</v>
      </c>
      <c r="M24" s="9"/>
      <c r="N24" t="s">
        <v>1062</v>
      </c>
      <c r="O24" s="33" t="s">
        <v>1067</v>
      </c>
    </row>
    <row r="25" spans="2:15" x14ac:dyDescent="0.15">
      <c r="B25" s="127" t="s">
        <v>463</v>
      </c>
      <c r="C25" s="9">
        <f>+G33*-1</f>
        <v>-500</v>
      </c>
      <c r="D25" s="9">
        <f>+H33*-1</f>
        <v>-1000</v>
      </c>
      <c r="E25" s="66"/>
      <c r="F25" s="14"/>
      <c r="G25" s="10" t="s">
        <v>785</v>
      </c>
      <c r="H25" s="10" t="s">
        <v>786</v>
      </c>
      <c r="J25" s="135" t="s">
        <v>457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791</v>
      </c>
      <c r="C26" s="9">
        <f>+G22</f>
        <v>1000</v>
      </c>
      <c r="D26" s="9">
        <f>+H22</f>
        <v>1200</v>
      </c>
      <c r="G26" s="34"/>
      <c r="H26" s="33"/>
      <c r="J26" s="136" t="s">
        <v>443</v>
      </c>
    </row>
    <row r="27" spans="2:15" x14ac:dyDescent="0.15">
      <c r="B27" s="127" t="s">
        <v>792</v>
      </c>
      <c r="C27" s="9">
        <f>+G45</f>
        <v>1625</v>
      </c>
      <c r="D27" s="9">
        <f>+H45</f>
        <v>2000</v>
      </c>
      <c r="F27" s="33" t="s">
        <v>776</v>
      </c>
      <c r="G27" s="9">
        <v>0</v>
      </c>
      <c r="H27" s="66">
        <f>+G30</f>
        <v>500</v>
      </c>
      <c r="J27" s="135" t="s">
        <v>1052</v>
      </c>
    </row>
    <row r="28" spans="2:15" x14ac:dyDescent="0.15">
      <c r="B28" s="136" t="s">
        <v>805</v>
      </c>
      <c r="C28" s="9">
        <f>SUM(C23:C27)</f>
        <v>-9875</v>
      </c>
      <c r="D28" s="9">
        <f>SUM(D23:D27)</f>
        <v>-13300</v>
      </c>
      <c r="F28" s="33" t="s">
        <v>788</v>
      </c>
      <c r="G28" s="9">
        <v>4000</v>
      </c>
      <c r="H28" s="66">
        <v>6000</v>
      </c>
      <c r="J28" s="127" t="s">
        <v>1030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1069</v>
      </c>
    </row>
    <row r="29" spans="2:15" x14ac:dyDescent="0.15">
      <c r="B29" s="137"/>
      <c r="F29" s="33" t="s">
        <v>798</v>
      </c>
      <c r="G29" s="9">
        <f>+C5</f>
        <v>3500</v>
      </c>
      <c r="H29" s="9">
        <f>+D5</f>
        <v>5000</v>
      </c>
      <c r="J29" s="127" t="s">
        <v>949</v>
      </c>
      <c r="L29" s="66">
        <f>+K30</f>
        <v>4500</v>
      </c>
      <c r="M29" s="66"/>
      <c r="N29" s="44" t="s">
        <v>801</v>
      </c>
      <c r="O29" s="33" t="s">
        <v>1069</v>
      </c>
    </row>
    <row r="30" spans="2:15" x14ac:dyDescent="0.15">
      <c r="B30" s="136" t="s">
        <v>1014</v>
      </c>
      <c r="C30" s="66">
        <f>+C20+C28</f>
        <v>-5375</v>
      </c>
      <c r="D30" s="66">
        <f>+D20+D28</f>
        <v>-1800</v>
      </c>
      <c r="F30" s="33" t="s">
        <v>778</v>
      </c>
      <c r="G30" s="9">
        <f>+G27+G28-G29</f>
        <v>500</v>
      </c>
      <c r="H30" s="66">
        <f>+H27+H28-H29</f>
        <v>1500</v>
      </c>
      <c r="J30" s="162" t="s">
        <v>460</v>
      </c>
      <c r="K30" s="9">
        <f>+C15</f>
        <v>4500</v>
      </c>
      <c r="L30" s="66">
        <f>+D15</f>
        <v>11500</v>
      </c>
      <c r="M30" s="66"/>
      <c r="N30" s="44" t="s">
        <v>801</v>
      </c>
      <c r="O30" s="33" t="s">
        <v>1069</v>
      </c>
    </row>
    <row r="31" spans="2:15" x14ac:dyDescent="0.15">
      <c r="J31" s="135" t="s">
        <v>1031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803</v>
      </c>
      <c r="F32" s="33" t="s">
        <v>1036</v>
      </c>
      <c r="G32" s="66">
        <v>0</v>
      </c>
      <c r="H32" s="66">
        <v>0</v>
      </c>
    </row>
    <row r="33" spans="2:14" x14ac:dyDescent="0.15">
      <c r="B33" s="136" t="s">
        <v>465</v>
      </c>
      <c r="C33" s="9">
        <f>+G57*-1</f>
        <v>-30000</v>
      </c>
      <c r="D33" s="9">
        <v>0</v>
      </c>
      <c r="F33" s="33" t="s">
        <v>1037</v>
      </c>
      <c r="G33" s="66">
        <f>+G30-G27</f>
        <v>500</v>
      </c>
      <c r="H33" s="66">
        <f>+H30-H27</f>
        <v>1000</v>
      </c>
      <c r="J33" s="135" t="s">
        <v>1032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802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796</v>
      </c>
      <c r="H36" s="10"/>
    </row>
    <row r="37" spans="2:14" x14ac:dyDescent="0.15">
      <c r="B37" s="135" t="s">
        <v>775</v>
      </c>
      <c r="C37" s="9"/>
      <c r="D37" s="9"/>
      <c r="F37" s="14"/>
      <c r="G37" s="10" t="s">
        <v>785</v>
      </c>
      <c r="H37" s="10" t="s">
        <v>786</v>
      </c>
    </row>
    <row r="38" spans="2:14" x14ac:dyDescent="0.15">
      <c r="B38" s="136" t="s">
        <v>1030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1015</v>
      </c>
      <c r="C39" s="9">
        <f>+C38</f>
        <v>50000</v>
      </c>
      <c r="D39" s="9">
        <f>+D38</f>
        <v>0</v>
      </c>
      <c r="F39" s="33" t="s">
        <v>776</v>
      </c>
      <c r="G39" s="9">
        <v>0</v>
      </c>
      <c r="H39" s="66">
        <f>+G42</f>
        <v>1625</v>
      </c>
    </row>
    <row r="40" spans="2:14" x14ac:dyDescent="0.15">
      <c r="F40" s="33" t="s">
        <v>790</v>
      </c>
      <c r="G40" s="9">
        <f>+C12</f>
        <v>6500</v>
      </c>
      <c r="H40" s="9">
        <f>+D12</f>
        <v>8000</v>
      </c>
    </row>
    <row r="41" spans="2:14" x14ac:dyDescent="0.15">
      <c r="F41" s="33" t="s">
        <v>789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466</v>
      </c>
      <c r="C42" s="9">
        <f>+C39+C35+C30</f>
        <v>14625</v>
      </c>
      <c r="D42" s="9">
        <f>+D39+D35+D30</f>
        <v>-1800</v>
      </c>
      <c r="F42" s="33" t="s">
        <v>778</v>
      </c>
      <c r="G42" s="9">
        <f>+G39+G40-G41</f>
        <v>1625</v>
      </c>
      <c r="H42" s="66">
        <f>+H39+H40-H41</f>
        <v>3625</v>
      </c>
      <c r="J42" s="14" t="s">
        <v>950</v>
      </c>
    </row>
    <row r="43" spans="2:14" x14ac:dyDescent="0.15">
      <c r="B43" s="137"/>
      <c r="C43" s="9"/>
      <c r="D43" s="9"/>
    </row>
    <row r="44" spans="2:14" x14ac:dyDescent="0.15">
      <c r="B44" s="136" t="s">
        <v>468</v>
      </c>
      <c r="C44" s="9">
        <v>0</v>
      </c>
      <c r="D44" s="9">
        <f>+C45</f>
        <v>14625</v>
      </c>
      <c r="F44" s="33" t="s">
        <v>1033</v>
      </c>
      <c r="G44" s="66">
        <f>+G41*-1</f>
        <v>-4875</v>
      </c>
      <c r="H44" s="66">
        <f>+H41*-1</f>
        <v>-6000</v>
      </c>
      <c r="J44" s="33" t="s">
        <v>951</v>
      </c>
    </row>
    <row r="45" spans="2:14" x14ac:dyDescent="0.15">
      <c r="B45" s="136" t="s">
        <v>467</v>
      </c>
      <c r="C45" s="9">
        <f>+C44+C42</f>
        <v>14625</v>
      </c>
      <c r="D45" s="9">
        <f>+D44+D42</f>
        <v>12825</v>
      </c>
      <c r="F45" s="33" t="s">
        <v>1038</v>
      </c>
      <c r="G45" s="66">
        <f>+G42-G39</f>
        <v>1625</v>
      </c>
      <c r="H45" s="66">
        <f>+H42-H39</f>
        <v>2000</v>
      </c>
      <c r="J45" s="47" t="s">
        <v>953</v>
      </c>
      <c r="K45" s="102">
        <f>+K16/K21</f>
        <v>21.761904761904763</v>
      </c>
      <c r="L45" s="102">
        <f>+L16/L21</f>
        <v>12.330472103004292</v>
      </c>
      <c r="M45" s="102"/>
      <c r="N45" s="33" t="s">
        <v>956</v>
      </c>
    </row>
    <row r="46" spans="2:14" x14ac:dyDescent="0.15">
      <c r="F46" s="33"/>
      <c r="G46" s="66"/>
      <c r="H46" s="66"/>
      <c r="J46" s="47" t="s">
        <v>954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957</v>
      </c>
    </row>
    <row r="47" spans="2:14" x14ac:dyDescent="0.15">
      <c r="F47" s="14" t="s">
        <v>799</v>
      </c>
      <c r="G47" s="389" t="s">
        <v>442</v>
      </c>
      <c r="H47" s="389"/>
      <c r="J47" s="47" t="s">
        <v>955</v>
      </c>
      <c r="N47" s="33" t="s">
        <v>958</v>
      </c>
    </row>
    <row r="48" spans="2:14" x14ac:dyDescent="0.15">
      <c r="B48" s="10" t="s">
        <v>801</v>
      </c>
      <c r="C48" s="10" t="s">
        <v>785</v>
      </c>
      <c r="D48" s="10" t="s">
        <v>786</v>
      </c>
      <c r="G48" s="10" t="s">
        <v>785</v>
      </c>
      <c r="H48" s="10" t="s">
        <v>786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959</v>
      </c>
    </row>
    <row r="50" spans="2:14" x14ac:dyDescent="0.15">
      <c r="B50" s="33" t="s">
        <v>800</v>
      </c>
      <c r="C50" s="9">
        <v>15000</v>
      </c>
      <c r="D50" s="9">
        <v>25000</v>
      </c>
      <c r="F50" s="33" t="s">
        <v>793</v>
      </c>
      <c r="G50" s="9">
        <f>+G21</f>
        <v>-3000</v>
      </c>
      <c r="H50" s="9">
        <f>+H21</f>
        <v>-4800</v>
      </c>
      <c r="J50" s="47" t="s">
        <v>960</v>
      </c>
      <c r="N50" s="33" t="s">
        <v>961</v>
      </c>
    </row>
    <row r="51" spans="2:14" x14ac:dyDescent="0.15">
      <c r="B51" s="47" t="s">
        <v>787</v>
      </c>
      <c r="C51" s="9">
        <v>3500</v>
      </c>
      <c r="D51" s="9">
        <v>5000</v>
      </c>
      <c r="F51" s="33" t="s">
        <v>448</v>
      </c>
      <c r="G51" s="9">
        <f>+G32</f>
        <v>0</v>
      </c>
      <c r="H51" s="9">
        <f>+H32</f>
        <v>0</v>
      </c>
      <c r="J51" s="47" t="s">
        <v>962</v>
      </c>
      <c r="N51" s="33" t="s">
        <v>963</v>
      </c>
    </row>
    <row r="52" spans="2:14" x14ac:dyDescent="0.15">
      <c r="B52" s="33" t="s">
        <v>779</v>
      </c>
      <c r="C52" s="9">
        <f>+C50-C51</f>
        <v>11500</v>
      </c>
      <c r="D52" s="9">
        <f>+D50-D51</f>
        <v>20000</v>
      </c>
      <c r="F52" s="33" t="s">
        <v>794</v>
      </c>
      <c r="G52" s="9">
        <f>+G44</f>
        <v>-4875</v>
      </c>
      <c r="H52" s="9">
        <f>+H44</f>
        <v>-6000</v>
      </c>
      <c r="J52" s="47" t="s">
        <v>964</v>
      </c>
      <c r="N52" s="33" t="s">
        <v>965</v>
      </c>
    </row>
    <row r="53" spans="2:14" x14ac:dyDescent="0.15">
      <c r="B53" s="47" t="s">
        <v>784</v>
      </c>
      <c r="C53" s="66">
        <f>+C14</f>
        <v>7000</v>
      </c>
      <c r="D53" s="66">
        <f>+D14</f>
        <v>8500</v>
      </c>
      <c r="F53" s="33" t="s">
        <v>1016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460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785</v>
      </c>
      <c r="H54" s="10" t="s">
        <v>786</v>
      </c>
      <c r="J54" s="33" t="s">
        <v>952</v>
      </c>
    </row>
    <row r="55" spans="2:14" x14ac:dyDescent="0.15">
      <c r="B55" s="47"/>
      <c r="C55" s="9"/>
      <c r="D55" s="9"/>
      <c r="F55" s="73"/>
      <c r="G55" s="6"/>
      <c r="H55" s="6"/>
      <c r="J55" s="47" t="s">
        <v>966</v>
      </c>
      <c r="N55" s="33" t="s">
        <v>967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968</v>
      </c>
      <c r="N56" s="33" t="s">
        <v>969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972</v>
      </c>
      <c r="J2" s="48" t="s">
        <v>975</v>
      </c>
    </row>
    <row r="4" spans="2:10" x14ac:dyDescent="0.15">
      <c r="B4" s="14" t="s">
        <v>951</v>
      </c>
    </row>
    <row r="5" spans="2:10" x14ac:dyDescent="0.15">
      <c r="B5" s="47" t="s">
        <v>953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980</v>
      </c>
    </row>
    <row r="6" spans="2:10" x14ac:dyDescent="0.15">
      <c r="B6" s="47" t="s">
        <v>982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987</v>
      </c>
    </row>
    <row r="7" spans="2:10" x14ac:dyDescent="0.15">
      <c r="C7" s="75"/>
    </row>
    <row r="8" spans="2:10" x14ac:dyDescent="0.15">
      <c r="B8" s="14" t="s">
        <v>973</v>
      </c>
      <c r="C8" s="75"/>
    </row>
    <row r="9" spans="2:10" x14ac:dyDescent="0.15">
      <c r="B9" s="47" t="s">
        <v>988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989</v>
      </c>
    </row>
    <row r="10" spans="2:10" x14ac:dyDescent="0.15">
      <c r="B10" s="47" t="s">
        <v>962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979</v>
      </c>
    </row>
    <row r="11" spans="2:10" x14ac:dyDescent="0.15">
      <c r="B11" s="47" t="s">
        <v>964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978</v>
      </c>
    </row>
    <row r="12" spans="2:10" x14ac:dyDescent="0.15">
      <c r="C12" s="75"/>
    </row>
    <row r="13" spans="2:10" x14ac:dyDescent="0.15">
      <c r="B13" s="14" t="s">
        <v>952</v>
      </c>
      <c r="C13" s="75"/>
    </row>
    <row r="14" spans="2:10" x14ac:dyDescent="0.15">
      <c r="B14" s="47" t="s">
        <v>966</v>
      </c>
      <c r="C14" s="75" t="s">
        <v>288</v>
      </c>
      <c r="D14" s="258">
        <f>D113/(D20+D28+D33)</f>
        <v>-1.0117594240602963</v>
      </c>
      <c r="E14" s="258">
        <f t="shared" ref="E14:H14" si="0">E113/(E20+E28+E33)</f>
        <v>-0.57228992153886638</v>
      </c>
      <c r="F14" s="258">
        <f t="shared" si="0"/>
        <v>-8.6554390147230417E-2</v>
      </c>
      <c r="G14" s="258">
        <f t="shared" si="0"/>
        <v>-1.1869698203348064E-2</v>
      </c>
      <c r="H14" s="258">
        <f t="shared" si="0"/>
        <v>-0.10003146315319186</v>
      </c>
      <c r="J14" s="48" t="s">
        <v>976</v>
      </c>
    </row>
    <row r="15" spans="2:10" x14ac:dyDescent="0.15">
      <c r="B15" s="47" t="s">
        <v>974</v>
      </c>
      <c r="C15" s="75" t="s">
        <v>288</v>
      </c>
      <c r="D15" s="258">
        <f ca="1">D113/(+D180/2)</f>
        <v>-7.0754524719499523</v>
      </c>
      <c r="E15" s="258">
        <f ca="1">E113/((D180+E180)/2)</f>
        <v>-6.7126854661734523</v>
      </c>
      <c r="F15" s="258">
        <f ca="1">F113/((E180+F180)/2)</f>
        <v>2.739141754657652</v>
      </c>
      <c r="G15" s="258">
        <f ca="1">G113/((F180+G180)/2)</f>
        <v>0.16203486257231711</v>
      </c>
      <c r="H15" s="258">
        <f ca="1">H113/((G180+H180)/2)</f>
        <v>0.76427510020383393</v>
      </c>
      <c r="J15" s="48" t="s">
        <v>977</v>
      </c>
    </row>
    <row r="17" spans="1:55" ht="12.75" customHeight="1" x14ac:dyDescent="0.2">
      <c r="A17" s="220"/>
      <c r="B17" s="255" t="s">
        <v>981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479</v>
      </c>
      <c r="BC19" s="65"/>
    </row>
    <row r="20" spans="1:55" s="33" customFormat="1" x14ac:dyDescent="0.15">
      <c r="B20" s="47" t="s">
        <v>479</v>
      </c>
      <c r="C20" s="70">
        <f>'FIN-P&amp;L_CWS'!D10</f>
        <v>0</v>
      </c>
      <c r="D20" s="70">
        <f>'FIN-P&amp;L_CWS'!E10</f>
        <v>129998000</v>
      </c>
      <c r="E20" s="70">
        <f>'FIN-P&amp;L_CWS'!F10</f>
        <v>253626120</v>
      </c>
      <c r="F20" s="70">
        <f>'FIN-P&amp;L_CWS'!G10</f>
        <v>560772509</v>
      </c>
      <c r="G20" s="70">
        <f>'FIN-P&amp;L_CWS'!H10</f>
        <v>607470690.20000005</v>
      </c>
      <c r="H20" s="70">
        <f>'FIN-P&amp;L_CWS'!I10</f>
        <v>588529464.5999999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106188000</v>
      </c>
      <c r="E21" s="70">
        <f>'FIN-P&amp;L_CWS'!F11</f>
        <v>185381520</v>
      </c>
      <c r="F21" s="70">
        <f>'FIN-P&amp;L_CWS'!G11</f>
        <v>352915913.99999994</v>
      </c>
      <c r="G21" s="70">
        <f>'FIN-P&amp;L_CWS'!H11</f>
        <v>360403560</v>
      </c>
      <c r="H21" s="70">
        <f>'FIN-P&amp;L_CWS'!I11</f>
        <v>386575836.61199993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330</v>
      </c>
      <c r="C22" s="70">
        <f>'FIN-P&amp;L_CWS'!D12</f>
        <v>0</v>
      </c>
      <c r="D22" s="70">
        <f>'FIN-P&amp;L_CWS'!E12</f>
        <v>23810000</v>
      </c>
      <c r="E22" s="70">
        <f>'FIN-P&amp;L_CWS'!F12</f>
        <v>68244600</v>
      </c>
      <c r="F22" s="70">
        <f>'FIN-P&amp;L_CWS'!G12</f>
        <v>207856595</v>
      </c>
      <c r="G22" s="70">
        <f>'FIN-P&amp;L_CWS'!H12</f>
        <v>247067130.20000002</v>
      </c>
      <c r="H22" s="70">
        <f>'FIN-P&amp;L_CWS'!I12</f>
        <v>201953627.98800004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0.18315666394867613</v>
      </c>
      <c r="E23" s="46">
        <f>'FIN-P&amp;L_CWS'!F13</f>
        <v>0.26907559836502642</v>
      </c>
      <c r="F23" s="46">
        <f>'FIN-P&amp;L_CWS'!G13</f>
        <v>0.37066117126651088</v>
      </c>
      <c r="G23" s="46">
        <f>'FIN-P&amp;L_CWS'!H13</f>
        <v>0.40671448711156272</v>
      </c>
      <c r="H23" s="46">
        <f>'FIN-P&amp;L_CWS'!I13</f>
        <v>0.34314956197691798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349</v>
      </c>
      <c r="BC25" s="65"/>
    </row>
    <row r="26" spans="1:55" s="33" customFormat="1" x14ac:dyDescent="0.15">
      <c r="B26" s="47" t="s">
        <v>349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353</v>
      </c>
      <c r="C31" s="70">
        <f>'FIN-P&amp;L_CWS'!D21</f>
        <v>0</v>
      </c>
      <c r="D31" s="70">
        <f>'FIN-P&amp;L_CWS'!E21</f>
        <v>5687500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355</v>
      </c>
      <c r="C33" s="70">
        <f>'FIN-P&amp;L_CWS'!D23</f>
        <v>0</v>
      </c>
      <c r="D33" s="70">
        <f>'FIN-P&amp;L_CWS'!E23</f>
        <v>5687500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356</v>
      </c>
      <c r="C35" s="70">
        <f>'FIN-P&amp;L_CWS'!D25</f>
        <v>0</v>
      </c>
      <c r="D35" s="70">
        <f>'FIN-P&amp;L_CWS'!E25</f>
        <v>29497500</v>
      </c>
      <c r="E35" s="70">
        <f>'FIN-P&amp;L_CWS'!F25</f>
        <v>82780550</v>
      </c>
      <c r="F35" s="70">
        <f>'FIN-P&amp;L_CWS'!G25</f>
        <v>239596085.25</v>
      </c>
      <c r="G35" s="70">
        <f>'FIN-P&amp;L_CWS'!H25</f>
        <v>298623064.85500008</v>
      </c>
      <c r="H35" s="70">
        <f>'FIN-P&amp;L_CWS'!I25</f>
        <v>258763527.06140006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476</v>
      </c>
    </row>
    <row r="38" spans="1:55" x14ac:dyDescent="0.15">
      <c r="B38" s="44"/>
    </row>
    <row r="39" spans="1:55" s="50" customFormat="1" x14ac:dyDescent="0.15">
      <c r="A39" s="74"/>
      <c r="B39" s="128" t="s">
        <v>392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393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419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439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440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408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409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410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412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413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480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374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500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380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484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485</v>
      </c>
      <c r="BC69" s="167"/>
    </row>
    <row r="70" spans="1:55" x14ac:dyDescent="0.15">
      <c r="B70" s="47" t="s">
        <v>381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481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486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482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985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460</v>
      </c>
      <c r="C113" s="70">
        <f>'FIN-P&amp;L_CWS'!D103</f>
        <v>0</v>
      </c>
      <c r="D113" s="70">
        <f>'FIN-P&amp;L_CWS'!E103</f>
        <v>-137281083.33333334</v>
      </c>
      <c r="E113" s="70">
        <f>'FIN-P&amp;L_CWS'!F103</f>
        <v>-153466450</v>
      </c>
      <c r="F113" s="70">
        <f>'FIN-P&amp;L_CWS'!G103</f>
        <v>-51284514.749999993</v>
      </c>
      <c r="G113" s="70">
        <f>'FIN-P&amp;L_CWS'!H103</f>
        <v>-7822447.1449999325</v>
      </c>
      <c r="H113" s="70">
        <f>'FIN-P&amp;L_CWS'!I103</f>
        <v>-64554240.778599992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983</v>
      </c>
      <c r="C114" s="70">
        <f>'FIN-P&amp;L_CWS'!D104</f>
        <v>0</v>
      </c>
      <c r="D114" s="70">
        <f>'FIN-P&amp;L_CWS'!E104</f>
        <v>-137281083.33333334</v>
      </c>
      <c r="E114" s="70">
        <f>'FIN-P&amp;L_CWS'!F104</f>
        <v>-290747533.33333337</v>
      </c>
      <c r="F114" s="70">
        <f>'FIN-P&amp;L_CWS'!G104</f>
        <v>-342032048.08333337</v>
      </c>
      <c r="G114" s="70">
        <f>'FIN-P&amp;L_CWS'!H104</f>
        <v>-349854495.22833329</v>
      </c>
      <c r="H114" s="70">
        <f>'FIN-P&amp;L_CWS'!I104</f>
        <v>-414408736.00693327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820</v>
      </c>
    </row>
    <row r="118" spans="2:54" x14ac:dyDescent="0.15">
      <c r="B118" s="136" t="s">
        <v>443</v>
      </c>
    </row>
    <row r="119" spans="2:54" x14ac:dyDescent="0.15">
      <c r="B119" s="135" t="s">
        <v>821</v>
      </c>
    </row>
    <row r="120" spans="2:54" x14ac:dyDescent="0.15">
      <c r="B120" s="136" t="s">
        <v>460</v>
      </c>
      <c r="C120" s="121">
        <f>'FIN-CASHFLOW_CWS'!C5</f>
        <v>0</v>
      </c>
      <c r="D120" s="121">
        <f>'FIN-CASHFLOW_CWS'!D5</f>
        <v>-137281083.33333334</v>
      </c>
      <c r="E120" s="121">
        <f>'FIN-CASHFLOW_CWS'!E5</f>
        <v>-153466450</v>
      </c>
      <c r="F120" s="121">
        <f>'FIN-CASHFLOW_CWS'!F5</f>
        <v>-51284514.749999993</v>
      </c>
      <c r="G120" s="121">
        <f>'FIN-CASHFLOW_CWS'!G5</f>
        <v>-7822447.1449999325</v>
      </c>
      <c r="H120" s="121">
        <f>'FIN-CASHFLOW_CWS'!H5</f>
        <v>-64554240.778599992</v>
      </c>
      <c r="I120" s="121"/>
    </row>
    <row r="121" spans="2:54" x14ac:dyDescent="0.15">
      <c r="B121" s="136" t="s">
        <v>443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971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475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462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463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464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805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823</v>
      </c>
      <c r="C130" s="121">
        <f>'FIN-CASHFLOW_CWS'!C15</f>
        <v>0</v>
      </c>
      <c r="D130" s="121">
        <f>'FIN-CASHFLOW_CWS'!D15</f>
        <v>-135692500</v>
      </c>
      <c r="E130" s="121">
        <f>'FIN-CASHFLOW_CWS'!E15</f>
        <v>-151339450</v>
      </c>
      <c r="F130" s="121">
        <f>'FIN-CASHFLOW_CWS'!F15</f>
        <v>-49157514.749999993</v>
      </c>
      <c r="G130" s="121">
        <f>'FIN-CASHFLOW_CWS'!G15</f>
        <v>-5695447.1449999325</v>
      </c>
      <c r="H130" s="121">
        <f>'FIN-CASHFLOW_CWS'!H15</f>
        <v>-62427240.778599992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824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465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825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826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458</v>
      </c>
      <c r="C138" s="121">
        <f ca="1">'FIN-CASHFLOW_CWS'!C23</f>
        <v>76160000</v>
      </c>
      <c r="D138" s="121">
        <f ca="1">'FIN-CASHFLOW_CWS'!D23</f>
        <v>99925975</v>
      </c>
      <c r="E138" s="121">
        <f ca="1">'FIN-CASHFLOW_CWS'!E23</f>
        <v>121580975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466</v>
      </c>
      <c r="C140" s="121">
        <f ca="1">'FIN-CASHFLOW_CWS'!C25</f>
        <v>76160000</v>
      </c>
      <c r="D140" s="121">
        <f ca="1">'FIN-CASHFLOW_CWS'!D25</f>
        <v>-46401525</v>
      </c>
      <c r="E140" s="121">
        <f ca="1">'FIN-CASHFLOW_CWS'!E25</f>
        <v>-29758475</v>
      </c>
      <c r="F140" s="121">
        <f ca="1">'FIN-CASHFLOW_CWS'!F25</f>
        <v>-49157514.749999993</v>
      </c>
      <c r="G140" s="121">
        <f ca="1">'FIN-CASHFLOW_CWS'!G25</f>
        <v>-5695447.1449999325</v>
      </c>
      <c r="H140" s="121">
        <f ca="1">'FIN-CASHFLOW_CWS'!H25</f>
        <v>-62427240.778599992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468</v>
      </c>
      <c r="C142" s="121">
        <f>'FIN-CASHFLOW_CWS'!C27</f>
        <v>0</v>
      </c>
      <c r="D142" s="121">
        <f ca="1">'FIN-CASHFLOW_CWS'!D27</f>
        <v>76160000</v>
      </c>
      <c r="E142" s="121">
        <f ca="1">'FIN-CASHFLOW_CWS'!E27</f>
        <v>29758475</v>
      </c>
      <c r="F142" s="121">
        <f ca="1">'FIN-CASHFLOW_CWS'!F27</f>
        <v>0</v>
      </c>
      <c r="G142" s="121">
        <f ca="1">'FIN-CASHFLOW_CWS'!G27</f>
        <v>-49157514.749999993</v>
      </c>
      <c r="H142" s="121">
        <f ca="1">'FIN-CASHFLOW_CWS'!H27</f>
        <v>-54852961.894999921</v>
      </c>
      <c r="I142" s="121"/>
    </row>
    <row r="143" spans="2:9" x14ac:dyDescent="0.15">
      <c r="B143" s="136" t="s">
        <v>467</v>
      </c>
      <c r="C143" s="121">
        <f ca="1">'FIN-CASHFLOW_CWS'!C28</f>
        <v>76160000</v>
      </c>
      <c r="D143" s="121">
        <f ca="1">'FIN-CASHFLOW_CWS'!D28</f>
        <v>29758475</v>
      </c>
      <c r="E143" s="121">
        <f ca="1">'FIN-CASHFLOW_CWS'!E28</f>
        <v>0</v>
      </c>
      <c r="F143" s="121">
        <f ca="1">'FIN-CASHFLOW_CWS'!F28</f>
        <v>-49157514.749999993</v>
      </c>
      <c r="G143" s="121">
        <f ca="1">'FIN-CASHFLOW_CWS'!G28</f>
        <v>-54852961.894999921</v>
      </c>
      <c r="H143" s="121">
        <f ca="1">'FIN-CASHFLOW_CWS'!H28</f>
        <v>-117280202.67359991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444</v>
      </c>
    </row>
    <row r="146" spans="2:9" x14ac:dyDescent="0.15">
      <c r="B146" s="134"/>
    </row>
    <row r="147" spans="2:9" x14ac:dyDescent="0.15">
      <c r="B147" s="135" t="s">
        <v>445</v>
      </c>
    </row>
    <row r="148" spans="2:9" x14ac:dyDescent="0.15">
      <c r="B148" s="135"/>
    </row>
    <row r="149" spans="2:9" x14ac:dyDescent="0.15">
      <c r="B149" s="135" t="s">
        <v>446</v>
      </c>
    </row>
    <row r="150" spans="2:9" x14ac:dyDescent="0.15">
      <c r="B150" s="136" t="s">
        <v>442</v>
      </c>
      <c r="C150" s="121">
        <f ca="1">'FIN-BALANCE_CWS'!D7</f>
        <v>76160000</v>
      </c>
      <c r="D150" s="121">
        <f ca="1">'FIN-BALANCE_CWS'!E7</f>
        <v>29758475</v>
      </c>
      <c r="E150" s="121">
        <f ca="1">'FIN-BALANCE_CWS'!F7</f>
        <v>0</v>
      </c>
      <c r="F150" s="121">
        <f ca="1">'FIN-BALANCE_CWS'!G7</f>
        <v>-49157514.749999993</v>
      </c>
      <c r="G150" s="121">
        <f ca="1">'FIN-BALANCE_CWS'!H7</f>
        <v>-54852961.894999929</v>
      </c>
      <c r="H150" s="121">
        <f ca="1">'FIN-BALANCE_CWS'!I7</f>
        <v>-117280202.67359987</v>
      </c>
      <c r="I150" s="121"/>
    </row>
    <row r="151" spans="2:9" x14ac:dyDescent="0.15">
      <c r="B151" s="136" t="s">
        <v>447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448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449</v>
      </c>
      <c r="C153" s="121">
        <f ca="1">'FIN-BALANCE_CWS'!D10</f>
        <v>76160000</v>
      </c>
      <c r="D153" s="121">
        <f ca="1">'FIN-BALANCE_CWS'!E10</f>
        <v>29758475</v>
      </c>
      <c r="E153" s="121">
        <f ca="1">'FIN-BALANCE_CWS'!F10</f>
        <v>0</v>
      </c>
      <c r="F153" s="121">
        <f ca="1">'FIN-BALANCE_CWS'!G10</f>
        <v>-49157514.749999993</v>
      </c>
      <c r="G153" s="121">
        <f ca="1">'FIN-BALANCE_CWS'!H10</f>
        <v>-54852961.894999929</v>
      </c>
      <c r="H153" s="121">
        <f ca="1">'FIN-BALANCE_CWS'!I10</f>
        <v>-117280202.67359987</v>
      </c>
      <c r="I153" s="121"/>
    </row>
    <row r="154" spans="2:9" x14ac:dyDescent="0.15">
      <c r="B154" s="136" t="s">
        <v>443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451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452</v>
      </c>
      <c r="C160" s="121">
        <f ca="1">'FIN-BALANCE_CWS'!D17</f>
        <v>76160000</v>
      </c>
      <c r="D160" s="121">
        <f ca="1">'FIN-BALANCE_CWS'!E17</f>
        <v>38804891.666666664</v>
      </c>
      <c r="E160" s="121">
        <f ca="1">'FIN-BALANCE_CWS'!F17</f>
        <v>6919416.666666667</v>
      </c>
      <c r="F160" s="121">
        <f ca="1">'FIN-BALANCE_CWS'!G17</f>
        <v>-44365098.083333328</v>
      </c>
      <c r="G160" s="121">
        <f ca="1">'FIN-BALANCE_CWS'!H17</f>
        <v>-52187545.228333265</v>
      </c>
      <c r="H160" s="121">
        <f ca="1">'FIN-BALANCE_CWS'!I17</f>
        <v>-116741786.0069332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1028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360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454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457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1029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1030</v>
      </c>
      <c r="C177" s="121">
        <f ca="1">'FIN-BALANCE_CWS'!D34</f>
        <v>76160000</v>
      </c>
      <c r="D177" s="121">
        <f ca="1">'FIN-BALANCE_CWS'!E34</f>
        <v>176085975</v>
      </c>
      <c r="E177" s="121">
        <f ca="1">'FIN-BALANCE_CWS'!F34</f>
        <v>297666950</v>
      </c>
      <c r="F177" s="121">
        <f ca="1">'FIN-BALANCE_CWS'!G34</f>
        <v>297666950</v>
      </c>
      <c r="G177" s="121">
        <f ca="1">'FIN-BALANCE_CWS'!H34</f>
        <v>297666950</v>
      </c>
      <c r="H177" s="121">
        <f ca="1">'FIN-BALANCE_CWS'!I34</f>
        <v>297666950</v>
      </c>
      <c r="I177" s="121"/>
    </row>
    <row r="178" spans="2:9" x14ac:dyDescent="0.15">
      <c r="B178" s="136" t="s">
        <v>459</v>
      </c>
      <c r="C178" s="121">
        <f>'FIN-BALANCE_CWS'!D35</f>
        <v>0</v>
      </c>
      <c r="D178" s="121">
        <f>'FIN-BALANCE_CWS'!E35</f>
        <v>-122916333.33333334</v>
      </c>
      <c r="E178" s="121">
        <f>'FIN-BALANCE_CWS'!F35</f>
        <v>-276280433.33333337</v>
      </c>
      <c r="F178" s="121">
        <f>'FIN-BALANCE_CWS'!G35</f>
        <v>-332163355.33333337</v>
      </c>
      <c r="G178" s="121">
        <f>'FIN-BALANCE_CWS'!H35</f>
        <v>-342234630.61533332</v>
      </c>
      <c r="H178" s="121">
        <f>'FIN-BALANCE_CWS'!I35</f>
        <v>-403000235.60695821</v>
      </c>
      <c r="I178" s="121"/>
    </row>
    <row r="179" spans="2:9" x14ac:dyDescent="0.15">
      <c r="B179" s="137" t="s">
        <v>460</v>
      </c>
      <c r="C179" s="121">
        <f>'FIN-BALANCE_CWS'!D36</f>
        <v>0</v>
      </c>
      <c r="D179" s="121">
        <f>'FIN-BALANCE_CWS'!E36</f>
        <v>-14364750</v>
      </c>
      <c r="E179" s="121">
        <f>'FIN-BALANCE_CWS'!F36</f>
        <v>-14467100</v>
      </c>
      <c r="F179" s="121">
        <f>'FIN-BALANCE_CWS'!G36</f>
        <v>-9868692.7499999981</v>
      </c>
      <c r="G179" s="121">
        <f>'FIN-BALANCE_CWS'!H36</f>
        <v>-7619864.612999998</v>
      </c>
      <c r="H179" s="121">
        <f>'FIN-BALANCE_CWS'!I36</f>
        <v>-11408500.399974998</v>
      </c>
      <c r="I179" s="121"/>
    </row>
    <row r="180" spans="2:9" x14ac:dyDescent="0.15">
      <c r="B180" s="135" t="s">
        <v>1031</v>
      </c>
      <c r="C180" s="121">
        <f ca="1">'FIN-BALANCE_CWS'!D37</f>
        <v>76160000</v>
      </c>
      <c r="D180" s="121">
        <f ca="1">'FIN-BALANCE_CWS'!E37</f>
        <v>38804891.666666657</v>
      </c>
      <c r="E180" s="121">
        <f ca="1">'FIN-BALANCE_CWS'!F37</f>
        <v>6919416.6666666269</v>
      </c>
      <c r="F180" s="121">
        <f ca="1">'FIN-BALANCE_CWS'!G37</f>
        <v>-44365098.083333373</v>
      </c>
      <c r="G180" s="121">
        <f ca="1">'FIN-BALANCE_CWS'!H37</f>
        <v>-52187545.228333317</v>
      </c>
      <c r="H180" s="121">
        <f ca="1">'FIN-BALANCE_CWS'!I37</f>
        <v>-116741786.00693321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1032</v>
      </c>
      <c r="C182" s="121">
        <f ca="1">'FIN-BALANCE_CWS'!D39</f>
        <v>76160000</v>
      </c>
      <c r="D182" s="121">
        <f ca="1">'FIN-BALANCE_CWS'!E39</f>
        <v>38804891.666666657</v>
      </c>
      <c r="E182" s="121">
        <f ca="1">'FIN-BALANCE_CWS'!F39</f>
        <v>6919416.6666666269</v>
      </c>
      <c r="F182" s="121">
        <f ca="1">'FIN-BALANCE_CWS'!G39</f>
        <v>-44365098.083333373</v>
      </c>
      <c r="G182" s="121">
        <f ca="1">'FIN-BALANCE_CWS'!H39</f>
        <v>-52187545.228333317</v>
      </c>
      <c r="H182" s="121">
        <f ca="1">'FIN-BALANCE_CWS'!I39</f>
        <v>-116741786.00693321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1039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943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1040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813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1081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568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1051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522</v>
      </c>
      <c r="C12" s="233"/>
      <c r="H12" s="233"/>
      <c r="N12" s="233"/>
      <c r="S12" s="233"/>
      <c r="V12" s="233"/>
    </row>
    <row r="13" spans="1:37" x14ac:dyDescent="0.15">
      <c r="B13" s="47" t="s">
        <v>569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1041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811</v>
      </c>
      <c r="C17" s="233"/>
      <c r="H17" s="233"/>
      <c r="N17" s="233"/>
      <c r="S17" s="233"/>
      <c r="V17" s="233"/>
    </row>
    <row r="18" spans="2:23" x14ac:dyDescent="0.15">
      <c r="B18" s="16" t="s">
        <v>814</v>
      </c>
      <c r="C18" s="233"/>
      <c r="H18" s="233"/>
      <c r="N18" s="233"/>
      <c r="S18" s="233"/>
      <c r="V18" s="233"/>
    </row>
    <row r="19" spans="2:23" x14ac:dyDescent="0.15">
      <c r="B19" s="16" t="s">
        <v>812</v>
      </c>
      <c r="C19" s="233"/>
      <c r="H19" s="233"/>
      <c r="N19" s="233"/>
      <c r="S19" s="233"/>
      <c r="V19" s="233"/>
    </row>
    <row r="20" spans="2:23" x14ac:dyDescent="0.15">
      <c r="B20" s="47" t="s">
        <v>536</v>
      </c>
      <c r="C20" s="233"/>
      <c r="H20" s="233"/>
      <c r="N20" s="233"/>
      <c r="S20" s="233"/>
      <c r="V20" s="233"/>
    </row>
    <row r="21" spans="2:23" x14ac:dyDescent="0.15">
      <c r="B21" s="47" t="s">
        <v>806</v>
      </c>
      <c r="C21" s="233"/>
      <c r="H21" s="233"/>
      <c r="N21" s="233"/>
      <c r="S21" s="233"/>
      <c r="V21" s="233"/>
    </row>
    <row r="22" spans="2:23" x14ac:dyDescent="0.15">
      <c r="B22" s="47" t="s">
        <v>807</v>
      </c>
      <c r="C22" s="233"/>
      <c r="H22" s="233"/>
      <c r="N22" s="233"/>
      <c r="S22" s="233"/>
      <c r="V22" s="233"/>
    </row>
    <row r="23" spans="2:23" x14ac:dyDescent="0.15">
      <c r="B23" s="47" t="s">
        <v>808</v>
      </c>
      <c r="C23" s="233"/>
      <c r="H23" s="233"/>
      <c r="N23" s="233"/>
      <c r="S23" s="233"/>
      <c r="V23" s="233"/>
    </row>
    <row r="24" spans="2:23" x14ac:dyDescent="0.15">
      <c r="B24" s="47" t="s">
        <v>809</v>
      </c>
      <c r="C24" s="233"/>
      <c r="H24" s="233"/>
      <c r="N24" s="233"/>
      <c r="S24" s="233"/>
      <c r="V24" s="233"/>
    </row>
    <row r="25" spans="2:23" x14ac:dyDescent="0.15">
      <c r="B25" s="47" t="s">
        <v>810</v>
      </c>
      <c r="C25" s="233"/>
      <c r="H25" s="233"/>
      <c r="N25" s="233"/>
      <c r="S25" s="233"/>
      <c r="V25" s="233"/>
    </row>
    <row r="26" spans="2:23" ht="18" x14ac:dyDescent="0.2">
      <c r="B26" s="14" t="s">
        <v>815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560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519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520</v>
      </c>
      <c r="C29" s="233"/>
      <c r="H29" s="233"/>
      <c r="N29" s="233"/>
      <c r="S29" s="232"/>
      <c r="V29" s="233"/>
    </row>
    <row r="30" spans="2:23" x14ac:dyDescent="0.15">
      <c r="B30" s="47" t="s">
        <v>521</v>
      </c>
      <c r="C30" s="233"/>
      <c r="H30" s="233"/>
      <c r="N30" s="233"/>
      <c r="S30" s="232"/>
      <c r="V30" s="233"/>
    </row>
    <row r="31" spans="2:23" x14ac:dyDescent="0.15">
      <c r="B31" s="14" t="s">
        <v>816</v>
      </c>
      <c r="C31" s="233"/>
      <c r="H31" s="233"/>
      <c r="N31" s="233"/>
      <c r="S31" s="232"/>
      <c r="V31" s="233"/>
    </row>
    <row r="32" spans="2:23" x14ac:dyDescent="0.15">
      <c r="B32" s="47" t="s">
        <v>545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691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692</v>
      </c>
      <c r="C34" s="233"/>
      <c r="H34" s="233"/>
      <c r="N34" s="233"/>
      <c r="S34" s="232"/>
      <c r="V34" s="233"/>
    </row>
    <row r="35" spans="2:22" x14ac:dyDescent="0.15">
      <c r="B35" s="47" t="s">
        <v>693</v>
      </c>
      <c r="C35" s="233"/>
      <c r="H35" s="233"/>
      <c r="N35" s="233"/>
      <c r="S35" s="233"/>
      <c r="V35" s="232"/>
    </row>
    <row r="36" spans="2:22" x14ac:dyDescent="0.15">
      <c r="B36" s="47" t="s">
        <v>694</v>
      </c>
      <c r="C36" s="233"/>
      <c r="H36" s="233"/>
      <c r="N36" s="233"/>
      <c r="S36" s="233"/>
      <c r="V36" s="232"/>
    </row>
    <row r="37" spans="2:22" x14ac:dyDescent="0.15">
      <c r="B37" s="16" t="s">
        <v>817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530</v>
      </c>
      <c r="C39" s="232"/>
      <c r="H39" s="233"/>
      <c r="N39" s="233"/>
      <c r="S39" s="233"/>
      <c r="V39" s="233"/>
    </row>
    <row r="40" spans="2:22" x14ac:dyDescent="0.15">
      <c r="B40" s="106" t="s">
        <v>326</v>
      </c>
      <c r="C40" s="232"/>
      <c r="H40" s="233"/>
      <c r="N40" s="233"/>
      <c r="S40" s="233"/>
      <c r="V40" s="233"/>
    </row>
    <row r="41" spans="2:22" x14ac:dyDescent="0.15">
      <c r="B41" s="106" t="s">
        <v>327</v>
      </c>
      <c r="C41" s="232"/>
      <c r="H41" s="233"/>
      <c r="N41" s="233"/>
      <c r="S41" s="233"/>
      <c r="V41" s="233"/>
    </row>
    <row r="42" spans="2:22" x14ac:dyDescent="0.15">
      <c r="B42" s="106" t="s">
        <v>543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531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542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728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567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562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557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532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533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534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535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540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557</v>
      </c>
      <c r="C61" s="233"/>
      <c r="H61" s="233"/>
      <c r="N61" s="233"/>
      <c r="S61" s="233"/>
      <c r="V61" s="233"/>
    </row>
    <row r="62" spans="2:22" x14ac:dyDescent="0.15">
      <c r="B62" s="106" t="s">
        <v>537</v>
      </c>
      <c r="C62" s="233"/>
      <c r="H62" s="233"/>
      <c r="N62" s="233"/>
      <c r="S62" s="233"/>
      <c r="V62" s="233"/>
    </row>
    <row r="63" spans="2:22" x14ac:dyDescent="0.15">
      <c r="B63" s="106" t="s">
        <v>523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541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557</v>
      </c>
      <c r="C66" s="233"/>
      <c r="H66" s="233"/>
      <c r="N66" s="233"/>
      <c r="S66" s="233"/>
      <c r="V66" s="233"/>
    </row>
    <row r="67" spans="2:22" x14ac:dyDescent="0.15">
      <c r="B67" s="106" t="s">
        <v>537</v>
      </c>
      <c r="C67" s="233"/>
      <c r="H67" s="233"/>
      <c r="N67" s="233"/>
      <c r="S67" s="233"/>
      <c r="V67" s="233"/>
    </row>
    <row r="68" spans="2:22" x14ac:dyDescent="0.15">
      <c r="B68" s="106" t="s">
        <v>523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538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511</v>
      </c>
      <c r="C72" s="233"/>
      <c r="H72" s="233"/>
      <c r="N72" s="233"/>
      <c r="S72" s="233"/>
      <c r="V72" s="233"/>
    </row>
    <row r="73" spans="2:22" x14ac:dyDescent="0.15">
      <c r="B73" s="47" t="s">
        <v>539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1086</v>
      </c>
      <c r="C76" s="233"/>
      <c r="H76" s="233"/>
      <c r="N76" s="233"/>
      <c r="S76" s="233"/>
      <c r="V76" s="233"/>
    </row>
    <row r="77" spans="2:22" x14ac:dyDescent="0.15">
      <c r="B77" s="47" t="s">
        <v>1087</v>
      </c>
      <c r="C77" s="233"/>
      <c r="H77" s="233"/>
      <c r="N77" s="233"/>
      <c r="S77" s="233"/>
      <c r="V77" s="233"/>
    </row>
    <row r="78" spans="2:22" x14ac:dyDescent="0.15">
      <c r="B78" s="16" t="s">
        <v>397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530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724</v>
      </c>
      <c r="C82" s="233"/>
      <c r="H82" s="233"/>
      <c r="N82" s="233"/>
      <c r="S82" s="233"/>
      <c r="V82" s="233"/>
    </row>
    <row r="83" spans="2:22" x14ac:dyDescent="0.15">
      <c r="B83" s="106" t="s">
        <v>510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507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508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509</v>
      </c>
      <c r="C86" s="233"/>
      <c r="H86" s="233"/>
      <c r="N86" s="233"/>
      <c r="S86" s="233"/>
      <c r="V86" s="233"/>
    </row>
    <row r="87" spans="2:22" x14ac:dyDescent="0.15">
      <c r="B87" s="106" t="s">
        <v>517</v>
      </c>
      <c r="C87" s="233"/>
      <c r="H87" s="233"/>
      <c r="N87" s="233"/>
      <c r="S87" s="233"/>
      <c r="V87" s="233"/>
    </row>
    <row r="88" spans="2:22" x14ac:dyDescent="0.15">
      <c r="B88" s="106" t="s">
        <v>518</v>
      </c>
      <c r="C88" s="233"/>
      <c r="H88" s="233"/>
      <c r="N88" s="233"/>
      <c r="S88" s="233"/>
      <c r="V88" s="233"/>
    </row>
    <row r="89" spans="2:22" x14ac:dyDescent="0.15">
      <c r="B89" s="106" t="s">
        <v>414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415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725</v>
      </c>
      <c r="C92" s="233"/>
      <c r="H92" s="233"/>
      <c r="N92" s="233"/>
      <c r="S92" s="233"/>
      <c r="V92" s="233"/>
    </row>
    <row r="93" spans="2:22" x14ac:dyDescent="0.15">
      <c r="B93" s="106" t="s">
        <v>510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507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508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509</v>
      </c>
      <c r="C96" s="233"/>
      <c r="H96" s="233"/>
      <c r="N96" s="233"/>
      <c r="S96" s="233"/>
      <c r="V96" s="233"/>
    </row>
    <row r="97" spans="2:22" x14ac:dyDescent="0.15">
      <c r="B97" s="106" t="s">
        <v>517</v>
      </c>
      <c r="C97" s="233"/>
      <c r="H97" s="233"/>
      <c r="N97" s="233"/>
      <c r="S97" s="233"/>
      <c r="V97" s="233"/>
    </row>
    <row r="98" spans="2:22" x14ac:dyDescent="0.15">
      <c r="B98" s="106" t="s">
        <v>518</v>
      </c>
      <c r="C98" s="233"/>
      <c r="H98" s="233"/>
      <c r="N98" s="233"/>
      <c r="S98" s="233"/>
      <c r="V98" s="233"/>
    </row>
    <row r="99" spans="2:22" x14ac:dyDescent="0.15">
      <c r="B99" s="106" t="s">
        <v>563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559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544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564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420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565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550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558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512</v>
      </c>
      <c r="C116" s="233"/>
      <c r="H116" s="233"/>
      <c r="N116" s="233"/>
      <c r="S116" s="233"/>
      <c r="V116" s="233"/>
    </row>
    <row r="117" spans="2:25" x14ac:dyDescent="0.15">
      <c r="B117" s="47" t="s">
        <v>513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566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375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549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550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515</v>
      </c>
      <c r="C124" s="233"/>
      <c r="H124" s="233"/>
      <c r="N124" s="233"/>
      <c r="S124" s="233"/>
      <c r="V124" s="233"/>
    </row>
    <row r="125" spans="2:25" x14ac:dyDescent="0.15">
      <c r="B125" s="47" t="s">
        <v>560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519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520</v>
      </c>
      <c r="C127" s="233"/>
      <c r="H127" s="233"/>
      <c r="N127" s="233"/>
      <c r="S127" s="232"/>
      <c r="V127" s="233"/>
    </row>
    <row r="128" spans="2:25" x14ac:dyDescent="0.15">
      <c r="B128" s="47" t="s">
        <v>521</v>
      </c>
      <c r="C128" s="233"/>
      <c r="H128" s="233"/>
      <c r="N128" s="233"/>
      <c r="S128" s="232"/>
      <c r="V128" s="233"/>
    </row>
    <row r="129" spans="2:22" x14ac:dyDescent="0.15">
      <c r="B129" s="47" t="s">
        <v>545</v>
      </c>
      <c r="C129" s="233"/>
      <c r="H129" s="233"/>
      <c r="N129" s="233"/>
      <c r="S129" s="233"/>
      <c r="V129" s="233"/>
    </row>
    <row r="130" spans="2:22" x14ac:dyDescent="0.15">
      <c r="B130" s="47" t="s">
        <v>691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692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693</v>
      </c>
      <c r="C132" s="233"/>
      <c r="H132" s="233"/>
      <c r="N132" s="233"/>
      <c r="S132" s="232"/>
      <c r="V132" s="233"/>
    </row>
    <row r="133" spans="2:22" x14ac:dyDescent="0.15">
      <c r="B133" s="47" t="s">
        <v>694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548</v>
      </c>
      <c r="C136" s="233"/>
      <c r="H136" s="233"/>
      <c r="N136" s="233"/>
      <c r="S136" s="233"/>
      <c r="V136" s="233"/>
    </row>
    <row r="137" spans="2:22" x14ac:dyDescent="0.15">
      <c r="B137" s="47" t="s">
        <v>547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514</v>
      </c>
      <c r="C138" s="233"/>
      <c r="H138" s="232"/>
      <c r="N138" s="233"/>
      <c r="S138" s="233"/>
      <c r="V138" s="233"/>
    </row>
    <row r="139" spans="2:22" x14ac:dyDescent="0.15">
      <c r="B139" s="47" t="s">
        <v>516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546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551</v>
      </c>
      <c r="C143" s="233"/>
      <c r="H143" s="233"/>
      <c r="N143" s="233"/>
      <c r="S143" s="233"/>
      <c r="V143" s="233"/>
    </row>
    <row r="144" spans="2:22" x14ac:dyDescent="0.15">
      <c r="B144" s="106" t="s">
        <v>553</v>
      </c>
      <c r="C144" s="232"/>
      <c r="H144" s="233"/>
      <c r="N144" s="233"/>
      <c r="S144" s="233"/>
      <c r="V144" s="233"/>
    </row>
    <row r="145" spans="2:22" x14ac:dyDescent="0.15">
      <c r="B145" s="106" t="s">
        <v>554</v>
      </c>
      <c r="C145" s="232"/>
      <c r="H145" s="233"/>
      <c r="N145" s="233"/>
      <c r="S145" s="233"/>
      <c r="V145" s="233"/>
    </row>
    <row r="146" spans="2:22" x14ac:dyDescent="0.15">
      <c r="B146" s="106" t="s">
        <v>555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552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561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556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abSelected="1" topLeftCell="B1" workbookViewId="1">
      <selection activeCell="E10" sqref="E10"/>
    </sheetView>
    <sheetView topLeftCell="B1" workbookViewId="2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577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477</v>
      </c>
      <c r="D7" s="50">
        <f>D111</f>
        <v>0</v>
      </c>
      <c r="E7" s="50">
        <f>SUM(E111:P111)</f>
        <v>8965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141720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479</v>
      </c>
      <c r="J9" s="37"/>
      <c r="K9" s="37"/>
      <c r="BM9" s="65"/>
    </row>
    <row r="10" spans="1:65" s="33" customFormat="1" outlineLevel="1" x14ac:dyDescent="0.15">
      <c r="B10" s="47" t="s">
        <v>479</v>
      </c>
      <c r="D10" s="70">
        <f>D114</f>
        <v>0</v>
      </c>
      <c r="E10" s="70">
        <f>SUM(E114:P114)</f>
        <v>129998000</v>
      </c>
      <c r="F10" s="70">
        <f>SUM(Q114:AB114)</f>
        <v>253626120</v>
      </c>
      <c r="G10" s="70">
        <f>SUM(AC114:AN114)</f>
        <v>560772509</v>
      </c>
      <c r="H10" s="70">
        <f>SUM(AO114:AZ114)</f>
        <v>607470690.20000005</v>
      </c>
      <c r="I10" s="70">
        <f>SUM(BA114:BL114)</f>
        <v>588529464.5999999</v>
      </c>
      <c r="J10" s="65">
        <f>SUM(D10:I10)</f>
        <v>2140396783.8</v>
      </c>
      <c r="K10" s="144">
        <f>J10-BM114</f>
        <v>0</v>
      </c>
      <c r="L10" s="70" t="s">
        <v>609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106188000</v>
      </c>
      <c r="F11" s="70">
        <f>SUM(Q115:AB115)</f>
        <v>185381520</v>
      </c>
      <c r="G11" s="70">
        <f>SUM(AC115:AN115)</f>
        <v>352915913.99999994</v>
      </c>
      <c r="H11" s="70">
        <f>SUM(AO115:AZ115)</f>
        <v>360403560</v>
      </c>
      <c r="I11" s="70">
        <f>SUM(BA115:BL115)</f>
        <v>386575836.61199993</v>
      </c>
      <c r="J11" s="65">
        <f>SUM(D11:I11)</f>
        <v>1391464830.612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330</v>
      </c>
      <c r="D12" s="70">
        <f>D116</f>
        <v>0</v>
      </c>
      <c r="E12" s="70">
        <f>SUM(E116:P116)</f>
        <v>23810000</v>
      </c>
      <c r="F12" s="70">
        <f>SUM(Q116:AB116)</f>
        <v>68244600</v>
      </c>
      <c r="G12" s="70">
        <f>SUM(AC116:AN116)</f>
        <v>207856595</v>
      </c>
      <c r="H12" s="70">
        <f>SUM(AO116:AZ116)</f>
        <v>247067130.20000002</v>
      </c>
      <c r="I12" s="70">
        <f>SUM(BA116:BL116)</f>
        <v>201953627.98800004</v>
      </c>
      <c r="J12" s="65">
        <f>SUM(D12:I12)</f>
        <v>748931953.18800008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0.18315666394867613</v>
      </c>
      <c r="F13" s="46">
        <f>F12/F10</f>
        <v>0.26907559836502642</v>
      </c>
      <c r="G13" s="46">
        <f>G12/G10</f>
        <v>0.37066117126651088</v>
      </c>
      <c r="H13" s="46">
        <f>H12/H10</f>
        <v>0.40671448711156272</v>
      </c>
      <c r="I13" s="46">
        <f>I12/I10</f>
        <v>0.34314956197691798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353</v>
      </c>
      <c r="D21" s="70">
        <f>D125</f>
        <v>0</v>
      </c>
      <c r="E21" s="70">
        <f>SUM(E125:P125)</f>
        <v>5687500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160328773.97839999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355</v>
      </c>
      <c r="D23" s="70">
        <f>D127</f>
        <v>0</v>
      </c>
      <c r="E23" s="70">
        <f>SUM(E127:P127)</f>
        <v>5687500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160328773.97839999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356</v>
      </c>
      <c r="D25" s="104">
        <f>D129</f>
        <v>0</v>
      </c>
      <c r="E25" s="104">
        <f>SUM(E129:P129)</f>
        <v>29497500</v>
      </c>
      <c r="F25" s="104">
        <f>SUM(Q129:AB129)</f>
        <v>82780550</v>
      </c>
      <c r="G25" s="104">
        <f>SUM(AC129:AN129)</f>
        <v>239596085.25</v>
      </c>
      <c r="H25" s="104">
        <f>SUM(AO129:AZ129)</f>
        <v>298623064.85500008</v>
      </c>
      <c r="I25" s="104">
        <f>SUM(BA129:BL129)</f>
        <v>258763527.06140006</v>
      </c>
      <c r="J25" s="38">
        <f>SUM(D25:I25)</f>
        <v>909260727.16640007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476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392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393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419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439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440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408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409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410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412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413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480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374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706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499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1247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483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380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484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485</v>
      </c>
      <c r="J59" s="35"/>
      <c r="K59" s="35"/>
      <c r="BM59" s="167"/>
    </row>
    <row r="60" spans="1:65" x14ac:dyDescent="0.15">
      <c r="B60" s="47" t="s">
        <v>381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486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599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482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985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1045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460</v>
      </c>
      <c r="D103" s="130">
        <f>D208</f>
        <v>0</v>
      </c>
      <c r="E103" s="130">
        <f>SUM(E208:P208)</f>
        <v>-137281083.33333334</v>
      </c>
      <c r="F103" s="130">
        <f>SUM(Q208:AB208)</f>
        <v>-153466450</v>
      </c>
      <c r="G103" s="130">
        <f>SUM(AC208:AN208)</f>
        <v>-51284514.749999993</v>
      </c>
      <c r="H103" s="130">
        <f>SUM(AO208:AZ208)</f>
        <v>-7822447.1449999325</v>
      </c>
      <c r="I103" s="130">
        <f>SUM(BA208:BL208)</f>
        <v>-64554240.778599992</v>
      </c>
      <c r="J103" s="38">
        <f>SUM(D103:I103)</f>
        <v>-414408736.00693327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983</v>
      </c>
      <c r="D104" s="130">
        <f>D103</f>
        <v>0</v>
      </c>
      <c r="E104" s="130">
        <f>E103+D104</f>
        <v>-137281083.33333334</v>
      </c>
      <c r="F104" s="130">
        <f>F103+E104</f>
        <v>-290747533.33333337</v>
      </c>
      <c r="G104" s="130">
        <f>G103+F104</f>
        <v>-342032048.08333337</v>
      </c>
      <c r="H104" s="130">
        <f>H103+G104</f>
        <v>-349854495.22833329</v>
      </c>
      <c r="I104" s="130">
        <f>I103+H104</f>
        <v>-414408736.00693327</v>
      </c>
      <c r="J104" s="38">
        <f>SUM(D104:I104)</f>
        <v>-1534323895.9852667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90" t="s">
        <v>35</v>
      </c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 t="s">
        <v>36</v>
      </c>
      <c r="R107" s="390"/>
      <c r="S107" s="390"/>
      <c r="T107" s="390"/>
      <c r="U107" s="390"/>
      <c r="V107" s="390"/>
      <c r="W107" s="390"/>
      <c r="X107" s="390"/>
      <c r="Y107" s="390"/>
      <c r="Z107" s="390"/>
      <c r="AA107" s="390"/>
      <c r="AB107" s="390"/>
      <c r="AC107" s="390" t="s">
        <v>37</v>
      </c>
      <c r="AD107" s="390"/>
      <c r="AE107" s="390"/>
      <c r="AF107" s="390"/>
      <c r="AG107" s="390"/>
      <c r="AH107" s="390"/>
      <c r="AI107" s="390"/>
      <c r="AJ107" s="390"/>
      <c r="AK107" s="390"/>
      <c r="AL107" s="390"/>
      <c r="AM107" s="390"/>
      <c r="AN107" s="390"/>
      <c r="AO107" s="390" t="s">
        <v>38</v>
      </c>
      <c r="AP107" s="390"/>
      <c r="AQ107" s="390"/>
      <c r="AR107" s="390"/>
      <c r="AS107" s="390"/>
      <c r="AT107" s="390"/>
      <c r="AU107" s="390"/>
      <c r="AV107" s="390"/>
      <c r="AW107" s="390"/>
      <c r="AX107" s="390"/>
      <c r="AY107" s="390"/>
      <c r="AZ107" s="390"/>
      <c r="BA107" s="390" t="s">
        <v>39</v>
      </c>
      <c r="BB107" s="390"/>
      <c r="BC107" s="390"/>
      <c r="BD107" s="390"/>
      <c r="BE107" s="390"/>
      <c r="BF107" s="390"/>
      <c r="BG107" s="390"/>
      <c r="BH107" s="390"/>
      <c r="BI107" s="390"/>
      <c r="BJ107" s="390"/>
      <c r="BK107" s="390"/>
      <c r="BL107" s="39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477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855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141720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479</v>
      </c>
      <c r="BM113" s="65"/>
    </row>
    <row r="114" spans="2:65" s="33" customFormat="1" outlineLevel="1" x14ac:dyDescent="0.15">
      <c r="B114" s="47" t="s">
        <v>479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8624000</v>
      </c>
      <c r="I114" s="70">
        <f>'REV-REVCALC_CWS'!G17 + 'REV-REVCALC_CWS'!G54</f>
        <v>11462000</v>
      </c>
      <c r="J114" s="70">
        <f>'REV-REVCALC_CWS'!H17 + 'REV-REVCALC_CWS'!H54</f>
        <v>15752000</v>
      </c>
      <c r="K114" s="70">
        <f>'REV-REVCALC_CWS'!I17 + 'REV-REVCALC_CWS'!I54</f>
        <v>15752000</v>
      </c>
      <c r="L114" s="70">
        <f>'REV-REVCALC_CWS'!J17 + 'REV-REVCALC_CWS'!J54</f>
        <v>15752000</v>
      </c>
      <c r="M114" s="70">
        <f>'REV-REVCALC_CWS'!K17 + 'REV-REVCALC_CWS'!K54</f>
        <v>15752000</v>
      </c>
      <c r="N114" s="70">
        <f>'REV-REVCALC_CWS'!L17 + 'REV-REVCALC_CWS'!L54</f>
        <v>15752000</v>
      </c>
      <c r="O114" s="70">
        <f>'REV-REVCALC_CWS'!M17 + 'REV-REVCALC_CWS'!M54</f>
        <v>15752000</v>
      </c>
      <c r="P114" s="70">
        <f>'REV-REVCALC_CWS'!N17 + 'REV-REVCALC_CWS'!N54</f>
        <v>15400000</v>
      </c>
      <c r="Q114" s="70">
        <f>'REV-REVCALC_CWS'!O17 + 'REV-REVCALC_CWS'!O54</f>
        <v>16133260</v>
      </c>
      <c r="R114" s="70">
        <f>'REV-REVCALC_CWS'!P17 + 'REV-REVCALC_CWS'!P54</f>
        <v>20629400</v>
      </c>
      <c r="S114" s="70">
        <f>'REV-REVCALC_CWS'!Q17 + 'REV-REVCALC_CWS'!Q54</f>
        <v>22135960</v>
      </c>
      <c r="T114" s="70">
        <f>'REV-REVCALC_CWS'!R17 + 'REV-REVCALC_CWS'!R54</f>
        <v>22135960</v>
      </c>
      <c r="U114" s="70">
        <f>'REV-REVCALC_CWS'!S17 + 'REV-REVCALC_CWS'!S54</f>
        <v>22135960</v>
      </c>
      <c r="V114" s="70">
        <f>'REV-REVCALC_CWS'!T17 + 'REV-REVCALC_CWS'!T54</f>
        <v>22135960</v>
      </c>
      <c r="W114" s="70">
        <f>'REV-REVCALC_CWS'!U17 + 'REV-REVCALC_CWS'!U54</f>
        <v>22135960</v>
      </c>
      <c r="X114" s="70">
        <f>'REV-REVCALC_CWS'!V17 + 'REV-REVCALC_CWS'!V54</f>
        <v>22135960</v>
      </c>
      <c r="Y114" s="70">
        <f>'REV-REVCALC_CWS'!W17 + 'REV-REVCALC_CWS'!W54</f>
        <v>22135960</v>
      </c>
      <c r="Z114" s="70">
        <f>'REV-REVCALC_CWS'!X17 + 'REV-REVCALC_CWS'!X54</f>
        <v>22135960</v>
      </c>
      <c r="AA114" s="70">
        <f>'REV-REVCALC_CWS'!Y17 + 'REV-REVCALC_CWS'!Y54</f>
        <v>22135960</v>
      </c>
      <c r="AB114" s="70">
        <f>'REV-REVCALC_CWS'!Z17 + 'REV-REVCALC_CWS'!Z54</f>
        <v>17639820</v>
      </c>
      <c r="AC114" s="70">
        <f>'REV-REVCALC_CWS'!AA17 + 'REV-REVCALC_CWS'!AA54</f>
        <v>31494522.400000002</v>
      </c>
      <c r="AD114" s="70">
        <f>'REV-REVCALC_CWS'!AB17 + 'REV-REVCALC_CWS'!AB54</f>
        <v>45196685.600000001</v>
      </c>
      <c r="AE114" s="70">
        <f>'REV-REVCALC_CWS'!AC17 + 'REV-REVCALC_CWS'!AC54</f>
        <v>49780865.200000003</v>
      </c>
      <c r="AF114" s="70">
        <f>'REV-REVCALC_CWS'!AD17 + 'REV-REVCALC_CWS'!AD54</f>
        <v>49780865.200000003</v>
      </c>
      <c r="AG114" s="70">
        <f>'REV-REVCALC_CWS'!AE17 + 'REV-REVCALC_CWS'!AE54</f>
        <v>49780865.200000003</v>
      </c>
      <c r="AH114" s="70">
        <f>'REV-REVCALC_CWS'!AF17 + 'REV-REVCALC_CWS'!AF54</f>
        <v>49780865.200000003</v>
      </c>
      <c r="AI114" s="70">
        <f>'REV-REVCALC_CWS'!AG17 + 'REV-REVCALC_CWS'!AG54</f>
        <v>49780865.200000003</v>
      </c>
      <c r="AJ114" s="70">
        <f>'REV-REVCALC_CWS'!AH17 + 'REV-REVCALC_CWS'!AH54</f>
        <v>49780865.200000003</v>
      </c>
      <c r="AK114" s="70">
        <f>'REV-REVCALC_CWS'!AI17 + 'REV-REVCALC_CWS'!AI54</f>
        <v>49780865.200000003</v>
      </c>
      <c r="AL114" s="70">
        <f>'REV-REVCALC_CWS'!AJ17 + 'REV-REVCALC_CWS'!AJ54</f>
        <v>49780865.200000003</v>
      </c>
      <c r="AM114" s="70">
        <f>'REV-REVCALC_CWS'!AK17 + 'REV-REVCALC_CWS'!AK54</f>
        <v>49780865.200000003</v>
      </c>
      <c r="AN114" s="70">
        <f>'REV-REVCALC_CWS'!AL17 + 'REV-REVCALC_CWS'!AL54</f>
        <v>36053514.200000003</v>
      </c>
      <c r="AO114" s="70">
        <f>'REV-REVCALC_CWS'!AM17 + 'REV-REVCALC_CWS'!AM54</f>
        <v>33823134.510000005</v>
      </c>
      <c r="AP114" s="70">
        <f>'REV-REVCALC_CWS'!AN17 + 'REV-REVCALC_CWS'!AN54</f>
        <v>48942615.216000006</v>
      </c>
      <c r="AQ114" s="70">
        <f>'REV-REVCALC_CWS'!AO17 + 'REV-REVCALC_CWS'!AO54</f>
        <v>53982442.118000008</v>
      </c>
      <c r="AR114" s="70">
        <f>'REV-REVCALC_CWS'!AP17 + 'REV-REVCALC_CWS'!AP54</f>
        <v>53982442.118000008</v>
      </c>
      <c r="AS114" s="70">
        <f>'REV-REVCALC_CWS'!AQ17 + 'REV-REVCALC_CWS'!AQ54</f>
        <v>53982442.118000008</v>
      </c>
      <c r="AT114" s="70">
        <f>'REV-REVCALC_CWS'!AR17 + 'REV-REVCALC_CWS'!AR54</f>
        <v>53982442.118000008</v>
      </c>
      <c r="AU114" s="70">
        <f>'REV-REVCALC_CWS'!AS17 + 'REV-REVCALC_CWS'!AS54</f>
        <v>53982442.118000008</v>
      </c>
      <c r="AV114" s="70">
        <f>'REV-REVCALC_CWS'!AT17 + 'REV-REVCALC_CWS'!AT54</f>
        <v>53982442.118000008</v>
      </c>
      <c r="AW114" s="70">
        <f>'REV-REVCALC_CWS'!AU17 + 'REV-REVCALC_CWS'!AU54</f>
        <v>53982442.118000008</v>
      </c>
      <c r="AX114" s="70">
        <f>'REV-REVCALC_CWS'!AV17 + 'REV-REVCALC_CWS'!AV54</f>
        <v>53982442.118000008</v>
      </c>
      <c r="AY114" s="70">
        <f>'REV-REVCALC_CWS'!AW17 + 'REV-REVCALC_CWS'!AW54</f>
        <v>53982442.118000008</v>
      </c>
      <c r="AZ114" s="70">
        <f>'REV-REVCALC_CWS'!AX17 + 'REV-REVCALC_CWS'!AX54</f>
        <v>38862961.412</v>
      </c>
      <c r="BA114" s="70">
        <f>'REV-REVCALC_CWS'!AY17 + 'REV-REVCALC_CWS'!AY54</f>
        <v>32879851.400000002</v>
      </c>
      <c r="BB114" s="70">
        <f>'REV-REVCALC_CWS'!AZ17 + 'REV-REVCALC_CWS'!AZ54</f>
        <v>47438399.800000004</v>
      </c>
      <c r="BC114" s="70">
        <f>'REV-REVCALC_CWS'!BA17 + 'REV-REVCALC_CWS'!BA54</f>
        <v>52274457.400000006</v>
      </c>
      <c r="BD114" s="70">
        <f>'REV-REVCALC_CWS'!BB17 + 'REV-REVCALC_CWS'!BB54</f>
        <v>52274457.400000006</v>
      </c>
      <c r="BE114" s="70">
        <f>'REV-REVCALC_CWS'!BC17 + 'REV-REVCALC_CWS'!BC54</f>
        <v>52274457.400000006</v>
      </c>
      <c r="BF114" s="70">
        <f>'REV-REVCALC_CWS'!BD17 + 'REV-REVCALC_CWS'!BD54</f>
        <v>52274457.400000006</v>
      </c>
      <c r="BG114" s="70">
        <f>'REV-REVCALC_CWS'!BE17 + 'REV-REVCALC_CWS'!BE54</f>
        <v>52274457.400000006</v>
      </c>
      <c r="BH114" s="70">
        <f>'REV-REVCALC_CWS'!BF17 + 'REV-REVCALC_CWS'!BF54</f>
        <v>52274457.400000006</v>
      </c>
      <c r="BI114" s="70">
        <f>'REV-REVCALC_CWS'!BG17 + 'REV-REVCALC_CWS'!BG54</f>
        <v>52274457.400000006</v>
      </c>
      <c r="BJ114" s="70">
        <f>'REV-REVCALC_CWS'!BH17 + 'REV-REVCALC_CWS'!BH54</f>
        <v>52274457.400000006</v>
      </c>
      <c r="BK114" s="70">
        <f>'REV-REVCALC_CWS'!BI17 + 'REV-REVCALC_CWS'!BI54</f>
        <v>52274457.400000006</v>
      </c>
      <c r="BL114" s="70">
        <f>'REV-REVCALC_CWS'!BJ17 + 'REV-REVCALC_CWS'!BJ54</f>
        <v>37741096.800000004</v>
      </c>
      <c r="BM114" s="167">
        <f>SUM(D114:BL114)</f>
        <v>2140396783.8000014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8624000</v>
      </c>
      <c r="I115" s="70">
        <f>'REV-REVCALC_CWS'!G26 + 'REV-REVCALC_CWS'!G63</f>
        <v>10172000</v>
      </c>
      <c r="J115" s="70">
        <f>'REV-REVCALC_CWS'!H26 + 'REV-REVCALC_CWS'!H63</f>
        <v>12512000</v>
      </c>
      <c r="K115" s="70">
        <f>'REV-REVCALC_CWS'!I26 + 'REV-REVCALC_CWS'!I63</f>
        <v>12512000</v>
      </c>
      <c r="L115" s="70">
        <f>'REV-REVCALC_CWS'!J26 + 'REV-REVCALC_CWS'!J63</f>
        <v>12512000</v>
      </c>
      <c r="M115" s="70">
        <f>'REV-REVCALC_CWS'!K26 + 'REV-REVCALC_CWS'!K63</f>
        <v>12512000</v>
      </c>
      <c r="N115" s="70">
        <f>'REV-REVCALC_CWS'!L26 + 'REV-REVCALC_CWS'!L63</f>
        <v>12512000</v>
      </c>
      <c r="O115" s="70">
        <f>'REV-REVCALC_CWS'!M26 + 'REV-REVCALC_CWS'!M63</f>
        <v>12512000</v>
      </c>
      <c r="P115" s="70">
        <f>'REV-REVCALC_CWS'!N26 + 'REV-REVCALC_CWS'!N63</f>
        <v>12320000</v>
      </c>
      <c r="Q115" s="70">
        <f>'REV-REVCALC_CWS'!O26 + 'REV-REVCALC_CWS'!O63</f>
        <v>12719960</v>
      </c>
      <c r="R115" s="70">
        <f>'REV-REVCALC_CWS'!P26 + 'REV-REVCALC_CWS'!P63</f>
        <v>15172400</v>
      </c>
      <c r="S115" s="70">
        <f>'REV-REVCALC_CWS'!Q26 + 'REV-REVCALC_CWS'!Q63</f>
        <v>15994160</v>
      </c>
      <c r="T115" s="70">
        <f>'REV-REVCALC_CWS'!R26 + 'REV-REVCALC_CWS'!R63</f>
        <v>15994160</v>
      </c>
      <c r="U115" s="70">
        <f>'REV-REVCALC_CWS'!S26 + 'REV-REVCALC_CWS'!S63</f>
        <v>15994160</v>
      </c>
      <c r="V115" s="70">
        <f>'REV-REVCALC_CWS'!T26 + 'REV-REVCALC_CWS'!T63</f>
        <v>15994160</v>
      </c>
      <c r="W115" s="70">
        <f>'REV-REVCALC_CWS'!U26 + 'REV-REVCALC_CWS'!U63</f>
        <v>15994160</v>
      </c>
      <c r="X115" s="70">
        <f>'REV-REVCALC_CWS'!V26 + 'REV-REVCALC_CWS'!V63</f>
        <v>15994160</v>
      </c>
      <c r="Y115" s="70">
        <f>'REV-REVCALC_CWS'!W26 + 'REV-REVCALC_CWS'!W63</f>
        <v>15994160</v>
      </c>
      <c r="Z115" s="70">
        <f>'REV-REVCALC_CWS'!X26 + 'REV-REVCALC_CWS'!X63</f>
        <v>15994160</v>
      </c>
      <c r="AA115" s="70">
        <f>'REV-REVCALC_CWS'!Y26 + 'REV-REVCALC_CWS'!Y63</f>
        <v>15994160</v>
      </c>
      <c r="AB115" s="70">
        <f>'REV-REVCALC_CWS'!Z26 + 'REV-REVCALC_CWS'!Z63</f>
        <v>13541720</v>
      </c>
      <c r="AC115" s="70">
        <f>'REV-REVCALC_CWS'!AA26 + 'REV-REVCALC_CWS'!AA63</f>
        <v>21098830.399999999</v>
      </c>
      <c r="AD115" s="70">
        <f>'REV-REVCALC_CWS'!AB26 + 'REV-REVCALC_CWS'!AB63</f>
        <v>28572737.599999998</v>
      </c>
      <c r="AE115" s="70">
        <f>'REV-REVCALC_CWS'!AC26 + 'REV-REVCALC_CWS'!AC63</f>
        <v>31073199.200000003</v>
      </c>
      <c r="AF115" s="70">
        <f>'REV-REVCALC_CWS'!AD26 + 'REV-REVCALC_CWS'!AD63</f>
        <v>31073199.200000003</v>
      </c>
      <c r="AG115" s="70">
        <f>'REV-REVCALC_CWS'!AE26 + 'REV-REVCALC_CWS'!AE63</f>
        <v>31073199.200000003</v>
      </c>
      <c r="AH115" s="70">
        <f>'REV-REVCALC_CWS'!AF26 + 'REV-REVCALC_CWS'!AF63</f>
        <v>31073199.200000003</v>
      </c>
      <c r="AI115" s="70">
        <f>'REV-REVCALC_CWS'!AG26 + 'REV-REVCALC_CWS'!AG63</f>
        <v>31073199.200000003</v>
      </c>
      <c r="AJ115" s="70">
        <f>'REV-REVCALC_CWS'!AH26 + 'REV-REVCALC_CWS'!AH63</f>
        <v>31073199.200000003</v>
      </c>
      <c r="AK115" s="70">
        <f>'REV-REVCALC_CWS'!AI26 + 'REV-REVCALC_CWS'!AI63</f>
        <v>31073199.200000003</v>
      </c>
      <c r="AL115" s="70">
        <f>'REV-REVCALC_CWS'!AJ26 + 'REV-REVCALC_CWS'!AJ63</f>
        <v>31073199.200000003</v>
      </c>
      <c r="AM115" s="70">
        <f>'REV-REVCALC_CWS'!AK26 + 'REV-REVCALC_CWS'!AK63</f>
        <v>31073199.200000003</v>
      </c>
      <c r="AN115" s="70">
        <f>'REV-REVCALC_CWS'!AL26 + 'REV-REVCALC_CWS'!AL63</f>
        <v>23585553.200000003</v>
      </c>
      <c r="AO115" s="70">
        <f>'REV-REVCALC_CWS'!AM26 + 'REV-REVCALC_CWS'!AM63</f>
        <v>21469778</v>
      </c>
      <c r="AP115" s="70">
        <f>'REV-REVCALC_CWS'!AN26 + 'REV-REVCALC_CWS'!AN63</f>
        <v>29177244.800000001</v>
      </c>
      <c r="AQ115" s="70">
        <f>'REV-REVCALC_CWS'!AO26 + 'REV-REVCALC_CWS'!AO63</f>
        <v>31746400.400000002</v>
      </c>
      <c r="AR115" s="70">
        <f>'REV-REVCALC_CWS'!AP26 + 'REV-REVCALC_CWS'!AP63</f>
        <v>31746400.400000002</v>
      </c>
      <c r="AS115" s="70">
        <f>'REV-REVCALC_CWS'!AQ26 + 'REV-REVCALC_CWS'!AQ63</f>
        <v>31746400.400000002</v>
      </c>
      <c r="AT115" s="70">
        <f>'REV-REVCALC_CWS'!AR26 + 'REV-REVCALC_CWS'!AR63</f>
        <v>31746400.400000002</v>
      </c>
      <c r="AU115" s="70">
        <f>'REV-REVCALC_CWS'!AS26 + 'REV-REVCALC_CWS'!AS63</f>
        <v>31746400.400000002</v>
      </c>
      <c r="AV115" s="70">
        <f>'REV-REVCALC_CWS'!AT26 + 'REV-REVCALC_CWS'!AT63</f>
        <v>31746400.400000002</v>
      </c>
      <c r="AW115" s="70">
        <f>'REV-REVCALC_CWS'!AU26 + 'REV-REVCALC_CWS'!AU63</f>
        <v>31746400.400000002</v>
      </c>
      <c r="AX115" s="70">
        <f>'REV-REVCALC_CWS'!AV26 + 'REV-REVCALC_CWS'!AV63</f>
        <v>31746400.400000002</v>
      </c>
      <c r="AY115" s="70">
        <f>'REV-REVCALC_CWS'!AW26 + 'REV-REVCALC_CWS'!AW63</f>
        <v>31746400.400000002</v>
      </c>
      <c r="AZ115" s="70">
        <f>'REV-REVCALC_CWS'!AX26 + 'REV-REVCALC_CWS'!AX63</f>
        <v>24038933.600000001</v>
      </c>
      <c r="BA115" s="70">
        <f>'REV-REVCALC_CWS'!AY26 + 'REV-REVCALC_CWS'!AY63</f>
        <v>22780596.908</v>
      </c>
      <c r="BB115" s="70">
        <f>'REV-REVCALC_CWS'!AZ26 + 'REV-REVCALC_CWS'!AZ63</f>
        <v>31277495.156000003</v>
      </c>
      <c r="BC115" s="70">
        <f>'REV-REVCALC_CWS'!BA26 + 'REV-REVCALC_CWS'!BA63</f>
        <v>34099994.228</v>
      </c>
      <c r="BD115" s="70">
        <f>'REV-REVCALC_CWS'!BB26 + 'REV-REVCALC_CWS'!BB63</f>
        <v>34099994.228</v>
      </c>
      <c r="BE115" s="70">
        <f>'REV-REVCALC_CWS'!BC26 + 'REV-REVCALC_CWS'!BC63</f>
        <v>34099994.228</v>
      </c>
      <c r="BF115" s="70">
        <f>'REV-REVCALC_CWS'!BD26 + 'REV-REVCALC_CWS'!BD63</f>
        <v>34099994.228</v>
      </c>
      <c r="BG115" s="70">
        <f>'REV-REVCALC_CWS'!BE26 + 'REV-REVCALC_CWS'!BE63</f>
        <v>34099994.228</v>
      </c>
      <c r="BH115" s="70">
        <f>'REV-REVCALC_CWS'!BF26 + 'REV-REVCALC_CWS'!BF63</f>
        <v>34099994.228</v>
      </c>
      <c r="BI115" s="70">
        <f>'REV-REVCALC_CWS'!BG26 + 'REV-REVCALC_CWS'!BG63</f>
        <v>34099994.228</v>
      </c>
      <c r="BJ115" s="70">
        <f>'REV-REVCALC_CWS'!BH26 + 'REV-REVCALC_CWS'!BH63</f>
        <v>34099994.228</v>
      </c>
      <c r="BK115" s="70">
        <f>'REV-REVCALC_CWS'!BI26 + 'REV-REVCALC_CWS'!BI63</f>
        <v>34099994.228</v>
      </c>
      <c r="BL115" s="70">
        <f>'REV-REVCALC_CWS'!BJ26 + 'REV-REVCALC_CWS'!BJ63</f>
        <v>25617796.495999999</v>
      </c>
      <c r="BM115" s="167">
        <f>SUM(D115:BL115)</f>
        <v>1391464830.6119993</v>
      </c>
    </row>
    <row r="116" spans="2:65" s="33" customFormat="1" outlineLevel="1" x14ac:dyDescent="0.15">
      <c r="B116" s="47" t="s">
        <v>330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0</v>
      </c>
      <c r="I116" s="70">
        <f>'REV-REVCALC_CWS'!G28 + 'REV-REVCALC_CWS'!G65</f>
        <v>1290000</v>
      </c>
      <c r="J116" s="70">
        <f>'REV-REVCALC_CWS'!H28 + 'REV-REVCALC_CWS'!H65</f>
        <v>3240000</v>
      </c>
      <c r="K116" s="70">
        <f>'REV-REVCALC_CWS'!I28 + 'REV-REVCALC_CWS'!I65</f>
        <v>3240000</v>
      </c>
      <c r="L116" s="70">
        <f>'REV-REVCALC_CWS'!J28 + 'REV-REVCALC_CWS'!J65</f>
        <v>3240000</v>
      </c>
      <c r="M116" s="70">
        <f>'REV-REVCALC_CWS'!K28 + 'REV-REVCALC_CWS'!K65</f>
        <v>3240000</v>
      </c>
      <c r="N116" s="70">
        <f>'REV-REVCALC_CWS'!L28 + 'REV-REVCALC_CWS'!L65</f>
        <v>3240000</v>
      </c>
      <c r="O116" s="70">
        <f>'REV-REVCALC_CWS'!M28 + 'REV-REVCALC_CWS'!M65</f>
        <v>3240000</v>
      </c>
      <c r="P116" s="70">
        <f>'REV-REVCALC_CWS'!N28 + 'REV-REVCALC_CWS'!N65</f>
        <v>3080000</v>
      </c>
      <c r="Q116" s="70">
        <f>'REV-REVCALC_CWS'!O28 + 'REV-REVCALC_CWS'!O65</f>
        <v>3413300</v>
      </c>
      <c r="R116" s="70">
        <f>'REV-REVCALC_CWS'!P28 + 'REV-REVCALC_CWS'!P65</f>
        <v>5457000</v>
      </c>
      <c r="S116" s="70">
        <f>'REV-REVCALC_CWS'!Q28 + 'REV-REVCALC_CWS'!Q65</f>
        <v>6141800</v>
      </c>
      <c r="T116" s="70">
        <f>'REV-REVCALC_CWS'!R28 + 'REV-REVCALC_CWS'!R65</f>
        <v>6141800</v>
      </c>
      <c r="U116" s="70">
        <f>'REV-REVCALC_CWS'!S28 + 'REV-REVCALC_CWS'!S65</f>
        <v>6141800</v>
      </c>
      <c r="V116" s="70">
        <f>'REV-REVCALC_CWS'!T28 + 'REV-REVCALC_CWS'!T65</f>
        <v>6141800</v>
      </c>
      <c r="W116" s="70">
        <f>'REV-REVCALC_CWS'!U28 + 'REV-REVCALC_CWS'!U65</f>
        <v>6141800</v>
      </c>
      <c r="X116" s="70">
        <f>'REV-REVCALC_CWS'!V28 + 'REV-REVCALC_CWS'!V65</f>
        <v>6141800</v>
      </c>
      <c r="Y116" s="70">
        <f>'REV-REVCALC_CWS'!W28 + 'REV-REVCALC_CWS'!W65</f>
        <v>6141800</v>
      </c>
      <c r="Z116" s="70">
        <f>'REV-REVCALC_CWS'!X28 + 'REV-REVCALC_CWS'!X65</f>
        <v>6141800</v>
      </c>
      <c r="AA116" s="70">
        <f>'REV-REVCALC_CWS'!Y28 + 'REV-REVCALC_CWS'!Y65</f>
        <v>6141800</v>
      </c>
      <c r="AB116" s="70">
        <f>'REV-REVCALC_CWS'!Z28 + 'REV-REVCALC_CWS'!Z65</f>
        <v>4098100</v>
      </c>
      <c r="AC116" s="70">
        <f>'REV-REVCALC_CWS'!AA28 + 'REV-REVCALC_CWS'!AA65</f>
        <v>10395692.000000002</v>
      </c>
      <c r="AD116" s="70">
        <f>'REV-REVCALC_CWS'!AB28 + 'REV-REVCALC_CWS'!AB65</f>
        <v>16623948.000000004</v>
      </c>
      <c r="AE116" s="70">
        <f>'REV-REVCALC_CWS'!AC28 + 'REV-REVCALC_CWS'!AC65</f>
        <v>18707666</v>
      </c>
      <c r="AF116" s="70">
        <f>'REV-REVCALC_CWS'!AD28 + 'REV-REVCALC_CWS'!AD65</f>
        <v>18707666</v>
      </c>
      <c r="AG116" s="70">
        <f>'REV-REVCALC_CWS'!AE28 + 'REV-REVCALC_CWS'!AE65</f>
        <v>18707666</v>
      </c>
      <c r="AH116" s="70">
        <f>'REV-REVCALC_CWS'!AF28 + 'REV-REVCALC_CWS'!AF65</f>
        <v>18707666</v>
      </c>
      <c r="AI116" s="70">
        <f>'REV-REVCALC_CWS'!AG28 + 'REV-REVCALC_CWS'!AG65</f>
        <v>18707666</v>
      </c>
      <c r="AJ116" s="70">
        <f>'REV-REVCALC_CWS'!AH28 + 'REV-REVCALC_CWS'!AH65</f>
        <v>18707666</v>
      </c>
      <c r="AK116" s="70">
        <f>'REV-REVCALC_CWS'!AI28 + 'REV-REVCALC_CWS'!AI65</f>
        <v>18707666</v>
      </c>
      <c r="AL116" s="70">
        <f>'REV-REVCALC_CWS'!AJ28 + 'REV-REVCALC_CWS'!AJ65</f>
        <v>18707666</v>
      </c>
      <c r="AM116" s="70">
        <f>'REV-REVCALC_CWS'!AK28 + 'REV-REVCALC_CWS'!AK65</f>
        <v>18707666</v>
      </c>
      <c r="AN116" s="70">
        <f>'REV-REVCALC_CWS'!AL28 + 'REV-REVCALC_CWS'!AL65</f>
        <v>12467961.000000002</v>
      </c>
      <c r="AO116" s="70">
        <f>'REV-REVCALC_CWS'!AM28 + 'REV-REVCALC_CWS'!AM65</f>
        <v>12353356.510000002</v>
      </c>
      <c r="AP116" s="70">
        <f>'REV-REVCALC_CWS'!AN28 + 'REV-REVCALC_CWS'!AN65</f>
        <v>19765370.416000005</v>
      </c>
      <c r="AQ116" s="70">
        <f>'REV-REVCALC_CWS'!AO28 + 'REV-REVCALC_CWS'!AO65</f>
        <v>22236041.718000006</v>
      </c>
      <c r="AR116" s="70">
        <f>'REV-REVCALC_CWS'!AP28 + 'REV-REVCALC_CWS'!AP65</f>
        <v>22236041.718000006</v>
      </c>
      <c r="AS116" s="70">
        <f>'REV-REVCALC_CWS'!AQ28 + 'REV-REVCALC_CWS'!AQ65</f>
        <v>22236041.718000006</v>
      </c>
      <c r="AT116" s="70">
        <f>'REV-REVCALC_CWS'!AR28 + 'REV-REVCALC_CWS'!AR65</f>
        <v>22236041.718000006</v>
      </c>
      <c r="AU116" s="70">
        <f>'REV-REVCALC_CWS'!AS28 + 'REV-REVCALC_CWS'!AS65</f>
        <v>22236041.718000006</v>
      </c>
      <c r="AV116" s="70">
        <f>'REV-REVCALC_CWS'!AT28 + 'REV-REVCALC_CWS'!AT65</f>
        <v>22236041.718000006</v>
      </c>
      <c r="AW116" s="70">
        <f>'REV-REVCALC_CWS'!AU28 + 'REV-REVCALC_CWS'!AU65</f>
        <v>22236041.718000006</v>
      </c>
      <c r="AX116" s="70">
        <f>'REV-REVCALC_CWS'!AV28 + 'REV-REVCALC_CWS'!AV65</f>
        <v>22236041.718000006</v>
      </c>
      <c r="AY116" s="70">
        <f>'REV-REVCALC_CWS'!AW28 + 'REV-REVCALC_CWS'!AW65</f>
        <v>22236041.718000006</v>
      </c>
      <c r="AZ116" s="70">
        <f>'REV-REVCALC_CWS'!AX28 + 'REV-REVCALC_CWS'!AX65</f>
        <v>14824027.812000003</v>
      </c>
      <c r="BA116" s="70">
        <f>'REV-REVCALC_CWS'!AY28 + 'REV-REVCALC_CWS'!AY65</f>
        <v>10099254.492000001</v>
      </c>
      <c r="BB116" s="70">
        <f>'REV-REVCALC_CWS'!AZ28 + 'REV-REVCALC_CWS'!AZ65</f>
        <v>16160904.644000001</v>
      </c>
      <c r="BC116" s="70">
        <f>'REV-REVCALC_CWS'!BA28 + 'REV-REVCALC_CWS'!BA65</f>
        <v>18174463.172000006</v>
      </c>
      <c r="BD116" s="70">
        <f>'REV-REVCALC_CWS'!BB28 + 'REV-REVCALC_CWS'!BB65</f>
        <v>18174463.172000006</v>
      </c>
      <c r="BE116" s="70">
        <f>'REV-REVCALC_CWS'!BC28 + 'REV-REVCALC_CWS'!BC65</f>
        <v>18174463.172000006</v>
      </c>
      <c r="BF116" s="70">
        <f>'REV-REVCALC_CWS'!BD28 + 'REV-REVCALC_CWS'!BD65</f>
        <v>18174463.172000006</v>
      </c>
      <c r="BG116" s="70">
        <f>'REV-REVCALC_CWS'!BE28 + 'REV-REVCALC_CWS'!BE65</f>
        <v>18174463.172000006</v>
      </c>
      <c r="BH116" s="70">
        <f>'REV-REVCALC_CWS'!BF28 + 'REV-REVCALC_CWS'!BF65</f>
        <v>18174463.172000006</v>
      </c>
      <c r="BI116" s="70">
        <f>'REV-REVCALC_CWS'!BG28 + 'REV-REVCALC_CWS'!BG65</f>
        <v>18174463.172000006</v>
      </c>
      <c r="BJ116" s="70">
        <f>'REV-REVCALC_CWS'!BH28 + 'REV-REVCALC_CWS'!BH65</f>
        <v>18174463.172000006</v>
      </c>
      <c r="BK116" s="70">
        <f>'REV-REVCALC_CWS'!BI28 + 'REV-REVCALC_CWS'!BI65</f>
        <v>18174463.172000006</v>
      </c>
      <c r="BL116" s="70">
        <f>'REV-REVCALC_CWS'!BJ28 + 'REV-REVCALC_CWS'!BJ65</f>
        <v>12123300.304000005</v>
      </c>
      <c r="BM116" s="167">
        <f>SUM(D116:BL116)</f>
        <v>748931953.18800044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</v>
      </c>
      <c r="I117" s="46">
        <f>MEDIAN( 'REV-REVCALC_CWS'!G29, 'REV-REVCALC_CWS'!G66 )</f>
        <v>0.22727272727272727</v>
      </c>
      <c r="J117" s="46">
        <f>MEDIAN( 'REV-REVCALC_CWS'!H29, 'REV-REVCALC_CWS'!H66 )</f>
        <v>0.22727272727272727</v>
      </c>
      <c r="K117" s="46">
        <f>MEDIAN( 'REV-REVCALC_CWS'!I29, 'REV-REVCALC_CWS'!I66 )</f>
        <v>0.22727272727272727</v>
      </c>
      <c r="L117" s="46">
        <f>MEDIAN( 'REV-REVCALC_CWS'!J29, 'REV-REVCALC_CWS'!J66 )</f>
        <v>0.22727272727272727</v>
      </c>
      <c r="M117" s="46">
        <f>MEDIAN( 'REV-REVCALC_CWS'!K29, 'REV-REVCALC_CWS'!K66 )</f>
        <v>0.22727272727272727</v>
      </c>
      <c r="N117" s="46">
        <f>MEDIAN( 'REV-REVCALC_CWS'!L29, 'REV-REVCALC_CWS'!L66 )</f>
        <v>0.22727272727272727</v>
      </c>
      <c r="O117" s="46">
        <f>MEDIAN( 'REV-REVCALC_CWS'!M29, 'REV-REVCALC_CWS'!M66 )</f>
        <v>0.22727272727272727</v>
      </c>
      <c r="P117" s="46">
        <f>MEDIAN( 'REV-REVCALC_CWS'!N29, 'REV-REVCALC_CWS'!N66 )</f>
        <v>0.22727272727272727</v>
      </c>
      <c r="Q117" s="46">
        <f>MEDIAN( 'REV-REVCALC_CWS'!O29, 'REV-REVCALC_CWS'!O66 )</f>
        <v>0.22727272727272727</v>
      </c>
      <c r="R117" s="46">
        <f>MEDIAN( 'REV-REVCALC_CWS'!P29, 'REV-REVCALC_CWS'!P66 )</f>
        <v>0.22727272727272727</v>
      </c>
      <c r="S117" s="46">
        <f>MEDIAN( 'REV-REVCALC_CWS'!Q29, 'REV-REVCALC_CWS'!Q66 )</f>
        <v>0.22727272727272727</v>
      </c>
      <c r="T117" s="46">
        <f>MEDIAN( 'REV-REVCALC_CWS'!R29, 'REV-REVCALC_CWS'!R66 )</f>
        <v>0.22727272727272727</v>
      </c>
      <c r="U117" s="46">
        <f>MEDIAN( 'REV-REVCALC_CWS'!S29, 'REV-REVCALC_CWS'!S66 )</f>
        <v>0.22727272727272727</v>
      </c>
      <c r="V117" s="46">
        <f>MEDIAN( 'REV-REVCALC_CWS'!T29, 'REV-REVCALC_CWS'!T66 )</f>
        <v>0.22727272727272727</v>
      </c>
      <c r="W117" s="46">
        <f>MEDIAN( 'REV-REVCALC_CWS'!U29, 'REV-REVCALC_CWS'!U66 )</f>
        <v>0.22727272727272727</v>
      </c>
      <c r="X117" s="46">
        <f>MEDIAN( 'REV-REVCALC_CWS'!V29, 'REV-REVCALC_CWS'!V66 )</f>
        <v>0.22727272727272727</v>
      </c>
      <c r="Y117" s="46">
        <f>MEDIAN( 'REV-REVCALC_CWS'!W29, 'REV-REVCALC_CWS'!W66 )</f>
        <v>0.22727272727272727</v>
      </c>
      <c r="Z117" s="46">
        <f>MEDIAN( 'REV-REVCALC_CWS'!X29, 'REV-REVCALC_CWS'!X66 )</f>
        <v>0.22727272727272727</v>
      </c>
      <c r="AA117" s="46">
        <f>MEDIAN( 'REV-REVCALC_CWS'!Y29, 'REV-REVCALC_CWS'!Y66 )</f>
        <v>0.22727272727272727</v>
      </c>
      <c r="AB117" s="46">
        <f>MEDIAN( 'REV-REVCALC_CWS'!Z29, 'REV-REVCALC_CWS'!Z66 )</f>
        <v>0.22727272727272727</v>
      </c>
      <c r="AC117" s="46">
        <f>MEDIAN( 'REV-REVCALC_CWS'!AA29, 'REV-REVCALC_CWS'!AA66 )</f>
        <v>0.22727272727272729</v>
      </c>
      <c r="AD117" s="46">
        <f>MEDIAN( 'REV-REVCALC_CWS'!AB29, 'REV-REVCALC_CWS'!AB66 )</f>
        <v>0.22727272727272732</v>
      </c>
      <c r="AE117" s="46">
        <f>MEDIAN( 'REV-REVCALC_CWS'!AC29, 'REV-REVCALC_CWS'!AC66 )</f>
        <v>0.22727272727272727</v>
      </c>
      <c r="AF117" s="46">
        <f>MEDIAN( 'REV-REVCALC_CWS'!AD29, 'REV-REVCALC_CWS'!AD66 )</f>
        <v>0.22727272727272727</v>
      </c>
      <c r="AG117" s="46">
        <f>MEDIAN( 'REV-REVCALC_CWS'!AE29, 'REV-REVCALC_CWS'!AE66 )</f>
        <v>0.22727272727272727</v>
      </c>
      <c r="AH117" s="46">
        <f>MEDIAN( 'REV-REVCALC_CWS'!AF29, 'REV-REVCALC_CWS'!AF66 )</f>
        <v>0.22727272727272727</v>
      </c>
      <c r="AI117" s="46">
        <f>MEDIAN( 'REV-REVCALC_CWS'!AG29, 'REV-REVCALC_CWS'!AG66 )</f>
        <v>0.22727272727272727</v>
      </c>
      <c r="AJ117" s="46">
        <f>MEDIAN( 'REV-REVCALC_CWS'!AH29, 'REV-REVCALC_CWS'!AH66 )</f>
        <v>0.22727272727272727</v>
      </c>
      <c r="AK117" s="46">
        <f>MEDIAN( 'REV-REVCALC_CWS'!AI29, 'REV-REVCALC_CWS'!AI66 )</f>
        <v>0.22727272727272727</v>
      </c>
      <c r="AL117" s="46">
        <f>MEDIAN( 'REV-REVCALC_CWS'!AJ29, 'REV-REVCALC_CWS'!AJ66 )</f>
        <v>0.22727272727272727</v>
      </c>
      <c r="AM117" s="46">
        <f>MEDIAN( 'REV-REVCALC_CWS'!AK29, 'REV-REVCALC_CWS'!AK66 )</f>
        <v>0.22727272727272727</v>
      </c>
      <c r="AN117" s="46">
        <f>MEDIAN( 'REV-REVCALC_CWS'!AL29, 'REV-REVCALC_CWS'!AL66 )</f>
        <v>0.22727272727272729</v>
      </c>
      <c r="AO117" s="46">
        <f>MEDIAN( 'REV-REVCALC_CWS'!AM29, 'REV-REVCALC_CWS'!AM66 )</f>
        <v>0.24511469838572644</v>
      </c>
      <c r="AP117" s="46">
        <f>MEDIAN( 'REV-REVCALC_CWS'!AN29, 'REV-REVCALC_CWS'!AN66 )</f>
        <v>0.24511469838572644</v>
      </c>
      <c r="AQ117" s="46">
        <f>MEDIAN( 'REV-REVCALC_CWS'!AO29, 'REV-REVCALC_CWS'!AO66 )</f>
        <v>0.24511469838572644</v>
      </c>
      <c r="AR117" s="46">
        <f>MEDIAN( 'REV-REVCALC_CWS'!AP29, 'REV-REVCALC_CWS'!AP66 )</f>
        <v>0.24511469838572644</v>
      </c>
      <c r="AS117" s="46">
        <f>MEDIAN( 'REV-REVCALC_CWS'!AQ29, 'REV-REVCALC_CWS'!AQ66 )</f>
        <v>0.24511469838572644</v>
      </c>
      <c r="AT117" s="46">
        <f>MEDIAN( 'REV-REVCALC_CWS'!AR29, 'REV-REVCALC_CWS'!AR66 )</f>
        <v>0.24511469838572644</v>
      </c>
      <c r="AU117" s="46">
        <f>MEDIAN( 'REV-REVCALC_CWS'!AS29, 'REV-REVCALC_CWS'!AS66 )</f>
        <v>0.24511469838572644</v>
      </c>
      <c r="AV117" s="46">
        <f>MEDIAN( 'REV-REVCALC_CWS'!AT29, 'REV-REVCALC_CWS'!AT66 )</f>
        <v>0.24511469838572644</v>
      </c>
      <c r="AW117" s="46">
        <f>MEDIAN( 'REV-REVCALC_CWS'!AU29, 'REV-REVCALC_CWS'!AU66 )</f>
        <v>0.24511469838572644</v>
      </c>
      <c r="AX117" s="46">
        <f>MEDIAN( 'REV-REVCALC_CWS'!AV29, 'REV-REVCALC_CWS'!AV66 )</f>
        <v>0.24511469838572644</v>
      </c>
      <c r="AY117" s="46">
        <f>MEDIAN( 'REV-REVCALC_CWS'!AW29, 'REV-REVCALC_CWS'!AW66 )</f>
        <v>0.24511469838572644</v>
      </c>
      <c r="AZ117" s="46">
        <f>MEDIAN( 'REV-REVCALC_CWS'!AX29, 'REV-REVCALC_CWS'!AX66 )</f>
        <v>0.24511469838572644</v>
      </c>
      <c r="BA117" s="46">
        <f>MEDIAN( 'REV-REVCALC_CWS'!AY29, 'REV-REVCALC_CWS'!AY66 )</f>
        <v>0.20818181818181816</v>
      </c>
      <c r="BB117" s="46">
        <f>MEDIAN( 'REV-REVCALC_CWS'!AZ29, 'REV-REVCALC_CWS'!AZ66 )</f>
        <v>0.20818181818181816</v>
      </c>
      <c r="BC117" s="46">
        <f>MEDIAN( 'REV-REVCALC_CWS'!BA29, 'REV-REVCALC_CWS'!BA66 )</f>
        <v>0.20818181818181822</v>
      </c>
      <c r="BD117" s="46">
        <f>MEDIAN( 'REV-REVCALC_CWS'!BB29, 'REV-REVCALC_CWS'!BB66 )</f>
        <v>0.20818181818181822</v>
      </c>
      <c r="BE117" s="46">
        <f>MEDIAN( 'REV-REVCALC_CWS'!BC29, 'REV-REVCALC_CWS'!BC66 )</f>
        <v>0.20818181818181822</v>
      </c>
      <c r="BF117" s="46">
        <f>MEDIAN( 'REV-REVCALC_CWS'!BD29, 'REV-REVCALC_CWS'!BD66 )</f>
        <v>0.20818181818181822</v>
      </c>
      <c r="BG117" s="46">
        <f>MEDIAN( 'REV-REVCALC_CWS'!BE29, 'REV-REVCALC_CWS'!BE66 )</f>
        <v>0.20818181818181822</v>
      </c>
      <c r="BH117" s="46">
        <f>MEDIAN( 'REV-REVCALC_CWS'!BF29, 'REV-REVCALC_CWS'!BF66 )</f>
        <v>0.20818181818181822</v>
      </c>
      <c r="BI117" s="46">
        <f>MEDIAN( 'REV-REVCALC_CWS'!BG29, 'REV-REVCALC_CWS'!BG66 )</f>
        <v>0.20818181818181822</v>
      </c>
      <c r="BJ117" s="46">
        <f>MEDIAN( 'REV-REVCALC_CWS'!BH29, 'REV-REVCALC_CWS'!BH66 )</f>
        <v>0.20818181818181822</v>
      </c>
      <c r="BK117" s="46">
        <f>MEDIAN( 'REV-REVCALC_CWS'!BI29, 'REV-REVCALC_CWS'!BI66 )</f>
        <v>0.20818181818181822</v>
      </c>
      <c r="BL117" s="46">
        <f>MEDIAN( 'REV-REVCALC_CWS'!BJ29, 'REV-REVCALC_CWS'!BJ66 )</f>
        <v>0.20818181818181825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350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0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0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0</v>
      </c>
    </row>
    <row r="122" spans="2:65" s="33" customFormat="1" outlineLevel="1" x14ac:dyDescent="0.15">
      <c r="B122" s="14" t="s">
        <v>354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385000</v>
      </c>
      <c r="I125" s="70">
        <f>'REV-REVCALC_CWS'!G44 + 'REV-REVCALC_CWS'!G81</f>
        <v>540000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160328773.97840002</v>
      </c>
    </row>
    <row r="126" spans="2:65" s="33" customFormat="1" outlineLevel="1" x14ac:dyDescent="0.15">
      <c r="B126" s="47" t="s">
        <v>352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355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385000</v>
      </c>
      <c r="I127" s="70">
        <f t="shared" si="9"/>
        <v>540000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160328773.97840002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356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385000</v>
      </c>
      <c r="I129" s="104">
        <f t="shared" si="10"/>
        <v>1830000</v>
      </c>
      <c r="J129" s="104">
        <f t="shared" si="10"/>
        <v>3925000</v>
      </c>
      <c r="K129" s="104">
        <f t="shared" si="10"/>
        <v>3925000</v>
      </c>
      <c r="L129" s="104">
        <f t="shared" si="10"/>
        <v>3925000</v>
      </c>
      <c r="M129" s="104">
        <f t="shared" si="10"/>
        <v>3925000</v>
      </c>
      <c r="N129" s="104">
        <f t="shared" si="10"/>
        <v>3925000</v>
      </c>
      <c r="O129" s="104">
        <f t="shared" si="10"/>
        <v>3925000</v>
      </c>
      <c r="P129" s="104">
        <f t="shared" si="10"/>
        <v>3732500</v>
      </c>
      <c r="Q129" s="104">
        <f t="shared" si="10"/>
        <v>4140900</v>
      </c>
      <c r="R129" s="104">
        <f t="shared" si="10"/>
        <v>6620625</v>
      </c>
      <c r="S129" s="104">
        <f t="shared" si="10"/>
        <v>7449875</v>
      </c>
      <c r="T129" s="104">
        <f t="shared" si="10"/>
        <v>7449875</v>
      </c>
      <c r="U129" s="104">
        <f t="shared" si="10"/>
        <v>7449875</v>
      </c>
      <c r="V129" s="104">
        <f t="shared" si="10"/>
        <v>7449875</v>
      </c>
      <c r="W129" s="104">
        <f t="shared" si="10"/>
        <v>7449875</v>
      </c>
      <c r="X129" s="104">
        <f t="shared" si="10"/>
        <v>7449875</v>
      </c>
      <c r="Y129" s="104">
        <f t="shared" si="10"/>
        <v>7449875</v>
      </c>
      <c r="Z129" s="104">
        <f t="shared" si="10"/>
        <v>7449875</v>
      </c>
      <c r="AA129" s="104">
        <f t="shared" si="10"/>
        <v>7449875</v>
      </c>
      <c r="AB129" s="104">
        <f t="shared" si="10"/>
        <v>4970150</v>
      </c>
      <c r="AC129" s="104">
        <f t="shared" si="10"/>
        <v>11984240.750000002</v>
      </c>
      <c r="AD129" s="104">
        <f t="shared" si="10"/>
        <v>19162763.750000004</v>
      </c>
      <c r="AE129" s="104">
        <f t="shared" si="10"/>
        <v>21564191.5</v>
      </c>
      <c r="AF129" s="104">
        <f t="shared" si="10"/>
        <v>21564191.5</v>
      </c>
      <c r="AG129" s="104">
        <f t="shared" si="10"/>
        <v>21564191.5</v>
      </c>
      <c r="AH129" s="104">
        <f t="shared" si="10"/>
        <v>21564191.5</v>
      </c>
      <c r="AI129" s="104">
        <f t="shared" si="10"/>
        <v>21564191.5</v>
      </c>
      <c r="AJ129" s="104">
        <f t="shared" ref="AJ129:BL129" si="11">AJ127+AJ122+AJ116</f>
        <v>21564191.5</v>
      </c>
      <c r="AK129" s="104">
        <f t="shared" si="11"/>
        <v>21564191.5</v>
      </c>
      <c r="AL129" s="104">
        <f t="shared" si="11"/>
        <v>21564191.5</v>
      </c>
      <c r="AM129" s="104">
        <f t="shared" si="11"/>
        <v>21564191.5</v>
      </c>
      <c r="AN129" s="104">
        <f t="shared" si="11"/>
        <v>14371357.250000002</v>
      </c>
      <c r="AO129" s="104">
        <f t="shared" si="11"/>
        <v>14932072.025000002</v>
      </c>
      <c r="AP129" s="104">
        <f t="shared" si="11"/>
        <v>23890702.718500003</v>
      </c>
      <c r="AQ129" s="104">
        <f t="shared" si="11"/>
        <v>26875892.080500007</v>
      </c>
      <c r="AR129" s="104">
        <f t="shared" si="11"/>
        <v>26875892.080500007</v>
      </c>
      <c r="AS129" s="104">
        <f t="shared" si="11"/>
        <v>26875892.080500007</v>
      </c>
      <c r="AT129" s="104">
        <f t="shared" si="11"/>
        <v>26875892.080500007</v>
      </c>
      <c r="AU129" s="104">
        <f t="shared" si="11"/>
        <v>26875892.080500007</v>
      </c>
      <c r="AV129" s="104">
        <f t="shared" si="11"/>
        <v>26875892.080500007</v>
      </c>
      <c r="AW129" s="104">
        <f t="shared" si="11"/>
        <v>26875892.080500007</v>
      </c>
      <c r="AX129" s="104">
        <f t="shared" si="11"/>
        <v>26875892.080500007</v>
      </c>
      <c r="AY129" s="104">
        <f t="shared" si="11"/>
        <v>26875892.080500007</v>
      </c>
      <c r="AZ129" s="104">
        <f t="shared" si="11"/>
        <v>17917261.387000002</v>
      </c>
      <c r="BA129" s="104">
        <f t="shared" si="11"/>
        <v>12940404.843675001</v>
      </c>
      <c r="BB129" s="104">
        <f t="shared" si="11"/>
        <v>20709366.798700001</v>
      </c>
      <c r="BC129" s="104">
        <f t="shared" si="11"/>
        <v>23286567.611000005</v>
      </c>
      <c r="BD129" s="104">
        <f t="shared" si="11"/>
        <v>23286567.611000005</v>
      </c>
      <c r="BE129" s="104">
        <f t="shared" si="11"/>
        <v>23286567.611000005</v>
      </c>
      <c r="BF129" s="104">
        <f t="shared" si="11"/>
        <v>23286567.611000005</v>
      </c>
      <c r="BG129" s="104">
        <f t="shared" si="11"/>
        <v>23286567.611000005</v>
      </c>
      <c r="BH129" s="104">
        <f t="shared" si="11"/>
        <v>23286567.611000005</v>
      </c>
      <c r="BI129" s="104">
        <f t="shared" si="11"/>
        <v>23286567.611000005</v>
      </c>
      <c r="BJ129" s="104">
        <f t="shared" si="11"/>
        <v>23286567.611000005</v>
      </c>
      <c r="BK129" s="104">
        <f t="shared" si="11"/>
        <v>23286567.611000005</v>
      </c>
      <c r="BL129" s="104">
        <f t="shared" si="11"/>
        <v>15534646.920025006</v>
      </c>
      <c r="BM129" s="167">
        <f>SUM(D129:BL129)</f>
        <v>909260727.16640055</v>
      </c>
    </row>
    <row r="130" spans="1:65" s="33" customFormat="1" x14ac:dyDescent="0.15">
      <c r="BM130" s="65"/>
    </row>
    <row r="131" spans="1:65" x14ac:dyDescent="0.15">
      <c r="B131" s="16" t="s">
        <v>476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392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393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440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408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409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410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412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413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480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374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499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500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483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484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485</v>
      </c>
      <c r="J163" s="14"/>
      <c r="BM163" s="167"/>
    </row>
    <row r="164" spans="1:65" outlineLevel="1" x14ac:dyDescent="0.15">
      <c r="B164" s="47" t="s">
        <v>381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1184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486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482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985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460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-21678250</v>
      </c>
      <c r="I208" s="130">
        <f t="shared" si="23"/>
        <v>-15235916.666666668</v>
      </c>
      <c r="J208" s="104">
        <f t="shared" si="23"/>
        <v>-15140916.666666668</v>
      </c>
      <c r="K208" s="130">
        <f t="shared" si="23"/>
        <v>-14172250</v>
      </c>
      <c r="L208" s="130">
        <f t="shared" si="23"/>
        <v>-14172250</v>
      </c>
      <c r="M208" s="130">
        <f t="shared" si="23"/>
        <v>-14172250</v>
      </c>
      <c r="N208" s="130">
        <f t="shared" si="23"/>
        <v>-14172250</v>
      </c>
      <c r="O208" s="130">
        <f t="shared" si="23"/>
        <v>-14172250</v>
      </c>
      <c r="P208" s="130">
        <f t="shared" si="23"/>
        <v>-14364750</v>
      </c>
      <c r="Q208" s="130">
        <f t="shared" si="23"/>
        <v>-16296350</v>
      </c>
      <c r="R208" s="130">
        <f t="shared" si="23"/>
        <v>-13816625</v>
      </c>
      <c r="S208" s="130">
        <f t="shared" si="23"/>
        <v>-12987375</v>
      </c>
      <c r="T208" s="130">
        <f t="shared" si="23"/>
        <v>-11987375</v>
      </c>
      <c r="U208" s="130">
        <f t="shared" si="23"/>
        <v>-11987375</v>
      </c>
      <c r="V208" s="130">
        <f t="shared" si="23"/>
        <v>-11987375</v>
      </c>
      <c r="W208" s="130">
        <f t="shared" si="23"/>
        <v>-11987375</v>
      </c>
      <c r="X208" s="130">
        <f t="shared" si="23"/>
        <v>-11987375</v>
      </c>
      <c r="Y208" s="130">
        <f t="shared" si="23"/>
        <v>-11987375</v>
      </c>
      <c r="Z208" s="130">
        <f t="shared" si="23"/>
        <v>-11987375</v>
      </c>
      <c r="AA208" s="130">
        <f t="shared" si="23"/>
        <v>-11987375</v>
      </c>
      <c r="AB208" s="130">
        <f t="shared" si="23"/>
        <v>-14467100</v>
      </c>
      <c r="AC208" s="130">
        <f t="shared" si="23"/>
        <v>-12255809.249999998</v>
      </c>
      <c r="AD208" s="130">
        <f t="shared" si="23"/>
        <v>-5077286.2499999963</v>
      </c>
      <c r="AE208" s="130">
        <f t="shared" si="23"/>
        <v>-2675858.5</v>
      </c>
      <c r="AF208" s="130">
        <f t="shared" si="23"/>
        <v>-2675858.5</v>
      </c>
      <c r="AG208" s="130">
        <f t="shared" si="23"/>
        <v>-2675858.5</v>
      </c>
      <c r="AH208" s="130">
        <f t="shared" si="23"/>
        <v>-2675858.5</v>
      </c>
      <c r="AI208" s="130">
        <f t="shared" si="23"/>
        <v>-2675858.5</v>
      </c>
      <c r="AJ208" s="130">
        <f t="shared" ref="AJ208:BL208" si="24">AJ129-AJ206</f>
        <v>-2675858.5</v>
      </c>
      <c r="AK208" s="130">
        <f t="shared" si="24"/>
        <v>-2675858.5</v>
      </c>
      <c r="AL208" s="130">
        <f t="shared" si="24"/>
        <v>-2675858.5</v>
      </c>
      <c r="AM208" s="130">
        <f t="shared" si="24"/>
        <v>-2675858.5</v>
      </c>
      <c r="AN208" s="130">
        <f t="shared" si="24"/>
        <v>-9868692.7499999981</v>
      </c>
      <c r="AO208" s="130">
        <f t="shared" si="24"/>
        <v>-10605053.974999998</v>
      </c>
      <c r="AP208" s="130">
        <f t="shared" si="24"/>
        <v>-1646423.2814999968</v>
      </c>
      <c r="AQ208" s="130">
        <f t="shared" si="24"/>
        <v>1338766.0805000067</v>
      </c>
      <c r="AR208" s="130">
        <f t="shared" si="24"/>
        <v>1338766.0805000067</v>
      </c>
      <c r="AS208" s="130">
        <f t="shared" si="24"/>
        <v>1338766.0805000067</v>
      </c>
      <c r="AT208" s="130">
        <f t="shared" si="24"/>
        <v>1338766.0805000067</v>
      </c>
      <c r="AU208" s="130">
        <f t="shared" si="24"/>
        <v>1338766.0805000067</v>
      </c>
      <c r="AV208" s="130">
        <f t="shared" si="24"/>
        <v>1338766.0805000067</v>
      </c>
      <c r="AW208" s="130">
        <f t="shared" si="24"/>
        <v>1338766.0805000067</v>
      </c>
      <c r="AX208" s="130">
        <f t="shared" si="24"/>
        <v>1338766.0805000067</v>
      </c>
      <c r="AY208" s="130">
        <f t="shared" si="24"/>
        <v>1338766.0805000067</v>
      </c>
      <c r="AZ208" s="130">
        <f t="shared" si="24"/>
        <v>-7619864.612999998</v>
      </c>
      <c r="BA208" s="130">
        <f t="shared" si="24"/>
        <v>-14002742.476325003</v>
      </c>
      <c r="BB208" s="130">
        <f t="shared" si="24"/>
        <v>-6233780.5213000029</v>
      </c>
      <c r="BC208" s="130">
        <f t="shared" si="24"/>
        <v>-3656579.7089999989</v>
      </c>
      <c r="BD208" s="130">
        <f t="shared" si="24"/>
        <v>-3656579.7089999989</v>
      </c>
      <c r="BE208" s="130">
        <f t="shared" si="24"/>
        <v>-3656579.7089999989</v>
      </c>
      <c r="BF208" s="130">
        <f t="shared" si="24"/>
        <v>-3656579.7089999989</v>
      </c>
      <c r="BG208" s="130">
        <f t="shared" si="24"/>
        <v>-3656579.7089999989</v>
      </c>
      <c r="BH208" s="130">
        <f t="shared" si="24"/>
        <v>-3656579.7089999989</v>
      </c>
      <c r="BI208" s="130">
        <f t="shared" si="24"/>
        <v>-3656579.7089999989</v>
      </c>
      <c r="BJ208" s="130">
        <f t="shared" si="24"/>
        <v>-3656579.7089999989</v>
      </c>
      <c r="BK208" s="130">
        <f t="shared" si="24"/>
        <v>-3656579.7089999989</v>
      </c>
      <c r="BL208" s="130">
        <f t="shared" si="24"/>
        <v>-11408500.399974998</v>
      </c>
      <c r="BM208" s="167">
        <f>SUM(D208:BL208)</f>
        <v>-414408736.00693321</v>
      </c>
    </row>
    <row r="209" spans="2:65" x14ac:dyDescent="0.15">
      <c r="B209" s="14" t="s">
        <v>983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-21678250</v>
      </c>
      <c r="I209" s="130">
        <f t="shared" si="25"/>
        <v>-36914166.666666672</v>
      </c>
      <c r="J209" s="104">
        <f t="shared" si="25"/>
        <v>-52055083.333333343</v>
      </c>
      <c r="K209" s="130">
        <f t="shared" si="25"/>
        <v>-66227333.333333343</v>
      </c>
      <c r="L209" s="130">
        <f t="shared" si="25"/>
        <v>-80399583.333333343</v>
      </c>
      <c r="M209" s="130">
        <f t="shared" si="25"/>
        <v>-94571833.333333343</v>
      </c>
      <c r="N209" s="130">
        <f t="shared" si="25"/>
        <v>-108744083.33333334</v>
      </c>
      <c r="O209" s="130">
        <f t="shared" si="25"/>
        <v>-122916333.33333334</v>
      </c>
      <c r="P209" s="130">
        <f t="shared" si="25"/>
        <v>-137281083.33333334</v>
      </c>
      <c r="Q209" s="130">
        <f t="shared" si="25"/>
        <v>-153577433.33333334</v>
      </c>
      <c r="R209" s="130">
        <f t="shared" si="25"/>
        <v>-167394058.33333334</v>
      </c>
      <c r="S209" s="130">
        <f t="shared" si="25"/>
        <v>-180381433.33333334</v>
      </c>
      <c r="T209" s="130">
        <f t="shared" si="25"/>
        <v>-192368808.33333334</v>
      </c>
      <c r="U209" s="130">
        <f t="shared" si="25"/>
        <v>-204356183.33333334</v>
      </c>
      <c r="V209" s="130">
        <f t="shared" si="25"/>
        <v>-216343558.33333334</v>
      </c>
      <c r="W209" s="130">
        <f t="shared" si="25"/>
        <v>-228330933.33333334</v>
      </c>
      <c r="X209" s="130">
        <f t="shared" si="25"/>
        <v>-240318308.33333334</v>
      </c>
      <c r="Y209" s="130">
        <f t="shared" si="25"/>
        <v>-252305683.33333334</v>
      </c>
      <c r="Z209" s="130">
        <f t="shared" si="25"/>
        <v>-264293058.33333334</v>
      </c>
      <c r="AA209" s="130">
        <f t="shared" si="25"/>
        <v>-276280433.33333337</v>
      </c>
      <c r="AB209" s="130">
        <f t="shared" si="25"/>
        <v>-290747533.33333337</v>
      </c>
      <c r="AC209" s="130">
        <f t="shared" si="25"/>
        <v>-303003342.58333337</v>
      </c>
      <c r="AD209" s="130">
        <f t="shared" si="25"/>
        <v>-308080628.83333337</v>
      </c>
      <c r="AE209" s="130">
        <f t="shared" si="25"/>
        <v>-310756487.33333337</v>
      </c>
      <c r="AF209" s="130">
        <f t="shared" si="25"/>
        <v>-313432345.83333337</v>
      </c>
      <c r="AG209" s="130">
        <f t="shared" si="25"/>
        <v>-316108204.33333337</v>
      </c>
      <c r="AH209" s="130">
        <f t="shared" si="25"/>
        <v>-318784062.83333337</v>
      </c>
      <c r="AI209" s="130">
        <f t="shared" si="25"/>
        <v>-321459921.33333337</v>
      </c>
      <c r="AJ209" s="130">
        <f t="shared" si="25"/>
        <v>-324135779.83333337</v>
      </c>
      <c r="AK209" s="130">
        <f t="shared" ref="AK209:BL209" si="26">AK208+AJ209</f>
        <v>-326811638.33333337</v>
      </c>
      <c r="AL209" s="130">
        <f t="shared" si="26"/>
        <v>-329487496.83333337</v>
      </c>
      <c r="AM209" s="130">
        <f t="shared" si="26"/>
        <v>-332163355.33333337</v>
      </c>
      <c r="AN209" s="130">
        <f t="shared" si="26"/>
        <v>-342032048.08333337</v>
      </c>
      <c r="AO209" s="130">
        <f t="shared" si="26"/>
        <v>-352637102.0583334</v>
      </c>
      <c r="AP209" s="130">
        <f t="shared" si="26"/>
        <v>-354283525.33983338</v>
      </c>
      <c r="AQ209" s="130">
        <f t="shared" si="26"/>
        <v>-352944759.25933337</v>
      </c>
      <c r="AR209" s="130">
        <f t="shared" si="26"/>
        <v>-351605993.17883337</v>
      </c>
      <c r="AS209" s="130">
        <f t="shared" si="26"/>
        <v>-350267227.09833336</v>
      </c>
      <c r="AT209" s="130">
        <f t="shared" si="26"/>
        <v>-348928461.01783335</v>
      </c>
      <c r="AU209" s="130">
        <f t="shared" si="26"/>
        <v>-347589694.93733335</v>
      </c>
      <c r="AV209" s="130">
        <f t="shared" si="26"/>
        <v>-346250928.85683334</v>
      </c>
      <c r="AW209" s="130">
        <f t="shared" si="26"/>
        <v>-344912162.77633333</v>
      </c>
      <c r="AX209" s="130">
        <f t="shared" si="26"/>
        <v>-343573396.69583333</v>
      </c>
      <c r="AY209" s="130">
        <f t="shared" si="26"/>
        <v>-342234630.61533332</v>
      </c>
      <c r="AZ209" s="130">
        <f t="shared" si="26"/>
        <v>-349854495.22833329</v>
      </c>
      <c r="BA209" s="130">
        <f t="shared" si="26"/>
        <v>-363857237.70465827</v>
      </c>
      <c r="BB209" s="130">
        <f t="shared" si="26"/>
        <v>-370091018.22595829</v>
      </c>
      <c r="BC209" s="130">
        <f t="shared" si="26"/>
        <v>-373747597.93495828</v>
      </c>
      <c r="BD209" s="130">
        <f t="shared" si="26"/>
        <v>-377404177.64395827</v>
      </c>
      <c r="BE209" s="130">
        <f t="shared" si="26"/>
        <v>-381060757.35295826</v>
      </c>
      <c r="BF209" s="130">
        <f t="shared" si="26"/>
        <v>-384717337.06195825</v>
      </c>
      <c r="BG209" s="130">
        <f t="shared" si="26"/>
        <v>-388373916.77095824</v>
      </c>
      <c r="BH209" s="130">
        <f t="shared" si="26"/>
        <v>-392030496.47995824</v>
      </c>
      <c r="BI209" s="130">
        <f t="shared" si="26"/>
        <v>-395687076.18895823</v>
      </c>
      <c r="BJ209" s="130">
        <f t="shared" si="26"/>
        <v>-399343655.89795822</v>
      </c>
      <c r="BK209" s="130">
        <f t="shared" si="26"/>
        <v>-403000235.60695821</v>
      </c>
      <c r="BL209" s="130">
        <f t="shared" si="26"/>
        <v>-414408736.00693321</v>
      </c>
      <c r="BM209" s="167">
        <f>SUM(D209:BL209)</f>
        <v>-16062545106.438673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820</v>
      </c>
    </row>
    <row r="3" spans="2:63" x14ac:dyDescent="0.15">
      <c r="B3" s="136" t="s">
        <v>443</v>
      </c>
    </row>
    <row r="4" spans="2:63" x14ac:dyDescent="0.15">
      <c r="B4" s="135" t="s">
        <v>821</v>
      </c>
    </row>
    <row r="5" spans="2:63" x14ac:dyDescent="0.15">
      <c r="B5" s="136" t="s">
        <v>460</v>
      </c>
      <c r="C5" s="121">
        <f>C35</f>
        <v>0</v>
      </c>
      <c r="D5" s="121">
        <f>SUM(D35:O35)</f>
        <v>-137281083.33333334</v>
      </c>
      <c r="E5" s="121">
        <f>SUM(P35:AA35)</f>
        <v>-153466450</v>
      </c>
      <c r="F5" s="121">
        <f>SUM(AB35:AM35)</f>
        <v>-51284514.749999993</v>
      </c>
      <c r="G5" s="121">
        <f>SUM(AN35:AY35)</f>
        <v>-7822447.1449999325</v>
      </c>
      <c r="H5" s="121">
        <f>SUM(AZ35:BK35)</f>
        <v>-64554240.778599992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822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475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462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463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464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805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1017</v>
      </c>
      <c r="C15" s="121">
        <f t="shared" ref="C15:H15" si="1">C5+C13</f>
        <v>0</v>
      </c>
      <c r="D15" s="121">
        <f t="shared" si="1"/>
        <v>-135692500</v>
      </c>
      <c r="E15" s="121">
        <f t="shared" si="1"/>
        <v>-151339450</v>
      </c>
      <c r="F15" s="121">
        <f t="shared" si="1"/>
        <v>-49157514.749999993</v>
      </c>
      <c r="G15" s="121">
        <f t="shared" si="1"/>
        <v>-5695447.1449999325</v>
      </c>
      <c r="H15" s="121">
        <f t="shared" si="1"/>
        <v>-62427240.778599992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824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465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1019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1030</v>
      </c>
      <c r="C23" s="121">
        <f ca="1">C53</f>
        <v>76160000</v>
      </c>
      <c r="D23" s="121">
        <f ca="1">SUM(D53:O53)</f>
        <v>99925975</v>
      </c>
      <c r="E23" s="121">
        <f ca="1">SUM(P53:AA53)</f>
        <v>121580975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466</v>
      </c>
      <c r="C25" s="121">
        <f ca="1">+C23+C20+C15</f>
        <v>76160000</v>
      </c>
      <c r="D25" s="121">
        <f ca="1">+D23+D20+D15</f>
        <v>-46401525</v>
      </c>
      <c r="E25" s="121">
        <f ca="1">+E23+E20+E15</f>
        <v>-29758475</v>
      </c>
      <c r="F25" s="121">
        <f t="shared" ref="F25:H25" ca="1" si="3">+F23+F20+F15</f>
        <v>-49157514.749999993</v>
      </c>
      <c r="G25" s="121">
        <f t="shared" ca="1" si="3"/>
        <v>-5695447.1449999325</v>
      </c>
      <c r="H25" s="121">
        <f t="shared" ca="1" si="3"/>
        <v>-62427240.778599992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468</v>
      </c>
      <c r="C27" s="121">
        <v>0</v>
      </c>
      <c r="D27" s="121">
        <f ca="1">+C28</f>
        <v>76160000</v>
      </c>
      <c r="E27" s="121">
        <f t="shared" ref="E27:H27" ca="1" si="4">+D28</f>
        <v>29758475</v>
      </c>
      <c r="F27" s="121">
        <f t="shared" ca="1" si="4"/>
        <v>0</v>
      </c>
      <c r="G27" s="121">
        <f t="shared" ca="1" si="4"/>
        <v>-49157514.749999993</v>
      </c>
      <c r="H27" s="121">
        <f t="shared" ca="1" si="4"/>
        <v>-54852961.894999921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467</v>
      </c>
      <c r="C28" s="121">
        <f ca="1">C25</f>
        <v>76160000</v>
      </c>
      <c r="D28" s="121">
        <f ca="1">+D27+D25</f>
        <v>29758475</v>
      </c>
      <c r="E28" s="121">
        <f t="shared" ref="E28:H28" ca="1" si="5">+E27+E25</f>
        <v>0</v>
      </c>
      <c r="F28" s="121">
        <f t="shared" ca="1" si="5"/>
        <v>-49157514.749999993</v>
      </c>
      <c r="G28" s="121">
        <f t="shared" ca="1" si="5"/>
        <v>-54852961.894999921</v>
      </c>
      <c r="H28" s="121">
        <f t="shared" ca="1" si="5"/>
        <v>-117280202.67359991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90" t="s">
        <v>35</v>
      </c>
      <c r="E30" s="390"/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 t="s">
        <v>36</v>
      </c>
      <c r="Q30" s="390"/>
      <c r="R30" s="390"/>
      <c r="S30" s="390"/>
      <c r="T30" s="390"/>
      <c r="U30" s="390"/>
      <c r="V30" s="390"/>
      <c r="W30" s="390"/>
      <c r="X30" s="390"/>
      <c r="Y30" s="390"/>
      <c r="Z30" s="390"/>
      <c r="AA30" s="390"/>
      <c r="AB30" s="390" t="s">
        <v>37</v>
      </c>
      <c r="AC30" s="390"/>
      <c r="AD30" s="390"/>
      <c r="AE30" s="390"/>
      <c r="AF30" s="390"/>
      <c r="AG30" s="390"/>
      <c r="AH30" s="390"/>
      <c r="AI30" s="390"/>
      <c r="AJ30" s="390"/>
      <c r="AK30" s="390"/>
      <c r="AL30" s="390"/>
      <c r="AM30" s="390"/>
      <c r="AN30" s="390" t="s">
        <v>38</v>
      </c>
      <c r="AO30" s="390"/>
      <c r="AP30" s="390"/>
      <c r="AQ30" s="390"/>
      <c r="AR30" s="390"/>
      <c r="AS30" s="390"/>
      <c r="AT30" s="390"/>
      <c r="AU30" s="390"/>
      <c r="AV30" s="390"/>
      <c r="AW30" s="390"/>
      <c r="AX30" s="390"/>
      <c r="AY30" s="390"/>
      <c r="AZ30" s="390" t="s">
        <v>39</v>
      </c>
      <c r="BA30" s="390"/>
      <c r="BB30" s="390"/>
      <c r="BC30" s="390"/>
      <c r="BD30" s="390"/>
      <c r="BE30" s="390"/>
      <c r="BF30" s="390"/>
      <c r="BG30" s="390"/>
      <c r="BH30" s="390"/>
      <c r="BI30" s="390"/>
      <c r="BJ30" s="390"/>
      <c r="BK30" s="39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820</v>
      </c>
      <c r="C32" s="75"/>
      <c r="D32" s="390" t="s">
        <v>35</v>
      </c>
      <c r="E32" s="390"/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 t="s">
        <v>36</v>
      </c>
      <c r="Q32" s="390"/>
      <c r="R32" s="390"/>
      <c r="S32" s="390"/>
      <c r="T32" s="390"/>
      <c r="U32" s="390"/>
      <c r="V32" s="390"/>
      <c r="W32" s="390"/>
      <c r="X32" s="390"/>
      <c r="Y32" s="390"/>
      <c r="Z32" s="390"/>
      <c r="AA32" s="390"/>
      <c r="AB32" s="390" t="s">
        <v>37</v>
      </c>
      <c r="AC32" s="390"/>
      <c r="AD32" s="390"/>
      <c r="AE32" s="390"/>
      <c r="AF32" s="390"/>
      <c r="AG32" s="390"/>
      <c r="AH32" s="390"/>
      <c r="AI32" s="390"/>
      <c r="AJ32" s="390"/>
      <c r="AK32" s="390"/>
      <c r="AL32" s="390"/>
      <c r="AM32" s="390"/>
      <c r="AN32" s="390" t="s">
        <v>38</v>
      </c>
      <c r="AO32" s="390"/>
      <c r="AP32" s="390"/>
      <c r="AQ32" s="390"/>
      <c r="AR32" s="390"/>
      <c r="AS32" s="390"/>
      <c r="AT32" s="390"/>
      <c r="AU32" s="390"/>
      <c r="AV32" s="390"/>
      <c r="AW32" s="390"/>
      <c r="AX32" s="390"/>
      <c r="AY32" s="390"/>
      <c r="AZ32" s="390" t="s">
        <v>39</v>
      </c>
      <c r="BA32" s="390"/>
      <c r="BB32" s="390"/>
      <c r="BC32" s="390"/>
      <c r="BD32" s="390"/>
      <c r="BE32" s="390"/>
      <c r="BF32" s="390"/>
      <c r="BG32" s="390"/>
      <c r="BH32" s="390"/>
      <c r="BI32" s="390"/>
      <c r="BJ32" s="390"/>
      <c r="BK32" s="390"/>
    </row>
    <row r="33" spans="2:63" x14ac:dyDescent="0.15">
      <c r="B33" s="136" t="s">
        <v>443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821</v>
      </c>
    </row>
    <row r="35" spans="2:63" x14ac:dyDescent="0.15">
      <c r="B35" s="136" t="s">
        <v>460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-21678250</v>
      </c>
      <c r="H35" s="121">
        <f>'FIN-P&amp;L_CWS'!I208</f>
        <v>-15235916.666666668</v>
      </c>
      <c r="I35" s="121">
        <f>'FIN-P&amp;L_CWS'!J208</f>
        <v>-15140916.666666668</v>
      </c>
      <c r="J35" s="121">
        <f>'FIN-P&amp;L_CWS'!K208</f>
        <v>-14172250</v>
      </c>
      <c r="K35" s="121">
        <f>'FIN-P&amp;L_CWS'!L208</f>
        <v>-14172250</v>
      </c>
      <c r="L35" s="121">
        <f>'FIN-P&amp;L_CWS'!M208</f>
        <v>-14172250</v>
      </c>
      <c r="M35" s="121">
        <f>'FIN-P&amp;L_CWS'!N208</f>
        <v>-14172250</v>
      </c>
      <c r="N35" s="121">
        <f>'FIN-P&amp;L_CWS'!O208</f>
        <v>-14172250</v>
      </c>
      <c r="O35" s="121">
        <f>'FIN-P&amp;L_CWS'!P208</f>
        <v>-14364750</v>
      </c>
      <c r="P35" s="121">
        <f>'FIN-P&amp;L_CWS'!Q208</f>
        <v>-16296350</v>
      </c>
      <c r="Q35" s="121">
        <f>'FIN-P&amp;L_CWS'!R208</f>
        <v>-13816625</v>
      </c>
      <c r="R35" s="121">
        <f>'FIN-P&amp;L_CWS'!S208</f>
        <v>-12987375</v>
      </c>
      <c r="S35" s="121">
        <f>'FIN-P&amp;L_CWS'!T208</f>
        <v>-11987375</v>
      </c>
      <c r="T35" s="121">
        <f>'FIN-P&amp;L_CWS'!U208</f>
        <v>-11987375</v>
      </c>
      <c r="U35" s="121">
        <f>'FIN-P&amp;L_CWS'!V208</f>
        <v>-11987375</v>
      </c>
      <c r="V35" s="121">
        <f>'FIN-P&amp;L_CWS'!W208</f>
        <v>-11987375</v>
      </c>
      <c r="W35" s="121">
        <f>'FIN-P&amp;L_CWS'!X208</f>
        <v>-11987375</v>
      </c>
      <c r="X35" s="121">
        <f>'FIN-P&amp;L_CWS'!Y208</f>
        <v>-11987375</v>
      </c>
      <c r="Y35" s="121">
        <f>'FIN-P&amp;L_CWS'!Z208</f>
        <v>-11987375</v>
      </c>
      <c r="Z35" s="121">
        <f>'FIN-P&amp;L_CWS'!AA208</f>
        <v>-11987375</v>
      </c>
      <c r="AA35" s="121">
        <f>'FIN-P&amp;L_CWS'!AB208</f>
        <v>-14467100</v>
      </c>
      <c r="AB35" s="121">
        <f>'FIN-P&amp;L_CWS'!AC208</f>
        <v>-12255809.249999998</v>
      </c>
      <c r="AC35" s="121">
        <f>'FIN-P&amp;L_CWS'!AD208</f>
        <v>-5077286.2499999963</v>
      </c>
      <c r="AD35" s="121">
        <f>'FIN-P&amp;L_CWS'!AE208</f>
        <v>-2675858.5</v>
      </c>
      <c r="AE35" s="121">
        <f>'FIN-P&amp;L_CWS'!AF208</f>
        <v>-2675858.5</v>
      </c>
      <c r="AF35" s="121">
        <f>'FIN-P&amp;L_CWS'!AG208</f>
        <v>-2675858.5</v>
      </c>
      <c r="AG35" s="121">
        <f>'FIN-P&amp;L_CWS'!AH208</f>
        <v>-2675858.5</v>
      </c>
      <c r="AH35" s="121">
        <f>'FIN-P&amp;L_CWS'!AI208</f>
        <v>-2675858.5</v>
      </c>
      <c r="AI35" s="121">
        <f>'FIN-P&amp;L_CWS'!AJ208</f>
        <v>-2675858.5</v>
      </c>
      <c r="AJ35" s="121">
        <f>'FIN-P&amp;L_CWS'!AK208</f>
        <v>-2675858.5</v>
      </c>
      <c r="AK35" s="121">
        <f>'FIN-P&amp;L_CWS'!AL208</f>
        <v>-2675858.5</v>
      </c>
      <c r="AL35" s="121">
        <f>'FIN-P&amp;L_CWS'!AM208</f>
        <v>-2675858.5</v>
      </c>
      <c r="AM35" s="121">
        <f>'FIN-P&amp;L_CWS'!AN208</f>
        <v>-9868692.7499999981</v>
      </c>
      <c r="AN35" s="121">
        <f>'FIN-P&amp;L_CWS'!AO208</f>
        <v>-10605053.974999998</v>
      </c>
      <c r="AO35" s="121">
        <f>'FIN-P&amp;L_CWS'!AP208</f>
        <v>-1646423.2814999968</v>
      </c>
      <c r="AP35" s="121">
        <f>'FIN-P&amp;L_CWS'!AQ208</f>
        <v>1338766.0805000067</v>
      </c>
      <c r="AQ35" s="121">
        <f>'FIN-P&amp;L_CWS'!AR208</f>
        <v>1338766.0805000067</v>
      </c>
      <c r="AR35" s="121">
        <f>'FIN-P&amp;L_CWS'!AS208</f>
        <v>1338766.0805000067</v>
      </c>
      <c r="AS35" s="121">
        <f>'FIN-P&amp;L_CWS'!AT208</f>
        <v>1338766.0805000067</v>
      </c>
      <c r="AT35" s="121">
        <f>'FIN-P&amp;L_CWS'!AU208</f>
        <v>1338766.0805000067</v>
      </c>
      <c r="AU35" s="121">
        <f>'FIN-P&amp;L_CWS'!AV208</f>
        <v>1338766.0805000067</v>
      </c>
      <c r="AV35" s="121">
        <f>'FIN-P&amp;L_CWS'!AW208</f>
        <v>1338766.0805000067</v>
      </c>
      <c r="AW35" s="121">
        <f>'FIN-P&amp;L_CWS'!AX208</f>
        <v>1338766.0805000067</v>
      </c>
      <c r="AX35" s="121">
        <f>'FIN-P&amp;L_CWS'!AY208</f>
        <v>1338766.0805000067</v>
      </c>
      <c r="AY35" s="121">
        <f>'FIN-P&amp;L_CWS'!AZ208</f>
        <v>-7619864.612999998</v>
      </c>
      <c r="AZ35" s="121">
        <f>'FIN-P&amp;L_CWS'!BA208</f>
        <v>-14002742.476325003</v>
      </c>
      <c r="BA35" s="121">
        <f>'FIN-P&amp;L_CWS'!BB208</f>
        <v>-6233780.5213000029</v>
      </c>
      <c r="BB35" s="121">
        <f>'FIN-P&amp;L_CWS'!BC208</f>
        <v>-3656579.7089999989</v>
      </c>
      <c r="BC35" s="121">
        <f>'FIN-P&amp;L_CWS'!BD208</f>
        <v>-3656579.7089999989</v>
      </c>
      <c r="BD35" s="121">
        <f>'FIN-P&amp;L_CWS'!BE208</f>
        <v>-3656579.7089999989</v>
      </c>
      <c r="BE35" s="121">
        <f>'FIN-P&amp;L_CWS'!BF208</f>
        <v>-3656579.7089999989</v>
      </c>
      <c r="BF35" s="121">
        <f>'FIN-P&amp;L_CWS'!BG208</f>
        <v>-3656579.7089999989</v>
      </c>
      <c r="BG35" s="121">
        <f>'FIN-P&amp;L_CWS'!BH208</f>
        <v>-3656579.7089999989</v>
      </c>
      <c r="BH35" s="121">
        <f>'FIN-P&amp;L_CWS'!BI208</f>
        <v>-3656579.7089999989</v>
      </c>
      <c r="BI35" s="121">
        <f>'FIN-P&amp;L_CWS'!BJ208</f>
        <v>-3656579.7089999989</v>
      </c>
      <c r="BJ35" s="121">
        <f>'FIN-P&amp;L_CWS'!BK208</f>
        <v>-3656579.7089999989</v>
      </c>
      <c r="BK35" s="121">
        <f>'FIN-P&amp;L_CWS'!BL208</f>
        <v>-11408500.399974998</v>
      </c>
    </row>
    <row r="36" spans="2:63" x14ac:dyDescent="0.15">
      <c r="B36" s="136" t="s">
        <v>443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475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463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464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805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1017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-21505000</v>
      </c>
      <c r="H45" s="121">
        <f t="shared" si="7"/>
        <v>-15060000.000000002</v>
      </c>
      <c r="I45" s="121">
        <f t="shared" si="7"/>
        <v>-14965000.000000002</v>
      </c>
      <c r="J45" s="121">
        <f t="shared" si="7"/>
        <v>-13995000</v>
      </c>
      <c r="K45" s="121">
        <f t="shared" si="7"/>
        <v>-13995000</v>
      </c>
      <c r="L45" s="121">
        <f t="shared" si="7"/>
        <v>-13995000</v>
      </c>
      <c r="M45" s="121">
        <f t="shared" si="7"/>
        <v>-13995000</v>
      </c>
      <c r="N45" s="121">
        <f t="shared" si="7"/>
        <v>-13995000</v>
      </c>
      <c r="O45" s="121">
        <f t="shared" si="7"/>
        <v>-14187500</v>
      </c>
      <c r="P45" s="121">
        <f t="shared" si="7"/>
        <v>-16119100</v>
      </c>
      <c r="Q45" s="121">
        <f t="shared" si="7"/>
        <v>-13639375</v>
      </c>
      <c r="R45" s="121">
        <f t="shared" si="7"/>
        <v>-12810125</v>
      </c>
      <c r="S45" s="121">
        <f t="shared" si="7"/>
        <v>-11810125</v>
      </c>
      <c r="T45" s="121">
        <f t="shared" si="7"/>
        <v>-11810125</v>
      </c>
      <c r="U45" s="121">
        <f t="shared" si="7"/>
        <v>-11810125</v>
      </c>
      <c r="V45" s="121">
        <f t="shared" si="7"/>
        <v>-11810125</v>
      </c>
      <c r="W45" s="121">
        <f t="shared" si="7"/>
        <v>-11810125</v>
      </c>
      <c r="X45" s="121">
        <f t="shared" si="7"/>
        <v>-11810125</v>
      </c>
      <c r="Y45" s="121">
        <f t="shared" si="7"/>
        <v>-11810125</v>
      </c>
      <c r="Z45" s="121">
        <f t="shared" si="7"/>
        <v>-11810125</v>
      </c>
      <c r="AA45" s="121">
        <f t="shared" si="7"/>
        <v>-14289850</v>
      </c>
      <c r="AB45" s="121">
        <f t="shared" si="7"/>
        <v>-12078559.249999998</v>
      </c>
      <c r="AC45" s="121">
        <f t="shared" si="7"/>
        <v>-4900036.2499999963</v>
      </c>
      <c r="AD45" s="121">
        <f t="shared" si="7"/>
        <v>-2498608.5</v>
      </c>
      <c r="AE45" s="121">
        <f t="shared" si="7"/>
        <v>-2498608.5</v>
      </c>
      <c r="AF45" s="121">
        <f t="shared" si="7"/>
        <v>-2498608.5</v>
      </c>
      <c r="AG45" s="121">
        <f t="shared" si="7"/>
        <v>-2498608.5</v>
      </c>
      <c r="AH45" s="121">
        <f t="shared" si="7"/>
        <v>-2498608.5</v>
      </c>
      <c r="AI45" s="121">
        <f t="shared" ref="AI45:BK45" si="8">AI35+AI43</f>
        <v>-2498608.5</v>
      </c>
      <c r="AJ45" s="121">
        <f t="shared" si="8"/>
        <v>-2498608.5</v>
      </c>
      <c r="AK45" s="121">
        <f t="shared" si="8"/>
        <v>-2498608.5</v>
      </c>
      <c r="AL45" s="121">
        <f t="shared" si="8"/>
        <v>-2498608.5</v>
      </c>
      <c r="AM45" s="121">
        <f t="shared" si="8"/>
        <v>-9691442.7499999981</v>
      </c>
      <c r="AN45" s="121">
        <f t="shared" si="8"/>
        <v>-10427803.974999998</v>
      </c>
      <c r="AO45" s="121">
        <f t="shared" si="8"/>
        <v>-1469173.2814999968</v>
      </c>
      <c r="AP45" s="121">
        <f t="shared" si="8"/>
        <v>1516016.0805000067</v>
      </c>
      <c r="AQ45" s="121">
        <f t="shared" si="8"/>
        <v>1516016.0805000067</v>
      </c>
      <c r="AR45" s="121">
        <f t="shared" si="8"/>
        <v>1516016.0805000067</v>
      </c>
      <c r="AS45" s="121">
        <f t="shared" si="8"/>
        <v>1516016.0805000067</v>
      </c>
      <c r="AT45" s="121">
        <f t="shared" si="8"/>
        <v>1516016.0805000067</v>
      </c>
      <c r="AU45" s="121">
        <f t="shared" si="8"/>
        <v>1516016.0805000067</v>
      </c>
      <c r="AV45" s="121">
        <f t="shared" si="8"/>
        <v>1516016.0805000067</v>
      </c>
      <c r="AW45" s="121">
        <f t="shared" si="8"/>
        <v>1516016.0805000067</v>
      </c>
      <c r="AX45" s="121">
        <f t="shared" si="8"/>
        <v>1516016.0805000067</v>
      </c>
      <c r="AY45" s="121">
        <f t="shared" si="8"/>
        <v>-7442614.612999998</v>
      </c>
      <c r="AZ45" s="121">
        <f t="shared" si="8"/>
        <v>-13825492.476325003</v>
      </c>
      <c r="BA45" s="121">
        <f t="shared" si="8"/>
        <v>-6056530.5213000029</v>
      </c>
      <c r="BB45" s="121">
        <f t="shared" si="8"/>
        <v>-3479329.7089999989</v>
      </c>
      <c r="BC45" s="121">
        <f t="shared" si="8"/>
        <v>-3479329.7089999989</v>
      </c>
      <c r="BD45" s="121">
        <f t="shared" si="8"/>
        <v>-3479329.7089999989</v>
      </c>
      <c r="BE45" s="121">
        <f t="shared" si="8"/>
        <v>-3479329.7089999989</v>
      </c>
      <c r="BF45" s="121">
        <f t="shared" si="8"/>
        <v>-3479329.7089999989</v>
      </c>
      <c r="BG45" s="121">
        <f t="shared" si="8"/>
        <v>-3479329.7089999989</v>
      </c>
      <c r="BH45" s="121">
        <f t="shared" si="8"/>
        <v>-3479329.7089999989</v>
      </c>
      <c r="BI45" s="121">
        <f t="shared" si="8"/>
        <v>-3479329.7089999989</v>
      </c>
      <c r="BJ45" s="121">
        <f t="shared" si="8"/>
        <v>-3479329.7089999989</v>
      </c>
      <c r="BK45" s="121">
        <f t="shared" si="8"/>
        <v>-11231250.399974998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824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465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1018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826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1030</v>
      </c>
      <c r="C53" s="121">
        <f ca="1">'FIN-VALUE_CWS'!C15</f>
        <v>76160000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99925975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121580975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466</v>
      </c>
      <c r="C55" s="121">
        <f ca="1">+C45+C50+C53</f>
        <v>76160000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-31900000</v>
      </c>
      <c r="H55" s="121">
        <f t="shared" ca="1" si="10"/>
        <v>-15220000.000000002</v>
      </c>
      <c r="I55" s="121">
        <f t="shared" ca="1" si="10"/>
        <v>-14965000.000000002</v>
      </c>
      <c r="J55" s="121">
        <f t="shared" ca="1" si="10"/>
        <v>-14075000</v>
      </c>
      <c r="K55" s="121">
        <f t="shared" ca="1" si="10"/>
        <v>85930975</v>
      </c>
      <c r="L55" s="121">
        <f t="shared" ca="1" si="10"/>
        <v>-13995000</v>
      </c>
      <c r="M55" s="121">
        <f t="shared" ca="1" si="10"/>
        <v>-13995000</v>
      </c>
      <c r="N55" s="121">
        <f t="shared" ca="1" si="10"/>
        <v>-13995000</v>
      </c>
      <c r="O55" s="121">
        <f t="shared" ca="1" si="10"/>
        <v>-14187500</v>
      </c>
      <c r="P55" s="121">
        <f t="shared" ca="1" si="10"/>
        <v>-16119100</v>
      </c>
      <c r="Q55" s="121">
        <f t="shared" ca="1" si="10"/>
        <v>-13639375</v>
      </c>
      <c r="R55" s="121">
        <f t="shared" ca="1" si="10"/>
        <v>108770850</v>
      </c>
      <c r="S55" s="121">
        <f t="shared" ca="1" si="10"/>
        <v>-11810125</v>
      </c>
      <c r="T55" s="121">
        <f t="shared" ca="1" si="10"/>
        <v>-11810125</v>
      </c>
      <c r="U55" s="121">
        <f t="shared" ca="1" si="10"/>
        <v>-11810125</v>
      </c>
      <c r="V55" s="121">
        <f t="shared" ca="1" si="10"/>
        <v>-11810125</v>
      </c>
      <c r="W55" s="121">
        <f t="shared" ca="1" si="10"/>
        <v>-11810125</v>
      </c>
      <c r="X55" s="121">
        <f t="shared" ca="1" si="10"/>
        <v>-11810125</v>
      </c>
      <c r="Y55" s="121">
        <f t="shared" ca="1" si="10"/>
        <v>-11810125</v>
      </c>
      <c r="Z55" s="121">
        <f t="shared" ca="1" si="10"/>
        <v>-11810125</v>
      </c>
      <c r="AA55" s="121">
        <f t="shared" ca="1" si="10"/>
        <v>-14289850</v>
      </c>
      <c r="AB55" s="121">
        <f t="shared" ca="1" si="10"/>
        <v>-12078559.249999998</v>
      </c>
      <c r="AC55" s="121">
        <f t="shared" ca="1" si="10"/>
        <v>-4900036.2499999963</v>
      </c>
      <c r="AD55" s="121">
        <f t="shared" ca="1" si="10"/>
        <v>-2498608.5</v>
      </c>
      <c r="AE55" s="121">
        <f t="shared" ca="1" si="10"/>
        <v>-2498608.5</v>
      </c>
      <c r="AF55" s="121">
        <f t="shared" ca="1" si="10"/>
        <v>-2498608.5</v>
      </c>
      <c r="AG55" s="121">
        <f t="shared" ca="1" si="10"/>
        <v>-2498608.5</v>
      </c>
      <c r="AH55" s="121">
        <f t="shared" ca="1" si="10"/>
        <v>-2498608.5</v>
      </c>
      <c r="AI55" s="121">
        <f t="shared" ca="1" si="10"/>
        <v>-2498608.5</v>
      </c>
      <c r="AJ55" s="121">
        <f t="shared" ca="1" si="10"/>
        <v>-2498608.5</v>
      </c>
      <c r="AK55" s="121">
        <f t="shared" ca="1" si="10"/>
        <v>-2498608.5</v>
      </c>
      <c r="AL55" s="121">
        <f t="shared" ca="1" si="10"/>
        <v>-2498608.5</v>
      </c>
      <c r="AM55" s="121">
        <f t="shared" ca="1" si="10"/>
        <v>-9691442.7499999981</v>
      </c>
      <c r="AN55" s="121">
        <f t="shared" ca="1" si="10"/>
        <v>-10427803.974999998</v>
      </c>
      <c r="AO55" s="121">
        <f t="shared" ca="1" si="10"/>
        <v>-1469173.2814999968</v>
      </c>
      <c r="AP55" s="121">
        <f t="shared" ca="1" si="10"/>
        <v>1516016.0805000067</v>
      </c>
      <c r="AQ55" s="121">
        <f t="shared" ca="1" si="10"/>
        <v>1516016.0805000067</v>
      </c>
      <c r="AR55" s="121">
        <f t="shared" ca="1" si="10"/>
        <v>1516016.0805000067</v>
      </c>
      <c r="AS55" s="121">
        <f t="shared" ca="1" si="10"/>
        <v>1516016.0805000067</v>
      </c>
      <c r="AT55" s="121">
        <f t="shared" ca="1" si="10"/>
        <v>1516016.0805000067</v>
      </c>
      <c r="AU55" s="121">
        <f t="shared" ca="1" si="10"/>
        <v>1516016.0805000067</v>
      </c>
      <c r="AV55" s="121">
        <f t="shared" ca="1" si="10"/>
        <v>1516016.0805000067</v>
      </c>
      <c r="AW55" s="121">
        <f t="shared" ca="1" si="10"/>
        <v>1516016.0805000067</v>
      </c>
      <c r="AX55" s="121">
        <f t="shared" ca="1" si="10"/>
        <v>1516016.0805000067</v>
      </c>
      <c r="AY55" s="121">
        <f t="shared" ca="1" si="10"/>
        <v>-7442614.612999998</v>
      </c>
      <c r="AZ55" s="121">
        <f t="shared" ca="1" si="10"/>
        <v>-13825492.476325003</v>
      </c>
      <c r="BA55" s="121">
        <f t="shared" ca="1" si="10"/>
        <v>-6056530.5213000029</v>
      </c>
      <c r="BB55" s="121">
        <f t="shared" ca="1" si="10"/>
        <v>-3479329.7089999989</v>
      </c>
      <c r="BC55" s="121">
        <f t="shared" ca="1" si="10"/>
        <v>-3479329.7089999989</v>
      </c>
      <c r="BD55" s="121">
        <f t="shared" ca="1" si="10"/>
        <v>-3479329.7089999989</v>
      </c>
      <c r="BE55" s="121">
        <f t="shared" ca="1" si="10"/>
        <v>-3479329.7089999989</v>
      </c>
      <c r="BF55" s="121">
        <f t="shared" ca="1" si="10"/>
        <v>-3479329.7089999989</v>
      </c>
      <c r="BG55" s="121">
        <f t="shared" ca="1" si="10"/>
        <v>-3479329.7089999989</v>
      </c>
      <c r="BH55" s="121">
        <f t="shared" ca="1" si="10"/>
        <v>-3479329.7089999989</v>
      </c>
      <c r="BI55" s="121">
        <f t="shared" ca="1" si="10"/>
        <v>-3479329.7089999989</v>
      </c>
      <c r="BJ55" s="121">
        <f t="shared" ca="1" si="10"/>
        <v>-3479329.7089999989</v>
      </c>
      <c r="BK55" s="121">
        <f t="shared" ca="1" si="10"/>
        <v>-11231250.399974998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468</v>
      </c>
      <c r="C57" s="121">
        <v>0</v>
      </c>
      <c r="D57" s="121">
        <f t="shared" ref="D57:AI57" ca="1" si="11">C58</f>
        <v>76160000</v>
      </c>
      <c r="E57" s="121">
        <f t="shared" ca="1" si="11"/>
        <v>76160000</v>
      </c>
      <c r="F57" s="121">
        <f t="shared" ca="1" si="11"/>
        <v>76160000</v>
      </c>
      <c r="G57" s="121">
        <f t="shared" ca="1" si="11"/>
        <v>76160000</v>
      </c>
      <c r="H57" s="121">
        <f t="shared" ca="1" si="11"/>
        <v>44260000</v>
      </c>
      <c r="I57" s="121">
        <f t="shared" ca="1" si="11"/>
        <v>29040000</v>
      </c>
      <c r="J57" s="121">
        <f t="shared" ca="1" si="11"/>
        <v>14074999.999999998</v>
      </c>
      <c r="K57" s="121">
        <f t="shared" ca="1" si="11"/>
        <v>0</v>
      </c>
      <c r="L57" s="121">
        <f t="shared" ca="1" si="11"/>
        <v>85930975</v>
      </c>
      <c r="M57" s="121">
        <f t="shared" ca="1" si="11"/>
        <v>71935975</v>
      </c>
      <c r="N57" s="121">
        <f t="shared" ca="1" si="11"/>
        <v>57940975</v>
      </c>
      <c r="O57" s="121">
        <f t="shared" ca="1" si="11"/>
        <v>43945975</v>
      </c>
      <c r="P57" s="121">
        <f t="shared" ca="1" si="11"/>
        <v>29758475</v>
      </c>
      <c r="Q57" s="121">
        <f t="shared" ca="1" si="11"/>
        <v>13639375</v>
      </c>
      <c r="R57" s="121">
        <f t="shared" ca="1" si="11"/>
        <v>0</v>
      </c>
      <c r="S57" s="121">
        <f t="shared" ca="1" si="11"/>
        <v>108770850</v>
      </c>
      <c r="T57" s="121">
        <f t="shared" ca="1" si="11"/>
        <v>96960725</v>
      </c>
      <c r="U57" s="121">
        <f t="shared" ca="1" si="11"/>
        <v>85150600</v>
      </c>
      <c r="V57" s="121">
        <f t="shared" ca="1" si="11"/>
        <v>73340475</v>
      </c>
      <c r="W57" s="121">
        <f t="shared" ca="1" si="11"/>
        <v>61530350</v>
      </c>
      <c r="X57" s="121">
        <f t="shared" ca="1" si="11"/>
        <v>49720225</v>
      </c>
      <c r="Y57" s="121">
        <f t="shared" ca="1" si="11"/>
        <v>37910100</v>
      </c>
      <c r="Z57" s="121">
        <f t="shared" ca="1" si="11"/>
        <v>26099975</v>
      </c>
      <c r="AA57" s="121">
        <f t="shared" ca="1" si="11"/>
        <v>14289850</v>
      </c>
      <c r="AB57" s="121">
        <f t="shared" ca="1" si="11"/>
        <v>0</v>
      </c>
      <c r="AC57" s="121">
        <f t="shared" ca="1" si="11"/>
        <v>-12078559.249999998</v>
      </c>
      <c r="AD57" s="121">
        <f t="shared" ca="1" si="11"/>
        <v>-16978595.499999993</v>
      </c>
      <c r="AE57" s="121">
        <f t="shared" ca="1" si="11"/>
        <v>-19477203.999999993</v>
      </c>
      <c r="AF57" s="121">
        <f t="shared" ca="1" si="11"/>
        <v>-21975812.499999993</v>
      </c>
      <c r="AG57" s="121">
        <f t="shared" ca="1" si="11"/>
        <v>-24474420.999999993</v>
      </c>
      <c r="AH57" s="121">
        <f t="shared" ca="1" si="11"/>
        <v>-26973029.499999993</v>
      </c>
      <c r="AI57" s="121">
        <f t="shared" ca="1" si="11"/>
        <v>-29471637.999999993</v>
      </c>
      <c r="AJ57" s="121">
        <f t="shared" ref="AJ57:BK57" ca="1" si="12">AI58</f>
        <v>-31970246.499999993</v>
      </c>
      <c r="AK57" s="121">
        <f t="shared" ca="1" si="12"/>
        <v>-34468854.999999993</v>
      </c>
      <c r="AL57" s="121">
        <f t="shared" ca="1" si="12"/>
        <v>-36967463.499999993</v>
      </c>
      <c r="AM57" s="121">
        <f t="shared" ca="1" si="12"/>
        <v>-39466071.999999993</v>
      </c>
      <c r="AN57" s="121">
        <f t="shared" ca="1" si="12"/>
        <v>-49157514.749999993</v>
      </c>
      <c r="AO57" s="121">
        <f t="shared" ca="1" si="12"/>
        <v>-59585318.724999994</v>
      </c>
      <c r="AP57" s="121">
        <f t="shared" ca="1" si="12"/>
        <v>-61054492.006499991</v>
      </c>
      <c r="AQ57" s="121">
        <f t="shared" ca="1" si="12"/>
        <v>-59538475.925999984</v>
      </c>
      <c r="AR57" s="121">
        <f t="shared" ca="1" si="12"/>
        <v>-58022459.845499977</v>
      </c>
      <c r="AS57" s="121">
        <f t="shared" ca="1" si="12"/>
        <v>-56506443.764999971</v>
      </c>
      <c r="AT57" s="121">
        <f t="shared" ca="1" si="12"/>
        <v>-54990427.684499964</v>
      </c>
      <c r="AU57" s="121">
        <f t="shared" ca="1" si="12"/>
        <v>-53474411.603999957</v>
      </c>
      <c r="AV57" s="121">
        <f t="shared" ca="1" si="12"/>
        <v>-51958395.523499951</v>
      </c>
      <c r="AW57" s="121">
        <f t="shared" ca="1" si="12"/>
        <v>-50442379.442999944</v>
      </c>
      <c r="AX57" s="121">
        <f t="shared" ca="1" si="12"/>
        <v>-48926363.362499937</v>
      </c>
      <c r="AY57" s="121">
        <f t="shared" ca="1" si="12"/>
        <v>-47410347.281999931</v>
      </c>
      <c r="AZ57" s="121">
        <f t="shared" ca="1" si="12"/>
        <v>-54852961.894999929</v>
      </c>
      <c r="BA57" s="121">
        <f t="shared" ca="1" si="12"/>
        <v>-68678454.371324927</v>
      </c>
      <c r="BB57" s="121">
        <f t="shared" ca="1" si="12"/>
        <v>-74734984.89262493</v>
      </c>
      <c r="BC57" s="121">
        <f t="shared" ca="1" si="12"/>
        <v>-78214314.601624936</v>
      </c>
      <c r="BD57" s="121">
        <f t="shared" ca="1" si="12"/>
        <v>-81693644.310624927</v>
      </c>
      <c r="BE57" s="121">
        <f t="shared" ca="1" si="12"/>
        <v>-85172974.019624919</v>
      </c>
      <c r="BF57" s="121">
        <f t="shared" ca="1" si="12"/>
        <v>-88652303.72862491</v>
      </c>
      <c r="BG57" s="121">
        <f t="shared" ca="1" si="12"/>
        <v>-92131633.437624902</v>
      </c>
      <c r="BH57" s="121">
        <f t="shared" ca="1" si="12"/>
        <v>-95610963.146624893</v>
      </c>
      <c r="BI57" s="121">
        <f t="shared" ca="1" si="12"/>
        <v>-99090292.855624884</v>
      </c>
      <c r="BJ57" s="121">
        <f t="shared" ca="1" si="12"/>
        <v>-102569622.56462488</v>
      </c>
      <c r="BK57" s="121">
        <f t="shared" ca="1" si="12"/>
        <v>-106048952.27362487</v>
      </c>
      <c r="BL57" s="130"/>
    </row>
    <row r="58" spans="2:64" x14ac:dyDescent="0.15">
      <c r="B58" s="136" t="s">
        <v>467</v>
      </c>
      <c r="C58" s="121">
        <f ca="1">C55</f>
        <v>76160000</v>
      </c>
      <c r="D58" s="121">
        <f t="shared" ref="D58:AI58" ca="1" si="13">D57+D55</f>
        <v>76160000</v>
      </c>
      <c r="E58" s="121">
        <f t="shared" ca="1" si="13"/>
        <v>76160000</v>
      </c>
      <c r="F58" s="121">
        <f t="shared" ca="1" si="13"/>
        <v>76160000</v>
      </c>
      <c r="G58" s="121">
        <f t="shared" ca="1" si="13"/>
        <v>44260000</v>
      </c>
      <c r="H58" s="121">
        <f t="shared" ca="1" si="13"/>
        <v>29040000</v>
      </c>
      <c r="I58" s="121">
        <f t="shared" ca="1" si="13"/>
        <v>14074999.999999998</v>
      </c>
      <c r="J58" s="121">
        <f t="shared" ca="1" si="13"/>
        <v>0</v>
      </c>
      <c r="K58" s="121">
        <f t="shared" ca="1" si="13"/>
        <v>85930975</v>
      </c>
      <c r="L58" s="121">
        <f t="shared" ca="1" si="13"/>
        <v>71935975</v>
      </c>
      <c r="M58" s="121">
        <f t="shared" ca="1" si="13"/>
        <v>57940975</v>
      </c>
      <c r="N58" s="121">
        <f t="shared" ca="1" si="13"/>
        <v>43945975</v>
      </c>
      <c r="O58" s="121">
        <f t="shared" ca="1" si="13"/>
        <v>29758475</v>
      </c>
      <c r="P58" s="121">
        <f t="shared" ca="1" si="13"/>
        <v>13639375</v>
      </c>
      <c r="Q58" s="121">
        <f t="shared" ca="1" si="13"/>
        <v>0</v>
      </c>
      <c r="R58" s="121">
        <f t="shared" ca="1" si="13"/>
        <v>108770850</v>
      </c>
      <c r="S58" s="121">
        <f t="shared" ca="1" si="13"/>
        <v>96960725</v>
      </c>
      <c r="T58" s="121">
        <f t="shared" ca="1" si="13"/>
        <v>85150600</v>
      </c>
      <c r="U58" s="121">
        <f t="shared" ca="1" si="13"/>
        <v>73340475</v>
      </c>
      <c r="V58" s="121">
        <f t="shared" ca="1" si="13"/>
        <v>61530350</v>
      </c>
      <c r="W58" s="121">
        <f t="shared" ca="1" si="13"/>
        <v>49720225</v>
      </c>
      <c r="X58" s="121">
        <f t="shared" ca="1" si="13"/>
        <v>37910100</v>
      </c>
      <c r="Y58" s="121">
        <f t="shared" ca="1" si="13"/>
        <v>26099975</v>
      </c>
      <c r="Z58" s="121">
        <f t="shared" ca="1" si="13"/>
        <v>14289850</v>
      </c>
      <c r="AA58" s="121">
        <f t="shared" ca="1" si="13"/>
        <v>0</v>
      </c>
      <c r="AB58" s="121">
        <f t="shared" ca="1" si="13"/>
        <v>-12078559.249999998</v>
      </c>
      <c r="AC58" s="121">
        <f t="shared" ca="1" si="13"/>
        <v>-16978595.499999993</v>
      </c>
      <c r="AD58" s="121">
        <f t="shared" ca="1" si="13"/>
        <v>-19477203.999999993</v>
      </c>
      <c r="AE58" s="121">
        <f t="shared" ca="1" si="13"/>
        <v>-21975812.499999993</v>
      </c>
      <c r="AF58" s="121">
        <f t="shared" ca="1" si="13"/>
        <v>-24474420.999999993</v>
      </c>
      <c r="AG58" s="121">
        <f t="shared" ca="1" si="13"/>
        <v>-26973029.499999993</v>
      </c>
      <c r="AH58" s="121">
        <f t="shared" ca="1" si="13"/>
        <v>-29471637.999999993</v>
      </c>
      <c r="AI58" s="121">
        <f t="shared" ca="1" si="13"/>
        <v>-31970246.499999993</v>
      </c>
      <c r="AJ58" s="121">
        <f t="shared" ref="AJ58:BK58" ca="1" si="14">AJ57+AJ55</f>
        <v>-34468854.999999993</v>
      </c>
      <c r="AK58" s="121">
        <f t="shared" ca="1" si="14"/>
        <v>-36967463.499999993</v>
      </c>
      <c r="AL58" s="121">
        <f t="shared" ca="1" si="14"/>
        <v>-39466071.999999993</v>
      </c>
      <c r="AM58" s="121">
        <f t="shared" ca="1" si="14"/>
        <v>-49157514.749999993</v>
      </c>
      <c r="AN58" s="121">
        <f t="shared" ca="1" si="14"/>
        <v>-59585318.724999994</v>
      </c>
      <c r="AO58" s="121">
        <f t="shared" ca="1" si="14"/>
        <v>-61054492.006499991</v>
      </c>
      <c r="AP58" s="121">
        <f t="shared" ca="1" si="14"/>
        <v>-59538475.925999984</v>
      </c>
      <c r="AQ58" s="121">
        <f t="shared" ca="1" si="14"/>
        <v>-58022459.845499977</v>
      </c>
      <c r="AR58" s="121">
        <f t="shared" ca="1" si="14"/>
        <v>-56506443.764999971</v>
      </c>
      <c r="AS58" s="121">
        <f t="shared" ca="1" si="14"/>
        <v>-54990427.684499964</v>
      </c>
      <c r="AT58" s="121">
        <f t="shared" ca="1" si="14"/>
        <v>-53474411.603999957</v>
      </c>
      <c r="AU58" s="121">
        <f t="shared" ca="1" si="14"/>
        <v>-51958395.523499951</v>
      </c>
      <c r="AV58" s="121">
        <f t="shared" ca="1" si="14"/>
        <v>-50442379.442999944</v>
      </c>
      <c r="AW58" s="121">
        <f t="shared" ca="1" si="14"/>
        <v>-48926363.362499937</v>
      </c>
      <c r="AX58" s="121">
        <f t="shared" ca="1" si="14"/>
        <v>-47410347.281999931</v>
      </c>
      <c r="AY58" s="121">
        <f t="shared" ca="1" si="14"/>
        <v>-54852961.894999929</v>
      </c>
      <c r="AZ58" s="121">
        <f t="shared" ca="1" si="14"/>
        <v>-68678454.371324927</v>
      </c>
      <c r="BA58" s="121">
        <f t="shared" ca="1" si="14"/>
        <v>-74734984.89262493</v>
      </c>
      <c r="BB58" s="121">
        <f t="shared" ca="1" si="14"/>
        <v>-78214314.601624936</v>
      </c>
      <c r="BC58" s="121">
        <f t="shared" ca="1" si="14"/>
        <v>-81693644.310624927</v>
      </c>
      <c r="BD58" s="121">
        <f t="shared" ca="1" si="14"/>
        <v>-85172974.019624919</v>
      </c>
      <c r="BE58" s="121">
        <f t="shared" ca="1" si="14"/>
        <v>-88652303.72862491</v>
      </c>
      <c r="BF58" s="121">
        <f t="shared" ca="1" si="14"/>
        <v>-92131633.437624902</v>
      </c>
      <c r="BG58" s="121">
        <f t="shared" ca="1" si="14"/>
        <v>-95610963.146624893</v>
      </c>
      <c r="BH58" s="121">
        <f t="shared" ca="1" si="14"/>
        <v>-99090292.855624884</v>
      </c>
      <c r="BI58" s="121">
        <f t="shared" ca="1" si="14"/>
        <v>-102569622.56462488</v>
      </c>
      <c r="BJ58" s="121">
        <f t="shared" ca="1" si="14"/>
        <v>-106048952.27362487</v>
      </c>
      <c r="BK58" s="121">
        <f t="shared" ca="1" si="14"/>
        <v>-117280202.67359987</v>
      </c>
      <c r="BL58" s="130"/>
    </row>
    <row r="60" spans="2:64" x14ac:dyDescent="0.15">
      <c r="B60" s="138" t="s">
        <v>1044</v>
      </c>
      <c r="C60" s="130">
        <f ca="1">C53</f>
        <v>76160000</v>
      </c>
      <c r="D60" s="130">
        <f t="shared" ref="D60:AI60" ca="1" si="15">D53+C60</f>
        <v>76160000</v>
      </c>
      <c r="E60" s="130">
        <f t="shared" ca="1" si="15"/>
        <v>76160000</v>
      </c>
      <c r="F60" s="130">
        <f t="shared" ca="1" si="15"/>
        <v>76160000</v>
      </c>
      <c r="G60" s="130">
        <f t="shared" ca="1" si="15"/>
        <v>76160000</v>
      </c>
      <c r="H60" s="130">
        <f t="shared" ca="1" si="15"/>
        <v>76160000</v>
      </c>
      <c r="I60" s="130">
        <f t="shared" ca="1" si="15"/>
        <v>76160000</v>
      </c>
      <c r="J60" s="130">
        <f t="shared" ca="1" si="15"/>
        <v>76160000</v>
      </c>
      <c r="K60" s="130">
        <f t="shared" ca="1" si="15"/>
        <v>176085975</v>
      </c>
      <c r="L60" s="130">
        <f t="shared" ca="1" si="15"/>
        <v>176085975</v>
      </c>
      <c r="M60" s="130">
        <f t="shared" ca="1" si="15"/>
        <v>176085975</v>
      </c>
      <c r="N60" s="130">
        <f t="shared" ca="1" si="15"/>
        <v>176085975</v>
      </c>
      <c r="O60" s="130">
        <f t="shared" ca="1" si="15"/>
        <v>176085975</v>
      </c>
      <c r="P60" s="130">
        <f t="shared" ca="1" si="15"/>
        <v>176085975</v>
      </c>
      <c r="Q60" s="130">
        <f t="shared" ca="1" si="15"/>
        <v>176085975</v>
      </c>
      <c r="R60" s="130">
        <f t="shared" ca="1" si="15"/>
        <v>297666950</v>
      </c>
      <c r="S60" s="130">
        <f t="shared" ca="1" si="15"/>
        <v>297666950</v>
      </c>
      <c r="T60" s="130">
        <f t="shared" ca="1" si="15"/>
        <v>297666950</v>
      </c>
      <c r="U60" s="130">
        <f t="shared" ca="1" si="15"/>
        <v>297666950</v>
      </c>
      <c r="V60" s="130">
        <f t="shared" ca="1" si="15"/>
        <v>297666950</v>
      </c>
      <c r="W60" s="130">
        <f t="shared" ca="1" si="15"/>
        <v>297666950</v>
      </c>
      <c r="X60" s="130">
        <f t="shared" ca="1" si="15"/>
        <v>297666950</v>
      </c>
      <c r="Y60" s="130">
        <f t="shared" ca="1" si="15"/>
        <v>297666950</v>
      </c>
      <c r="Z60" s="130">
        <f t="shared" ca="1" si="15"/>
        <v>297666950</v>
      </c>
      <c r="AA60" s="130">
        <f t="shared" ca="1" si="15"/>
        <v>297666950</v>
      </c>
      <c r="AB60" s="130">
        <f t="shared" ca="1" si="15"/>
        <v>297666950</v>
      </c>
      <c r="AC60" s="130">
        <f t="shared" ca="1" si="15"/>
        <v>297666950</v>
      </c>
      <c r="AD60" s="130">
        <f t="shared" ca="1" si="15"/>
        <v>297666950</v>
      </c>
      <c r="AE60" s="130">
        <f t="shared" ca="1" si="15"/>
        <v>297666950</v>
      </c>
      <c r="AF60" s="130">
        <f t="shared" ca="1" si="15"/>
        <v>297666950</v>
      </c>
      <c r="AG60" s="130">
        <f t="shared" ca="1" si="15"/>
        <v>297666950</v>
      </c>
      <c r="AH60" s="130">
        <f t="shared" ca="1" si="15"/>
        <v>297666950</v>
      </c>
      <c r="AI60" s="130">
        <f t="shared" ca="1" si="15"/>
        <v>297666950</v>
      </c>
      <c r="AJ60" s="130">
        <f t="shared" ref="AJ60:BK60" ca="1" si="16">AJ53+AI60</f>
        <v>297666950</v>
      </c>
      <c r="AK60" s="130">
        <f t="shared" ca="1" si="16"/>
        <v>297666950</v>
      </c>
      <c r="AL60" s="130">
        <f t="shared" ca="1" si="16"/>
        <v>297666950</v>
      </c>
      <c r="AM60" s="130">
        <f t="shared" ca="1" si="16"/>
        <v>297666950</v>
      </c>
      <c r="AN60" s="130">
        <f t="shared" ca="1" si="16"/>
        <v>297666950</v>
      </c>
      <c r="AO60" s="130">
        <f t="shared" ca="1" si="16"/>
        <v>297666950</v>
      </c>
      <c r="AP60" s="130">
        <f t="shared" ca="1" si="16"/>
        <v>297666950</v>
      </c>
      <c r="AQ60" s="130">
        <f t="shared" ca="1" si="16"/>
        <v>297666950</v>
      </c>
      <c r="AR60" s="130">
        <f t="shared" ca="1" si="16"/>
        <v>297666950</v>
      </c>
      <c r="AS60" s="130">
        <f t="shared" ca="1" si="16"/>
        <v>297666950</v>
      </c>
      <c r="AT60" s="130">
        <f t="shared" ca="1" si="16"/>
        <v>297666950</v>
      </c>
      <c r="AU60" s="130">
        <f t="shared" ca="1" si="16"/>
        <v>297666950</v>
      </c>
      <c r="AV60" s="130">
        <f t="shared" ca="1" si="16"/>
        <v>297666950</v>
      </c>
      <c r="AW60" s="130">
        <f t="shared" ca="1" si="16"/>
        <v>297666950</v>
      </c>
      <c r="AX60" s="130">
        <f t="shared" ca="1" si="16"/>
        <v>297666950</v>
      </c>
      <c r="AY60" s="130">
        <f t="shared" ca="1" si="16"/>
        <v>297666950</v>
      </c>
      <c r="AZ60" s="130">
        <f t="shared" ca="1" si="16"/>
        <v>297666950</v>
      </c>
      <c r="BA60" s="130">
        <f t="shared" ca="1" si="16"/>
        <v>297666950</v>
      </c>
      <c r="BB60" s="130">
        <f t="shared" ca="1" si="16"/>
        <v>297666950</v>
      </c>
      <c r="BC60" s="130">
        <f t="shared" ca="1" si="16"/>
        <v>297666950</v>
      </c>
      <c r="BD60" s="130">
        <f t="shared" ca="1" si="16"/>
        <v>297666950</v>
      </c>
      <c r="BE60" s="130">
        <f t="shared" ca="1" si="16"/>
        <v>297666950</v>
      </c>
      <c r="BF60" s="130">
        <f t="shared" ca="1" si="16"/>
        <v>297666950</v>
      </c>
      <c r="BG60" s="130">
        <f t="shared" ca="1" si="16"/>
        <v>297666950</v>
      </c>
      <c r="BH60" s="130">
        <f t="shared" ca="1" si="16"/>
        <v>297666950</v>
      </c>
      <c r="BI60" s="130">
        <f t="shared" ca="1" si="16"/>
        <v>297666950</v>
      </c>
      <c r="BJ60" s="130">
        <f t="shared" ca="1" si="16"/>
        <v>297666950</v>
      </c>
      <c r="BK60" s="130">
        <f t="shared" ca="1" si="16"/>
        <v>297666950</v>
      </c>
    </row>
    <row r="62" spans="2:64" x14ac:dyDescent="0.15">
      <c r="B62" s="260" t="s">
        <v>986</v>
      </c>
    </row>
    <row r="63" spans="2:64" outlineLevel="1" x14ac:dyDescent="0.15">
      <c r="B63" s="260"/>
    </row>
    <row r="64" spans="2:64" outlineLevel="1" x14ac:dyDescent="0.15">
      <c r="B64" s="135" t="s">
        <v>826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466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-31900000</v>
      </c>
      <c r="H67" s="121">
        <f t="shared" si="17"/>
        <v>-15220000.000000002</v>
      </c>
      <c r="I67" s="121">
        <f t="shared" si="17"/>
        <v>-14965000.000000002</v>
      </c>
      <c r="J67" s="121">
        <f t="shared" si="17"/>
        <v>-14075000</v>
      </c>
      <c r="K67" s="121">
        <f t="shared" si="17"/>
        <v>-13995000</v>
      </c>
      <c r="L67" s="121">
        <f t="shared" si="17"/>
        <v>-13995000</v>
      </c>
      <c r="M67" s="121">
        <f t="shared" si="17"/>
        <v>-13995000</v>
      </c>
      <c r="N67" s="121">
        <f t="shared" si="17"/>
        <v>-13995000</v>
      </c>
      <c r="O67" s="121">
        <f t="shared" si="17"/>
        <v>-14187500</v>
      </c>
      <c r="P67" s="121">
        <f>P45+P50+P65</f>
        <v>-16119100</v>
      </c>
      <c r="Q67" s="121">
        <f t="shared" si="17"/>
        <v>-13639375</v>
      </c>
      <c r="R67" s="121">
        <f t="shared" si="17"/>
        <v>-12810125</v>
      </c>
      <c r="S67" s="121">
        <f t="shared" si="17"/>
        <v>-11810125</v>
      </c>
      <c r="T67" s="121">
        <f t="shared" si="17"/>
        <v>-11810125</v>
      </c>
      <c r="U67" s="121">
        <f t="shared" si="17"/>
        <v>-11810125</v>
      </c>
      <c r="V67" s="121">
        <f t="shared" si="17"/>
        <v>-11810125</v>
      </c>
      <c r="W67" s="121">
        <f t="shared" si="17"/>
        <v>-11810125</v>
      </c>
      <c r="X67" s="121">
        <f t="shared" si="17"/>
        <v>-11810125</v>
      </c>
      <c r="Y67" s="121">
        <f t="shared" si="17"/>
        <v>-11810125</v>
      </c>
      <c r="Z67" s="121">
        <f t="shared" si="17"/>
        <v>-11810125</v>
      </c>
      <c r="AA67" s="121">
        <f t="shared" si="17"/>
        <v>-14289850</v>
      </c>
      <c r="AB67" s="121">
        <f t="shared" si="17"/>
        <v>-12078559.249999998</v>
      </c>
      <c r="AC67" s="121">
        <f t="shared" si="17"/>
        <v>-4900036.2499999963</v>
      </c>
      <c r="AD67" s="121">
        <f t="shared" si="17"/>
        <v>-2498608.5</v>
      </c>
      <c r="AE67" s="121">
        <f t="shared" si="17"/>
        <v>-2498608.5</v>
      </c>
      <c r="AF67" s="121">
        <f t="shared" si="17"/>
        <v>-2498608.5</v>
      </c>
      <c r="AG67" s="121">
        <f t="shared" si="17"/>
        <v>-2498608.5</v>
      </c>
      <c r="AH67" s="121">
        <f t="shared" si="17"/>
        <v>-2498608.5</v>
      </c>
      <c r="AI67" s="121">
        <f t="shared" si="17"/>
        <v>-2498608.5</v>
      </c>
      <c r="AJ67" s="121">
        <f t="shared" si="17"/>
        <v>-2498608.5</v>
      </c>
      <c r="AK67" s="121">
        <f t="shared" si="17"/>
        <v>-2498608.5</v>
      </c>
      <c r="AL67" s="121">
        <f t="shared" si="17"/>
        <v>-2498608.5</v>
      </c>
      <c r="AM67" s="121">
        <f t="shared" si="17"/>
        <v>-9691442.7499999981</v>
      </c>
      <c r="AN67" s="121">
        <f t="shared" si="17"/>
        <v>-10427803.974999998</v>
      </c>
      <c r="AO67" s="121">
        <f t="shared" si="17"/>
        <v>-1469173.2814999968</v>
      </c>
      <c r="AP67" s="121">
        <f t="shared" si="17"/>
        <v>1516016.0805000067</v>
      </c>
      <c r="AQ67" s="121">
        <f t="shared" si="17"/>
        <v>1516016.0805000067</v>
      </c>
      <c r="AR67" s="121">
        <f t="shared" si="17"/>
        <v>1516016.0805000067</v>
      </c>
      <c r="AS67" s="121">
        <f t="shared" si="17"/>
        <v>1516016.0805000067</v>
      </c>
      <c r="AT67" s="121">
        <f t="shared" si="17"/>
        <v>1516016.0805000067</v>
      </c>
      <c r="AU67" s="121">
        <f t="shared" si="17"/>
        <v>1516016.0805000067</v>
      </c>
      <c r="AV67" s="121">
        <f t="shared" si="17"/>
        <v>1516016.0805000067</v>
      </c>
      <c r="AW67" s="121">
        <f t="shared" si="17"/>
        <v>1516016.0805000067</v>
      </c>
      <c r="AX67" s="121">
        <f t="shared" si="17"/>
        <v>1516016.0805000067</v>
      </c>
      <c r="AY67" s="121">
        <f t="shared" si="17"/>
        <v>-7442614.612999998</v>
      </c>
      <c r="AZ67" s="121">
        <f t="shared" si="17"/>
        <v>-13825492.476325003</v>
      </c>
      <c r="BA67" s="121">
        <f t="shared" si="17"/>
        <v>-6056530.5213000029</v>
      </c>
      <c r="BB67" s="121">
        <f t="shared" si="17"/>
        <v>-3479329.7089999989</v>
      </c>
      <c r="BC67" s="121">
        <f t="shared" si="17"/>
        <v>-3479329.7089999989</v>
      </c>
      <c r="BD67" s="121">
        <f t="shared" si="17"/>
        <v>-3479329.7089999989</v>
      </c>
      <c r="BE67" s="121">
        <f t="shared" si="17"/>
        <v>-3479329.7089999989</v>
      </c>
      <c r="BF67" s="121">
        <f t="shared" si="17"/>
        <v>-3479329.7089999989</v>
      </c>
      <c r="BG67" s="121">
        <f t="shared" si="17"/>
        <v>-3479329.7089999989</v>
      </c>
      <c r="BH67" s="121">
        <f t="shared" si="17"/>
        <v>-3479329.7089999989</v>
      </c>
      <c r="BI67" s="121">
        <f t="shared" si="17"/>
        <v>-3479329.7089999989</v>
      </c>
      <c r="BJ67" s="121">
        <f t="shared" si="17"/>
        <v>-3479329.7089999989</v>
      </c>
      <c r="BK67" s="121">
        <f t="shared" si="17"/>
        <v>-11231250.399974998</v>
      </c>
      <c r="BL67" s="48">
        <f>SUM(C67:BK67)</f>
        <v>-414947152.67359984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468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-31900000</v>
      </c>
      <c r="I69" s="121">
        <f t="shared" si="18"/>
        <v>-47120000</v>
      </c>
      <c r="J69" s="121">
        <f t="shared" si="18"/>
        <v>-62085000</v>
      </c>
      <c r="K69" s="121">
        <f t="shared" si="18"/>
        <v>-76160000</v>
      </c>
      <c r="L69" s="121">
        <f t="shared" si="18"/>
        <v>-90155000</v>
      </c>
      <c r="M69" s="121">
        <f t="shared" si="18"/>
        <v>-104150000</v>
      </c>
      <c r="N69" s="121">
        <f t="shared" si="18"/>
        <v>-118145000</v>
      </c>
      <c r="O69" s="121">
        <f t="shared" si="18"/>
        <v>-132140000</v>
      </c>
      <c r="P69" s="121">
        <f t="shared" si="18"/>
        <v>-146327500</v>
      </c>
      <c r="Q69" s="121">
        <f t="shared" si="18"/>
        <v>-162446600</v>
      </c>
      <c r="R69" s="121">
        <f t="shared" si="18"/>
        <v>-176085975</v>
      </c>
      <c r="S69" s="121">
        <f t="shared" si="18"/>
        <v>-188896100</v>
      </c>
      <c r="T69" s="121">
        <f t="shared" si="18"/>
        <v>-200706225</v>
      </c>
      <c r="U69" s="121">
        <f t="shared" si="18"/>
        <v>-212516350</v>
      </c>
      <c r="V69" s="121">
        <f t="shared" si="18"/>
        <v>-224326475</v>
      </c>
      <c r="W69" s="121">
        <f t="shared" si="18"/>
        <v>-236136600</v>
      </c>
      <c r="X69" s="121">
        <f t="shared" si="18"/>
        <v>-247946725</v>
      </c>
      <c r="Y69" s="121">
        <f t="shared" si="18"/>
        <v>-259756850</v>
      </c>
      <c r="Z69" s="121">
        <f t="shared" si="18"/>
        <v>-271566975</v>
      </c>
      <c r="AA69" s="121">
        <f t="shared" si="18"/>
        <v>-283377100</v>
      </c>
      <c r="AB69" s="121">
        <f t="shared" si="18"/>
        <v>-297666950</v>
      </c>
      <c r="AC69" s="121">
        <f t="shared" si="18"/>
        <v>-309745509.25</v>
      </c>
      <c r="AD69" s="121">
        <f t="shared" si="18"/>
        <v>-314645545.5</v>
      </c>
      <c r="AE69" s="121">
        <f t="shared" si="18"/>
        <v>-317144154</v>
      </c>
      <c r="AF69" s="121">
        <f t="shared" si="18"/>
        <v>-319642762.5</v>
      </c>
      <c r="AG69" s="121">
        <f t="shared" si="18"/>
        <v>-322141371</v>
      </c>
      <c r="AH69" s="121">
        <f t="shared" si="18"/>
        <v>-324639979.5</v>
      </c>
      <c r="AI69" s="121">
        <f t="shared" si="18"/>
        <v>-327138588</v>
      </c>
      <c r="AJ69" s="121">
        <f t="shared" ref="AJ69:BK69" si="19">AI70</f>
        <v>-329637196.5</v>
      </c>
      <c r="AK69" s="121">
        <f t="shared" si="19"/>
        <v>-332135805</v>
      </c>
      <c r="AL69" s="121">
        <f t="shared" si="19"/>
        <v>-334634413.5</v>
      </c>
      <c r="AM69" s="121">
        <f t="shared" si="19"/>
        <v>-337133022</v>
      </c>
      <c r="AN69" s="121">
        <f t="shared" si="19"/>
        <v>-346824464.75</v>
      </c>
      <c r="AO69" s="121">
        <f t="shared" si="19"/>
        <v>-357252268.72500002</v>
      </c>
      <c r="AP69" s="121">
        <f t="shared" si="19"/>
        <v>-358721442.00650001</v>
      </c>
      <c r="AQ69" s="121">
        <f t="shared" si="19"/>
        <v>-357205425.926</v>
      </c>
      <c r="AR69" s="121">
        <f t="shared" si="19"/>
        <v>-355689409.84549999</v>
      </c>
      <c r="AS69" s="121">
        <f t="shared" si="19"/>
        <v>-354173393.76499999</v>
      </c>
      <c r="AT69" s="121">
        <f t="shared" si="19"/>
        <v>-352657377.68449998</v>
      </c>
      <c r="AU69" s="121">
        <f t="shared" si="19"/>
        <v>-351141361.60399997</v>
      </c>
      <c r="AV69" s="121">
        <f t="shared" si="19"/>
        <v>-349625345.52349997</v>
      </c>
      <c r="AW69" s="121">
        <f t="shared" si="19"/>
        <v>-348109329.44299996</v>
      </c>
      <c r="AX69" s="121">
        <f t="shared" si="19"/>
        <v>-346593313.36249995</v>
      </c>
      <c r="AY69" s="121">
        <f t="shared" si="19"/>
        <v>-345077297.28199995</v>
      </c>
      <c r="AZ69" s="121">
        <f t="shared" si="19"/>
        <v>-352519911.89499992</v>
      </c>
      <c r="BA69" s="121">
        <f t="shared" si="19"/>
        <v>-366345404.3713249</v>
      </c>
      <c r="BB69" s="121">
        <f t="shared" si="19"/>
        <v>-372401934.89262491</v>
      </c>
      <c r="BC69" s="121">
        <f t="shared" si="19"/>
        <v>-375881264.60162491</v>
      </c>
      <c r="BD69" s="121">
        <f t="shared" si="19"/>
        <v>-379360594.3106249</v>
      </c>
      <c r="BE69" s="121">
        <f t="shared" si="19"/>
        <v>-382839924.01962489</v>
      </c>
      <c r="BF69" s="121">
        <f t="shared" si="19"/>
        <v>-386319253.72862488</v>
      </c>
      <c r="BG69" s="121">
        <f t="shared" si="19"/>
        <v>-389798583.43762487</v>
      </c>
      <c r="BH69" s="121">
        <f t="shared" si="19"/>
        <v>-393277913.14662486</v>
      </c>
      <c r="BI69" s="121">
        <f t="shared" si="19"/>
        <v>-396757242.85562485</v>
      </c>
      <c r="BJ69" s="121">
        <f t="shared" si="19"/>
        <v>-400236572.56462485</v>
      </c>
      <c r="BK69" s="121">
        <f t="shared" si="19"/>
        <v>-403715902.27362484</v>
      </c>
    </row>
    <row r="70" spans="2:64" outlineLevel="1" x14ac:dyDescent="0.15">
      <c r="B70" s="136" t="s">
        <v>467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-31900000</v>
      </c>
      <c r="H70" s="121">
        <f t="shared" si="20"/>
        <v>-47120000</v>
      </c>
      <c r="I70" s="121">
        <f t="shared" si="20"/>
        <v>-62085000</v>
      </c>
      <c r="J70" s="121">
        <f t="shared" si="20"/>
        <v>-76160000</v>
      </c>
      <c r="K70" s="121">
        <f t="shared" si="20"/>
        <v>-90155000</v>
      </c>
      <c r="L70" s="121">
        <f t="shared" si="20"/>
        <v>-104150000</v>
      </c>
      <c r="M70" s="121">
        <f t="shared" si="20"/>
        <v>-118145000</v>
      </c>
      <c r="N70" s="121">
        <f t="shared" si="20"/>
        <v>-132140000</v>
      </c>
      <c r="O70" s="121">
        <f t="shared" si="20"/>
        <v>-146327500</v>
      </c>
      <c r="P70" s="121">
        <f t="shared" si="20"/>
        <v>-162446600</v>
      </c>
      <c r="Q70" s="121">
        <f t="shared" si="20"/>
        <v>-176085975</v>
      </c>
      <c r="R70" s="121">
        <f t="shared" si="20"/>
        <v>-188896100</v>
      </c>
      <c r="S70" s="121">
        <f t="shared" si="20"/>
        <v>-200706225</v>
      </c>
      <c r="T70" s="121">
        <f t="shared" si="20"/>
        <v>-212516350</v>
      </c>
      <c r="U70" s="121">
        <f t="shared" si="20"/>
        <v>-224326475</v>
      </c>
      <c r="V70" s="121">
        <f t="shared" si="20"/>
        <v>-236136600</v>
      </c>
      <c r="W70" s="121">
        <f t="shared" si="20"/>
        <v>-247946725</v>
      </c>
      <c r="X70" s="121">
        <f t="shared" si="20"/>
        <v>-259756850</v>
      </c>
      <c r="Y70" s="121">
        <f t="shared" si="20"/>
        <v>-271566975</v>
      </c>
      <c r="Z70" s="121">
        <f t="shared" si="20"/>
        <v>-283377100</v>
      </c>
      <c r="AA70" s="121">
        <f t="shared" si="20"/>
        <v>-297666950</v>
      </c>
      <c r="AB70" s="121">
        <f t="shared" si="20"/>
        <v>-309745509.25</v>
      </c>
      <c r="AC70" s="121">
        <f t="shared" si="20"/>
        <v>-314645545.5</v>
      </c>
      <c r="AD70" s="121">
        <f t="shared" si="20"/>
        <v>-317144154</v>
      </c>
      <c r="AE70" s="121">
        <f t="shared" si="20"/>
        <v>-319642762.5</v>
      </c>
      <c r="AF70" s="121">
        <f t="shared" si="20"/>
        <v>-322141371</v>
      </c>
      <c r="AG70" s="121">
        <f t="shared" si="20"/>
        <v>-324639979.5</v>
      </c>
      <c r="AH70" s="121">
        <f t="shared" si="20"/>
        <v>-327138588</v>
      </c>
      <c r="AI70" s="121">
        <f t="shared" si="20"/>
        <v>-329637196.5</v>
      </c>
      <c r="AJ70" s="121">
        <f t="shared" ref="AJ70:BK70" si="21">AJ69+AJ67</f>
        <v>-332135805</v>
      </c>
      <c r="AK70" s="121">
        <f t="shared" si="21"/>
        <v>-334634413.5</v>
      </c>
      <c r="AL70" s="121">
        <f t="shared" si="21"/>
        <v>-337133022</v>
      </c>
      <c r="AM70" s="121">
        <f t="shared" si="21"/>
        <v>-346824464.75</v>
      </c>
      <c r="AN70" s="121">
        <f t="shared" si="21"/>
        <v>-357252268.72500002</v>
      </c>
      <c r="AO70" s="121">
        <f t="shared" si="21"/>
        <v>-358721442.00650001</v>
      </c>
      <c r="AP70" s="121">
        <f t="shared" si="21"/>
        <v>-357205425.926</v>
      </c>
      <c r="AQ70" s="121">
        <f t="shared" si="21"/>
        <v>-355689409.84549999</v>
      </c>
      <c r="AR70" s="121">
        <f t="shared" si="21"/>
        <v>-354173393.76499999</v>
      </c>
      <c r="AS70" s="121">
        <f t="shared" si="21"/>
        <v>-352657377.68449998</v>
      </c>
      <c r="AT70" s="121">
        <f t="shared" si="21"/>
        <v>-351141361.60399997</v>
      </c>
      <c r="AU70" s="121">
        <f t="shared" si="21"/>
        <v>-349625345.52349997</v>
      </c>
      <c r="AV70" s="121">
        <f t="shared" si="21"/>
        <v>-348109329.44299996</v>
      </c>
      <c r="AW70" s="121">
        <f t="shared" si="21"/>
        <v>-346593313.36249995</v>
      </c>
      <c r="AX70" s="121">
        <f t="shared" si="21"/>
        <v>-345077297.28199995</v>
      </c>
      <c r="AY70" s="121">
        <f t="shared" si="21"/>
        <v>-352519911.89499992</v>
      </c>
      <c r="AZ70" s="121">
        <f t="shared" si="21"/>
        <v>-366345404.3713249</v>
      </c>
      <c r="BA70" s="121">
        <f t="shared" si="21"/>
        <v>-372401934.89262491</v>
      </c>
      <c r="BB70" s="121">
        <f t="shared" si="21"/>
        <v>-375881264.60162491</v>
      </c>
      <c r="BC70" s="121">
        <f t="shared" si="21"/>
        <v>-379360594.3106249</v>
      </c>
      <c r="BD70" s="121">
        <f t="shared" si="21"/>
        <v>-382839924.01962489</v>
      </c>
      <c r="BE70" s="121">
        <f t="shared" si="21"/>
        <v>-386319253.72862488</v>
      </c>
      <c r="BF70" s="121">
        <f t="shared" si="21"/>
        <v>-389798583.43762487</v>
      </c>
      <c r="BG70" s="121">
        <f t="shared" si="21"/>
        <v>-393277913.14662486</v>
      </c>
      <c r="BH70" s="121">
        <f t="shared" si="21"/>
        <v>-396757242.85562485</v>
      </c>
      <c r="BI70" s="121">
        <f t="shared" si="21"/>
        <v>-400236572.56462485</v>
      </c>
      <c r="BJ70" s="121">
        <f t="shared" si="21"/>
        <v>-403715902.27362484</v>
      </c>
      <c r="BK70" s="121">
        <f t="shared" si="21"/>
        <v>-414947152.67359984</v>
      </c>
      <c r="BL70" s="130">
        <f ca="1">+BK58-BK70</f>
        <v>297666950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76160000</v>
      </c>
      <c r="E7" s="121">
        <f ca="1">P50</f>
        <v>29758475</v>
      </c>
      <c r="F7" s="121">
        <f ca="1">AB50</f>
        <v>0</v>
      </c>
      <c r="G7" s="121">
        <f ca="1">AN50</f>
        <v>-49157514.749999993</v>
      </c>
      <c r="H7" s="121">
        <f ca="1">AZ50</f>
        <v>-54852961.894999929</v>
      </c>
      <c r="I7" s="121">
        <f ca="1">BL50</f>
        <v>-117280202.67359987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76160000</v>
      </c>
      <c r="E10" s="121">
        <f ca="1">P53</f>
        <v>29758475</v>
      </c>
      <c r="F10" s="121">
        <f ca="1">AB53</f>
        <v>0</v>
      </c>
      <c r="G10" s="121">
        <f ca="1">SUM(G7:G9)</f>
        <v>-49157514.749999993</v>
      </c>
      <c r="H10" s="121">
        <f ca="1">SUM(H7:H9)</f>
        <v>-54852961.894999929</v>
      </c>
      <c r="I10" s="121">
        <f ca="1">SUM(I7:I9)</f>
        <v>-117280202.67359987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76160000</v>
      </c>
      <c r="E17" s="121">
        <f ca="1">E15+E10</f>
        <v>38804891.666666664</v>
      </c>
      <c r="F17" s="121">
        <f ca="1">F15+F10</f>
        <v>6919416.666666667</v>
      </c>
      <c r="G17" s="121">
        <f ca="1">G15+G10</f>
        <v>-44365098.083333328</v>
      </c>
      <c r="H17" s="121">
        <f ca="1">H15+H10</f>
        <v>-52187545.228333265</v>
      </c>
      <c r="I17" s="121">
        <f ca="1">I15+I10</f>
        <v>-116741786.0069332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76160000</v>
      </c>
      <c r="E34" s="121">
        <f ca="1">P77</f>
        <v>176085975</v>
      </c>
      <c r="F34" s="121">
        <f ca="1">AB77</f>
        <v>297666950</v>
      </c>
      <c r="G34" s="121">
        <f ca="1">AN77</f>
        <v>297666950</v>
      </c>
      <c r="H34" s="121">
        <f ca="1">AZ77</f>
        <v>297666950</v>
      </c>
      <c r="I34" s="121">
        <f ca="1">BL77</f>
        <v>297666950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-122916333.33333334</v>
      </c>
      <c r="F35" s="121">
        <f>AB78</f>
        <v>-276280433.33333337</v>
      </c>
      <c r="G35" s="121">
        <f>AN78</f>
        <v>-332163355.33333337</v>
      </c>
      <c r="H35" s="121">
        <f>AZ78</f>
        <v>-342234630.61533332</v>
      </c>
      <c r="I35" s="121">
        <f>BL78</f>
        <v>-403000235.60695821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-14364750</v>
      </c>
      <c r="F36" s="121">
        <f>AB79</f>
        <v>-14467100</v>
      </c>
      <c r="G36" s="121">
        <f>AN79</f>
        <v>-9868692.7499999981</v>
      </c>
      <c r="H36" s="121">
        <f>AZ79</f>
        <v>-7619864.612999998</v>
      </c>
      <c r="I36" s="121">
        <f>BL79</f>
        <v>-11408500.399974998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76160000</v>
      </c>
      <c r="E37" s="121">
        <f ca="1">P80</f>
        <v>38804891.666666657</v>
      </c>
      <c r="F37" s="121">
        <f ca="1">AB80</f>
        <v>6919416.6666666269</v>
      </c>
      <c r="G37" s="121">
        <f ca="1">AN80</f>
        <v>-44365098.083333373</v>
      </c>
      <c r="H37" s="121">
        <f ca="1">AZ80</f>
        <v>-52187545.228333317</v>
      </c>
      <c r="I37" s="121">
        <f ca="1">BL80</f>
        <v>-116741786.00693321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76160000</v>
      </c>
      <c r="E39" s="121">
        <f ca="1">E37+E31</f>
        <v>38804891.666666657</v>
      </c>
      <c r="F39" s="121">
        <f ca="1">F37+F31</f>
        <v>6919416.6666666269</v>
      </c>
      <c r="G39" s="121">
        <f ca="1">G37+G31</f>
        <v>-44365098.083333373</v>
      </c>
      <c r="H39" s="121">
        <f ca="1">H37+H31</f>
        <v>-52187545.228333317</v>
      </c>
      <c r="I39" s="121">
        <f ca="1">I37+I31</f>
        <v>-116741786.00693321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948</v>
      </c>
      <c r="C42" s="321"/>
      <c r="D42" s="275" t="s">
        <v>64</v>
      </c>
      <c r="E42" s="390" t="s">
        <v>35</v>
      </c>
      <c r="F42" s="390"/>
      <c r="G42" s="390"/>
      <c r="H42" s="390"/>
      <c r="I42" s="390"/>
      <c r="J42" s="390"/>
      <c r="K42" s="390"/>
      <c r="L42" s="390"/>
      <c r="M42" s="390"/>
      <c r="N42" s="390"/>
      <c r="O42" s="390"/>
      <c r="P42" s="390"/>
      <c r="Q42" s="390" t="s">
        <v>36</v>
      </c>
      <c r="R42" s="390"/>
      <c r="S42" s="390"/>
      <c r="T42" s="390"/>
      <c r="U42" s="390"/>
      <c r="V42" s="390"/>
      <c r="W42" s="390"/>
      <c r="X42" s="390"/>
      <c r="Y42" s="390"/>
      <c r="Z42" s="390"/>
      <c r="AA42" s="390"/>
      <c r="AB42" s="390"/>
      <c r="AC42" s="390" t="s">
        <v>37</v>
      </c>
      <c r="AD42" s="390"/>
      <c r="AE42" s="390"/>
      <c r="AF42" s="390"/>
      <c r="AG42" s="390"/>
      <c r="AH42" s="390"/>
      <c r="AI42" s="390"/>
      <c r="AJ42" s="390"/>
      <c r="AK42" s="390"/>
      <c r="AL42" s="390"/>
      <c r="AM42" s="390"/>
      <c r="AN42" s="390"/>
      <c r="AO42" s="390" t="s">
        <v>38</v>
      </c>
      <c r="AP42" s="390"/>
      <c r="AQ42" s="390"/>
      <c r="AR42" s="390"/>
      <c r="AS42" s="390"/>
      <c r="AT42" s="390"/>
      <c r="AU42" s="390"/>
      <c r="AV42" s="390"/>
      <c r="AW42" s="390"/>
      <c r="AX42" s="390"/>
      <c r="AY42" s="390"/>
      <c r="AZ42" s="390"/>
      <c r="BA42" s="390" t="s">
        <v>39</v>
      </c>
      <c r="BB42" s="390"/>
      <c r="BC42" s="390"/>
      <c r="BD42" s="390"/>
      <c r="BE42" s="390"/>
      <c r="BF42" s="390"/>
      <c r="BG42" s="390"/>
      <c r="BH42" s="390"/>
      <c r="BI42" s="390"/>
      <c r="BJ42" s="390"/>
      <c r="BK42" s="390"/>
      <c r="BL42" s="39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445</v>
      </c>
      <c r="C47" s="135"/>
    </row>
    <row r="48" spans="2:64" x14ac:dyDescent="0.15">
      <c r="B48" s="305"/>
      <c r="C48" s="135"/>
    </row>
    <row r="49" spans="2:64" x14ac:dyDescent="0.15">
      <c r="B49" s="305" t="s">
        <v>446</v>
      </c>
      <c r="C49" s="135"/>
    </row>
    <row r="50" spans="2:64" x14ac:dyDescent="0.15">
      <c r="B50" s="308" t="s">
        <v>442</v>
      </c>
      <c r="C50" s="136"/>
      <c r="D50" s="121">
        <f ca="1">IF($D42="Y",'FIN-CASHFLOW_CWS'!C58,'FIN-CASHFLOW_CWS'!C70)</f>
        <v>76160000</v>
      </c>
      <c r="E50" s="121">
        <f ca="1">IF($D42="Y",'FIN-CASHFLOW_CWS'!D58,'FIN-CASHFLOW_CWS'!D70)</f>
        <v>76160000</v>
      </c>
      <c r="F50" s="121">
        <f ca="1">IF($D42="Y",'FIN-CASHFLOW_CWS'!E58,'FIN-CASHFLOW_CWS'!E70)</f>
        <v>76160000</v>
      </c>
      <c r="G50" s="121">
        <f ca="1">IF($D42="Y",'FIN-CASHFLOW_CWS'!F58,'FIN-CASHFLOW_CWS'!F70)</f>
        <v>76160000</v>
      </c>
      <c r="H50" s="121">
        <f ca="1">IF($D42="Y",'FIN-CASHFLOW_CWS'!G58,'FIN-CASHFLOW_CWS'!G70)</f>
        <v>44260000</v>
      </c>
      <c r="I50" s="121">
        <f ca="1">IF($D42="Y",'FIN-CASHFLOW_CWS'!H58,'FIN-CASHFLOW_CWS'!H70)</f>
        <v>29040000</v>
      </c>
      <c r="J50" s="121">
        <f ca="1">IF($D42="Y",'FIN-CASHFLOW_CWS'!I58,'FIN-CASHFLOW_CWS'!I70)</f>
        <v>14074999.999999998</v>
      </c>
      <c r="K50" s="121">
        <f ca="1">IF($D42="Y",'FIN-CASHFLOW_CWS'!J58,'FIN-CASHFLOW_CWS'!J70)</f>
        <v>0</v>
      </c>
      <c r="L50" s="121">
        <f ca="1">IF($D42="Y",'FIN-CASHFLOW_CWS'!K58,'FIN-CASHFLOW_CWS'!K70)</f>
        <v>85930975</v>
      </c>
      <c r="M50" s="121">
        <f ca="1">IF($D42="Y",'FIN-CASHFLOW_CWS'!L58,'FIN-CASHFLOW_CWS'!L70)</f>
        <v>71935975</v>
      </c>
      <c r="N50" s="121">
        <f ca="1">IF($D42="Y",'FIN-CASHFLOW_CWS'!M58,'FIN-CASHFLOW_CWS'!M70)</f>
        <v>57940975</v>
      </c>
      <c r="O50" s="121">
        <f ca="1">IF($D42="Y",'FIN-CASHFLOW_CWS'!N58,'FIN-CASHFLOW_CWS'!N70)</f>
        <v>43945975</v>
      </c>
      <c r="P50" s="121">
        <f ca="1">IF($D42="Y",'FIN-CASHFLOW_CWS'!O58,'FIN-CASHFLOW_CWS'!O70)</f>
        <v>29758475</v>
      </c>
      <c r="Q50" s="121">
        <f ca="1">IF($D42="Y",'FIN-CASHFLOW_CWS'!P58,'FIN-CASHFLOW_CWS'!P70)</f>
        <v>13639375</v>
      </c>
      <c r="R50" s="121">
        <f ca="1">IF($D42="Y",'FIN-CASHFLOW_CWS'!Q58,'FIN-CASHFLOW_CWS'!Q70)</f>
        <v>0</v>
      </c>
      <c r="S50" s="121">
        <f ca="1">IF($D42="Y",'FIN-CASHFLOW_CWS'!R58,'FIN-CASHFLOW_CWS'!R70)</f>
        <v>108770850</v>
      </c>
      <c r="T50" s="121">
        <f ca="1">IF($D42="Y",'FIN-CASHFLOW_CWS'!S58,'FIN-CASHFLOW_CWS'!S70)</f>
        <v>96960725</v>
      </c>
      <c r="U50" s="121">
        <f ca="1">IF($D42="Y",'FIN-CASHFLOW_CWS'!T58,'FIN-CASHFLOW_CWS'!T70)</f>
        <v>85150600</v>
      </c>
      <c r="V50" s="121">
        <f ca="1">IF($D42="Y",'FIN-CASHFLOW_CWS'!U58,'FIN-CASHFLOW_CWS'!U70)</f>
        <v>73340475</v>
      </c>
      <c r="W50" s="121">
        <f ca="1">IF($D42="Y",'FIN-CASHFLOW_CWS'!V58,'FIN-CASHFLOW_CWS'!V70)</f>
        <v>61530350</v>
      </c>
      <c r="X50" s="121">
        <f ca="1">IF($D42="Y",'FIN-CASHFLOW_CWS'!W58,'FIN-CASHFLOW_CWS'!W70)</f>
        <v>49720225</v>
      </c>
      <c r="Y50" s="121">
        <f ca="1">IF($D42="Y",'FIN-CASHFLOW_CWS'!X58,'FIN-CASHFLOW_CWS'!X70)</f>
        <v>37910100</v>
      </c>
      <c r="Z50" s="121">
        <f ca="1">IF($D42="Y",'FIN-CASHFLOW_CWS'!Y58,'FIN-CASHFLOW_CWS'!Y70)</f>
        <v>26099975</v>
      </c>
      <c r="AA50" s="121">
        <f ca="1">IF($D42="Y",'FIN-CASHFLOW_CWS'!Z58,'FIN-CASHFLOW_CWS'!Z70)</f>
        <v>14289850</v>
      </c>
      <c r="AB50" s="121">
        <f ca="1">IF($D42="Y",'FIN-CASHFLOW_CWS'!AA58,'FIN-CASHFLOW_CWS'!AA70)</f>
        <v>0</v>
      </c>
      <c r="AC50" s="121">
        <f ca="1">IF($D42="Y",'FIN-CASHFLOW_CWS'!AB58,'FIN-CASHFLOW_CWS'!AB70)</f>
        <v>-12078559.249999998</v>
      </c>
      <c r="AD50" s="121">
        <f ca="1">IF($D42="Y",'FIN-CASHFLOW_CWS'!AC58,'FIN-CASHFLOW_CWS'!AC70)</f>
        <v>-16978595.499999993</v>
      </c>
      <c r="AE50" s="121">
        <f ca="1">IF($D42="Y",'FIN-CASHFLOW_CWS'!AD58,'FIN-CASHFLOW_CWS'!AD70)</f>
        <v>-19477203.999999993</v>
      </c>
      <c r="AF50" s="121">
        <f ca="1">IF($D42="Y",'FIN-CASHFLOW_CWS'!AE58,'FIN-CASHFLOW_CWS'!AE70)</f>
        <v>-21975812.499999993</v>
      </c>
      <c r="AG50" s="121">
        <f ca="1">IF($D42="Y",'FIN-CASHFLOW_CWS'!AF58,'FIN-CASHFLOW_CWS'!AF70)</f>
        <v>-24474420.999999993</v>
      </c>
      <c r="AH50" s="121">
        <f ca="1">IF($D42="Y",'FIN-CASHFLOW_CWS'!AG58,'FIN-CASHFLOW_CWS'!AG70)</f>
        <v>-26973029.499999993</v>
      </c>
      <c r="AI50" s="121">
        <f ca="1">IF($D42="Y",'FIN-CASHFLOW_CWS'!AH58,'FIN-CASHFLOW_CWS'!AH70)</f>
        <v>-29471637.999999993</v>
      </c>
      <c r="AJ50" s="121">
        <f ca="1">IF($D42="Y",'FIN-CASHFLOW_CWS'!AI58,'FIN-CASHFLOW_CWS'!AI70)</f>
        <v>-31970246.499999993</v>
      </c>
      <c r="AK50" s="121">
        <f ca="1">IF($D42="Y",'FIN-CASHFLOW_CWS'!AJ58,'FIN-CASHFLOW_CWS'!AJ70)</f>
        <v>-34468854.999999993</v>
      </c>
      <c r="AL50" s="121">
        <f ca="1">IF($D42="Y",'FIN-CASHFLOW_CWS'!AK58,'FIN-CASHFLOW_CWS'!AK70)</f>
        <v>-36967463.499999993</v>
      </c>
      <c r="AM50" s="121">
        <f ca="1">IF($D42="Y",'FIN-CASHFLOW_CWS'!AL58,'FIN-CASHFLOW_CWS'!AL70)</f>
        <v>-39466071.999999993</v>
      </c>
      <c r="AN50" s="121">
        <f ca="1">IF($D42="Y",'FIN-CASHFLOW_CWS'!AM58,'FIN-CASHFLOW_CWS'!AM70)</f>
        <v>-49157514.749999993</v>
      </c>
      <c r="AO50" s="121">
        <f ca="1">IF($D42="Y",'FIN-CASHFLOW_CWS'!AN58,'FIN-CASHFLOW_CWS'!AN70)</f>
        <v>-59585318.724999994</v>
      </c>
      <c r="AP50" s="121">
        <f ca="1">IF($D42="Y",'FIN-CASHFLOW_CWS'!AO58,'FIN-CASHFLOW_CWS'!AO70)</f>
        <v>-61054492.006499991</v>
      </c>
      <c r="AQ50" s="121">
        <f ca="1">IF($D42="Y",'FIN-CASHFLOW_CWS'!AP58,'FIN-CASHFLOW_CWS'!AP70)</f>
        <v>-59538475.925999984</v>
      </c>
      <c r="AR50" s="121">
        <f ca="1">IF($D42="Y",'FIN-CASHFLOW_CWS'!AQ58,'FIN-CASHFLOW_CWS'!AQ70)</f>
        <v>-58022459.845499977</v>
      </c>
      <c r="AS50" s="121">
        <f ca="1">IF($D42="Y",'FIN-CASHFLOW_CWS'!AR58,'FIN-CASHFLOW_CWS'!AR70)</f>
        <v>-56506443.764999971</v>
      </c>
      <c r="AT50" s="121">
        <f ca="1">IF($D42="Y",'FIN-CASHFLOW_CWS'!AS58,'FIN-CASHFLOW_CWS'!AS70)</f>
        <v>-54990427.684499964</v>
      </c>
      <c r="AU50" s="121">
        <f ca="1">IF($D42="Y",'FIN-CASHFLOW_CWS'!AT58,'FIN-CASHFLOW_CWS'!AT70)</f>
        <v>-53474411.603999957</v>
      </c>
      <c r="AV50" s="121">
        <f ca="1">IF($D42="Y",'FIN-CASHFLOW_CWS'!AU58,'FIN-CASHFLOW_CWS'!AU70)</f>
        <v>-51958395.523499951</v>
      </c>
      <c r="AW50" s="121">
        <f ca="1">IF($D42="Y",'FIN-CASHFLOW_CWS'!AV58,'FIN-CASHFLOW_CWS'!AV70)</f>
        <v>-50442379.442999944</v>
      </c>
      <c r="AX50" s="121">
        <f ca="1">IF($D42="Y",'FIN-CASHFLOW_CWS'!AW58,'FIN-CASHFLOW_CWS'!AW70)</f>
        <v>-48926363.362499937</v>
      </c>
      <c r="AY50" s="121">
        <f ca="1">IF($D42="Y",'FIN-CASHFLOW_CWS'!AX58,'FIN-CASHFLOW_CWS'!AX70)</f>
        <v>-47410347.281999931</v>
      </c>
      <c r="AZ50" s="121">
        <f ca="1">IF($D42="Y",'FIN-CASHFLOW_CWS'!AY58,'FIN-CASHFLOW_CWS'!AY70)</f>
        <v>-54852961.894999929</v>
      </c>
      <c r="BA50" s="121">
        <f ca="1">IF($D42="Y",'FIN-CASHFLOW_CWS'!AZ58,'FIN-CASHFLOW_CWS'!AZ70)</f>
        <v>-68678454.371324927</v>
      </c>
      <c r="BB50" s="121">
        <f ca="1">IF($D42="Y",'FIN-CASHFLOW_CWS'!BA58,'FIN-CASHFLOW_CWS'!BA70)</f>
        <v>-74734984.89262493</v>
      </c>
      <c r="BC50" s="121">
        <f ca="1">IF($D42="Y",'FIN-CASHFLOW_CWS'!BB58,'FIN-CASHFLOW_CWS'!BB70)</f>
        <v>-78214314.601624936</v>
      </c>
      <c r="BD50" s="121">
        <f ca="1">IF($D42="Y",'FIN-CASHFLOW_CWS'!BC58,'FIN-CASHFLOW_CWS'!BC70)</f>
        <v>-81693644.310624927</v>
      </c>
      <c r="BE50" s="121">
        <f ca="1">IF($D42="Y",'FIN-CASHFLOW_CWS'!BD58,'FIN-CASHFLOW_CWS'!BD70)</f>
        <v>-85172974.019624919</v>
      </c>
      <c r="BF50" s="121">
        <f ca="1">IF($D42="Y",'FIN-CASHFLOW_CWS'!BE58,'FIN-CASHFLOW_CWS'!BE70)</f>
        <v>-88652303.72862491</v>
      </c>
      <c r="BG50" s="121">
        <f ca="1">IF($D42="Y",'FIN-CASHFLOW_CWS'!BF58,'FIN-CASHFLOW_CWS'!BF70)</f>
        <v>-92131633.437624902</v>
      </c>
      <c r="BH50" s="121">
        <f ca="1">IF($D42="Y",'FIN-CASHFLOW_CWS'!BG58,'FIN-CASHFLOW_CWS'!BG70)</f>
        <v>-95610963.146624893</v>
      </c>
      <c r="BI50" s="121">
        <f ca="1">IF($D42="Y",'FIN-CASHFLOW_CWS'!BH58,'FIN-CASHFLOW_CWS'!BH70)</f>
        <v>-99090292.855624884</v>
      </c>
      <c r="BJ50" s="121">
        <f ca="1">IF($D42="Y",'FIN-CASHFLOW_CWS'!BI58,'FIN-CASHFLOW_CWS'!BI70)</f>
        <v>-102569622.56462488</v>
      </c>
      <c r="BK50" s="121">
        <f ca="1">IF($D42="Y",'FIN-CASHFLOW_CWS'!BJ58,'FIN-CASHFLOW_CWS'!BJ70)</f>
        <v>-106048952.27362487</v>
      </c>
      <c r="BL50" s="121">
        <f ca="1">IF($D42="Y",'FIN-CASHFLOW_CWS'!BK58,'FIN-CASHFLOW_CWS'!BK70)</f>
        <v>-117280202.67359987</v>
      </c>
    </row>
    <row r="51" spans="2:64" x14ac:dyDescent="0.15">
      <c r="B51" s="308" t="s">
        <v>447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448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449</v>
      </c>
      <c r="C53" s="135"/>
      <c r="D53" s="121">
        <f ca="1">SUM(D50:D52)</f>
        <v>76160000</v>
      </c>
      <c r="E53" s="121">
        <f ca="1">SUM(E50:E52)</f>
        <v>76160000</v>
      </c>
      <c r="F53" s="121">
        <f t="shared" ref="F53:BL53" ca="1" si="3">SUM(F50:F52)</f>
        <v>76160000</v>
      </c>
      <c r="G53" s="121">
        <f t="shared" ca="1" si="3"/>
        <v>76160000</v>
      </c>
      <c r="H53" s="121">
        <f t="shared" ca="1" si="3"/>
        <v>44260000</v>
      </c>
      <c r="I53" s="121">
        <f t="shared" ca="1" si="3"/>
        <v>29040000</v>
      </c>
      <c r="J53" s="121">
        <f t="shared" ca="1" si="3"/>
        <v>14074999.999999998</v>
      </c>
      <c r="K53" s="121">
        <f t="shared" ca="1" si="3"/>
        <v>0</v>
      </c>
      <c r="L53" s="121">
        <f t="shared" ca="1" si="3"/>
        <v>85930975</v>
      </c>
      <c r="M53" s="121">
        <f t="shared" ca="1" si="3"/>
        <v>71935975</v>
      </c>
      <c r="N53" s="121">
        <f t="shared" ca="1" si="3"/>
        <v>57940975</v>
      </c>
      <c r="O53" s="121">
        <f t="shared" ca="1" si="3"/>
        <v>43945975</v>
      </c>
      <c r="P53" s="121">
        <f t="shared" ca="1" si="3"/>
        <v>29758475</v>
      </c>
      <c r="Q53" s="121">
        <f t="shared" ca="1" si="3"/>
        <v>13639375</v>
      </c>
      <c r="R53" s="121">
        <f t="shared" ca="1" si="3"/>
        <v>0</v>
      </c>
      <c r="S53" s="121">
        <f t="shared" ca="1" si="3"/>
        <v>108770850</v>
      </c>
      <c r="T53" s="121">
        <f t="shared" ca="1" si="3"/>
        <v>96960725</v>
      </c>
      <c r="U53" s="121">
        <f t="shared" ca="1" si="3"/>
        <v>85150600</v>
      </c>
      <c r="V53" s="121">
        <f t="shared" ca="1" si="3"/>
        <v>73340475</v>
      </c>
      <c r="W53" s="121">
        <f t="shared" ca="1" si="3"/>
        <v>61530350</v>
      </c>
      <c r="X53" s="121">
        <f t="shared" ca="1" si="3"/>
        <v>49720225</v>
      </c>
      <c r="Y53" s="121">
        <f t="shared" ca="1" si="3"/>
        <v>37910100</v>
      </c>
      <c r="Z53" s="121">
        <f t="shared" ca="1" si="3"/>
        <v>26099975</v>
      </c>
      <c r="AA53" s="121">
        <f t="shared" ca="1" si="3"/>
        <v>14289850</v>
      </c>
      <c r="AB53" s="121">
        <f t="shared" ca="1" si="3"/>
        <v>0</v>
      </c>
      <c r="AC53" s="121">
        <f t="shared" ca="1" si="3"/>
        <v>-12078559.249999998</v>
      </c>
      <c r="AD53" s="121">
        <f t="shared" ca="1" si="3"/>
        <v>-16978595.499999993</v>
      </c>
      <c r="AE53" s="121">
        <f t="shared" ca="1" si="3"/>
        <v>-19477203.999999993</v>
      </c>
      <c r="AF53" s="121">
        <f t="shared" ca="1" si="3"/>
        <v>-21975812.499999993</v>
      </c>
      <c r="AG53" s="121">
        <f t="shared" ca="1" si="3"/>
        <v>-24474420.999999993</v>
      </c>
      <c r="AH53" s="121">
        <f t="shared" ca="1" si="3"/>
        <v>-26973029.499999993</v>
      </c>
      <c r="AI53" s="121">
        <f t="shared" ca="1" si="3"/>
        <v>-29471637.999999993</v>
      </c>
      <c r="AJ53" s="121">
        <f t="shared" ca="1" si="3"/>
        <v>-31970246.499999993</v>
      </c>
      <c r="AK53" s="121">
        <f t="shared" ca="1" si="3"/>
        <v>-34468854.999999993</v>
      </c>
      <c r="AL53" s="121">
        <f t="shared" ca="1" si="3"/>
        <v>-36967463.499999993</v>
      </c>
      <c r="AM53" s="121">
        <f t="shared" ca="1" si="3"/>
        <v>-39466071.999999993</v>
      </c>
      <c r="AN53" s="121">
        <f t="shared" ca="1" si="3"/>
        <v>-49157514.749999993</v>
      </c>
      <c r="AO53" s="121">
        <f t="shared" ca="1" si="3"/>
        <v>-59585318.724999994</v>
      </c>
      <c r="AP53" s="121">
        <f t="shared" ca="1" si="3"/>
        <v>-61054492.006499991</v>
      </c>
      <c r="AQ53" s="121">
        <f t="shared" ca="1" si="3"/>
        <v>-59538475.925999984</v>
      </c>
      <c r="AR53" s="121">
        <f t="shared" ca="1" si="3"/>
        <v>-58022459.845499977</v>
      </c>
      <c r="AS53" s="121">
        <f t="shared" ca="1" si="3"/>
        <v>-56506443.764999971</v>
      </c>
      <c r="AT53" s="121">
        <f t="shared" ca="1" si="3"/>
        <v>-54990427.684499964</v>
      </c>
      <c r="AU53" s="121">
        <f t="shared" ca="1" si="3"/>
        <v>-53474411.603999957</v>
      </c>
      <c r="AV53" s="121">
        <f t="shared" ca="1" si="3"/>
        <v>-51958395.523499951</v>
      </c>
      <c r="AW53" s="121">
        <f t="shared" ca="1" si="3"/>
        <v>-50442379.442999944</v>
      </c>
      <c r="AX53" s="121">
        <f t="shared" ca="1" si="3"/>
        <v>-48926363.362499937</v>
      </c>
      <c r="AY53" s="121">
        <f t="shared" ca="1" si="3"/>
        <v>-47410347.281999931</v>
      </c>
      <c r="AZ53" s="121">
        <f t="shared" ca="1" si="3"/>
        <v>-54852961.894999929</v>
      </c>
      <c r="BA53" s="121">
        <f t="shared" ca="1" si="3"/>
        <v>-68678454.371324927</v>
      </c>
      <c r="BB53" s="121">
        <f t="shared" ca="1" si="3"/>
        <v>-74734984.89262493</v>
      </c>
      <c r="BC53" s="121">
        <f t="shared" ca="1" si="3"/>
        <v>-78214314.601624936</v>
      </c>
      <c r="BD53" s="121">
        <f t="shared" ca="1" si="3"/>
        <v>-81693644.310624927</v>
      </c>
      <c r="BE53" s="121">
        <f t="shared" ca="1" si="3"/>
        <v>-85172974.019624919</v>
      </c>
      <c r="BF53" s="121">
        <f t="shared" ca="1" si="3"/>
        <v>-88652303.72862491</v>
      </c>
      <c r="BG53" s="121">
        <f t="shared" ca="1" si="3"/>
        <v>-92131633.437624902</v>
      </c>
      <c r="BH53" s="121">
        <f t="shared" ca="1" si="3"/>
        <v>-95610963.146624893</v>
      </c>
      <c r="BI53" s="121">
        <f t="shared" ca="1" si="3"/>
        <v>-99090292.855624884</v>
      </c>
      <c r="BJ53" s="121">
        <f t="shared" ca="1" si="3"/>
        <v>-102569622.56462488</v>
      </c>
      <c r="BK53" s="121">
        <f t="shared" ca="1" si="3"/>
        <v>-106048952.27362487</v>
      </c>
      <c r="BL53" s="121">
        <f t="shared" ca="1" si="3"/>
        <v>-117280202.67359987</v>
      </c>
    </row>
    <row r="54" spans="2:64" x14ac:dyDescent="0.15">
      <c r="B54" s="308" t="s">
        <v>443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451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452</v>
      </c>
      <c r="C60" s="135"/>
      <c r="D60" s="121">
        <f t="shared" ref="D60:AI60" ca="1" si="5">D58+D53</f>
        <v>76160000</v>
      </c>
      <c r="E60" s="121">
        <f t="shared" ca="1" si="5"/>
        <v>76160000</v>
      </c>
      <c r="F60" s="121">
        <f t="shared" ca="1" si="5"/>
        <v>76160000</v>
      </c>
      <c r="G60" s="121">
        <f t="shared" ca="1" si="5"/>
        <v>76160000</v>
      </c>
      <c r="H60" s="121">
        <f t="shared" ca="1" si="5"/>
        <v>54481750</v>
      </c>
      <c r="I60" s="121">
        <f t="shared" ca="1" si="5"/>
        <v>39245833.333333336</v>
      </c>
      <c r="J60" s="121">
        <f t="shared" ca="1" si="5"/>
        <v>24104916.666666664</v>
      </c>
      <c r="K60" s="121">
        <f t="shared" ca="1" si="5"/>
        <v>9932666.666666666</v>
      </c>
      <c r="L60" s="121">
        <f t="shared" ca="1" si="5"/>
        <v>95686391.666666672</v>
      </c>
      <c r="M60" s="121">
        <f t="shared" ca="1" si="5"/>
        <v>81514141.666666672</v>
      </c>
      <c r="N60" s="121">
        <f t="shared" ca="1" si="5"/>
        <v>67341891.666666672</v>
      </c>
      <c r="O60" s="121">
        <f t="shared" ca="1" si="5"/>
        <v>53169641.666666664</v>
      </c>
      <c r="P60" s="121">
        <f t="shared" ca="1" si="5"/>
        <v>38804891.666666664</v>
      </c>
      <c r="Q60" s="121">
        <f t="shared" ca="1" si="5"/>
        <v>22508541.666666664</v>
      </c>
      <c r="R60" s="121">
        <f t="shared" ca="1" si="5"/>
        <v>8691916.666666666</v>
      </c>
      <c r="S60" s="121">
        <f t="shared" ca="1" si="5"/>
        <v>117285516.66666667</v>
      </c>
      <c r="T60" s="121">
        <f t="shared" ca="1" si="5"/>
        <v>105298141.66666667</v>
      </c>
      <c r="U60" s="121">
        <f t="shared" ca="1" si="5"/>
        <v>93310766.666666672</v>
      </c>
      <c r="V60" s="121">
        <f t="shared" ca="1" si="5"/>
        <v>81323391.666666672</v>
      </c>
      <c r="W60" s="121">
        <f t="shared" ca="1" si="5"/>
        <v>69336016.666666672</v>
      </c>
      <c r="X60" s="121">
        <f t="shared" ca="1" si="5"/>
        <v>57348641.666666664</v>
      </c>
      <c r="Y60" s="121">
        <f t="shared" ca="1" si="5"/>
        <v>45361266.666666664</v>
      </c>
      <c r="Z60" s="121">
        <f t="shared" ca="1" si="5"/>
        <v>33373891.666666668</v>
      </c>
      <c r="AA60" s="121">
        <f t="shared" ca="1" si="5"/>
        <v>21386516.666666668</v>
      </c>
      <c r="AB60" s="121">
        <f t="shared" ca="1" si="5"/>
        <v>6919416.666666667</v>
      </c>
      <c r="AC60" s="121">
        <f t="shared" ca="1" si="5"/>
        <v>-5336392.5833333312</v>
      </c>
      <c r="AD60" s="121">
        <f t="shared" ca="1" si="5"/>
        <v>-10413678.833333325</v>
      </c>
      <c r="AE60" s="121">
        <f t="shared" ca="1" si="5"/>
        <v>-13089537.333333325</v>
      </c>
      <c r="AF60" s="121">
        <f t="shared" ca="1" si="5"/>
        <v>-15765395.833333325</v>
      </c>
      <c r="AG60" s="121">
        <f t="shared" ca="1" si="5"/>
        <v>-18441254.333333325</v>
      </c>
      <c r="AH60" s="121">
        <f t="shared" ca="1" si="5"/>
        <v>-21117112.833333325</v>
      </c>
      <c r="AI60" s="121">
        <f t="shared" ca="1" si="5"/>
        <v>-23792971.333333325</v>
      </c>
      <c r="AJ60" s="121">
        <f t="shared" ref="AJ60:BL60" ca="1" si="6">AJ58+AJ53</f>
        <v>-26468829.833333325</v>
      </c>
      <c r="AK60" s="121">
        <f t="shared" ca="1" si="6"/>
        <v>-29144688.333333325</v>
      </c>
      <c r="AL60" s="121">
        <f t="shared" ca="1" si="6"/>
        <v>-31820546.833333325</v>
      </c>
      <c r="AM60" s="121">
        <f t="shared" ca="1" si="6"/>
        <v>-34496405.333333328</v>
      </c>
      <c r="AN60" s="121">
        <f t="shared" ca="1" si="6"/>
        <v>-44365098.083333328</v>
      </c>
      <c r="AO60" s="121">
        <f t="shared" ca="1" si="6"/>
        <v>-54970152.05833333</v>
      </c>
      <c r="AP60" s="121">
        <f t="shared" ca="1" si="6"/>
        <v>-56616575.339833327</v>
      </c>
      <c r="AQ60" s="121">
        <f t="shared" ca="1" si="6"/>
        <v>-55277809.25933332</v>
      </c>
      <c r="AR60" s="121">
        <f t="shared" ca="1" si="6"/>
        <v>-53939043.178833313</v>
      </c>
      <c r="AS60" s="121">
        <f t="shared" ca="1" si="6"/>
        <v>-52600277.098333307</v>
      </c>
      <c r="AT60" s="121">
        <f t="shared" ca="1" si="6"/>
        <v>-51261511.0178333</v>
      </c>
      <c r="AU60" s="121">
        <f t="shared" ca="1" si="6"/>
        <v>-49922744.937333293</v>
      </c>
      <c r="AV60" s="121">
        <f t="shared" ca="1" si="6"/>
        <v>-48583978.856833287</v>
      </c>
      <c r="AW60" s="121">
        <f t="shared" ca="1" si="6"/>
        <v>-47245212.77633328</v>
      </c>
      <c r="AX60" s="121">
        <f t="shared" ca="1" si="6"/>
        <v>-45906446.695833273</v>
      </c>
      <c r="AY60" s="121">
        <f t="shared" ca="1" si="6"/>
        <v>-44567680.615333267</v>
      </c>
      <c r="AZ60" s="121">
        <f t="shared" ca="1" si="6"/>
        <v>-52187545.228333265</v>
      </c>
      <c r="BA60" s="121">
        <f t="shared" ca="1" si="6"/>
        <v>-66190287.704658262</v>
      </c>
      <c r="BB60" s="121">
        <f t="shared" ca="1" si="6"/>
        <v>-72424068.225958258</v>
      </c>
      <c r="BC60" s="121">
        <f t="shared" ca="1" si="6"/>
        <v>-76080647.934958264</v>
      </c>
      <c r="BD60" s="121">
        <f t="shared" ca="1" si="6"/>
        <v>-79737227.643958256</v>
      </c>
      <c r="BE60" s="121">
        <f t="shared" ca="1" si="6"/>
        <v>-83393807.352958247</v>
      </c>
      <c r="BF60" s="121">
        <f t="shared" ca="1" si="6"/>
        <v>-87050387.061958238</v>
      </c>
      <c r="BG60" s="121">
        <f t="shared" ca="1" si="6"/>
        <v>-90706966.77095823</v>
      </c>
      <c r="BH60" s="121">
        <f t="shared" ca="1" si="6"/>
        <v>-94363546.479958221</v>
      </c>
      <c r="BI60" s="121">
        <f t="shared" ca="1" si="6"/>
        <v>-98020126.188958213</v>
      </c>
      <c r="BJ60" s="121">
        <f t="shared" ca="1" si="6"/>
        <v>-101676705.8979582</v>
      </c>
      <c r="BK60" s="121">
        <f t="shared" ca="1" si="6"/>
        <v>-105333285.6069582</v>
      </c>
      <c r="BL60" s="121">
        <f t="shared" ca="1" si="6"/>
        <v>-116741786.0069332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1028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360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454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457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1029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1030</v>
      </c>
      <c r="C77" s="136"/>
      <c r="D77" s="121">
        <f ca="1">IF($D42="Y",'FIN-CASHFLOW_CWS'!C60,'FIN-CASHFLOW_CWS'!C65)</f>
        <v>76160000</v>
      </c>
      <c r="E77" s="121">
        <f ca="1">IF($D42="Y",'FIN-CASHFLOW_CWS'!D60,'FIN-CASHFLOW_CWS'!D65)</f>
        <v>76160000</v>
      </c>
      <c r="F77" s="121">
        <f ca="1">IF($D42="Y",'FIN-CASHFLOW_CWS'!E60,'FIN-CASHFLOW_CWS'!E65)</f>
        <v>76160000</v>
      </c>
      <c r="G77" s="121">
        <f ca="1">IF($D42="Y",'FIN-CASHFLOW_CWS'!F60,'FIN-CASHFLOW_CWS'!F65)</f>
        <v>76160000</v>
      </c>
      <c r="H77" s="121">
        <f ca="1">IF($D42="Y",'FIN-CASHFLOW_CWS'!G60,'FIN-CASHFLOW_CWS'!G65)</f>
        <v>76160000</v>
      </c>
      <c r="I77" s="121">
        <f ca="1">IF($D42="Y",'FIN-CASHFLOW_CWS'!H60,'FIN-CASHFLOW_CWS'!H65)</f>
        <v>76160000</v>
      </c>
      <c r="J77" s="121">
        <f ca="1">IF($D42="Y",'FIN-CASHFLOW_CWS'!I60,'FIN-CASHFLOW_CWS'!I65)</f>
        <v>76160000</v>
      </c>
      <c r="K77" s="121">
        <f ca="1">IF($D42="Y",'FIN-CASHFLOW_CWS'!J60,'FIN-CASHFLOW_CWS'!J65)</f>
        <v>76160000</v>
      </c>
      <c r="L77" s="121">
        <f ca="1">IF($D42="Y",'FIN-CASHFLOW_CWS'!K60,'FIN-CASHFLOW_CWS'!K65)</f>
        <v>176085975</v>
      </c>
      <c r="M77" s="121">
        <f ca="1">IF($D42="Y",'FIN-CASHFLOW_CWS'!L60,'FIN-CASHFLOW_CWS'!L65)</f>
        <v>176085975</v>
      </c>
      <c r="N77" s="121">
        <f ca="1">IF($D42="Y",'FIN-CASHFLOW_CWS'!M60,'FIN-CASHFLOW_CWS'!M65)</f>
        <v>176085975</v>
      </c>
      <c r="O77" s="121">
        <f ca="1">IF($D42="Y",'FIN-CASHFLOW_CWS'!N60,'FIN-CASHFLOW_CWS'!N65)</f>
        <v>176085975</v>
      </c>
      <c r="P77" s="121">
        <f ca="1">IF($D42="Y",'FIN-CASHFLOW_CWS'!O60,'FIN-CASHFLOW_CWS'!O65)</f>
        <v>176085975</v>
      </c>
      <c r="Q77" s="121">
        <f ca="1">IF($D42="Y",'FIN-CASHFLOW_CWS'!P60,'FIN-CASHFLOW_CWS'!P65)</f>
        <v>176085975</v>
      </c>
      <c r="R77" s="121">
        <f ca="1">IF($D42="Y",'FIN-CASHFLOW_CWS'!Q60,'FIN-CASHFLOW_CWS'!Q65)</f>
        <v>176085975</v>
      </c>
      <c r="S77" s="121">
        <f ca="1">IF($D42="Y",'FIN-CASHFLOW_CWS'!R60,'FIN-CASHFLOW_CWS'!R65)</f>
        <v>297666950</v>
      </c>
      <c r="T77" s="121">
        <f ca="1">IF($D42="Y",'FIN-CASHFLOW_CWS'!S60,'FIN-CASHFLOW_CWS'!S65)</f>
        <v>297666950</v>
      </c>
      <c r="U77" s="121">
        <f ca="1">IF($D42="Y",'FIN-CASHFLOW_CWS'!T60,'FIN-CASHFLOW_CWS'!T65)</f>
        <v>297666950</v>
      </c>
      <c r="V77" s="121">
        <f ca="1">IF($D42="Y",'FIN-CASHFLOW_CWS'!U60,'FIN-CASHFLOW_CWS'!U65)</f>
        <v>297666950</v>
      </c>
      <c r="W77" s="121">
        <f ca="1">IF($D42="Y",'FIN-CASHFLOW_CWS'!V60,'FIN-CASHFLOW_CWS'!V65)</f>
        <v>297666950</v>
      </c>
      <c r="X77" s="121">
        <f ca="1">IF($D42="Y",'FIN-CASHFLOW_CWS'!W60,'FIN-CASHFLOW_CWS'!W65)</f>
        <v>297666950</v>
      </c>
      <c r="Y77" s="121">
        <f ca="1">IF($D42="Y",'FIN-CASHFLOW_CWS'!X60,'FIN-CASHFLOW_CWS'!X65)</f>
        <v>297666950</v>
      </c>
      <c r="Z77" s="121">
        <f ca="1">IF($D42="Y",'FIN-CASHFLOW_CWS'!Y60,'FIN-CASHFLOW_CWS'!Y65)</f>
        <v>297666950</v>
      </c>
      <c r="AA77" s="121">
        <f ca="1">IF($D42="Y",'FIN-CASHFLOW_CWS'!Z60,'FIN-CASHFLOW_CWS'!Z65)</f>
        <v>297666950</v>
      </c>
      <c r="AB77" s="121">
        <f ca="1">IF($D42="Y",'FIN-CASHFLOW_CWS'!AA60,'FIN-CASHFLOW_CWS'!AA65)</f>
        <v>297666950</v>
      </c>
      <c r="AC77" s="121">
        <f ca="1">IF($D42="Y",'FIN-CASHFLOW_CWS'!AB60,'FIN-CASHFLOW_CWS'!AB65)</f>
        <v>297666950</v>
      </c>
      <c r="AD77" s="121">
        <f ca="1">IF($D42="Y",'FIN-CASHFLOW_CWS'!AC60,'FIN-CASHFLOW_CWS'!AC65)</f>
        <v>297666950</v>
      </c>
      <c r="AE77" s="121">
        <f ca="1">IF($D42="Y",'FIN-CASHFLOW_CWS'!AD60,'FIN-CASHFLOW_CWS'!AD65)</f>
        <v>297666950</v>
      </c>
      <c r="AF77" s="121">
        <f ca="1">IF($D42="Y",'FIN-CASHFLOW_CWS'!AE60,'FIN-CASHFLOW_CWS'!AE65)</f>
        <v>297666950</v>
      </c>
      <c r="AG77" s="121">
        <f ca="1">IF($D42="Y",'FIN-CASHFLOW_CWS'!AF60,'FIN-CASHFLOW_CWS'!AF65)</f>
        <v>297666950</v>
      </c>
      <c r="AH77" s="121">
        <f ca="1">IF($D42="Y",'FIN-CASHFLOW_CWS'!AG60,'FIN-CASHFLOW_CWS'!AG65)</f>
        <v>297666950</v>
      </c>
      <c r="AI77" s="121">
        <f ca="1">IF($D42="Y",'FIN-CASHFLOW_CWS'!AH60,'FIN-CASHFLOW_CWS'!AH65)</f>
        <v>297666950</v>
      </c>
      <c r="AJ77" s="121">
        <f ca="1">IF($D42="Y",'FIN-CASHFLOW_CWS'!AI60,'FIN-CASHFLOW_CWS'!AI65)</f>
        <v>297666950</v>
      </c>
      <c r="AK77" s="121">
        <f ca="1">IF($D42="Y",'FIN-CASHFLOW_CWS'!AJ60,'FIN-CASHFLOW_CWS'!AJ65)</f>
        <v>297666950</v>
      </c>
      <c r="AL77" s="121">
        <f ca="1">IF($D42="Y",'FIN-CASHFLOW_CWS'!AK60,'FIN-CASHFLOW_CWS'!AK65)</f>
        <v>297666950</v>
      </c>
      <c r="AM77" s="121">
        <f ca="1">IF($D42="Y",'FIN-CASHFLOW_CWS'!AL60,'FIN-CASHFLOW_CWS'!AL65)</f>
        <v>297666950</v>
      </c>
      <c r="AN77" s="121">
        <f ca="1">IF($D42="Y",'FIN-CASHFLOW_CWS'!AM60,'FIN-CASHFLOW_CWS'!AM65)</f>
        <v>297666950</v>
      </c>
      <c r="AO77" s="121">
        <f ca="1">IF($D42="Y",'FIN-CASHFLOW_CWS'!AN60,'FIN-CASHFLOW_CWS'!AN65)</f>
        <v>297666950</v>
      </c>
      <c r="AP77" s="121">
        <f ca="1">IF($D42="Y",'FIN-CASHFLOW_CWS'!AO60,'FIN-CASHFLOW_CWS'!AO65)</f>
        <v>297666950</v>
      </c>
      <c r="AQ77" s="121">
        <f ca="1">IF($D42="Y",'FIN-CASHFLOW_CWS'!AP60,'FIN-CASHFLOW_CWS'!AP65)</f>
        <v>297666950</v>
      </c>
      <c r="AR77" s="121">
        <f ca="1">IF($D42="Y",'FIN-CASHFLOW_CWS'!AQ60,'FIN-CASHFLOW_CWS'!AQ65)</f>
        <v>297666950</v>
      </c>
      <c r="AS77" s="121">
        <f ca="1">IF($D42="Y",'FIN-CASHFLOW_CWS'!AR60,'FIN-CASHFLOW_CWS'!AR65)</f>
        <v>297666950</v>
      </c>
      <c r="AT77" s="121">
        <f ca="1">IF($D42="Y",'FIN-CASHFLOW_CWS'!AS60,'FIN-CASHFLOW_CWS'!AS65)</f>
        <v>297666950</v>
      </c>
      <c r="AU77" s="121">
        <f ca="1">IF($D42="Y",'FIN-CASHFLOW_CWS'!AT60,'FIN-CASHFLOW_CWS'!AT65)</f>
        <v>297666950</v>
      </c>
      <c r="AV77" s="121">
        <f ca="1">IF($D42="Y",'FIN-CASHFLOW_CWS'!AU60,'FIN-CASHFLOW_CWS'!AU65)</f>
        <v>297666950</v>
      </c>
      <c r="AW77" s="121">
        <f ca="1">IF($D42="Y",'FIN-CASHFLOW_CWS'!AV60,'FIN-CASHFLOW_CWS'!AV65)</f>
        <v>297666950</v>
      </c>
      <c r="AX77" s="121">
        <f ca="1">IF($D42="Y",'FIN-CASHFLOW_CWS'!AW60,'FIN-CASHFLOW_CWS'!AW65)</f>
        <v>297666950</v>
      </c>
      <c r="AY77" s="121">
        <f ca="1">IF($D42="Y",'FIN-CASHFLOW_CWS'!AX60,'FIN-CASHFLOW_CWS'!AX65)</f>
        <v>297666950</v>
      </c>
      <c r="AZ77" s="121">
        <f ca="1">IF($D42="Y",'FIN-CASHFLOW_CWS'!AY60,'FIN-CASHFLOW_CWS'!AY65)</f>
        <v>297666950</v>
      </c>
      <c r="BA77" s="121">
        <f ca="1">IF($D42="Y",'FIN-CASHFLOW_CWS'!AZ60,'FIN-CASHFLOW_CWS'!AZ65)</f>
        <v>297666950</v>
      </c>
      <c r="BB77" s="121">
        <f ca="1">IF($D42="Y",'FIN-CASHFLOW_CWS'!BA60,'FIN-CASHFLOW_CWS'!BA65)</f>
        <v>297666950</v>
      </c>
      <c r="BC77" s="121">
        <f ca="1">IF($D42="Y",'FIN-CASHFLOW_CWS'!BB60,'FIN-CASHFLOW_CWS'!BB65)</f>
        <v>297666950</v>
      </c>
      <c r="BD77" s="121">
        <f ca="1">IF($D42="Y",'FIN-CASHFLOW_CWS'!BC60,'FIN-CASHFLOW_CWS'!BC65)</f>
        <v>297666950</v>
      </c>
      <c r="BE77" s="121">
        <f ca="1">IF($D42="Y",'FIN-CASHFLOW_CWS'!BD60,'FIN-CASHFLOW_CWS'!BD65)</f>
        <v>297666950</v>
      </c>
      <c r="BF77" s="121">
        <f ca="1">IF($D42="Y",'FIN-CASHFLOW_CWS'!BE60,'FIN-CASHFLOW_CWS'!BE65)</f>
        <v>297666950</v>
      </c>
      <c r="BG77" s="121">
        <f ca="1">IF($D42="Y",'FIN-CASHFLOW_CWS'!BF60,'FIN-CASHFLOW_CWS'!BF65)</f>
        <v>297666950</v>
      </c>
      <c r="BH77" s="121">
        <f ca="1">IF($D42="Y",'FIN-CASHFLOW_CWS'!BG60,'FIN-CASHFLOW_CWS'!BG65)</f>
        <v>297666950</v>
      </c>
      <c r="BI77" s="121">
        <f ca="1">IF($D42="Y",'FIN-CASHFLOW_CWS'!BH60,'FIN-CASHFLOW_CWS'!BH65)</f>
        <v>297666950</v>
      </c>
      <c r="BJ77" s="121">
        <f ca="1">IF($D42="Y",'FIN-CASHFLOW_CWS'!BI60,'FIN-CASHFLOW_CWS'!BI65)</f>
        <v>297666950</v>
      </c>
      <c r="BK77" s="121">
        <f ca="1">IF($D42="Y",'FIN-CASHFLOW_CWS'!BJ60,'FIN-CASHFLOW_CWS'!BJ65)</f>
        <v>297666950</v>
      </c>
      <c r="BL77" s="121">
        <f ca="1">IF($D42="Y",'FIN-CASHFLOW_CWS'!BK60,'FIN-CASHFLOW_CWS'!BK65)</f>
        <v>297666950</v>
      </c>
    </row>
    <row r="78" spans="2:64" x14ac:dyDescent="0.15">
      <c r="B78" s="308" t="s">
        <v>949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-21678250</v>
      </c>
      <c r="J78" s="121">
        <f t="shared" si="10"/>
        <v>-36914166.666666672</v>
      </c>
      <c r="K78" s="121">
        <f t="shared" si="10"/>
        <v>-52055083.333333343</v>
      </c>
      <c r="L78" s="121">
        <f t="shared" si="10"/>
        <v>-66227333.333333343</v>
      </c>
      <c r="M78" s="121">
        <f t="shared" si="10"/>
        <v>-80399583.333333343</v>
      </c>
      <c r="N78" s="121">
        <f t="shared" si="10"/>
        <v>-94571833.333333343</v>
      </c>
      <c r="O78" s="121">
        <f t="shared" si="10"/>
        <v>-108744083.33333334</v>
      </c>
      <c r="P78" s="121">
        <f t="shared" si="10"/>
        <v>-122916333.33333334</v>
      </c>
      <c r="Q78" s="121">
        <f t="shared" si="10"/>
        <v>-137281083.33333334</v>
      </c>
      <c r="R78" s="121">
        <f t="shared" si="10"/>
        <v>-153577433.33333334</v>
      </c>
      <c r="S78" s="121">
        <f t="shared" si="10"/>
        <v>-167394058.33333334</v>
      </c>
      <c r="T78" s="121">
        <f t="shared" si="10"/>
        <v>-180381433.33333334</v>
      </c>
      <c r="U78" s="121">
        <f t="shared" si="10"/>
        <v>-192368808.33333334</v>
      </c>
      <c r="V78" s="121">
        <f t="shared" si="10"/>
        <v>-204356183.33333334</v>
      </c>
      <c r="W78" s="121">
        <f t="shared" si="10"/>
        <v>-216343558.33333334</v>
      </c>
      <c r="X78" s="121">
        <f t="shared" si="10"/>
        <v>-228330933.33333334</v>
      </c>
      <c r="Y78" s="121">
        <f t="shared" si="10"/>
        <v>-240318308.33333334</v>
      </c>
      <c r="Z78" s="121">
        <f t="shared" si="10"/>
        <v>-252305683.33333334</v>
      </c>
      <c r="AA78" s="121">
        <f t="shared" si="10"/>
        <v>-264293058.33333334</v>
      </c>
      <c r="AB78" s="121">
        <f t="shared" si="10"/>
        <v>-276280433.33333337</v>
      </c>
      <c r="AC78" s="121">
        <f t="shared" si="10"/>
        <v>-290747533.33333337</v>
      </c>
      <c r="AD78" s="121">
        <f t="shared" si="10"/>
        <v>-303003342.58333337</v>
      </c>
      <c r="AE78" s="121">
        <f t="shared" si="10"/>
        <v>-308080628.83333337</v>
      </c>
      <c r="AF78" s="121">
        <f t="shared" si="10"/>
        <v>-310756487.33333337</v>
      </c>
      <c r="AG78" s="121">
        <f t="shared" si="10"/>
        <v>-313432345.83333337</v>
      </c>
      <c r="AH78" s="121">
        <f t="shared" si="10"/>
        <v>-316108204.33333337</v>
      </c>
      <c r="AI78" s="121">
        <f t="shared" si="10"/>
        <v>-318784062.83333337</v>
      </c>
      <c r="AJ78" s="121">
        <f t="shared" si="10"/>
        <v>-321459921.33333337</v>
      </c>
      <c r="AK78" s="121">
        <f t="shared" si="10"/>
        <v>-324135779.83333337</v>
      </c>
      <c r="AL78" s="121">
        <f t="shared" si="10"/>
        <v>-326811638.33333337</v>
      </c>
      <c r="AM78" s="121">
        <f t="shared" si="10"/>
        <v>-329487496.83333337</v>
      </c>
      <c r="AN78" s="121">
        <f t="shared" si="10"/>
        <v>-332163355.33333337</v>
      </c>
      <c r="AO78" s="121">
        <f t="shared" si="10"/>
        <v>-342032048.08333337</v>
      </c>
      <c r="AP78" s="121">
        <f t="shared" si="10"/>
        <v>-352637102.0583334</v>
      </c>
      <c r="AQ78" s="121">
        <f t="shared" si="10"/>
        <v>-354283525.33983338</v>
      </c>
      <c r="AR78" s="121">
        <f t="shared" si="10"/>
        <v>-352944759.25933337</v>
      </c>
      <c r="AS78" s="121">
        <f t="shared" si="10"/>
        <v>-351605993.17883337</v>
      </c>
      <c r="AT78" s="121">
        <f t="shared" si="10"/>
        <v>-350267227.09833336</v>
      </c>
      <c r="AU78" s="121">
        <f t="shared" si="10"/>
        <v>-348928461.01783335</v>
      </c>
      <c r="AV78" s="121">
        <f t="shared" si="10"/>
        <v>-347589694.93733335</v>
      </c>
      <c r="AW78" s="121">
        <f t="shared" si="10"/>
        <v>-346250928.85683334</v>
      </c>
      <c r="AX78" s="121">
        <f t="shared" si="10"/>
        <v>-344912162.77633333</v>
      </c>
      <c r="AY78" s="121">
        <f t="shared" si="10"/>
        <v>-343573396.69583333</v>
      </c>
      <c r="AZ78" s="121">
        <f t="shared" si="10"/>
        <v>-342234630.61533332</v>
      </c>
      <c r="BA78" s="121">
        <f t="shared" si="10"/>
        <v>-349854495.22833329</v>
      </c>
      <c r="BB78" s="121">
        <f t="shared" si="10"/>
        <v>-363857237.70465827</v>
      </c>
      <c r="BC78" s="121">
        <f t="shared" si="10"/>
        <v>-370091018.22595829</v>
      </c>
      <c r="BD78" s="121">
        <f t="shared" si="10"/>
        <v>-373747597.93495828</v>
      </c>
      <c r="BE78" s="121">
        <f t="shared" si="10"/>
        <v>-377404177.64395827</v>
      </c>
      <c r="BF78" s="121">
        <f t="shared" si="10"/>
        <v>-381060757.35295826</v>
      </c>
      <c r="BG78" s="121">
        <f t="shared" si="10"/>
        <v>-384717337.06195825</v>
      </c>
      <c r="BH78" s="121">
        <f t="shared" si="10"/>
        <v>-388373916.77095824</v>
      </c>
      <c r="BI78" s="121">
        <f t="shared" si="10"/>
        <v>-392030496.47995824</v>
      </c>
      <c r="BJ78" s="121">
        <f t="shared" si="10"/>
        <v>-395687076.18895823</v>
      </c>
      <c r="BK78" s="121">
        <f t="shared" si="10"/>
        <v>-399343655.89795822</v>
      </c>
      <c r="BL78" s="121">
        <f t="shared" si="10"/>
        <v>-403000235.60695821</v>
      </c>
    </row>
    <row r="79" spans="2:64" s="33" customFormat="1" x14ac:dyDescent="0.15">
      <c r="B79" s="309" t="s">
        <v>460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-21678250</v>
      </c>
      <c r="I79" s="70">
        <f>'FIN-CASHFLOW_CWS'!H35</f>
        <v>-15235916.666666668</v>
      </c>
      <c r="J79" s="70">
        <f>'FIN-CASHFLOW_CWS'!I35</f>
        <v>-15140916.666666668</v>
      </c>
      <c r="K79" s="70">
        <f>'FIN-CASHFLOW_CWS'!J35</f>
        <v>-14172250</v>
      </c>
      <c r="L79" s="70">
        <f>'FIN-CASHFLOW_CWS'!K35</f>
        <v>-14172250</v>
      </c>
      <c r="M79" s="70">
        <f>'FIN-CASHFLOW_CWS'!L35</f>
        <v>-14172250</v>
      </c>
      <c r="N79" s="70">
        <f>'FIN-CASHFLOW_CWS'!M35</f>
        <v>-14172250</v>
      </c>
      <c r="O79" s="70">
        <f>'FIN-CASHFLOW_CWS'!N35</f>
        <v>-14172250</v>
      </c>
      <c r="P79" s="70">
        <f>'FIN-CASHFLOW_CWS'!O35</f>
        <v>-14364750</v>
      </c>
      <c r="Q79" s="70">
        <f>'FIN-CASHFLOW_CWS'!P35</f>
        <v>-16296350</v>
      </c>
      <c r="R79" s="70">
        <f>'FIN-CASHFLOW_CWS'!Q35</f>
        <v>-13816625</v>
      </c>
      <c r="S79" s="70">
        <f>'FIN-CASHFLOW_CWS'!R35</f>
        <v>-12987375</v>
      </c>
      <c r="T79" s="70">
        <f>'FIN-CASHFLOW_CWS'!S35</f>
        <v>-11987375</v>
      </c>
      <c r="U79" s="70">
        <f>'FIN-CASHFLOW_CWS'!T35</f>
        <v>-11987375</v>
      </c>
      <c r="V79" s="70">
        <f>'FIN-CASHFLOW_CWS'!U35</f>
        <v>-11987375</v>
      </c>
      <c r="W79" s="70">
        <f>'FIN-CASHFLOW_CWS'!V35</f>
        <v>-11987375</v>
      </c>
      <c r="X79" s="70">
        <f>'FIN-CASHFLOW_CWS'!W35</f>
        <v>-11987375</v>
      </c>
      <c r="Y79" s="70">
        <f>'FIN-CASHFLOW_CWS'!X35</f>
        <v>-11987375</v>
      </c>
      <c r="Z79" s="70">
        <f>'FIN-CASHFLOW_CWS'!Y35</f>
        <v>-11987375</v>
      </c>
      <c r="AA79" s="70">
        <f>'FIN-CASHFLOW_CWS'!Z35</f>
        <v>-11987375</v>
      </c>
      <c r="AB79" s="70">
        <f>'FIN-CASHFLOW_CWS'!AA35</f>
        <v>-14467100</v>
      </c>
      <c r="AC79" s="70">
        <f>'FIN-CASHFLOW_CWS'!AB35</f>
        <v>-12255809.249999998</v>
      </c>
      <c r="AD79" s="70">
        <f>'FIN-CASHFLOW_CWS'!AC35</f>
        <v>-5077286.2499999963</v>
      </c>
      <c r="AE79" s="70">
        <f>'FIN-CASHFLOW_CWS'!AD35</f>
        <v>-2675858.5</v>
      </c>
      <c r="AF79" s="70">
        <f>'FIN-CASHFLOW_CWS'!AE35</f>
        <v>-2675858.5</v>
      </c>
      <c r="AG79" s="70">
        <f>'FIN-CASHFLOW_CWS'!AF35</f>
        <v>-2675858.5</v>
      </c>
      <c r="AH79" s="70">
        <f>'FIN-CASHFLOW_CWS'!AG35</f>
        <v>-2675858.5</v>
      </c>
      <c r="AI79" s="70">
        <f>'FIN-CASHFLOW_CWS'!AH35</f>
        <v>-2675858.5</v>
      </c>
      <c r="AJ79" s="70">
        <f>'FIN-CASHFLOW_CWS'!AI35</f>
        <v>-2675858.5</v>
      </c>
      <c r="AK79" s="70">
        <f>'FIN-CASHFLOW_CWS'!AJ35</f>
        <v>-2675858.5</v>
      </c>
      <c r="AL79" s="70">
        <f>'FIN-CASHFLOW_CWS'!AK35</f>
        <v>-2675858.5</v>
      </c>
      <c r="AM79" s="70">
        <f>'FIN-CASHFLOW_CWS'!AL35</f>
        <v>-2675858.5</v>
      </c>
      <c r="AN79" s="70">
        <f>'FIN-CASHFLOW_CWS'!AM35</f>
        <v>-9868692.7499999981</v>
      </c>
      <c r="AO79" s="70">
        <f>'FIN-CASHFLOW_CWS'!AN35</f>
        <v>-10605053.974999998</v>
      </c>
      <c r="AP79" s="70">
        <f>'FIN-CASHFLOW_CWS'!AO35</f>
        <v>-1646423.2814999968</v>
      </c>
      <c r="AQ79" s="70">
        <f>'FIN-CASHFLOW_CWS'!AP35</f>
        <v>1338766.0805000067</v>
      </c>
      <c r="AR79" s="70">
        <f>'FIN-CASHFLOW_CWS'!AQ35</f>
        <v>1338766.0805000067</v>
      </c>
      <c r="AS79" s="70">
        <f>'FIN-CASHFLOW_CWS'!AR35</f>
        <v>1338766.0805000067</v>
      </c>
      <c r="AT79" s="70">
        <f>'FIN-CASHFLOW_CWS'!AS35</f>
        <v>1338766.0805000067</v>
      </c>
      <c r="AU79" s="70">
        <f>'FIN-CASHFLOW_CWS'!AT35</f>
        <v>1338766.0805000067</v>
      </c>
      <c r="AV79" s="70">
        <f>'FIN-CASHFLOW_CWS'!AU35</f>
        <v>1338766.0805000067</v>
      </c>
      <c r="AW79" s="70">
        <f>'FIN-CASHFLOW_CWS'!AV35</f>
        <v>1338766.0805000067</v>
      </c>
      <c r="AX79" s="70">
        <f>'FIN-CASHFLOW_CWS'!AW35</f>
        <v>1338766.0805000067</v>
      </c>
      <c r="AY79" s="70">
        <f>'FIN-CASHFLOW_CWS'!AX35</f>
        <v>1338766.0805000067</v>
      </c>
      <c r="AZ79" s="70">
        <f>'FIN-CASHFLOW_CWS'!AY35</f>
        <v>-7619864.612999998</v>
      </c>
      <c r="BA79" s="70">
        <f>'FIN-CASHFLOW_CWS'!AZ35</f>
        <v>-14002742.476325003</v>
      </c>
      <c r="BB79" s="70">
        <f>'FIN-CASHFLOW_CWS'!BA35</f>
        <v>-6233780.5213000029</v>
      </c>
      <c r="BC79" s="70">
        <f>'FIN-CASHFLOW_CWS'!BB35</f>
        <v>-3656579.7089999989</v>
      </c>
      <c r="BD79" s="70">
        <f>'FIN-CASHFLOW_CWS'!BC35</f>
        <v>-3656579.7089999989</v>
      </c>
      <c r="BE79" s="70">
        <f>'FIN-CASHFLOW_CWS'!BD35</f>
        <v>-3656579.7089999989</v>
      </c>
      <c r="BF79" s="70">
        <f>'FIN-CASHFLOW_CWS'!BE35</f>
        <v>-3656579.7089999989</v>
      </c>
      <c r="BG79" s="70">
        <f>'FIN-CASHFLOW_CWS'!BF35</f>
        <v>-3656579.7089999989</v>
      </c>
      <c r="BH79" s="70">
        <f>'FIN-CASHFLOW_CWS'!BG35</f>
        <v>-3656579.7089999989</v>
      </c>
      <c r="BI79" s="70">
        <f>'FIN-CASHFLOW_CWS'!BH35</f>
        <v>-3656579.7089999989</v>
      </c>
      <c r="BJ79" s="70">
        <f>'FIN-CASHFLOW_CWS'!BI35</f>
        <v>-3656579.7089999989</v>
      </c>
      <c r="BK79" s="70">
        <f>'FIN-CASHFLOW_CWS'!BJ35</f>
        <v>-3656579.7089999989</v>
      </c>
      <c r="BL79" s="70">
        <f>'FIN-CASHFLOW_CWS'!BK35</f>
        <v>-11408500.399974998</v>
      </c>
    </row>
    <row r="80" spans="2:64" x14ac:dyDescent="0.15">
      <c r="B80" s="305" t="s">
        <v>1031</v>
      </c>
      <c r="C80" s="135"/>
      <c r="D80" s="121">
        <f ca="1">SUM(D77:D79)</f>
        <v>76160000</v>
      </c>
      <c r="E80" s="121">
        <f ca="1">SUM(E77:E79)</f>
        <v>76160000</v>
      </c>
      <c r="F80" s="121">
        <f t="shared" ref="F80:BL80" ca="1" si="11">SUM(F77:F79)</f>
        <v>76160000</v>
      </c>
      <c r="G80" s="121">
        <f t="shared" ca="1" si="11"/>
        <v>76160000</v>
      </c>
      <c r="H80" s="121">
        <f t="shared" ca="1" si="11"/>
        <v>54481750</v>
      </c>
      <c r="I80" s="121">
        <f t="shared" ca="1" si="11"/>
        <v>39245833.333333328</v>
      </c>
      <c r="J80" s="121">
        <f t="shared" ca="1" si="11"/>
        <v>24104916.66666666</v>
      </c>
      <c r="K80" s="121">
        <f t="shared" ca="1" si="11"/>
        <v>9932666.6666666567</v>
      </c>
      <c r="L80" s="121">
        <f t="shared" ca="1" si="11"/>
        <v>95686391.666666657</v>
      </c>
      <c r="M80" s="121">
        <f t="shared" ca="1" si="11"/>
        <v>81514141.666666657</v>
      </c>
      <c r="N80" s="121">
        <f t="shared" ca="1" si="11"/>
        <v>67341891.666666657</v>
      </c>
      <c r="O80" s="121">
        <f t="shared" ca="1" si="11"/>
        <v>53169641.666666657</v>
      </c>
      <c r="P80" s="121">
        <f t="shared" ca="1" si="11"/>
        <v>38804891.666666657</v>
      </c>
      <c r="Q80" s="121">
        <f t="shared" ca="1" si="11"/>
        <v>22508541.666666657</v>
      </c>
      <c r="R80" s="121">
        <f t="shared" ca="1" si="11"/>
        <v>8691916.6666666567</v>
      </c>
      <c r="S80" s="121">
        <f t="shared" ca="1" si="11"/>
        <v>117285516.66666666</v>
      </c>
      <c r="T80" s="121">
        <f t="shared" ca="1" si="11"/>
        <v>105298141.66666666</v>
      </c>
      <c r="U80" s="121">
        <f t="shared" ca="1" si="11"/>
        <v>93310766.666666657</v>
      </c>
      <c r="V80" s="121">
        <f t="shared" ca="1" si="11"/>
        <v>81323391.666666657</v>
      </c>
      <c r="W80" s="121">
        <f t="shared" ca="1" si="11"/>
        <v>69336016.666666657</v>
      </c>
      <c r="X80" s="121">
        <f t="shared" ca="1" si="11"/>
        <v>57348641.666666657</v>
      </c>
      <c r="Y80" s="121">
        <f t="shared" ca="1" si="11"/>
        <v>45361266.666666657</v>
      </c>
      <c r="Z80" s="121">
        <f t="shared" ca="1" si="11"/>
        <v>33373891.666666657</v>
      </c>
      <c r="AA80" s="121">
        <f t="shared" ca="1" si="11"/>
        <v>21386516.666666657</v>
      </c>
      <c r="AB80" s="121">
        <f t="shared" ca="1" si="11"/>
        <v>6919416.6666666269</v>
      </c>
      <c r="AC80" s="121">
        <f t="shared" ca="1" si="11"/>
        <v>-5336392.5833333712</v>
      </c>
      <c r="AD80" s="121">
        <f t="shared" ca="1" si="11"/>
        <v>-10413678.833333369</v>
      </c>
      <c r="AE80" s="121">
        <f t="shared" ca="1" si="11"/>
        <v>-13089537.333333373</v>
      </c>
      <c r="AF80" s="121">
        <f t="shared" ca="1" si="11"/>
        <v>-15765395.833333373</v>
      </c>
      <c r="AG80" s="121">
        <f t="shared" ca="1" si="11"/>
        <v>-18441254.333333373</v>
      </c>
      <c r="AH80" s="121">
        <f t="shared" ca="1" si="11"/>
        <v>-21117112.833333373</v>
      </c>
      <c r="AI80" s="121">
        <f t="shared" ca="1" si="11"/>
        <v>-23792971.333333373</v>
      </c>
      <c r="AJ80" s="121">
        <f t="shared" ca="1" si="11"/>
        <v>-26468829.833333373</v>
      </c>
      <c r="AK80" s="121">
        <f t="shared" ca="1" si="11"/>
        <v>-29144688.333333373</v>
      </c>
      <c r="AL80" s="121">
        <f t="shared" ca="1" si="11"/>
        <v>-31820546.833333373</v>
      </c>
      <c r="AM80" s="121">
        <f t="shared" ca="1" si="11"/>
        <v>-34496405.333333373</v>
      </c>
      <c r="AN80" s="121">
        <f t="shared" ca="1" si="11"/>
        <v>-44365098.083333373</v>
      </c>
      <c r="AO80" s="121">
        <f t="shared" ca="1" si="11"/>
        <v>-54970152.058333367</v>
      </c>
      <c r="AP80" s="121">
        <f t="shared" ca="1" si="11"/>
        <v>-56616575.339833394</v>
      </c>
      <c r="AQ80" s="121">
        <f t="shared" ca="1" si="11"/>
        <v>-55277809.259333372</v>
      </c>
      <c r="AR80" s="121">
        <f t="shared" ca="1" si="11"/>
        <v>-53939043.178833365</v>
      </c>
      <c r="AS80" s="121">
        <f t="shared" ca="1" si="11"/>
        <v>-52600277.098333359</v>
      </c>
      <c r="AT80" s="121">
        <f t="shared" ca="1" si="11"/>
        <v>-51261511.017833352</v>
      </c>
      <c r="AU80" s="121">
        <f t="shared" ca="1" si="11"/>
        <v>-49922744.937333345</v>
      </c>
      <c r="AV80" s="121">
        <f t="shared" ca="1" si="11"/>
        <v>-48583978.856833339</v>
      </c>
      <c r="AW80" s="121">
        <f t="shared" ca="1" si="11"/>
        <v>-47245212.776333332</v>
      </c>
      <c r="AX80" s="121">
        <f t="shared" ca="1" si="11"/>
        <v>-45906446.695833325</v>
      </c>
      <c r="AY80" s="121">
        <f t="shared" ca="1" si="11"/>
        <v>-44567680.615333319</v>
      </c>
      <c r="AZ80" s="121">
        <f t="shared" ca="1" si="11"/>
        <v>-52187545.228333317</v>
      </c>
      <c r="BA80" s="121">
        <f t="shared" ca="1" si="11"/>
        <v>-66190287.7046583</v>
      </c>
      <c r="BB80" s="121">
        <f t="shared" ca="1" si="11"/>
        <v>-72424068.225958273</v>
      </c>
      <c r="BC80" s="121">
        <f t="shared" ca="1" si="11"/>
        <v>-76080647.934958279</v>
      </c>
      <c r="BD80" s="121">
        <f t="shared" ca="1" si="11"/>
        <v>-79737227.643958271</v>
      </c>
      <c r="BE80" s="121">
        <f t="shared" ca="1" si="11"/>
        <v>-83393807.352958262</v>
      </c>
      <c r="BF80" s="121">
        <f t="shared" ca="1" si="11"/>
        <v>-87050387.061958253</v>
      </c>
      <c r="BG80" s="121">
        <f t="shared" ca="1" si="11"/>
        <v>-90706966.770958245</v>
      </c>
      <c r="BH80" s="121">
        <f t="shared" ca="1" si="11"/>
        <v>-94363546.479958236</v>
      </c>
      <c r="BI80" s="121">
        <f t="shared" ca="1" si="11"/>
        <v>-98020126.188958228</v>
      </c>
      <c r="BJ80" s="121">
        <f t="shared" ca="1" si="11"/>
        <v>-101676705.89795822</v>
      </c>
      <c r="BK80" s="121">
        <f t="shared" ca="1" si="11"/>
        <v>-105333285.60695821</v>
      </c>
      <c r="BL80" s="121">
        <f t="shared" ca="1" si="11"/>
        <v>-116741786.00693321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1032</v>
      </c>
      <c r="C82" s="135"/>
      <c r="D82" s="121">
        <f t="shared" ref="D82:AI82" ca="1" si="12">D80+D74</f>
        <v>76160000</v>
      </c>
      <c r="E82" s="121">
        <f t="shared" ca="1" si="12"/>
        <v>76160000</v>
      </c>
      <c r="F82" s="121">
        <f t="shared" ca="1" si="12"/>
        <v>76160000</v>
      </c>
      <c r="G82" s="121">
        <f t="shared" ca="1" si="12"/>
        <v>76160000</v>
      </c>
      <c r="H82" s="121">
        <f t="shared" ca="1" si="12"/>
        <v>54481750</v>
      </c>
      <c r="I82" s="121">
        <f t="shared" ca="1" si="12"/>
        <v>39245833.333333328</v>
      </c>
      <c r="J82" s="121">
        <f t="shared" ca="1" si="12"/>
        <v>24104916.66666666</v>
      </c>
      <c r="K82" s="121">
        <f t="shared" ca="1" si="12"/>
        <v>9932666.6666666567</v>
      </c>
      <c r="L82" s="121">
        <f t="shared" ca="1" si="12"/>
        <v>95686391.666666657</v>
      </c>
      <c r="M82" s="121">
        <f t="shared" ca="1" si="12"/>
        <v>81514141.666666657</v>
      </c>
      <c r="N82" s="121">
        <f t="shared" ca="1" si="12"/>
        <v>67341891.666666657</v>
      </c>
      <c r="O82" s="121">
        <f t="shared" ca="1" si="12"/>
        <v>53169641.666666657</v>
      </c>
      <c r="P82" s="121">
        <f t="shared" ca="1" si="12"/>
        <v>38804891.666666657</v>
      </c>
      <c r="Q82" s="121">
        <f t="shared" ca="1" si="12"/>
        <v>22508541.666666657</v>
      </c>
      <c r="R82" s="121">
        <f t="shared" ca="1" si="12"/>
        <v>8691916.6666666567</v>
      </c>
      <c r="S82" s="121">
        <f t="shared" ca="1" si="12"/>
        <v>117285516.66666666</v>
      </c>
      <c r="T82" s="121">
        <f t="shared" ca="1" si="12"/>
        <v>105298141.66666666</v>
      </c>
      <c r="U82" s="121">
        <f t="shared" ca="1" si="12"/>
        <v>93310766.666666657</v>
      </c>
      <c r="V82" s="121">
        <f t="shared" ca="1" si="12"/>
        <v>81323391.666666657</v>
      </c>
      <c r="W82" s="121">
        <f t="shared" ca="1" si="12"/>
        <v>69336016.666666657</v>
      </c>
      <c r="X82" s="121">
        <f t="shared" ca="1" si="12"/>
        <v>57348641.666666657</v>
      </c>
      <c r="Y82" s="121">
        <f t="shared" ca="1" si="12"/>
        <v>45361266.666666657</v>
      </c>
      <c r="Z82" s="121">
        <f t="shared" ca="1" si="12"/>
        <v>33373891.666666657</v>
      </c>
      <c r="AA82" s="121">
        <f t="shared" ca="1" si="12"/>
        <v>21386516.666666657</v>
      </c>
      <c r="AB82" s="121">
        <f t="shared" ca="1" si="12"/>
        <v>6919416.6666666269</v>
      </c>
      <c r="AC82" s="121">
        <f t="shared" ca="1" si="12"/>
        <v>-5336392.5833333712</v>
      </c>
      <c r="AD82" s="121">
        <f t="shared" ca="1" si="12"/>
        <v>-10413678.833333369</v>
      </c>
      <c r="AE82" s="121">
        <f t="shared" ca="1" si="12"/>
        <v>-13089537.333333373</v>
      </c>
      <c r="AF82" s="121">
        <f t="shared" ca="1" si="12"/>
        <v>-15765395.833333373</v>
      </c>
      <c r="AG82" s="121">
        <f t="shared" ca="1" si="12"/>
        <v>-18441254.333333373</v>
      </c>
      <c r="AH82" s="121">
        <f t="shared" ca="1" si="12"/>
        <v>-21117112.833333373</v>
      </c>
      <c r="AI82" s="121">
        <f t="shared" ca="1" si="12"/>
        <v>-23792971.333333373</v>
      </c>
      <c r="AJ82" s="121">
        <f t="shared" ref="AJ82:BL82" ca="1" si="13">AJ80+AJ74</f>
        <v>-26468829.833333373</v>
      </c>
      <c r="AK82" s="121">
        <f t="shared" ca="1" si="13"/>
        <v>-29144688.333333373</v>
      </c>
      <c r="AL82" s="121">
        <f t="shared" ca="1" si="13"/>
        <v>-31820546.833333373</v>
      </c>
      <c r="AM82" s="121">
        <f t="shared" ca="1" si="13"/>
        <v>-34496405.333333373</v>
      </c>
      <c r="AN82" s="121">
        <f t="shared" ca="1" si="13"/>
        <v>-44365098.083333373</v>
      </c>
      <c r="AO82" s="121">
        <f t="shared" ca="1" si="13"/>
        <v>-54970152.058333367</v>
      </c>
      <c r="AP82" s="121">
        <f t="shared" ca="1" si="13"/>
        <v>-56616575.339833394</v>
      </c>
      <c r="AQ82" s="121">
        <f t="shared" ca="1" si="13"/>
        <v>-55277809.259333372</v>
      </c>
      <c r="AR82" s="121">
        <f t="shared" ca="1" si="13"/>
        <v>-53939043.178833365</v>
      </c>
      <c r="AS82" s="121">
        <f t="shared" ca="1" si="13"/>
        <v>-52600277.098333359</v>
      </c>
      <c r="AT82" s="121">
        <f t="shared" ca="1" si="13"/>
        <v>-51261511.017833352</v>
      </c>
      <c r="AU82" s="121">
        <f t="shared" ca="1" si="13"/>
        <v>-49922744.937333345</v>
      </c>
      <c r="AV82" s="121">
        <f t="shared" ca="1" si="13"/>
        <v>-48583978.856833339</v>
      </c>
      <c r="AW82" s="121">
        <f t="shared" ca="1" si="13"/>
        <v>-47245212.776333332</v>
      </c>
      <c r="AX82" s="121">
        <f t="shared" ca="1" si="13"/>
        <v>-45906446.695833325</v>
      </c>
      <c r="AY82" s="121">
        <f t="shared" ca="1" si="13"/>
        <v>-44567680.615333319</v>
      </c>
      <c r="AZ82" s="121">
        <f t="shared" ca="1" si="13"/>
        <v>-52187545.228333317</v>
      </c>
      <c r="BA82" s="121">
        <f t="shared" ca="1" si="13"/>
        <v>-66190287.7046583</v>
      </c>
      <c r="BB82" s="121">
        <f t="shared" ca="1" si="13"/>
        <v>-72424068.225958273</v>
      </c>
      <c r="BC82" s="121">
        <f t="shared" ca="1" si="13"/>
        <v>-76080647.934958279</v>
      </c>
      <c r="BD82" s="121">
        <f t="shared" ca="1" si="13"/>
        <v>-79737227.643958271</v>
      </c>
      <c r="BE82" s="121">
        <f t="shared" ca="1" si="13"/>
        <v>-83393807.352958262</v>
      </c>
      <c r="BF82" s="121">
        <f t="shared" ca="1" si="13"/>
        <v>-87050387.061958253</v>
      </c>
      <c r="BG82" s="121">
        <f t="shared" ca="1" si="13"/>
        <v>-90706966.770958245</v>
      </c>
      <c r="BH82" s="121">
        <f t="shared" ca="1" si="13"/>
        <v>-94363546.479958236</v>
      </c>
      <c r="BI82" s="121">
        <f t="shared" ca="1" si="13"/>
        <v>-98020126.188958228</v>
      </c>
      <c r="BJ82" s="121">
        <f t="shared" ca="1" si="13"/>
        <v>-101676705.89795822</v>
      </c>
      <c r="BK82" s="121">
        <f t="shared" ca="1" si="13"/>
        <v>-105333285.60695821</v>
      </c>
      <c r="BL82" s="121">
        <f t="shared" ca="1" si="13"/>
        <v>-116741786.00693321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917</v>
      </c>
      <c r="D2" s="74" t="s">
        <v>827</v>
      </c>
      <c r="E2" s="74" t="s">
        <v>828</v>
      </c>
      <c r="F2" s="10"/>
      <c r="G2" s="260" t="s">
        <v>892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-168877384.08616212</v>
      </c>
      <c r="E4" s="121">
        <f ca="1">'FIN-VALUE_CWS'!E36</f>
        <v>99925975</v>
      </c>
      <c r="G4" s="244">
        <f ca="1">'FIN-VALUE_CWS'!F36</f>
        <v>-0.59170726465668866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-143549041.10979512</v>
      </c>
      <c r="E5" s="121">
        <f ca="1">'FIN-VALUE_CWS'!E37</f>
        <v>121580975</v>
      </c>
      <c r="G5" s="244">
        <f ca="1">'FIN-VALUE_CWS'!F37</f>
        <v>-0.84696473107756531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-64099789.102787293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841</v>
      </c>
      <c r="C10" s="14" t="s">
        <v>838</v>
      </c>
      <c r="D10" s="14" t="s">
        <v>839</v>
      </c>
      <c r="E10" s="14" t="s">
        <v>891</v>
      </c>
      <c r="F10" s="10"/>
      <c r="G10" s="10" t="s">
        <v>874</v>
      </c>
    </row>
    <row r="11" spans="2:15" s="6" customFormat="1" x14ac:dyDescent="0.15">
      <c r="B11" s="138"/>
      <c r="C11" s="174"/>
    </row>
    <row r="12" spans="2:15" x14ac:dyDescent="0.15">
      <c r="B12" s="17" t="s">
        <v>842</v>
      </c>
      <c r="C12" s="381">
        <v>0.06</v>
      </c>
      <c r="D12" s="381">
        <v>0.06</v>
      </c>
      <c r="E12" s="381">
        <v>0.06</v>
      </c>
      <c r="F12" s="228"/>
      <c r="G12" s="33" t="s">
        <v>875</v>
      </c>
    </row>
    <row r="13" spans="2:15" x14ac:dyDescent="0.15">
      <c r="B13" s="124" t="s">
        <v>843</v>
      </c>
      <c r="C13" s="381">
        <v>0.1</v>
      </c>
      <c r="D13" s="381">
        <v>0.08</v>
      </c>
      <c r="E13" s="381">
        <v>0.02</v>
      </c>
      <c r="F13" s="228"/>
      <c r="G13" s="33" t="s">
        <v>890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1082</v>
      </c>
      <c r="C15" s="228"/>
      <c r="D15" s="228"/>
      <c r="E15" s="228"/>
      <c r="F15" s="228"/>
    </row>
    <row r="16" spans="2:15" x14ac:dyDescent="0.15">
      <c r="B16" s="124" t="s">
        <v>862</v>
      </c>
      <c r="C16" s="381">
        <v>0.02</v>
      </c>
      <c r="D16" s="381">
        <v>0.02</v>
      </c>
      <c r="E16" s="381">
        <v>0</v>
      </c>
      <c r="F16" s="228"/>
      <c r="G16" s="33" t="s">
        <v>867</v>
      </c>
    </row>
    <row r="17" spans="2:14" x14ac:dyDescent="0.15">
      <c r="B17" s="124" t="s">
        <v>863</v>
      </c>
      <c r="C17" s="381">
        <v>0.05</v>
      </c>
      <c r="D17" s="381">
        <v>2.5000000000000001E-2</v>
      </c>
      <c r="E17" s="381">
        <v>0</v>
      </c>
      <c r="F17" s="228"/>
      <c r="G17" s="33" t="s">
        <v>868</v>
      </c>
    </row>
    <row r="18" spans="2:14" x14ac:dyDescent="0.15">
      <c r="B18" s="124" t="s">
        <v>844</v>
      </c>
      <c r="C18" s="228"/>
      <c r="D18" s="228"/>
      <c r="E18" s="228"/>
      <c r="F18" s="228"/>
    </row>
    <row r="19" spans="2:14" x14ac:dyDescent="0.15">
      <c r="B19" s="227" t="s">
        <v>845</v>
      </c>
      <c r="C19" s="381">
        <v>0.05</v>
      </c>
      <c r="D19" s="381">
        <v>0.01</v>
      </c>
      <c r="E19" s="381">
        <v>0</v>
      </c>
      <c r="F19" s="228"/>
      <c r="G19" s="33" t="s">
        <v>869</v>
      </c>
    </row>
    <row r="20" spans="2:14" x14ac:dyDescent="0.15">
      <c r="B20" s="227" t="s">
        <v>864</v>
      </c>
      <c r="C20" s="381">
        <v>2.5000000000000001E-2</v>
      </c>
      <c r="D20" s="381">
        <v>0</v>
      </c>
      <c r="E20" s="381">
        <v>0</v>
      </c>
      <c r="F20" s="228"/>
      <c r="G20" s="33" t="s">
        <v>870</v>
      </c>
    </row>
    <row r="21" spans="2:14" x14ac:dyDescent="0.15">
      <c r="B21" s="227" t="s">
        <v>865</v>
      </c>
      <c r="C21" s="381">
        <v>1.4999999999999999E-2</v>
      </c>
      <c r="D21" s="381">
        <v>0</v>
      </c>
      <c r="E21" s="381">
        <v>0</v>
      </c>
      <c r="F21" s="228"/>
      <c r="G21" s="33" t="s">
        <v>871</v>
      </c>
    </row>
    <row r="22" spans="2:14" x14ac:dyDescent="0.15">
      <c r="B22" s="227" t="s">
        <v>846</v>
      </c>
      <c r="C22" s="381">
        <v>2.5000000000000001E-2</v>
      </c>
      <c r="D22" s="381">
        <v>0</v>
      </c>
      <c r="E22" s="381">
        <v>0</v>
      </c>
      <c r="F22" s="228"/>
      <c r="G22" s="33" t="s">
        <v>872</v>
      </c>
      <c r="K22" s="25"/>
      <c r="M22" s="25"/>
      <c r="N22" s="25"/>
    </row>
    <row r="23" spans="2:14" x14ac:dyDescent="0.15">
      <c r="B23" s="227" t="s">
        <v>847</v>
      </c>
      <c r="C23" s="381">
        <v>0.01</v>
      </c>
      <c r="D23" s="381">
        <v>0.01</v>
      </c>
      <c r="E23" s="381">
        <v>0</v>
      </c>
      <c r="F23" s="228"/>
      <c r="G23" s="33" t="s">
        <v>873</v>
      </c>
      <c r="K23" s="33"/>
    </row>
    <row r="24" spans="2:14" x14ac:dyDescent="0.15">
      <c r="B24" s="227" t="s">
        <v>866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893</v>
      </c>
      <c r="K24" s="33"/>
    </row>
    <row r="25" spans="2:14" x14ac:dyDescent="0.15">
      <c r="B25" s="124" t="s">
        <v>848</v>
      </c>
      <c r="C25" s="228"/>
      <c r="D25" s="228"/>
      <c r="E25" s="228"/>
      <c r="F25" s="228"/>
    </row>
    <row r="26" spans="2:14" x14ac:dyDescent="0.15">
      <c r="B26" s="227" t="s">
        <v>849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876</v>
      </c>
    </row>
    <row r="27" spans="2:14" x14ac:dyDescent="0.15">
      <c r="B27" s="227" t="s">
        <v>511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877</v>
      </c>
    </row>
    <row r="28" spans="2:14" x14ac:dyDescent="0.15">
      <c r="B28" s="227" t="s">
        <v>850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878</v>
      </c>
    </row>
    <row r="29" spans="2:14" x14ac:dyDescent="0.15">
      <c r="B29" s="227" t="s">
        <v>851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879</v>
      </c>
    </row>
    <row r="30" spans="2:14" x14ac:dyDescent="0.15">
      <c r="B30" s="48" t="s">
        <v>852</v>
      </c>
      <c r="C30" s="228"/>
      <c r="D30" s="228"/>
      <c r="E30" s="228"/>
      <c r="F30" s="228"/>
    </row>
    <row r="31" spans="2:14" x14ac:dyDescent="0.15">
      <c r="B31" s="227" t="s">
        <v>853</v>
      </c>
      <c r="C31" s="381">
        <v>0.01</v>
      </c>
      <c r="D31" s="381">
        <v>0.01</v>
      </c>
      <c r="E31" s="381">
        <v>4.4999999999999998E-2</v>
      </c>
      <c r="F31" s="228"/>
      <c r="G31" s="33" t="s">
        <v>880</v>
      </c>
    </row>
    <row r="32" spans="2:14" x14ac:dyDescent="0.15">
      <c r="B32" s="106" t="s">
        <v>859</v>
      </c>
      <c r="C32" s="381">
        <v>0.01</v>
      </c>
      <c r="D32" s="381">
        <v>0.01</v>
      </c>
      <c r="E32" s="381">
        <v>2.5000000000000001E-2</v>
      </c>
      <c r="F32" s="228"/>
      <c r="G32" s="33" t="s">
        <v>881</v>
      </c>
    </row>
    <row r="33" spans="2:15" x14ac:dyDescent="0.15">
      <c r="B33" s="106" t="s">
        <v>860</v>
      </c>
      <c r="C33" s="381">
        <v>0.02</v>
      </c>
      <c r="D33" s="381">
        <v>0.02</v>
      </c>
      <c r="E33" s="381">
        <v>0.01</v>
      </c>
      <c r="F33" s="228"/>
      <c r="G33" s="33" t="s">
        <v>885</v>
      </c>
    </row>
    <row r="34" spans="2:15" x14ac:dyDescent="0.15">
      <c r="B34" s="106" t="s">
        <v>861</v>
      </c>
      <c r="C34" s="381">
        <v>0.05</v>
      </c>
      <c r="D34" s="381">
        <v>0.05</v>
      </c>
      <c r="E34" s="381">
        <v>0.01</v>
      </c>
      <c r="F34" s="228"/>
      <c r="G34" s="33" t="s">
        <v>886</v>
      </c>
    </row>
    <row r="35" spans="2:15" x14ac:dyDescent="0.15">
      <c r="B35" s="106" t="s">
        <v>854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887</v>
      </c>
    </row>
    <row r="36" spans="2:15" x14ac:dyDescent="0.15">
      <c r="B36" s="106" t="s">
        <v>855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882</v>
      </c>
    </row>
    <row r="37" spans="2:15" x14ac:dyDescent="0.15">
      <c r="B37" s="106" t="s">
        <v>856</v>
      </c>
      <c r="C37" s="381">
        <v>0.05</v>
      </c>
      <c r="D37" s="381">
        <v>0.05</v>
      </c>
      <c r="E37" s="381">
        <v>2.5000000000000001E-2</v>
      </c>
      <c r="F37" s="228"/>
      <c r="G37" s="33" t="s">
        <v>883</v>
      </c>
    </row>
    <row r="38" spans="2:15" x14ac:dyDescent="0.15">
      <c r="B38" s="106" t="s">
        <v>857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884</v>
      </c>
    </row>
    <row r="39" spans="2:15" x14ac:dyDescent="0.15">
      <c r="B39" s="106" t="s">
        <v>858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888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918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770</v>
      </c>
      <c r="D1" s="391" t="s">
        <v>1255</v>
      </c>
      <c r="E1" s="391"/>
      <c r="F1" s="391"/>
      <c r="G1" s="391"/>
      <c r="H1" s="391"/>
      <c r="I1" s="391"/>
      <c r="J1" s="391"/>
      <c r="K1" s="391"/>
      <c r="L1" s="391"/>
      <c r="M1" s="391"/>
      <c r="N1" s="391"/>
      <c r="O1" s="391"/>
      <c r="P1" s="391" t="s">
        <v>1256</v>
      </c>
      <c r="Q1" s="391"/>
      <c r="R1" s="391"/>
      <c r="S1" s="391"/>
      <c r="T1" s="391"/>
      <c r="U1" s="391"/>
      <c r="V1" s="391"/>
      <c r="W1" s="391"/>
      <c r="X1" s="391"/>
      <c r="Y1" s="391"/>
      <c r="Z1" s="391"/>
      <c r="AA1" s="391"/>
      <c r="AB1" s="391" t="s">
        <v>1257</v>
      </c>
      <c r="AC1" s="391"/>
      <c r="AD1" s="391"/>
      <c r="AE1" s="391"/>
      <c r="AF1" s="391"/>
      <c r="AG1" s="391"/>
      <c r="AH1" s="391"/>
      <c r="AI1" s="391"/>
      <c r="AJ1" s="391"/>
      <c r="AK1" s="391"/>
      <c r="AL1" s="391"/>
      <c r="AM1" s="391"/>
      <c r="AN1" s="391" t="s">
        <v>1258</v>
      </c>
      <c r="AO1" s="391"/>
      <c r="AP1" s="391"/>
      <c r="AQ1" s="391"/>
      <c r="AR1" s="391"/>
      <c r="AS1" s="391"/>
      <c r="AT1" s="391"/>
      <c r="AU1" s="391"/>
      <c r="AV1" s="391"/>
      <c r="AW1" s="391"/>
      <c r="AX1" s="391"/>
      <c r="AY1" s="391"/>
      <c r="AZ1" s="391" t="s">
        <v>1259</v>
      </c>
      <c r="BA1" s="391"/>
      <c r="BB1" s="391"/>
      <c r="BC1" s="391"/>
      <c r="BD1" s="391"/>
      <c r="BE1" s="391"/>
      <c r="BF1" s="391"/>
      <c r="BG1" s="391"/>
      <c r="BH1" s="391"/>
      <c r="BI1" s="391"/>
      <c r="BJ1" s="391"/>
      <c r="BK1" s="391"/>
    </row>
    <row r="2" spans="2:63" x14ac:dyDescent="0.15">
      <c r="B2" s="135" t="s">
        <v>912</v>
      </c>
      <c r="C2" s="74" t="s">
        <v>1254</v>
      </c>
      <c r="D2" s="27" t="s">
        <v>1260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1030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466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-31900000</v>
      </c>
      <c r="H7" s="121">
        <f>'FIN-CASHFLOW_CWS'!H67</f>
        <v>-15220000.000000002</v>
      </c>
      <c r="I7" s="121">
        <f>'FIN-CASHFLOW_CWS'!I67</f>
        <v>-14965000.000000002</v>
      </c>
      <c r="J7" s="121">
        <f>'FIN-CASHFLOW_CWS'!J67</f>
        <v>-14075000</v>
      </c>
      <c r="K7" s="121">
        <f>'FIN-CASHFLOW_CWS'!K67</f>
        <v>-13995000</v>
      </c>
      <c r="L7" s="121">
        <f>'FIN-CASHFLOW_CWS'!L67</f>
        <v>-13995000</v>
      </c>
      <c r="M7" s="121">
        <f>'FIN-CASHFLOW_CWS'!M67</f>
        <v>-13995000</v>
      </c>
      <c r="N7" s="121">
        <f>'FIN-CASHFLOW_CWS'!N67</f>
        <v>-13995000</v>
      </c>
      <c r="O7" s="121">
        <f>'FIN-CASHFLOW_CWS'!O67</f>
        <v>-14187500</v>
      </c>
      <c r="P7" s="121">
        <f>'FIN-CASHFLOW_CWS'!P67</f>
        <v>-16119100</v>
      </c>
      <c r="Q7" s="70">
        <f>'FIN-CASHFLOW_CWS'!Q67</f>
        <v>-13639375</v>
      </c>
      <c r="R7" s="121">
        <f>'FIN-CASHFLOW_CWS'!R67</f>
        <v>-12810125</v>
      </c>
      <c r="S7" s="121">
        <f>'FIN-CASHFLOW_CWS'!S67</f>
        <v>-11810125</v>
      </c>
      <c r="T7" s="121">
        <f>'FIN-CASHFLOW_CWS'!T67</f>
        <v>-11810125</v>
      </c>
      <c r="U7" s="121">
        <f>'FIN-CASHFLOW_CWS'!U67</f>
        <v>-11810125</v>
      </c>
      <c r="V7" s="70">
        <f>'FIN-CASHFLOW_CWS'!V67</f>
        <v>-11810125</v>
      </c>
      <c r="W7" s="121">
        <f>'FIN-CASHFLOW_CWS'!W67</f>
        <v>-11810125</v>
      </c>
      <c r="X7" s="121">
        <f>'FIN-CASHFLOW_CWS'!X67</f>
        <v>-11810125</v>
      </c>
      <c r="Y7" s="121">
        <f>'FIN-CASHFLOW_CWS'!Y67</f>
        <v>-11810125</v>
      </c>
      <c r="Z7" s="121">
        <f>'FIN-CASHFLOW_CWS'!Z67</f>
        <v>-11810125</v>
      </c>
      <c r="AA7" s="121">
        <f>'FIN-CASHFLOW_CWS'!AA67</f>
        <v>-14289850</v>
      </c>
      <c r="AB7" s="121">
        <f>'FIN-CASHFLOW_CWS'!AB67</f>
        <v>-12078559.249999998</v>
      </c>
      <c r="AC7" s="121">
        <f>'FIN-CASHFLOW_CWS'!AC67</f>
        <v>-4900036.2499999963</v>
      </c>
      <c r="AD7" s="121">
        <f>'FIN-CASHFLOW_CWS'!AD67</f>
        <v>-2498608.5</v>
      </c>
      <c r="AE7" s="121">
        <f>'FIN-CASHFLOW_CWS'!AE67</f>
        <v>-2498608.5</v>
      </c>
      <c r="AF7" s="121">
        <f>'FIN-CASHFLOW_CWS'!AF67</f>
        <v>-2498608.5</v>
      </c>
      <c r="AG7" s="121">
        <f>'FIN-CASHFLOW_CWS'!AG67</f>
        <v>-2498608.5</v>
      </c>
      <c r="AH7" s="121">
        <f>'FIN-CASHFLOW_CWS'!AH67</f>
        <v>-2498608.5</v>
      </c>
      <c r="AI7" s="121">
        <f>'FIN-CASHFLOW_CWS'!AI67</f>
        <v>-2498608.5</v>
      </c>
      <c r="AJ7" s="121">
        <f>'FIN-CASHFLOW_CWS'!AJ67</f>
        <v>-2498608.5</v>
      </c>
      <c r="AK7" s="121">
        <f>'FIN-CASHFLOW_CWS'!AK67</f>
        <v>-2498608.5</v>
      </c>
      <c r="AL7" s="121">
        <f>'FIN-CASHFLOW_CWS'!AL67</f>
        <v>-2498608.5</v>
      </c>
      <c r="AM7" s="121">
        <f>'FIN-CASHFLOW_CWS'!AM67</f>
        <v>-9691442.7499999981</v>
      </c>
      <c r="AN7" s="121">
        <f>'FIN-CASHFLOW_CWS'!AN67</f>
        <v>-10427803.974999998</v>
      </c>
      <c r="AO7" s="121">
        <f>'FIN-CASHFLOW_CWS'!AO67</f>
        <v>-1469173.2814999968</v>
      </c>
      <c r="AP7" s="121">
        <f>'FIN-CASHFLOW_CWS'!AP67</f>
        <v>1516016.0805000067</v>
      </c>
      <c r="AQ7" s="121">
        <f>'FIN-CASHFLOW_CWS'!AQ67</f>
        <v>1516016.0805000067</v>
      </c>
      <c r="AR7" s="121">
        <f>'FIN-CASHFLOW_CWS'!AR67</f>
        <v>1516016.0805000067</v>
      </c>
      <c r="AS7" s="121">
        <f>'FIN-CASHFLOW_CWS'!AS67</f>
        <v>1516016.0805000067</v>
      </c>
      <c r="AT7" s="121">
        <f>'FIN-CASHFLOW_CWS'!AT67</f>
        <v>1516016.0805000067</v>
      </c>
      <c r="AU7" s="121">
        <f>'FIN-CASHFLOW_CWS'!AU67</f>
        <v>1516016.0805000067</v>
      </c>
      <c r="AV7" s="121">
        <f>'FIN-CASHFLOW_CWS'!AV67</f>
        <v>1516016.0805000067</v>
      </c>
      <c r="AW7" s="121">
        <f>'FIN-CASHFLOW_CWS'!AW67</f>
        <v>1516016.0805000067</v>
      </c>
      <c r="AX7" s="121">
        <f>'FIN-CASHFLOW_CWS'!AX67</f>
        <v>1516016.0805000067</v>
      </c>
      <c r="AY7" s="121">
        <f>'FIN-CASHFLOW_CWS'!AY67</f>
        <v>-7442614.612999998</v>
      </c>
      <c r="AZ7" s="121">
        <f>'FIN-CASHFLOW_CWS'!AZ67</f>
        <v>-13825492.476325003</v>
      </c>
      <c r="BA7" s="121">
        <f>'FIN-CASHFLOW_CWS'!BA67</f>
        <v>-6056530.5213000029</v>
      </c>
      <c r="BB7" s="121">
        <f>'FIN-CASHFLOW_CWS'!BB67</f>
        <v>-3479329.7089999989</v>
      </c>
      <c r="BC7" s="121">
        <f>'FIN-CASHFLOW_CWS'!BC67</f>
        <v>-3479329.7089999989</v>
      </c>
      <c r="BD7" s="121">
        <f>'FIN-CASHFLOW_CWS'!BD67</f>
        <v>-3479329.7089999989</v>
      </c>
      <c r="BE7" s="121">
        <f>'FIN-CASHFLOW_CWS'!BE67</f>
        <v>-3479329.7089999989</v>
      </c>
      <c r="BF7" s="121">
        <f>'FIN-CASHFLOW_CWS'!BF67</f>
        <v>-3479329.7089999989</v>
      </c>
      <c r="BG7" s="121">
        <f>'FIN-CASHFLOW_CWS'!BG67</f>
        <v>-3479329.7089999989</v>
      </c>
      <c r="BH7" s="121">
        <f>'FIN-CASHFLOW_CWS'!BH67</f>
        <v>-3479329.7089999989</v>
      </c>
      <c r="BI7" s="121">
        <f>'FIN-CASHFLOW_CWS'!BI67</f>
        <v>-3479329.7089999989</v>
      </c>
      <c r="BJ7" s="121">
        <f>'FIN-CASHFLOW_CWS'!BJ67</f>
        <v>-3479329.7089999989</v>
      </c>
      <c r="BK7" s="121">
        <f>'FIN-CASHFLOW_CWS'!BK67</f>
        <v>-11231250.399974998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468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-31900000</v>
      </c>
      <c r="I9" s="121">
        <f>'FIN-CASHFLOW_CWS'!I69</f>
        <v>-47120000</v>
      </c>
      <c r="J9" s="121">
        <f>'FIN-CASHFLOW_CWS'!J69</f>
        <v>-62085000</v>
      </c>
      <c r="K9" s="121">
        <f>'FIN-CASHFLOW_CWS'!K69</f>
        <v>-76160000</v>
      </c>
      <c r="L9" s="121">
        <f>'FIN-CASHFLOW_CWS'!L69</f>
        <v>-90155000</v>
      </c>
      <c r="M9" s="121">
        <f>'FIN-CASHFLOW_CWS'!M69</f>
        <v>-104150000</v>
      </c>
      <c r="N9" s="121">
        <f>'FIN-CASHFLOW_CWS'!N69</f>
        <v>-118145000</v>
      </c>
      <c r="O9" s="121">
        <f>'FIN-CASHFLOW_CWS'!O69</f>
        <v>-132140000</v>
      </c>
      <c r="P9" s="121">
        <f>'FIN-CASHFLOW_CWS'!P69</f>
        <v>-146327500</v>
      </c>
      <c r="Q9" s="121">
        <f>'FIN-CASHFLOW_CWS'!Q69</f>
        <v>-162446600</v>
      </c>
      <c r="R9" s="121">
        <f>'FIN-CASHFLOW_CWS'!R69</f>
        <v>-176085975</v>
      </c>
      <c r="S9" s="121">
        <f>'FIN-CASHFLOW_CWS'!S69</f>
        <v>-188896100</v>
      </c>
      <c r="T9" s="121">
        <f>'FIN-CASHFLOW_CWS'!T69</f>
        <v>-200706225</v>
      </c>
      <c r="U9" s="121">
        <f>'FIN-CASHFLOW_CWS'!U69</f>
        <v>-212516350</v>
      </c>
      <c r="V9" s="121">
        <f>'FIN-CASHFLOW_CWS'!V69</f>
        <v>-224326475</v>
      </c>
      <c r="W9" s="121">
        <f>'FIN-CASHFLOW_CWS'!W69</f>
        <v>-236136600</v>
      </c>
      <c r="X9" s="121">
        <f>'FIN-CASHFLOW_CWS'!X69</f>
        <v>-247946725</v>
      </c>
      <c r="Y9" s="121">
        <f>'FIN-CASHFLOW_CWS'!Y69</f>
        <v>-259756850</v>
      </c>
      <c r="Z9" s="121">
        <f>'FIN-CASHFLOW_CWS'!Z69</f>
        <v>-271566975</v>
      </c>
      <c r="AA9" s="121">
        <f>'FIN-CASHFLOW_CWS'!AA69</f>
        <v>-283377100</v>
      </c>
      <c r="AB9" s="121">
        <f>'FIN-CASHFLOW_CWS'!AB69</f>
        <v>-297666950</v>
      </c>
      <c r="AC9" s="121">
        <f>'FIN-CASHFLOW_CWS'!AC69</f>
        <v>-309745509.25</v>
      </c>
      <c r="AD9" s="121">
        <f>'FIN-CASHFLOW_CWS'!AD69</f>
        <v>-314645545.5</v>
      </c>
      <c r="AE9" s="121">
        <f>'FIN-CASHFLOW_CWS'!AE69</f>
        <v>-317144154</v>
      </c>
      <c r="AF9" s="121">
        <f>'FIN-CASHFLOW_CWS'!AF69</f>
        <v>-319642762.5</v>
      </c>
      <c r="AG9" s="121">
        <f>'FIN-CASHFLOW_CWS'!AG69</f>
        <v>-322141371</v>
      </c>
      <c r="AH9" s="121">
        <f>'FIN-CASHFLOW_CWS'!AH69</f>
        <v>-324639979.5</v>
      </c>
      <c r="AI9" s="121">
        <f>'FIN-CASHFLOW_CWS'!AI69</f>
        <v>-327138588</v>
      </c>
      <c r="AJ9" s="121">
        <f>'FIN-CASHFLOW_CWS'!AJ69</f>
        <v>-329637196.5</v>
      </c>
      <c r="AK9" s="121">
        <f>'FIN-CASHFLOW_CWS'!AK69</f>
        <v>-332135805</v>
      </c>
      <c r="AL9" s="121">
        <f>'FIN-CASHFLOW_CWS'!AL69</f>
        <v>-334634413.5</v>
      </c>
      <c r="AM9" s="121">
        <f>'FIN-CASHFLOW_CWS'!AM69</f>
        <v>-337133022</v>
      </c>
      <c r="AN9" s="121">
        <f>'FIN-CASHFLOW_CWS'!AN69</f>
        <v>-346824464.75</v>
      </c>
      <c r="AO9" s="121">
        <f>'FIN-CASHFLOW_CWS'!AO69</f>
        <v>-357252268.72500002</v>
      </c>
      <c r="AP9" s="121">
        <f>'FIN-CASHFLOW_CWS'!AP69</f>
        <v>-358721442.00650001</v>
      </c>
      <c r="AQ9" s="121">
        <f>'FIN-CASHFLOW_CWS'!AQ69</f>
        <v>-357205425.926</v>
      </c>
      <c r="AR9" s="121">
        <f>'FIN-CASHFLOW_CWS'!AR69</f>
        <v>-355689409.84549999</v>
      </c>
      <c r="AS9" s="121">
        <f>'FIN-CASHFLOW_CWS'!AS69</f>
        <v>-354173393.76499999</v>
      </c>
      <c r="AT9" s="121">
        <f>'FIN-CASHFLOW_CWS'!AT69</f>
        <v>-352657377.68449998</v>
      </c>
      <c r="AU9" s="121">
        <f>'FIN-CASHFLOW_CWS'!AU69</f>
        <v>-351141361.60399997</v>
      </c>
      <c r="AV9" s="121">
        <f>'FIN-CASHFLOW_CWS'!AV69</f>
        <v>-349625345.52349997</v>
      </c>
      <c r="AW9" s="121">
        <f>'FIN-CASHFLOW_CWS'!AW69</f>
        <v>-348109329.44299996</v>
      </c>
      <c r="AX9" s="121">
        <f>'FIN-CASHFLOW_CWS'!AX69</f>
        <v>-346593313.36249995</v>
      </c>
      <c r="AY9" s="121">
        <f>'FIN-CASHFLOW_CWS'!AY69</f>
        <v>-345077297.28199995</v>
      </c>
      <c r="AZ9" s="121">
        <f>'FIN-CASHFLOW_CWS'!AZ69</f>
        <v>-352519911.89499992</v>
      </c>
      <c r="BA9" s="121">
        <f>'FIN-CASHFLOW_CWS'!BA69</f>
        <v>-366345404.3713249</v>
      </c>
      <c r="BB9" s="121">
        <f>'FIN-CASHFLOW_CWS'!BB69</f>
        <v>-372401934.89262491</v>
      </c>
      <c r="BC9" s="121">
        <f>'FIN-CASHFLOW_CWS'!BC69</f>
        <v>-375881264.60162491</v>
      </c>
      <c r="BD9" s="121">
        <f>'FIN-CASHFLOW_CWS'!BD69</f>
        <v>-379360594.3106249</v>
      </c>
      <c r="BE9" s="121">
        <f>'FIN-CASHFLOW_CWS'!BE69</f>
        <v>-382839924.01962489</v>
      </c>
      <c r="BF9" s="121">
        <f>'FIN-CASHFLOW_CWS'!BF69</f>
        <v>-386319253.72862488</v>
      </c>
      <c r="BG9" s="121">
        <f>'FIN-CASHFLOW_CWS'!BG69</f>
        <v>-389798583.43762487</v>
      </c>
      <c r="BH9" s="121">
        <f>'FIN-CASHFLOW_CWS'!BH69</f>
        <v>-393277913.14662486</v>
      </c>
      <c r="BI9" s="121">
        <f>'FIN-CASHFLOW_CWS'!BI69</f>
        <v>-396757242.85562485</v>
      </c>
      <c r="BJ9" s="121">
        <f>'FIN-CASHFLOW_CWS'!BJ69</f>
        <v>-400236572.56462485</v>
      </c>
      <c r="BK9" s="121">
        <f>'FIN-CASHFLOW_CWS'!BK69</f>
        <v>-403715902.27362484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467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-31900000</v>
      </c>
      <c r="H11" s="70">
        <f>'FIN-CASHFLOW_CWS'!H70</f>
        <v>-47120000</v>
      </c>
      <c r="I11" s="70">
        <f>'FIN-CASHFLOW_CWS'!I70</f>
        <v>-62085000</v>
      </c>
      <c r="J11" s="121">
        <f>'FIN-CASHFLOW_CWS'!J70</f>
        <v>-76160000</v>
      </c>
      <c r="K11" s="121">
        <f>'FIN-CASHFLOW_CWS'!K70</f>
        <v>-90155000</v>
      </c>
      <c r="L11" s="121">
        <f>'FIN-CASHFLOW_CWS'!L70</f>
        <v>-104150000</v>
      </c>
      <c r="M11" s="121">
        <f>'FIN-CASHFLOW_CWS'!M70</f>
        <v>-118145000</v>
      </c>
      <c r="N11" s="70">
        <f>'FIN-CASHFLOW_CWS'!N70</f>
        <v>-132140000</v>
      </c>
      <c r="O11" s="121">
        <f>'FIN-CASHFLOW_CWS'!O70</f>
        <v>-146327500</v>
      </c>
      <c r="P11" s="121">
        <f>'FIN-CASHFLOW_CWS'!P70</f>
        <v>-162446600</v>
      </c>
      <c r="Q11" s="70">
        <f>'FIN-CASHFLOW_CWS'!Q70</f>
        <v>-176085975</v>
      </c>
      <c r="R11" s="121">
        <f>'FIN-CASHFLOW_CWS'!R70</f>
        <v>-188896100</v>
      </c>
      <c r="S11" s="121">
        <f>'FIN-CASHFLOW_CWS'!S70</f>
        <v>-200706225</v>
      </c>
      <c r="T11" s="121">
        <f>'FIN-CASHFLOW_CWS'!T70</f>
        <v>-212516350</v>
      </c>
      <c r="U11" s="121">
        <f>'FIN-CASHFLOW_CWS'!U70</f>
        <v>-224326475</v>
      </c>
      <c r="V11" s="121">
        <f>'FIN-CASHFLOW_CWS'!V70</f>
        <v>-236136600</v>
      </c>
      <c r="W11" s="121">
        <f>'FIN-CASHFLOW_CWS'!W70</f>
        <v>-247946725</v>
      </c>
      <c r="X11" s="121">
        <f>'FIN-CASHFLOW_CWS'!X70</f>
        <v>-259756850</v>
      </c>
      <c r="Y11" s="121">
        <f>'FIN-CASHFLOW_CWS'!Y70</f>
        <v>-271566975</v>
      </c>
      <c r="Z11" s="121">
        <f>'FIN-CASHFLOW_CWS'!Z70</f>
        <v>-283377100</v>
      </c>
      <c r="AA11" s="121">
        <f>'FIN-CASHFLOW_CWS'!AA70</f>
        <v>-297666950</v>
      </c>
      <c r="AB11" s="121">
        <f>'FIN-CASHFLOW_CWS'!AB70</f>
        <v>-309745509.25</v>
      </c>
      <c r="AC11" s="121">
        <f>'FIN-CASHFLOW_CWS'!AC70</f>
        <v>-314645545.5</v>
      </c>
      <c r="AD11" s="121">
        <f>'FIN-CASHFLOW_CWS'!AD70</f>
        <v>-317144154</v>
      </c>
      <c r="AE11" s="121">
        <f>'FIN-CASHFLOW_CWS'!AE70</f>
        <v>-319642762.5</v>
      </c>
      <c r="AF11" s="70">
        <f>'FIN-CASHFLOW_CWS'!AF70</f>
        <v>-322141371</v>
      </c>
      <c r="AG11" s="121">
        <f>'FIN-CASHFLOW_CWS'!AG70</f>
        <v>-324639979.5</v>
      </c>
      <c r="AH11" s="121">
        <f>'FIN-CASHFLOW_CWS'!AH70</f>
        <v>-327138588</v>
      </c>
      <c r="AI11" s="121">
        <f>'FIN-CASHFLOW_CWS'!AI70</f>
        <v>-329637196.5</v>
      </c>
      <c r="AJ11" s="121">
        <f>'FIN-CASHFLOW_CWS'!AJ70</f>
        <v>-332135805</v>
      </c>
      <c r="AK11" s="121">
        <f>'FIN-CASHFLOW_CWS'!AK70</f>
        <v>-334634413.5</v>
      </c>
      <c r="AL11" s="121">
        <f>'FIN-CASHFLOW_CWS'!AL70</f>
        <v>-337133022</v>
      </c>
      <c r="AM11" s="121">
        <f>'FIN-CASHFLOW_CWS'!AM70</f>
        <v>-346824464.75</v>
      </c>
      <c r="AN11" s="121">
        <f>'FIN-CASHFLOW_CWS'!AN70</f>
        <v>-357252268.72500002</v>
      </c>
      <c r="AO11" s="121">
        <f>'FIN-CASHFLOW_CWS'!AO70</f>
        <v>-358721442.00650001</v>
      </c>
      <c r="AP11" s="121">
        <f>'FIN-CASHFLOW_CWS'!AP70</f>
        <v>-357205425.926</v>
      </c>
      <c r="AQ11" s="121">
        <f>'FIN-CASHFLOW_CWS'!AQ70</f>
        <v>-355689409.84549999</v>
      </c>
      <c r="AR11" s="121">
        <f>'FIN-CASHFLOW_CWS'!AR70</f>
        <v>-354173393.76499999</v>
      </c>
      <c r="AS11" s="121">
        <f>'FIN-CASHFLOW_CWS'!AS70</f>
        <v>-352657377.68449998</v>
      </c>
      <c r="AT11" s="121">
        <f>'FIN-CASHFLOW_CWS'!AT70</f>
        <v>-351141361.60399997</v>
      </c>
      <c r="AU11" s="121">
        <f>'FIN-CASHFLOW_CWS'!AU70</f>
        <v>-349625345.52349997</v>
      </c>
      <c r="AV11" s="121">
        <f>'FIN-CASHFLOW_CWS'!AV70</f>
        <v>-348109329.44299996</v>
      </c>
      <c r="AW11" s="121">
        <f>'FIN-CASHFLOW_CWS'!AW70</f>
        <v>-346593313.36249995</v>
      </c>
      <c r="AX11" s="121">
        <f>'FIN-CASHFLOW_CWS'!AX70</f>
        <v>-345077297.28199995</v>
      </c>
      <c r="AY11" s="121">
        <f>'FIN-CASHFLOW_CWS'!AY70</f>
        <v>-352519911.89499992</v>
      </c>
      <c r="AZ11" s="121">
        <f>'FIN-CASHFLOW_CWS'!AZ70</f>
        <v>-366345404.3713249</v>
      </c>
      <c r="BA11" s="121">
        <f>'FIN-CASHFLOW_CWS'!BA70</f>
        <v>-372401934.89262491</v>
      </c>
      <c r="BB11" s="121">
        <f>'FIN-CASHFLOW_CWS'!BB70</f>
        <v>-375881264.60162491</v>
      </c>
      <c r="BC11" s="121">
        <f>'FIN-CASHFLOW_CWS'!BC70</f>
        <v>-379360594.3106249</v>
      </c>
      <c r="BD11" s="121">
        <f>'FIN-CASHFLOW_CWS'!BD70</f>
        <v>-382839924.01962489</v>
      </c>
      <c r="BE11" s="121">
        <f>'FIN-CASHFLOW_CWS'!BE70</f>
        <v>-386319253.72862488</v>
      </c>
      <c r="BF11" s="121">
        <f>'FIN-CASHFLOW_CWS'!BF70</f>
        <v>-389798583.43762487</v>
      </c>
      <c r="BG11" s="121">
        <f>'FIN-CASHFLOW_CWS'!BG70</f>
        <v>-393277913.14662486</v>
      </c>
      <c r="BH11" s="121">
        <f>'FIN-CASHFLOW_CWS'!BH70</f>
        <v>-396757242.85562485</v>
      </c>
      <c r="BI11" s="121">
        <f>'FIN-CASHFLOW_CWS'!BI70</f>
        <v>-400236572.56462485</v>
      </c>
      <c r="BJ11" s="121">
        <f>'FIN-CASHFLOW_CWS'!BJ70</f>
        <v>-403715902.27362484</v>
      </c>
      <c r="BK11" s="121">
        <f>'FIN-CASHFLOW_CWS'!BK70</f>
        <v>-414947152.67359984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913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1030</v>
      </c>
      <c r="C15" s="121">
        <f ca="1">C30*-1</f>
        <v>76160000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99925975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121580975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466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-31900000</v>
      </c>
      <c r="H17" s="121">
        <f t="shared" ca="1" si="7"/>
        <v>-15220000.000000002</v>
      </c>
      <c r="I17" s="121">
        <f t="shared" ca="1" si="7"/>
        <v>-14965000.000000002</v>
      </c>
      <c r="J17" s="121">
        <f t="shared" ca="1" si="7"/>
        <v>-14075000</v>
      </c>
      <c r="K17" s="121">
        <f t="shared" ca="1" si="7"/>
        <v>85930975</v>
      </c>
      <c r="L17" s="121">
        <f t="shared" ca="1" si="7"/>
        <v>-13995000</v>
      </c>
      <c r="M17" s="121">
        <f t="shared" ca="1" si="7"/>
        <v>-13995000</v>
      </c>
      <c r="N17" s="121">
        <f t="shared" ca="1" si="7"/>
        <v>-13995000</v>
      </c>
      <c r="O17" s="121">
        <f t="shared" ca="1" si="7"/>
        <v>-14187500</v>
      </c>
      <c r="P17" s="121">
        <f t="shared" ca="1" si="7"/>
        <v>-16119100</v>
      </c>
      <c r="Q17" s="121">
        <f t="shared" ca="1" si="7"/>
        <v>-13639375</v>
      </c>
      <c r="R17" s="121">
        <f t="shared" ca="1" si="7"/>
        <v>108770850</v>
      </c>
      <c r="S17" s="121">
        <f t="shared" ca="1" si="7"/>
        <v>-11810125</v>
      </c>
      <c r="T17" s="121">
        <f t="shared" ca="1" si="7"/>
        <v>-11810125</v>
      </c>
      <c r="U17" s="121">
        <f t="shared" ca="1" si="7"/>
        <v>-11810125</v>
      </c>
      <c r="V17" s="121">
        <f t="shared" ca="1" si="7"/>
        <v>-11810125</v>
      </c>
      <c r="W17" s="121">
        <f t="shared" ca="1" si="7"/>
        <v>-11810125</v>
      </c>
      <c r="X17" s="121">
        <f t="shared" ca="1" si="7"/>
        <v>-11810125</v>
      </c>
      <c r="Y17" s="121">
        <f t="shared" ca="1" si="7"/>
        <v>-11810125</v>
      </c>
      <c r="Z17" s="121">
        <f t="shared" ca="1" si="7"/>
        <v>-11810125</v>
      </c>
      <c r="AA17" s="121">
        <f t="shared" ca="1" si="7"/>
        <v>-14289850</v>
      </c>
      <c r="AB17" s="121">
        <f t="shared" ca="1" si="7"/>
        <v>-12078559.249999998</v>
      </c>
      <c r="AC17" s="121">
        <f t="shared" ca="1" si="7"/>
        <v>-4900036.2499999963</v>
      </c>
      <c r="AD17" s="121">
        <f t="shared" ca="1" si="7"/>
        <v>-2498608.5</v>
      </c>
      <c r="AE17" s="121">
        <f t="shared" ca="1" si="7"/>
        <v>-2498608.5</v>
      </c>
      <c r="AF17" s="121">
        <f t="shared" ca="1" si="7"/>
        <v>-2498608.5</v>
      </c>
      <c r="AG17" s="121">
        <f t="shared" ca="1" si="7"/>
        <v>-2498608.5</v>
      </c>
      <c r="AH17" s="121">
        <f t="shared" ca="1" si="7"/>
        <v>-2498608.5</v>
      </c>
      <c r="AI17" s="121">
        <f t="shared" ca="1" si="7"/>
        <v>-2498608.5</v>
      </c>
      <c r="AJ17" s="121">
        <f t="shared" ref="AJ17:BK17" ca="1" si="8">AJ7+AJ15</f>
        <v>-2498608.5</v>
      </c>
      <c r="AK17" s="121">
        <f t="shared" ca="1" si="8"/>
        <v>-2498608.5</v>
      </c>
      <c r="AL17" s="121">
        <f t="shared" ca="1" si="8"/>
        <v>-2498608.5</v>
      </c>
      <c r="AM17" s="121">
        <f t="shared" ca="1" si="8"/>
        <v>-9691442.7499999981</v>
      </c>
      <c r="AN17" s="121">
        <f t="shared" ca="1" si="8"/>
        <v>-10427803.974999998</v>
      </c>
      <c r="AO17" s="121">
        <f t="shared" ca="1" si="8"/>
        <v>-1469173.2814999968</v>
      </c>
      <c r="AP17" s="121">
        <f t="shared" ca="1" si="8"/>
        <v>1516016.0805000067</v>
      </c>
      <c r="AQ17" s="121">
        <f t="shared" ca="1" si="8"/>
        <v>1516016.0805000067</v>
      </c>
      <c r="AR17" s="121">
        <f t="shared" ca="1" si="8"/>
        <v>1516016.0805000067</v>
      </c>
      <c r="AS17" s="121">
        <f t="shared" ca="1" si="8"/>
        <v>1516016.0805000067</v>
      </c>
      <c r="AT17" s="121">
        <f t="shared" ca="1" si="8"/>
        <v>1516016.0805000067</v>
      </c>
      <c r="AU17" s="121">
        <f t="shared" ca="1" si="8"/>
        <v>1516016.0805000067</v>
      </c>
      <c r="AV17" s="121">
        <f t="shared" ca="1" si="8"/>
        <v>1516016.0805000067</v>
      </c>
      <c r="AW17" s="121">
        <f t="shared" ca="1" si="8"/>
        <v>1516016.0805000067</v>
      </c>
      <c r="AX17" s="121">
        <f t="shared" ca="1" si="8"/>
        <v>1516016.0805000067</v>
      </c>
      <c r="AY17" s="121">
        <f t="shared" ca="1" si="8"/>
        <v>-7442614.612999998</v>
      </c>
      <c r="AZ17" s="121">
        <f t="shared" ca="1" si="8"/>
        <v>-13825492.476325003</v>
      </c>
      <c r="BA17" s="121">
        <f t="shared" ca="1" si="8"/>
        <v>-6056530.5213000029</v>
      </c>
      <c r="BB17" s="121">
        <f t="shared" ca="1" si="8"/>
        <v>-3479329.7089999989</v>
      </c>
      <c r="BC17" s="121">
        <f t="shared" ca="1" si="8"/>
        <v>-3479329.7089999989</v>
      </c>
      <c r="BD17" s="121">
        <f t="shared" ca="1" si="8"/>
        <v>-3479329.7089999989</v>
      </c>
      <c r="BE17" s="121">
        <f t="shared" ca="1" si="8"/>
        <v>-3479329.7089999989</v>
      </c>
      <c r="BF17" s="121">
        <f t="shared" ca="1" si="8"/>
        <v>-3479329.7089999989</v>
      </c>
      <c r="BG17" s="121">
        <f t="shared" ca="1" si="8"/>
        <v>-3479329.7089999989</v>
      </c>
      <c r="BH17" s="121">
        <f t="shared" ca="1" si="8"/>
        <v>-3479329.7089999989</v>
      </c>
      <c r="BI17" s="121">
        <f t="shared" ca="1" si="8"/>
        <v>-3479329.7089999989</v>
      </c>
      <c r="BJ17" s="121">
        <f t="shared" ca="1" si="8"/>
        <v>-3479329.7089999989</v>
      </c>
      <c r="BK17" s="121">
        <f t="shared" ca="1" si="8"/>
        <v>-11231250.399974998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468</v>
      </c>
      <c r="C19" s="121">
        <f ca="1">C15</f>
        <v>76160000</v>
      </c>
      <c r="D19" s="121">
        <f t="shared" ref="D19:AI19" ca="1" si="9">C20</f>
        <v>76160000</v>
      </c>
      <c r="E19" s="121">
        <f t="shared" ca="1" si="9"/>
        <v>76160000</v>
      </c>
      <c r="F19" s="121">
        <f t="shared" ca="1" si="9"/>
        <v>76160000</v>
      </c>
      <c r="G19" s="121">
        <f t="shared" ca="1" si="9"/>
        <v>76160000</v>
      </c>
      <c r="H19" s="121">
        <f t="shared" ca="1" si="9"/>
        <v>44260000</v>
      </c>
      <c r="I19" s="121">
        <f t="shared" ca="1" si="9"/>
        <v>29040000</v>
      </c>
      <c r="J19" s="121">
        <f t="shared" ca="1" si="9"/>
        <v>14074999.999999998</v>
      </c>
      <c r="K19" s="121">
        <f t="shared" ca="1" si="9"/>
        <v>0</v>
      </c>
      <c r="L19" s="121">
        <f t="shared" ca="1" si="9"/>
        <v>85930975</v>
      </c>
      <c r="M19" s="121">
        <f t="shared" ca="1" si="9"/>
        <v>71935975</v>
      </c>
      <c r="N19" s="121">
        <f t="shared" ca="1" si="9"/>
        <v>57940975</v>
      </c>
      <c r="O19" s="121">
        <f t="shared" ca="1" si="9"/>
        <v>43945975</v>
      </c>
      <c r="P19" s="121">
        <f t="shared" ca="1" si="9"/>
        <v>29758475</v>
      </c>
      <c r="Q19" s="121">
        <f t="shared" ca="1" si="9"/>
        <v>13639375</v>
      </c>
      <c r="R19" s="121">
        <f t="shared" ca="1" si="9"/>
        <v>0</v>
      </c>
      <c r="S19" s="121">
        <f t="shared" ca="1" si="9"/>
        <v>108770850</v>
      </c>
      <c r="T19" s="121">
        <f t="shared" ca="1" si="9"/>
        <v>96960725</v>
      </c>
      <c r="U19" s="121">
        <f t="shared" ca="1" si="9"/>
        <v>85150600</v>
      </c>
      <c r="V19" s="121">
        <f t="shared" ca="1" si="9"/>
        <v>73340475</v>
      </c>
      <c r="W19" s="121">
        <f t="shared" ca="1" si="9"/>
        <v>61530350</v>
      </c>
      <c r="X19" s="121">
        <f t="shared" ca="1" si="9"/>
        <v>49720225</v>
      </c>
      <c r="Y19" s="121">
        <f t="shared" ca="1" si="9"/>
        <v>37910100</v>
      </c>
      <c r="Z19" s="121">
        <f t="shared" ca="1" si="9"/>
        <v>26099975</v>
      </c>
      <c r="AA19" s="121">
        <f t="shared" ca="1" si="9"/>
        <v>14289850</v>
      </c>
      <c r="AB19" s="121">
        <f t="shared" ca="1" si="9"/>
        <v>0</v>
      </c>
      <c r="AC19" s="121">
        <f t="shared" ca="1" si="9"/>
        <v>-12078559.249999998</v>
      </c>
      <c r="AD19" s="121">
        <f t="shared" ca="1" si="9"/>
        <v>-16978595.499999993</v>
      </c>
      <c r="AE19" s="121">
        <f t="shared" ca="1" si="9"/>
        <v>-19477203.999999993</v>
      </c>
      <c r="AF19" s="121">
        <f t="shared" ca="1" si="9"/>
        <v>-21975812.499999993</v>
      </c>
      <c r="AG19" s="121">
        <f t="shared" ca="1" si="9"/>
        <v>-24474420.999999993</v>
      </c>
      <c r="AH19" s="121">
        <f t="shared" ca="1" si="9"/>
        <v>-26973029.499999993</v>
      </c>
      <c r="AI19" s="121">
        <f t="shared" ca="1" si="9"/>
        <v>-29471637.999999993</v>
      </c>
      <c r="AJ19" s="121">
        <f t="shared" ref="AJ19:BK19" ca="1" si="10">AI20</f>
        <v>-31970246.499999993</v>
      </c>
      <c r="AK19" s="121">
        <f t="shared" ca="1" si="10"/>
        <v>-34468854.999999993</v>
      </c>
      <c r="AL19" s="121">
        <f t="shared" ca="1" si="10"/>
        <v>-36967463.499999993</v>
      </c>
      <c r="AM19" s="121">
        <f t="shared" ca="1" si="10"/>
        <v>-39466071.999999993</v>
      </c>
      <c r="AN19" s="121">
        <f t="shared" ca="1" si="10"/>
        <v>-49157514.749999993</v>
      </c>
      <c r="AO19" s="121">
        <f t="shared" ca="1" si="10"/>
        <v>-59585318.724999994</v>
      </c>
      <c r="AP19" s="121">
        <f t="shared" ca="1" si="10"/>
        <v>-61054492.006499991</v>
      </c>
      <c r="AQ19" s="121">
        <f t="shared" ca="1" si="10"/>
        <v>-59538475.925999984</v>
      </c>
      <c r="AR19" s="121">
        <f t="shared" ca="1" si="10"/>
        <v>-58022459.845499977</v>
      </c>
      <c r="AS19" s="121">
        <f t="shared" ca="1" si="10"/>
        <v>-56506443.764999971</v>
      </c>
      <c r="AT19" s="121">
        <f t="shared" ca="1" si="10"/>
        <v>-54990427.684499964</v>
      </c>
      <c r="AU19" s="121">
        <f t="shared" ca="1" si="10"/>
        <v>-53474411.603999957</v>
      </c>
      <c r="AV19" s="121">
        <f t="shared" ca="1" si="10"/>
        <v>-51958395.523499951</v>
      </c>
      <c r="AW19" s="121">
        <f t="shared" ca="1" si="10"/>
        <v>-50442379.442999944</v>
      </c>
      <c r="AX19" s="121">
        <f t="shared" ca="1" si="10"/>
        <v>-48926363.362499937</v>
      </c>
      <c r="AY19" s="121">
        <f t="shared" ca="1" si="10"/>
        <v>-47410347.281999931</v>
      </c>
      <c r="AZ19" s="121">
        <f t="shared" ca="1" si="10"/>
        <v>-54852961.894999929</v>
      </c>
      <c r="BA19" s="121">
        <f t="shared" ca="1" si="10"/>
        <v>-68678454.371324927</v>
      </c>
      <c r="BB19" s="121">
        <f t="shared" ca="1" si="10"/>
        <v>-74734984.89262493</v>
      </c>
      <c r="BC19" s="121">
        <f t="shared" ca="1" si="10"/>
        <v>-78214314.601624936</v>
      </c>
      <c r="BD19" s="121">
        <f t="shared" ca="1" si="10"/>
        <v>-81693644.310624927</v>
      </c>
      <c r="BE19" s="121">
        <f t="shared" ca="1" si="10"/>
        <v>-85172974.019624919</v>
      </c>
      <c r="BF19" s="121">
        <f t="shared" ca="1" si="10"/>
        <v>-88652303.72862491</v>
      </c>
      <c r="BG19" s="121">
        <f t="shared" ca="1" si="10"/>
        <v>-92131633.437624902</v>
      </c>
      <c r="BH19" s="121">
        <f t="shared" ca="1" si="10"/>
        <v>-95610963.146624893</v>
      </c>
      <c r="BI19" s="121">
        <f t="shared" ca="1" si="10"/>
        <v>-99090292.855624884</v>
      </c>
      <c r="BJ19" s="121">
        <f t="shared" ca="1" si="10"/>
        <v>-102569622.56462488</v>
      </c>
      <c r="BK19" s="121">
        <f t="shared" ca="1" si="10"/>
        <v>-106048952.27362487</v>
      </c>
    </row>
    <row r="20" spans="2:64" x14ac:dyDescent="0.15">
      <c r="B20" s="127" t="s">
        <v>467</v>
      </c>
      <c r="C20" s="121">
        <f ca="1">C15+C17</f>
        <v>76160000</v>
      </c>
      <c r="D20" s="121">
        <f t="shared" ref="D20:AI20" ca="1" si="11">D17+D19</f>
        <v>76160000</v>
      </c>
      <c r="E20" s="121">
        <f t="shared" ca="1" si="11"/>
        <v>76160000</v>
      </c>
      <c r="F20" s="121">
        <f t="shared" ca="1" si="11"/>
        <v>76160000</v>
      </c>
      <c r="G20" s="121">
        <f t="shared" ca="1" si="11"/>
        <v>44260000</v>
      </c>
      <c r="H20" s="121">
        <f t="shared" ca="1" si="11"/>
        <v>29040000</v>
      </c>
      <c r="I20" s="121">
        <f t="shared" ca="1" si="11"/>
        <v>14074999.999999998</v>
      </c>
      <c r="J20" s="121">
        <f t="shared" ca="1" si="11"/>
        <v>0</v>
      </c>
      <c r="K20" s="121">
        <f t="shared" ca="1" si="11"/>
        <v>85930975</v>
      </c>
      <c r="L20" s="121">
        <f t="shared" ca="1" si="11"/>
        <v>71935975</v>
      </c>
      <c r="M20" s="121">
        <f t="shared" ca="1" si="11"/>
        <v>57940975</v>
      </c>
      <c r="N20" s="121">
        <f t="shared" ca="1" si="11"/>
        <v>43945975</v>
      </c>
      <c r="O20" s="121">
        <f t="shared" ca="1" si="11"/>
        <v>29758475</v>
      </c>
      <c r="P20" s="121">
        <f t="shared" ca="1" si="11"/>
        <v>13639375</v>
      </c>
      <c r="Q20" s="121">
        <f t="shared" ca="1" si="11"/>
        <v>0</v>
      </c>
      <c r="R20" s="121">
        <f t="shared" ca="1" si="11"/>
        <v>108770850</v>
      </c>
      <c r="S20" s="121">
        <f t="shared" ca="1" si="11"/>
        <v>96960725</v>
      </c>
      <c r="T20" s="121">
        <f t="shared" ca="1" si="11"/>
        <v>85150600</v>
      </c>
      <c r="U20" s="121">
        <f t="shared" ca="1" si="11"/>
        <v>73340475</v>
      </c>
      <c r="V20" s="121">
        <f t="shared" ca="1" si="11"/>
        <v>61530350</v>
      </c>
      <c r="W20" s="121">
        <f t="shared" ca="1" si="11"/>
        <v>49720225</v>
      </c>
      <c r="X20" s="121">
        <f t="shared" ca="1" si="11"/>
        <v>37910100</v>
      </c>
      <c r="Y20" s="121">
        <f t="shared" ca="1" si="11"/>
        <v>26099975</v>
      </c>
      <c r="Z20" s="121">
        <f t="shared" ca="1" si="11"/>
        <v>14289850</v>
      </c>
      <c r="AA20" s="121">
        <f t="shared" ca="1" si="11"/>
        <v>0</v>
      </c>
      <c r="AB20" s="121">
        <f t="shared" ca="1" si="11"/>
        <v>-12078559.249999998</v>
      </c>
      <c r="AC20" s="121">
        <f t="shared" ca="1" si="11"/>
        <v>-16978595.499999993</v>
      </c>
      <c r="AD20" s="121">
        <f t="shared" ca="1" si="11"/>
        <v>-19477203.999999993</v>
      </c>
      <c r="AE20" s="121">
        <f t="shared" ca="1" si="11"/>
        <v>-21975812.499999993</v>
      </c>
      <c r="AF20" s="121">
        <f t="shared" ca="1" si="11"/>
        <v>-24474420.999999993</v>
      </c>
      <c r="AG20" s="121">
        <f t="shared" ca="1" si="11"/>
        <v>-26973029.499999993</v>
      </c>
      <c r="AH20" s="121">
        <f t="shared" ca="1" si="11"/>
        <v>-29471637.999999993</v>
      </c>
      <c r="AI20" s="121">
        <f t="shared" ca="1" si="11"/>
        <v>-31970246.499999993</v>
      </c>
      <c r="AJ20" s="121">
        <f t="shared" ref="AJ20:BK20" ca="1" si="12">AJ17+AJ19</f>
        <v>-34468854.999999993</v>
      </c>
      <c r="AK20" s="121">
        <f t="shared" ca="1" si="12"/>
        <v>-36967463.499999993</v>
      </c>
      <c r="AL20" s="121">
        <f t="shared" ca="1" si="12"/>
        <v>-39466071.999999993</v>
      </c>
      <c r="AM20" s="121">
        <f t="shared" ca="1" si="12"/>
        <v>-49157514.749999993</v>
      </c>
      <c r="AN20" s="121">
        <f t="shared" ca="1" si="12"/>
        <v>-59585318.724999994</v>
      </c>
      <c r="AO20" s="121">
        <f t="shared" ca="1" si="12"/>
        <v>-61054492.006499991</v>
      </c>
      <c r="AP20" s="121">
        <f t="shared" ca="1" si="12"/>
        <v>-59538475.925999984</v>
      </c>
      <c r="AQ20" s="121">
        <f t="shared" ca="1" si="12"/>
        <v>-58022459.845499977</v>
      </c>
      <c r="AR20" s="121">
        <f t="shared" ca="1" si="12"/>
        <v>-56506443.764999971</v>
      </c>
      <c r="AS20" s="121">
        <f t="shared" ca="1" si="12"/>
        <v>-54990427.684499964</v>
      </c>
      <c r="AT20" s="121">
        <f t="shared" ca="1" si="12"/>
        <v>-53474411.603999957</v>
      </c>
      <c r="AU20" s="121">
        <f t="shared" ca="1" si="12"/>
        <v>-51958395.523499951</v>
      </c>
      <c r="AV20" s="121">
        <f t="shared" ca="1" si="12"/>
        <v>-50442379.442999944</v>
      </c>
      <c r="AW20" s="121">
        <f t="shared" ca="1" si="12"/>
        <v>-48926363.362499937</v>
      </c>
      <c r="AX20" s="121">
        <f t="shared" ca="1" si="12"/>
        <v>-47410347.281999931</v>
      </c>
      <c r="AY20" s="121">
        <f t="shared" ca="1" si="12"/>
        <v>-54852961.894999929</v>
      </c>
      <c r="AZ20" s="121">
        <f t="shared" ca="1" si="12"/>
        <v>-68678454.371324927</v>
      </c>
      <c r="BA20" s="121">
        <f t="shared" ca="1" si="12"/>
        <v>-74734984.89262493</v>
      </c>
      <c r="BB20" s="121">
        <f t="shared" ca="1" si="12"/>
        <v>-78214314.601624936</v>
      </c>
      <c r="BC20" s="121">
        <f t="shared" ca="1" si="12"/>
        <v>-81693644.310624927</v>
      </c>
      <c r="BD20" s="121">
        <f t="shared" ca="1" si="12"/>
        <v>-85172974.019624919</v>
      </c>
      <c r="BE20" s="121">
        <f t="shared" ca="1" si="12"/>
        <v>-88652303.72862491</v>
      </c>
      <c r="BF20" s="121">
        <f t="shared" ca="1" si="12"/>
        <v>-92131633.437624902</v>
      </c>
      <c r="BG20" s="121">
        <f t="shared" ca="1" si="12"/>
        <v>-95610963.146624893</v>
      </c>
      <c r="BH20" s="121">
        <f t="shared" ca="1" si="12"/>
        <v>-99090292.855624884</v>
      </c>
      <c r="BI20" s="121">
        <f t="shared" ca="1" si="12"/>
        <v>-102569622.56462488</v>
      </c>
      <c r="BJ20" s="121">
        <f t="shared" ca="1" si="12"/>
        <v>-106048952.27362487</v>
      </c>
      <c r="BK20" s="121">
        <f t="shared" ca="1" si="12"/>
        <v>-117280202.67359987</v>
      </c>
      <c r="BL20" s="130">
        <f ca="1">BK20-BK11</f>
        <v>297666950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942</v>
      </c>
      <c r="C23" s="75" t="s">
        <v>840</v>
      </c>
      <c r="D23" s="75" t="s">
        <v>1266</v>
      </c>
      <c r="E23" s="75" t="s">
        <v>1267</v>
      </c>
      <c r="F23" s="75" t="s">
        <v>836</v>
      </c>
      <c r="G23" s="75" t="s">
        <v>837</v>
      </c>
      <c r="L23" s="130"/>
      <c r="U23" s="130"/>
    </row>
    <row r="24" spans="2:64" x14ac:dyDescent="0.15">
      <c r="B24" s="136" t="s">
        <v>944</v>
      </c>
      <c r="C24" s="266" t="s">
        <v>1254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914</v>
      </c>
      <c r="C25" s="266" t="s">
        <v>1254</v>
      </c>
      <c r="D25" s="382" t="str" cm="1">
        <f t="array" aca="1" ref="D25" ca="1">OFFSET(INDIRECT(D24),-1,1)</f>
        <v>AugYR1</v>
      </c>
      <c r="E25" s="382" t="str" cm="1">
        <f t="array" aca="1" ref="E25" ca="1">OFFSET(INDIRECT(E24),-1,1)</f>
        <v>MarYR2</v>
      </c>
      <c r="F25" s="266" t="s">
        <v>1271</v>
      </c>
      <c r="L25" s="130"/>
    </row>
    <row r="26" spans="2:64" x14ac:dyDescent="0.15">
      <c r="B26" s="138" t="s">
        <v>915</v>
      </c>
      <c r="C26" s="382" t="s">
        <v>1273</v>
      </c>
      <c r="D26" s="382" t="s">
        <v>1274</v>
      </c>
      <c r="E26" s="382" t="s">
        <v>1272</v>
      </c>
      <c r="F26" s="266"/>
      <c r="L26" s="130"/>
    </row>
    <row r="27" spans="2:64" x14ac:dyDescent="0.15">
      <c r="B27" s="138" t="s">
        <v>945</v>
      </c>
      <c r="C27" s="266" t="s">
        <v>1250</v>
      </c>
      <c r="D27" s="382" t="s">
        <v>916</v>
      </c>
      <c r="E27" s="266" t="s">
        <v>941</v>
      </c>
      <c r="F27" s="266" t="s">
        <v>939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829</v>
      </c>
      <c r="C29" s="121">
        <f>C4</f>
        <v>0</v>
      </c>
      <c r="D29" s="130">
        <f ca="1">C31</f>
        <v>-76160000</v>
      </c>
      <c r="E29" s="130">
        <f ca="1">D31</f>
        <v>-176085975</v>
      </c>
      <c r="F29" s="224">
        <f>C29</f>
        <v>0</v>
      </c>
      <c r="G29" s="224">
        <f ca="1">F31</f>
        <v>-297666950</v>
      </c>
      <c r="L29" s="130"/>
    </row>
    <row r="30" spans="2:64" x14ac:dyDescent="0.15">
      <c r="B30" s="138" t="s">
        <v>830</v>
      </c>
      <c r="C30" s="70">
        <f ca="1">C31-C29</f>
        <v>-76160000</v>
      </c>
      <c r="D30" s="386">
        <f ca="1">D31-D29</f>
        <v>-99925975</v>
      </c>
      <c r="E30" s="386">
        <f ca="1">E31-E29</f>
        <v>-121580975</v>
      </c>
      <c r="F30" s="224">
        <f ca="1">SUM(C30:E30)</f>
        <v>-297666950</v>
      </c>
      <c r="G30" s="145">
        <f ca="1">G31-G29</f>
        <v>180386747.32640013</v>
      </c>
      <c r="L30" s="130"/>
    </row>
    <row r="31" spans="2:64" x14ac:dyDescent="0.15">
      <c r="B31" s="138" t="s">
        <v>831</v>
      </c>
      <c r="C31" s="70" cm="1">
        <f t="array" aca="1" ref="C31" ca="1">INDIRECT(C26 &amp;"Acum")</f>
        <v>-76160000</v>
      </c>
      <c r="D31" s="70" cm="1">
        <f t="array" aca="1" ref="D31" ca="1">INDIRECT(D26&amp;"Acum")</f>
        <v>-176085975</v>
      </c>
      <c r="E31" s="70" cm="1">
        <f t="array" aca="1" ref="E31" ca="1">INDIRECT(E26&amp;"Acum")</f>
        <v>-297666950</v>
      </c>
      <c r="F31" s="67">
        <f ca="1">E31</f>
        <v>-297666950</v>
      </c>
      <c r="G31" s="224">
        <f ca="1">CajaAcumFinPeriodo</f>
        <v>-117280202.67359987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940</v>
      </c>
      <c r="D34" s="75" t="s">
        <v>827</v>
      </c>
      <c r="E34" s="75" t="s">
        <v>828</v>
      </c>
      <c r="F34" s="75" t="s">
        <v>892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-168877384.08616212</v>
      </c>
      <c r="E36" s="130">
        <f ca="1">D30*-1</f>
        <v>99925975</v>
      </c>
      <c r="F36" s="384">
        <f ca="1">E36/D36</f>
        <v>-0.59170726465668866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6">
        <f ca="1">NPV(+C37/12,INDIRECT(E25):BK7)</f>
        <v>-143549041.10979512</v>
      </c>
      <c r="E37" s="387">
        <f ca="1">E30*-1</f>
        <v>121580975</v>
      </c>
      <c r="F37" s="237">
        <f ca="1">E37/D37</f>
        <v>-0.84696473107756531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-64099789.102787293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834</v>
      </c>
      <c r="B41" s="48" t="s">
        <v>937</v>
      </c>
      <c r="C41" s="34" t="s">
        <v>909</v>
      </c>
      <c r="D41" s="34" t="s">
        <v>911</v>
      </c>
      <c r="E41" s="34" t="s">
        <v>936</v>
      </c>
      <c r="F41" s="392" t="s">
        <v>834</v>
      </c>
      <c r="G41" s="392"/>
      <c r="H41" s="392"/>
    </row>
    <row r="42" spans="1:15" ht="13.5" customHeight="1" x14ac:dyDescent="0.15">
      <c r="A42" s="34"/>
      <c r="B42" s="48"/>
      <c r="C42" s="34"/>
      <c r="D42" s="34"/>
      <c r="E42" s="34"/>
      <c r="F42" s="75" t="s">
        <v>910</v>
      </c>
      <c r="G42" s="75" t="s">
        <v>838</v>
      </c>
      <c r="H42" s="75" t="s">
        <v>839</v>
      </c>
    </row>
    <row r="43" spans="1:15" x14ac:dyDescent="0.15">
      <c r="B43" s="33" t="s">
        <v>894</v>
      </c>
    </row>
    <row r="44" spans="1:15" x14ac:dyDescent="0.15">
      <c r="B44" s="106" t="s">
        <v>833</v>
      </c>
      <c r="C44" s="33" t="str">
        <f>C25</f>
        <v>YR0</v>
      </c>
      <c r="D44" s="121">
        <f ca="1">C15/2</f>
        <v>38080000</v>
      </c>
      <c r="F44" s="238">
        <f ca="1">D44/E46</f>
        <v>0.5</v>
      </c>
      <c r="G44" s="239">
        <f ca="1">F44*(1-G54)</f>
        <v>0.79585363232834427</v>
      </c>
      <c r="H44" s="240">
        <f ca="1">G44*(1-H62)</f>
        <v>1.4699135900104241</v>
      </c>
      <c r="L44" s="223"/>
    </row>
    <row r="45" spans="1:15" x14ac:dyDescent="0.15">
      <c r="B45" s="106" t="s">
        <v>895</v>
      </c>
      <c r="C45" s="33" t="str">
        <f>C25</f>
        <v>YR0</v>
      </c>
      <c r="D45" s="121">
        <f ca="1">C15/2</f>
        <v>38080000</v>
      </c>
      <c r="F45" s="238">
        <f ca="1">D45/E46</f>
        <v>0.5</v>
      </c>
      <c r="G45" s="239">
        <f ca="1">F45*(1-G54)</f>
        <v>0.79585363232834427</v>
      </c>
      <c r="H45" s="240">
        <f ca="1">G45*(1-H62)</f>
        <v>1.4699135900104241</v>
      </c>
    </row>
    <row r="46" spans="1:15" x14ac:dyDescent="0.15">
      <c r="B46" s="47" t="s">
        <v>832</v>
      </c>
      <c r="E46" s="121">
        <f ca="1">D45+D44</f>
        <v>76160000</v>
      </c>
    </row>
    <row r="47" spans="1:15" x14ac:dyDescent="0.15">
      <c r="B47" s="106" t="s">
        <v>905</v>
      </c>
      <c r="D47" s="383">
        <v>1000</v>
      </c>
      <c r="L47" s="223"/>
    </row>
    <row r="48" spans="1:15" x14ac:dyDescent="0.15">
      <c r="B48" s="106" t="s">
        <v>906</v>
      </c>
      <c r="D48" s="383">
        <v>1000</v>
      </c>
    </row>
    <row r="49" spans="2:12" x14ac:dyDescent="0.15">
      <c r="B49" s="47" t="s">
        <v>896</v>
      </c>
      <c r="D49" s="235">
        <f>SUM(D47:D48)</f>
        <v>2000</v>
      </c>
    </row>
    <row r="50" spans="2:12" x14ac:dyDescent="0.15">
      <c r="B50" s="47" t="s">
        <v>897</v>
      </c>
      <c r="D50" s="131">
        <f ca="1">E46/D49</f>
        <v>38080</v>
      </c>
    </row>
    <row r="51" spans="2:12" x14ac:dyDescent="0.15">
      <c r="B51" s="47" t="s">
        <v>900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1264</v>
      </c>
    </row>
    <row r="54" spans="2:12" x14ac:dyDescent="0.15">
      <c r="B54" s="106" t="s">
        <v>898</v>
      </c>
      <c r="C54" s="33" t="str">
        <f ca="1">D25</f>
        <v>AugYR1</v>
      </c>
      <c r="D54" s="121">
        <f ca="1">E36</f>
        <v>99925975</v>
      </c>
      <c r="F54" s="238"/>
      <c r="G54" s="242">
        <f ca="1">D54/E55</f>
        <v>-0.59170726465668866</v>
      </c>
      <c r="H54" s="242">
        <f ca="1">G54*(1-H62)</f>
        <v>-1.0928624489432828</v>
      </c>
      <c r="L54" s="223"/>
    </row>
    <row r="55" spans="2:12" x14ac:dyDescent="0.15">
      <c r="B55" s="47" t="s">
        <v>832</v>
      </c>
      <c r="E55" s="121">
        <f ca="1">D36</f>
        <v>-168877384.08616212</v>
      </c>
    </row>
    <row r="56" spans="2:12" x14ac:dyDescent="0.15">
      <c r="B56" s="106" t="s">
        <v>907</v>
      </c>
      <c r="D56" s="234">
        <f ca="1">D49/(1-G54)-D49</f>
        <v>-743.48754673091526</v>
      </c>
      <c r="L56" s="223"/>
    </row>
    <row r="57" spans="2:12" x14ac:dyDescent="0.15">
      <c r="B57" s="47" t="s">
        <v>896</v>
      </c>
      <c r="D57" s="235">
        <f ca="1">D49+D56</f>
        <v>1256.5124532690847</v>
      </c>
    </row>
    <row r="58" spans="2:12" x14ac:dyDescent="0.15">
      <c r="B58" s="47" t="s">
        <v>897</v>
      </c>
      <c r="D58" s="131">
        <f ca="1">E55/D57</f>
        <v>-134401.67954308103</v>
      </c>
    </row>
    <row r="59" spans="2:12" x14ac:dyDescent="0.15">
      <c r="B59" s="47" t="s">
        <v>900</v>
      </c>
      <c r="D59" s="131"/>
      <c r="F59" s="241"/>
      <c r="G59" s="294">
        <f ca="1">SUM(G44:G58)</f>
        <v>0.99999999999999989</v>
      </c>
    </row>
    <row r="60" spans="2:12" x14ac:dyDescent="0.15">
      <c r="B60" s="33"/>
    </row>
    <row r="61" spans="2:12" x14ac:dyDescent="0.15">
      <c r="B61" s="33" t="s">
        <v>1265</v>
      </c>
    </row>
    <row r="62" spans="2:12" x14ac:dyDescent="0.15">
      <c r="B62" s="106" t="s">
        <v>899</v>
      </c>
      <c r="C62" s="33" t="str">
        <f ca="1">E25</f>
        <v>MarYR2</v>
      </c>
      <c r="D62" s="121">
        <f ca="1">E37</f>
        <v>121580975</v>
      </c>
      <c r="F62" s="238"/>
      <c r="H62" s="242">
        <f ca="1">D62/E63</f>
        <v>-0.84696473107756531</v>
      </c>
      <c r="L62" s="223"/>
    </row>
    <row r="63" spans="2:12" x14ac:dyDescent="0.15">
      <c r="B63" s="47" t="s">
        <v>832</v>
      </c>
      <c r="E63" s="121">
        <f ca="1">D37</f>
        <v>-143549041.10979512</v>
      </c>
    </row>
    <row r="64" spans="2:12" x14ac:dyDescent="0.15">
      <c r="B64" s="106" t="s">
        <v>908</v>
      </c>
      <c r="D64" s="234">
        <f ca="1">D57/(1-H62)-D57</f>
        <v>-576.20035411167203</v>
      </c>
      <c r="L64" s="223"/>
    </row>
    <row r="65" spans="2:8" x14ac:dyDescent="0.15">
      <c r="B65" s="47" t="s">
        <v>896</v>
      </c>
      <c r="D65" s="235">
        <f ca="1">D57+D64</f>
        <v>680.31209915741272</v>
      </c>
    </row>
    <row r="66" spans="2:8" x14ac:dyDescent="0.15">
      <c r="B66" s="47" t="s">
        <v>897</v>
      </c>
      <c r="D66" s="131">
        <f ca="1">E63/D65</f>
        <v>-211004.68636025288</v>
      </c>
    </row>
    <row r="67" spans="2:8" x14ac:dyDescent="0.15">
      <c r="B67" s="33" t="s">
        <v>900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938</v>
      </c>
      <c r="C69" s="75" t="s">
        <v>901</v>
      </c>
      <c r="D69" s="75" t="s">
        <v>892</v>
      </c>
      <c r="E69" s="75" t="s">
        <v>902</v>
      </c>
      <c r="F69" s="75" t="s">
        <v>904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-64099789.102787293</v>
      </c>
    </row>
    <row r="72" spans="2:8" x14ac:dyDescent="0.15">
      <c r="B72" s="138" t="s">
        <v>833</v>
      </c>
      <c r="C72" s="130">
        <f ca="1">D44</f>
        <v>38080000</v>
      </c>
      <c r="D72" s="236">
        <f ca="1">H44</f>
        <v>1.4699135900104241</v>
      </c>
      <c r="E72" s="130">
        <f ca="1">$C$71*D72</f>
        <v>-94221151.118989125</v>
      </c>
      <c r="F72" s="243">
        <f ca="1">E72/C72</f>
        <v>-2.4742949348474035</v>
      </c>
    </row>
    <row r="73" spans="2:8" x14ac:dyDescent="0.15">
      <c r="B73" s="138" t="s">
        <v>895</v>
      </c>
      <c r="C73" s="130">
        <f ca="1">D45</f>
        <v>38080000</v>
      </c>
      <c r="D73" s="236">
        <f ca="1">H45</f>
        <v>1.4699135900104241</v>
      </c>
      <c r="E73" s="130">
        <f ca="1">$C$71*D73</f>
        <v>-94221151.118989125</v>
      </c>
      <c r="F73" s="243">
        <f ca="1">E73/C73</f>
        <v>-2.4742949348474035</v>
      </c>
    </row>
    <row r="74" spans="2:8" x14ac:dyDescent="0.15">
      <c r="B74" s="138" t="s">
        <v>898</v>
      </c>
      <c r="C74" s="130">
        <f ca="1">D54</f>
        <v>99925975</v>
      </c>
      <c r="D74" s="236">
        <f ca="1">H54</f>
        <v>-1.0928624489432828</v>
      </c>
      <c r="E74" s="130">
        <f ca="1">$C$71*D74</f>
        <v>70052252.495620072</v>
      </c>
      <c r="F74" s="243">
        <f ca="1">E74/C74</f>
        <v>0.70104147090503821</v>
      </c>
    </row>
    <row r="75" spans="2:8" x14ac:dyDescent="0.15">
      <c r="B75" s="138" t="s">
        <v>899</v>
      </c>
      <c r="C75" s="130">
        <f ca="1">D62</f>
        <v>121580975</v>
      </c>
      <c r="D75" s="236">
        <f ca="1">H62</f>
        <v>-0.84696473107756531</v>
      </c>
      <c r="E75" s="130">
        <f ca="1">$C$71*D75</f>
        <v>54290260.639570892</v>
      </c>
      <c r="F75" s="243">
        <f ca="1">E75/C75</f>
        <v>0.44653582223346122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903</v>
      </c>
      <c r="C77" s="130">
        <f ca="1">SUM(C72:C75)</f>
        <v>297666950</v>
      </c>
      <c r="D77" s="236">
        <f ca="1">SUM(D72:D75)</f>
        <v>1</v>
      </c>
      <c r="E77" s="130">
        <f ca="1">SUM(E72:E75)</f>
        <v>-64099789.102787286</v>
      </c>
      <c r="F77" s="243">
        <f ca="1">E77/C77</f>
        <v>-0.21534063187998292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3" t="s">
        <v>151</v>
      </c>
      <c r="B3" s="390"/>
    </row>
    <row r="4" spans="1:62" x14ac:dyDescent="0.15">
      <c r="C4" s="390" t="s">
        <v>35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 t="s">
        <v>36</v>
      </c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 t="s">
        <v>37</v>
      </c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 t="s">
        <v>38</v>
      </c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 t="s">
        <v>39</v>
      </c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3" t="s">
        <v>154</v>
      </c>
      <c r="B9" s="390"/>
    </row>
    <row r="10" spans="1:62" x14ac:dyDescent="0.15">
      <c r="C10" s="390" t="s">
        <v>35</v>
      </c>
      <c r="D10" s="390"/>
      <c r="E10" s="390"/>
      <c r="F10" s="390"/>
      <c r="G10" s="390"/>
      <c r="H10" s="390"/>
      <c r="I10" s="390"/>
      <c r="J10" s="390"/>
      <c r="K10" s="390"/>
      <c r="L10" s="390"/>
      <c r="M10" s="390"/>
      <c r="N10" s="390"/>
      <c r="O10" s="390" t="s">
        <v>36</v>
      </c>
      <c r="P10" s="390"/>
      <c r="Q10" s="390"/>
      <c r="R10" s="390"/>
      <c r="S10" s="390"/>
      <c r="T10" s="390"/>
      <c r="U10" s="390"/>
      <c r="V10" s="390"/>
      <c r="W10" s="390"/>
      <c r="X10" s="390"/>
      <c r="Y10" s="390"/>
      <c r="Z10" s="390"/>
      <c r="AA10" s="390" t="s">
        <v>37</v>
      </c>
      <c r="AB10" s="390"/>
      <c r="AC10" s="390"/>
      <c r="AD10" s="390"/>
      <c r="AE10" s="390"/>
      <c r="AF10" s="390"/>
      <c r="AG10" s="390"/>
      <c r="AH10" s="390"/>
      <c r="AI10" s="390"/>
      <c r="AJ10" s="390"/>
      <c r="AK10" s="390"/>
      <c r="AL10" s="390"/>
      <c r="AM10" s="390" t="s">
        <v>38</v>
      </c>
      <c r="AN10" s="390"/>
      <c r="AO10" s="390"/>
      <c r="AP10" s="390"/>
      <c r="AQ10" s="390"/>
      <c r="AR10" s="390"/>
      <c r="AS10" s="390"/>
      <c r="AT10" s="390"/>
      <c r="AU10" s="390"/>
      <c r="AV10" s="390"/>
      <c r="AW10" s="390"/>
      <c r="AX10" s="390"/>
      <c r="AY10" s="390" t="s">
        <v>39</v>
      </c>
      <c r="AZ10" s="390"/>
      <c r="BA10" s="390"/>
      <c r="BB10" s="390"/>
      <c r="BC10" s="390"/>
      <c r="BD10" s="390"/>
      <c r="BE10" s="390"/>
      <c r="BF10" s="390"/>
      <c r="BG10" s="390"/>
      <c r="BH10" s="390"/>
      <c r="BI10" s="390"/>
      <c r="BJ10" s="39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572</v>
      </c>
    </row>
    <row r="19" spans="1:62" x14ac:dyDescent="0.15">
      <c r="C19" s="390" t="s">
        <v>35</v>
      </c>
      <c r="D19" s="390"/>
      <c r="E19" s="390"/>
      <c r="F19" s="390"/>
      <c r="G19" s="390"/>
      <c r="H19" s="390"/>
      <c r="I19" s="390"/>
      <c r="J19" s="390"/>
      <c r="K19" s="390"/>
      <c r="L19" s="390"/>
      <c r="M19" s="390"/>
      <c r="N19" s="390"/>
      <c r="O19" s="390" t="s">
        <v>36</v>
      </c>
      <c r="P19" s="390"/>
      <c r="Q19" s="390"/>
      <c r="R19" s="390"/>
      <c r="S19" s="390"/>
      <c r="T19" s="390"/>
      <c r="U19" s="390"/>
      <c r="V19" s="390"/>
      <c r="W19" s="390"/>
      <c r="X19" s="390"/>
      <c r="Y19" s="390"/>
      <c r="Z19" s="390"/>
      <c r="AA19" s="390" t="s">
        <v>37</v>
      </c>
      <c r="AB19" s="390"/>
      <c r="AC19" s="390"/>
      <c r="AD19" s="390"/>
      <c r="AE19" s="390"/>
      <c r="AF19" s="390"/>
      <c r="AG19" s="390"/>
      <c r="AH19" s="390"/>
      <c r="AI19" s="390"/>
      <c r="AJ19" s="390"/>
      <c r="AK19" s="390"/>
      <c r="AL19" s="390"/>
      <c r="AM19" s="390" t="s">
        <v>38</v>
      </c>
      <c r="AN19" s="390"/>
      <c r="AO19" s="390"/>
      <c r="AP19" s="390"/>
      <c r="AQ19" s="390"/>
      <c r="AR19" s="390"/>
      <c r="AS19" s="390"/>
      <c r="AT19" s="390"/>
      <c r="AU19" s="390"/>
      <c r="AV19" s="390"/>
      <c r="AW19" s="390"/>
      <c r="AX19" s="390"/>
      <c r="AY19" s="390" t="s">
        <v>39</v>
      </c>
      <c r="AZ19" s="390"/>
      <c r="BA19" s="390"/>
      <c r="BB19" s="390"/>
      <c r="BC19" s="390"/>
      <c r="BD19" s="390"/>
      <c r="BE19" s="390"/>
      <c r="BF19" s="390"/>
      <c r="BG19" s="390"/>
      <c r="BH19" s="390"/>
      <c r="BI19" s="390"/>
      <c r="BJ19" s="39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616</v>
      </c>
      <c r="G21">
        <f>'REV-REVCALC_CWS'!G13</f>
        <v>726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9009000</v>
      </c>
      <c r="G22" s="250">
        <f>'REV-REVCALC_CWS'!G90</f>
        <v>12002000</v>
      </c>
      <c r="H22" s="250">
        <f>'REV-REVCALC_CWS'!H90</f>
        <v>16437000</v>
      </c>
      <c r="I22" s="250">
        <f>'REV-REVCALC_CWS'!I90</f>
        <v>16437000</v>
      </c>
      <c r="J22" s="250">
        <f>'REV-REVCALC_CWS'!J90</f>
        <v>16437000</v>
      </c>
      <c r="K22" s="250">
        <f>'REV-REVCALC_CWS'!K90</f>
        <v>16437000</v>
      </c>
      <c r="L22" s="250">
        <f>'REV-REVCALC_CWS'!L90</f>
        <v>16437000</v>
      </c>
      <c r="M22" s="250">
        <f>'REV-REVCALC_CWS'!M90</f>
        <v>16437000</v>
      </c>
      <c r="N22" s="250">
        <f>'REV-REVCALC_CWS'!N90</f>
        <v>16052500</v>
      </c>
      <c r="O22" s="250">
        <f>'REV-REVCALC_CWS'!O90</f>
        <v>16860860</v>
      </c>
      <c r="P22" s="250">
        <f>'REV-REVCALC_CWS'!P90</f>
        <v>21793025</v>
      </c>
      <c r="Q22" s="250">
        <f>'REV-REVCALC_CWS'!Q90</f>
        <v>23444035</v>
      </c>
      <c r="R22" s="250">
        <f>'REV-REVCALC_CWS'!R90</f>
        <v>23444035</v>
      </c>
      <c r="S22" s="250">
        <f>'REV-REVCALC_CWS'!S90</f>
        <v>23444035</v>
      </c>
      <c r="T22" s="250">
        <f>'REV-REVCALC_CWS'!T90</f>
        <v>23444035</v>
      </c>
      <c r="U22" s="250">
        <f>'REV-REVCALC_CWS'!U90</f>
        <v>23444035</v>
      </c>
      <c r="V22" s="250">
        <f>'REV-REVCALC_CWS'!V90</f>
        <v>23444035</v>
      </c>
      <c r="W22" s="250">
        <f>'REV-REVCALC_CWS'!W90</f>
        <v>23444035</v>
      </c>
      <c r="X22" s="250">
        <f>'REV-REVCALC_CWS'!X90</f>
        <v>23444035</v>
      </c>
      <c r="Y22" s="250">
        <f>'REV-REVCALC_CWS'!Y90</f>
        <v>23444035</v>
      </c>
      <c r="Z22" s="250">
        <f>'REV-REVCALC_CWS'!Z90</f>
        <v>18511870</v>
      </c>
      <c r="AA22" s="250">
        <f>'REV-REVCALC_CWS'!AA90</f>
        <v>33083071.150000002</v>
      </c>
      <c r="AB22" s="250">
        <f>'REV-REVCALC_CWS'!AB90</f>
        <v>47735501.350000001</v>
      </c>
      <c r="AC22" s="250">
        <f>'REV-REVCALC_CWS'!AC90</f>
        <v>52637390.700000003</v>
      </c>
      <c r="AD22" s="250">
        <f>'REV-REVCALC_CWS'!AD90</f>
        <v>52637390.700000003</v>
      </c>
      <c r="AE22" s="250">
        <f>'REV-REVCALC_CWS'!AE90</f>
        <v>52637390.700000003</v>
      </c>
      <c r="AF22" s="250">
        <f>'REV-REVCALC_CWS'!AF90</f>
        <v>52637390.700000003</v>
      </c>
      <c r="AG22" s="250">
        <f>'REV-REVCALC_CWS'!AG90</f>
        <v>52637390.700000003</v>
      </c>
      <c r="AH22" s="250">
        <f>'REV-REVCALC_CWS'!AH90</f>
        <v>52637390.700000003</v>
      </c>
      <c r="AI22" s="250">
        <f>'REV-REVCALC_CWS'!AI90</f>
        <v>52637390.700000003</v>
      </c>
      <c r="AJ22" s="250">
        <f>'REV-REVCALC_CWS'!AJ90</f>
        <v>52637390.700000003</v>
      </c>
      <c r="AK22" s="250">
        <f>'REV-REVCALC_CWS'!AK90</f>
        <v>52637390.700000003</v>
      </c>
      <c r="AL22" s="250">
        <f>'REV-REVCALC_CWS'!AL90</f>
        <v>37956910.450000003</v>
      </c>
      <c r="AM22" s="250">
        <f>'REV-REVCALC_CWS'!AM90</f>
        <v>36401850.025000006</v>
      </c>
      <c r="AN22" s="250">
        <f>'REV-REVCALC_CWS'!AN90</f>
        <v>53067947.5185</v>
      </c>
      <c r="AO22" s="250">
        <f>'REV-REVCALC_CWS'!AO90</f>
        <v>58622292.480500005</v>
      </c>
      <c r="AP22" s="250">
        <f>'REV-REVCALC_CWS'!AP90</f>
        <v>58622292.480500005</v>
      </c>
      <c r="AQ22" s="250">
        <f>'REV-REVCALC_CWS'!AQ90</f>
        <v>58622292.480500005</v>
      </c>
      <c r="AR22" s="250">
        <f>'REV-REVCALC_CWS'!AR90</f>
        <v>58622292.480500005</v>
      </c>
      <c r="AS22" s="250">
        <f>'REV-REVCALC_CWS'!AS90</f>
        <v>58622292.480500005</v>
      </c>
      <c r="AT22" s="250">
        <f>'REV-REVCALC_CWS'!AT90</f>
        <v>58622292.480500005</v>
      </c>
      <c r="AU22" s="250">
        <f>'REV-REVCALC_CWS'!AU90</f>
        <v>58622292.480500005</v>
      </c>
      <c r="AV22" s="250">
        <f>'REV-REVCALC_CWS'!AV90</f>
        <v>58622292.480500005</v>
      </c>
      <c r="AW22" s="250">
        <f>'REV-REVCALC_CWS'!AW90</f>
        <v>58622292.480500005</v>
      </c>
      <c r="AX22" s="250">
        <f>'REV-REVCALC_CWS'!AX90</f>
        <v>41956194.987000003</v>
      </c>
      <c r="AY22" s="250">
        <f>'REV-REVCALC_CWS'!AY90</f>
        <v>35721001.751675002</v>
      </c>
      <c r="AZ22" s="250">
        <f>'REV-REVCALC_CWS'!AZ90</f>
        <v>51986861.954700008</v>
      </c>
      <c r="BA22" s="250">
        <f>'REV-REVCALC_CWS'!BA90</f>
        <v>57386561.839000009</v>
      </c>
      <c r="BB22" s="250">
        <f>'REV-REVCALC_CWS'!BB90</f>
        <v>57386561.839000009</v>
      </c>
      <c r="BC22" s="250">
        <f>'REV-REVCALC_CWS'!BC90</f>
        <v>57386561.839000009</v>
      </c>
      <c r="BD22" s="250">
        <f>'REV-REVCALC_CWS'!BD90</f>
        <v>57386561.839000009</v>
      </c>
      <c r="BE22" s="250">
        <f>'REV-REVCALC_CWS'!BE90</f>
        <v>57386561.839000009</v>
      </c>
      <c r="BF22" s="250">
        <f>'REV-REVCALC_CWS'!BF90</f>
        <v>57386561.839000009</v>
      </c>
      <c r="BG22" s="250">
        <f>'REV-REVCALC_CWS'!BG90</f>
        <v>57386561.839000009</v>
      </c>
      <c r="BH22" s="250">
        <f>'REV-REVCALC_CWS'!BH90</f>
        <v>57386561.839000009</v>
      </c>
      <c r="BI22" s="250">
        <f>'REV-REVCALC_CWS'!BI90</f>
        <v>57386561.839000009</v>
      </c>
      <c r="BJ22" s="250">
        <f>'REV-REVCALC_CWS'!BJ90</f>
        <v>41152443.416025005</v>
      </c>
    </row>
    <row r="23" spans="1:62" x14ac:dyDescent="0.15">
      <c r="B23" s="33" t="s">
        <v>576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573</v>
      </c>
      <c r="C26" s="390" t="s">
        <v>35</v>
      </c>
      <c r="D26" s="390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 t="s">
        <v>36</v>
      </c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 t="s">
        <v>37</v>
      </c>
      <c r="AB26" s="390"/>
      <c r="AC26" s="390"/>
      <c r="AD26" s="390"/>
      <c r="AE26" s="390"/>
      <c r="AF26" s="390"/>
      <c r="AG26" s="390"/>
      <c r="AH26" s="390"/>
      <c r="AI26" s="390"/>
      <c r="AJ26" s="390"/>
      <c r="AK26" s="390"/>
      <c r="AL26" s="390"/>
      <c r="AM26" s="390" t="s">
        <v>38</v>
      </c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90"/>
      <c r="AY26" s="390" t="s">
        <v>39</v>
      </c>
      <c r="AZ26" s="390"/>
      <c r="BA26" s="390"/>
      <c r="BB26" s="390"/>
      <c r="BC26" s="390"/>
      <c r="BD26" s="390"/>
      <c r="BE26" s="390"/>
      <c r="BF26" s="390"/>
      <c r="BG26" s="390"/>
      <c r="BH26" s="390"/>
      <c r="BI26" s="390"/>
      <c r="BJ26" s="39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574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575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90" t="s">
        <v>35</v>
      </c>
      <c r="D31" s="390"/>
      <c r="E31" s="390"/>
      <c r="F31" s="390"/>
      <c r="G31" s="390"/>
      <c r="H31" s="390"/>
      <c r="I31" s="390"/>
      <c r="J31" s="390"/>
      <c r="K31" s="390"/>
      <c r="L31" s="390"/>
      <c r="M31" s="390"/>
      <c r="N31" s="390"/>
      <c r="O31" s="390" t="s">
        <v>36</v>
      </c>
      <c r="P31" s="390"/>
      <c r="Q31" s="390"/>
      <c r="R31" s="390"/>
      <c r="S31" s="390"/>
      <c r="T31" s="390"/>
      <c r="U31" s="390"/>
      <c r="V31" s="390"/>
      <c r="W31" s="390"/>
      <c r="X31" s="390"/>
      <c r="Y31" s="390"/>
      <c r="Z31" s="390"/>
      <c r="AA31" s="390" t="s">
        <v>37</v>
      </c>
      <c r="AB31" s="390"/>
      <c r="AC31" s="390"/>
      <c r="AD31" s="390"/>
      <c r="AE31" s="390"/>
      <c r="AF31" s="390"/>
      <c r="AG31" s="390"/>
      <c r="AH31" s="390"/>
      <c r="AI31" s="390"/>
      <c r="AJ31" s="390"/>
      <c r="AK31" s="390"/>
      <c r="AL31" s="390"/>
      <c r="AM31" s="390" t="s">
        <v>38</v>
      </c>
      <c r="AN31" s="390"/>
      <c r="AO31" s="390"/>
      <c r="AP31" s="390"/>
      <c r="AQ31" s="390"/>
      <c r="AR31" s="390"/>
      <c r="AS31" s="390"/>
      <c r="AT31" s="390"/>
      <c r="AU31" s="390"/>
      <c r="AV31" s="390"/>
      <c r="AW31" s="390"/>
      <c r="AX31" s="390"/>
      <c r="AY31" s="390" t="s">
        <v>39</v>
      </c>
      <c r="AZ31" s="390"/>
      <c r="BA31" s="390"/>
      <c r="BB31" s="390"/>
      <c r="BC31" s="390"/>
      <c r="BD31" s="390"/>
      <c r="BE31" s="390"/>
      <c r="BF31" s="390"/>
      <c r="BG31" s="390"/>
      <c r="BH31" s="390"/>
      <c r="BI31" s="390"/>
      <c r="BJ31" s="39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990</v>
      </c>
      <c r="C40" s="74" t="s">
        <v>147</v>
      </c>
      <c r="D40" s="390" t="s">
        <v>35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 t="s">
        <v>36</v>
      </c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 t="s">
        <v>37</v>
      </c>
      <c r="AC40" s="390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390" t="s">
        <v>38</v>
      </c>
      <c r="AO40" s="390"/>
      <c r="AP40" s="390"/>
      <c r="AQ40" s="390"/>
      <c r="AR40" s="390"/>
      <c r="AS40" s="390"/>
      <c r="AT40" s="390"/>
      <c r="AU40" s="390"/>
      <c r="AV40" s="390"/>
      <c r="AW40" s="390"/>
      <c r="AX40" s="390"/>
      <c r="AY40" s="390"/>
      <c r="AZ40" s="390" t="s">
        <v>39</v>
      </c>
      <c r="BA40" s="390"/>
      <c r="BB40" s="390"/>
      <c r="BC40" s="390"/>
      <c r="BD40" s="390"/>
      <c r="BE40" s="390"/>
      <c r="BF40" s="390"/>
      <c r="BG40" s="390"/>
      <c r="BH40" s="390"/>
      <c r="BI40" s="390"/>
      <c r="BJ40" s="390"/>
      <c r="BK40" s="39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769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-21678250</v>
      </c>
      <c r="H42" s="250">
        <f>+'FIN-P&amp;L_CWS'!I208</f>
        <v>-15235916.666666668</v>
      </c>
      <c r="I42" s="250">
        <f>+'FIN-P&amp;L_CWS'!J208</f>
        <v>-15140916.666666668</v>
      </c>
      <c r="J42" s="250">
        <f>+'FIN-P&amp;L_CWS'!K208</f>
        <v>-14172250</v>
      </c>
      <c r="K42" s="250">
        <f>+'FIN-P&amp;L_CWS'!L208</f>
        <v>-14172250</v>
      </c>
      <c r="L42" s="250">
        <f>+'FIN-P&amp;L_CWS'!M208</f>
        <v>-14172250</v>
      </c>
      <c r="M42" s="250">
        <f>+'FIN-P&amp;L_CWS'!N208</f>
        <v>-14172250</v>
      </c>
      <c r="N42" s="250">
        <f>+'FIN-P&amp;L_CWS'!O208</f>
        <v>-14172250</v>
      </c>
      <c r="O42" s="250">
        <f>+'FIN-P&amp;L_CWS'!P208</f>
        <v>-14364750</v>
      </c>
      <c r="P42" s="250">
        <f>+'FIN-P&amp;L_CWS'!Q208</f>
        <v>-16296350</v>
      </c>
      <c r="Q42" s="250">
        <f>+'FIN-P&amp;L_CWS'!R208</f>
        <v>-13816625</v>
      </c>
      <c r="R42" s="250">
        <f>+'FIN-P&amp;L_CWS'!S208</f>
        <v>-12987375</v>
      </c>
      <c r="S42" s="250">
        <f>+'FIN-P&amp;L_CWS'!T208</f>
        <v>-11987375</v>
      </c>
      <c r="T42" s="250">
        <f>+'FIN-P&amp;L_CWS'!U208</f>
        <v>-11987375</v>
      </c>
      <c r="U42" s="250">
        <f>+'FIN-P&amp;L_CWS'!V208</f>
        <v>-11987375</v>
      </c>
      <c r="V42" s="250">
        <f>+'FIN-P&amp;L_CWS'!W208</f>
        <v>-11987375</v>
      </c>
      <c r="W42" s="250">
        <f>+'FIN-P&amp;L_CWS'!X208</f>
        <v>-11987375</v>
      </c>
      <c r="X42" s="250">
        <f>+'FIN-P&amp;L_CWS'!Y208</f>
        <v>-11987375</v>
      </c>
      <c r="Y42" s="250">
        <f>+'FIN-P&amp;L_CWS'!Z208</f>
        <v>-11987375</v>
      </c>
      <c r="Z42" s="250">
        <f>+'FIN-P&amp;L_CWS'!AA208</f>
        <v>-11987375</v>
      </c>
      <c r="AA42" s="250">
        <f>+'FIN-P&amp;L_CWS'!AB208</f>
        <v>-14467100</v>
      </c>
      <c r="AB42" s="250">
        <f>+'FIN-P&amp;L_CWS'!AC208</f>
        <v>-12255809.249999998</v>
      </c>
      <c r="AC42" s="250">
        <f>+'FIN-P&amp;L_CWS'!AD208</f>
        <v>-5077286.2499999963</v>
      </c>
      <c r="AD42" s="250">
        <f>+'FIN-P&amp;L_CWS'!AE208</f>
        <v>-2675858.5</v>
      </c>
      <c r="AE42" s="250">
        <f>+'FIN-P&amp;L_CWS'!AF208</f>
        <v>-2675858.5</v>
      </c>
      <c r="AF42" s="250">
        <f>+'FIN-P&amp;L_CWS'!AG208</f>
        <v>-2675858.5</v>
      </c>
      <c r="AG42" s="250">
        <f>+'FIN-P&amp;L_CWS'!AH208</f>
        <v>-2675858.5</v>
      </c>
      <c r="AH42" s="250">
        <f>+'FIN-P&amp;L_CWS'!AI208</f>
        <v>-2675858.5</v>
      </c>
      <c r="AI42" s="250">
        <f>+'FIN-P&amp;L_CWS'!AJ208</f>
        <v>-2675858.5</v>
      </c>
      <c r="AJ42" s="250">
        <f>+'FIN-P&amp;L_CWS'!AK208</f>
        <v>-2675858.5</v>
      </c>
      <c r="AK42" s="250">
        <f>+'FIN-P&amp;L_CWS'!AL208</f>
        <v>-2675858.5</v>
      </c>
      <c r="AL42" s="250">
        <f>+'FIN-P&amp;L_CWS'!AM208</f>
        <v>-2675858.5</v>
      </c>
      <c r="AM42" s="250">
        <f>+'FIN-P&amp;L_CWS'!AN208</f>
        <v>-9868692.7499999981</v>
      </c>
      <c r="AN42" s="250">
        <f>+'FIN-P&amp;L_CWS'!AO208</f>
        <v>-10605053.974999998</v>
      </c>
      <c r="AO42" s="250">
        <f>+'FIN-P&amp;L_CWS'!AP208</f>
        <v>-1646423.2814999968</v>
      </c>
      <c r="AP42" s="250">
        <f>+'FIN-P&amp;L_CWS'!AQ208</f>
        <v>1338766.0805000067</v>
      </c>
      <c r="AQ42" s="250">
        <f>+'FIN-P&amp;L_CWS'!AR208</f>
        <v>1338766.0805000067</v>
      </c>
      <c r="AR42" s="250">
        <f>+'FIN-P&amp;L_CWS'!AS208</f>
        <v>1338766.0805000067</v>
      </c>
      <c r="AS42" s="250">
        <f>+'FIN-P&amp;L_CWS'!AT208</f>
        <v>1338766.0805000067</v>
      </c>
      <c r="AT42" s="250">
        <f>+'FIN-P&amp;L_CWS'!AU208</f>
        <v>1338766.0805000067</v>
      </c>
      <c r="AU42" s="250">
        <f>+'FIN-P&amp;L_CWS'!AV208</f>
        <v>1338766.0805000067</v>
      </c>
      <c r="AV42" s="250">
        <f>+'FIN-P&amp;L_CWS'!AW208</f>
        <v>1338766.0805000067</v>
      </c>
      <c r="AW42" s="250">
        <f>+'FIN-P&amp;L_CWS'!AX208</f>
        <v>1338766.0805000067</v>
      </c>
      <c r="AX42" s="250">
        <f>+'FIN-P&amp;L_CWS'!AY208</f>
        <v>1338766.0805000067</v>
      </c>
      <c r="AY42" s="250">
        <f>+'FIN-P&amp;L_CWS'!AZ208</f>
        <v>-7619864.612999998</v>
      </c>
      <c r="AZ42" s="250">
        <f>+'FIN-P&amp;L_CWS'!BA208</f>
        <v>-14002742.476325003</v>
      </c>
      <c r="BA42" s="250">
        <f>+'FIN-P&amp;L_CWS'!BB208</f>
        <v>-6233780.5213000029</v>
      </c>
      <c r="BB42" s="250">
        <f>+'FIN-P&amp;L_CWS'!BC208</f>
        <v>-3656579.7089999989</v>
      </c>
      <c r="BC42" s="250">
        <f>+'FIN-P&amp;L_CWS'!BD208</f>
        <v>-3656579.7089999989</v>
      </c>
      <c r="BD42" s="250">
        <f>+'FIN-P&amp;L_CWS'!BE208</f>
        <v>-3656579.7089999989</v>
      </c>
      <c r="BE42" s="250">
        <f>+'FIN-P&amp;L_CWS'!BF208</f>
        <v>-3656579.7089999989</v>
      </c>
      <c r="BF42" s="250">
        <f>+'FIN-P&amp;L_CWS'!BG208</f>
        <v>-3656579.7089999989</v>
      </c>
      <c r="BG42" s="250">
        <f>+'FIN-P&amp;L_CWS'!BH208</f>
        <v>-3656579.7089999989</v>
      </c>
      <c r="BH42" s="250">
        <f>+'FIN-P&amp;L_CWS'!BI208</f>
        <v>-3656579.7089999989</v>
      </c>
      <c r="BI42" s="250">
        <f>+'FIN-P&amp;L_CWS'!BJ208</f>
        <v>-3656579.7089999989</v>
      </c>
      <c r="BJ42" s="250">
        <f>+'FIN-P&amp;L_CWS'!BK208</f>
        <v>-3656579.7089999989</v>
      </c>
      <c r="BK42" s="250">
        <f>+'FIN-P&amp;L_CWS'!BL208</f>
        <v>-11408500.399974998</v>
      </c>
    </row>
    <row r="43" spans="1:64" x14ac:dyDescent="0.15">
      <c r="B43" s="33" t="s">
        <v>1077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-21678250</v>
      </c>
      <c r="H43" s="250">
        <f>+'FIN-P&amp;L_CWS'!I209</f>
        <v>-36914166.666666672</v>
      </c>
      <c r="I43" s="250">
        <f>+'FIN-P&amp;L_CWS'!J209</f>
        <v>-52055083.333333343</v>
      </c>
      <c r="J43" s="250">
        <f>+'FIN-P&amp;L_CWS'!K209</f>
        <v>-66227333.333333343</v>
      </c>
      <c r="K43" s="250">
        <f>+'FIN-P&amp;L_CWS'!L209</f>
        <v>-80399583.333333343</v>
      </c>
      <c r="L43" s="250">
        <f>+'FIN-P&amp;L_CWS'!M209</f>
        <v>-94571833.333333343</v>
      </c>
      <c r="M43" s="250">
        <f>+'FIN-P&amp;L_CWS'!N209</f>
        <v>-108744083.33333334</v>
      </c>
      <c r="N43" s="250">
        <f>+'FIN-P&amp;L_CWS'!O209</f>
        <v>-122916333.33333334</v>
      </c>
      <c r="O43" s="250">
        <f>+'FIN-P&amp;L_CWS'!P209</f>
        <v>-137281083.33333334</v>
      </c>
      <c r="P43" s="250">
        <f>+'FIN-P&amp;L_CWS'!Q209</f>
        <v>-153577433.33333334</v>
      </c>
      <c r="Q43" s="250">
        <f>+'FIN-P&amp;L_CWS'!R209</f>
        <v>-167394058.33333334</v>
      </c>
      <c r="R43" s="250">
        <f>+'FIN-P&amp;L_CWS'!S209</f>
        <v>-180381433.33333334</v>
      </c>
      <c r="S43" s="250">
        <f>+'FIN-P&amp;L_CWS'!T209</f>
        <v>-192368808.33333334</v>
      </c>
      <c r="T43" s="250">
        <f>+'FIN-P&amp;L_CWS'!U209</f>
        <v>-204356183.33333334</v>
      </c>
      <c r="U43" s="250">
        <f>+'FIN-P&amp;L_CWS'!V209</f>
        <v>-216343558.33333334</v>
      </c>
      <c r="V43" s="250">
        <f>+'FIN-P&amp;L_CWS'!W209</f>
        <v>-228330933.33333334</v>
      </c>
      <c r="W43" s="250">
        <f>+'FIN-P&amp;L_CWS'!X209</f>
        <v>-240318308.33333334</v>
      </c>
      <c r="X43" s="250">
        <f>+'FIN-P&amp;L_CWS'!Y209</f>
        <v>-252305683.33333334</v>
      </c>
      <c r="Y43" s="250">
        <f>+'FIN-P&amp;L_CWS'!Z209</f>
        <v>-264293058.33333334</v>
      </c>
      <c r="Z43" s="250">
        <f>+'FIN-P&amp;L_CWS'!AA209</f>
        <v>-276280433.33333337</v>
      </c>
      <c r="AA43" s="250">
        <f>+'FIN-P&amp;L_CWS'!AB209</f>
        <v>-290747533.33333337</v>
      </c>
      <c r="AB43" s="250">
        <f>+'FIN-P&amp;L_CWS'!AC209</f>
        <v>-303003342.58333337</v>
      </c>
      <c r="AC43" s="250">
        <f>+'FIN-P&amp;L_CWS'!AD209</f>
        <v>-308080628.83333337</v>
      </c>
      <c r="AD43" s="250">
        <f>+'FIN-P&amp;L_CWS'!AE209</f>
        <v>-310756487.33333337</v>
      </c>
      <c r="AE43" s="250">
        <f>+'FIN-P&amp;L_CWS'!AF209</f>
        <v>-313432345.83333337</v>
      </c>
      <c r="AF43" s="250">
        <f>+'FIN-P&amp;L_CWS'!AG209</f>
        <v>-316108204.33333337</v>
      </c>
      <c r="AG43" s="250">
        <f>+'FIN-P&amp;L_CWS'!AH209</f>
        <v>-318784062.83333337</v>
      </c>
      <c r="AH43" s="250">
        <f>+'FIN-P&amp;L_CWS'!AI209</f>
        <v>-321459921.33333337</v>
      </c>
      <c r="AI43" s="250">
        <f>+'FIN-P&amp;L_CWS'!AJ209</f>
        <v>-324135779.83333337</v>
      </c>
      <c r="AJ43" s="250">
        <f>+'FIN-P&amp;L_CWS'!AK209</f>
        <v>-326811638.33333337</v>
      </c>
      <c r="AK43" s="250">
        <f>+'FIN-P&amp;L_CWS'!AL209</f>
        <v>-329487496.83333337</v>
      </c>
      <c r="AL43" s="250">
        <f>+'FIN-P&amp;L_CWS'!AM209</f>
        <v>-332163355.33333337</v>
      </c>
      <c r="AM43" s="250">
        <f>+'FIN-P&amp;L_CWS'!AN209</f>
        <v>-342032048.08333337</v>
      </c>
      <c r="AN43" s="250">
        <f>+'FIN-P&amp;L_CWS'!AO209</f>
        <v>-352637102.0583334</v>
      </c>
      <c r="AO43" s="250">
        <f>+'FIN-P&amp;L_CWS'!AP209</f>
        <v>-354283525.33983338</v>
      </c>
      <c r="AP43" s="250">
        <f>+'FIN-P&amp;L_CWS'!AQ209</f>
        <v>-352944759.25933337</v>
      </c>
      <c r="AQ43" s="250">
        <f>+'FIN-P&amp;L_CWS'!AR209</f>
        <v>-351605993.17883337</v>
      </c>
      <c r="AR43" s="250">
        <f>+'FIN-P&amp;L_CWS'!AS209</f>
        <v>-350267227.09833336</v>
      </c>
      <c r="AS43" s="250">
        <f>+'FIN-P&amp;L_CWS'!AT209</f>
        <v>-348928461.01783335</v>
      </c>
      <c r="AT43" s="250">
        <f>+'FIN-P&amp;L_CWS'!AU209</f>
        <v>-347589694.93733335</v>
      </c>
      <c r="AU43" s="250">
        <f>+'FIN-P&amp;L_CWS'!AV209</f>
        <v>-346250928.85683334</v>
      </c>
      <c r="AV43" s="250">
        <f>+'FIN-P&amp;L_CWS'!AW209</f>
        <v>-344912162.77633333</v>
      </c>
      <c r="AW43" s="250">
        <f>+'FIN-P&amp;L_CWS'!AX209</f>
        <v>-343573396.69583333</v>
      </c>
      <c r="AX43" s="250">
        <f>+'FIN-P&amp;L_CWS'!AY209</f>
        <v>-342234630.61533332</v>
      </c>
      <c r="AY43" s="250">
        <f>+'FIN-P&amp;L_CWS'!AZ209</f>
        <v>-349854495.22833329</v>
      </c>
      <c r="AZ43" s="250">
        <f>+'FIN-P&amp;L_CWS'!BA209</f>
        <v>-363857237.70465827</v>
      </c>
      <c r="BA43" s="250">
        <f>+'FIN-P&amp;L_CWS'!BB209</f>
        <v>-370091018.22595829</v>
      </c>
      <c r="BB43" s="250">
        <f>+'FIN-P&amp;L_CWS'!BC209</f>
        <v>-373747597.93495828</v>
      </c>
      <c r="BC43" s="250">
        <f>+'FIN-P&amp;L_CWS'!BD209</f>
        <v>-377404177.64395827</v>
      </c>
      <c r="BD43" s="250">
        <f>+'FIN-P&amp;L_CWS'!BE209</f>
        <v>-381060757.35295826</v>
      </c>
      <c r="BE43" s="250">
        <f>+'FIN-P&amp;L_CWS'!BF209</f>
        <v>-384717337.06195825</v>
      </c>
      <c r="BF43" s="250">
        <f>+'FIN-P&amp;L_CWS'!BG209</f>
        <v>-388373916.77095824</v>
      </c>
      <c r="BG43" s="250">
        <f>+'FIN-P&amp;L_CWS'!BH209</f>
        <v>-392030496.47995824</v>
      </c>
      <c r="BH43" s="250">
        <f>+'FIN-P&amp;L_CWS'!BI209</f>
        <v>-395687076.18895823</v>
      </c>
      <c r="BI43" s="250">
        <f>+'FIN-P&amp;L_CWS'!BJ209</f>
        <v>-399343655.89795822</v>
      </c>
      <c r="BJ43" s="250">
        <f>+'FIN-P&amp;L_CWS'!BK209</f>
        <v>-403000235.60695821</v>
      </c>
      <c r="BK43" s="250">
        <f>+'FIN-P&amp;L_CWS'!BL209</f>
        <v>-414408736.00693321</v>
      </c>
    </row>
    <row r="44" spans="1:64" x14ac:dyDescent="0.15">
      <c r="B44" s="33" t="s">
        <v>1079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-31900000</v>
      </c>
      <c r="H44" s="250">
        <f>+'FIN-CASHFLOW_CWS'!H67</f>
        <v>-15220000.000000002</v>
      </c>
      <c r="I44" s="250">
        <f>+'FIN-CASHFLOW_CWS'!I67</f>
        <v>-14965000.000000002</v>
      </c>
      <c r="J44" s="250">
        <f>+'FIN-CASHFLOW_CWS'!J67</f>
        <v>-14075000</v>
      </c>
      <c r="K44" s="250">
        <f>+'FIN-CASHFLOW_CWS'!K67</f>
        <v>-13995000</v>
      </c>
      <c r="L44" s="250">
        <f>+'FIN-CASHFLOW_CWS'!L67</f>
        <v>-13995000</v>
      </c>
      <c r="M44" s="250">
        <f>+'FIN-CASHFLOW_CWS'!M67</f>
        <v>-13995000</v>
      </c>
      <c r="N44" s="250">
        <f>+'FIN-CASHFLOW_CWS'!N67</f>
        <v>-13995000</v>
      </c>
      <c r="O44" s="250">
        <f>+'FIN-CASHFLOW_CWS'!O67</f>
        <v>-14187500</v>
      </c>
      <c r="P44" s="250">
        <f>+'FIN-CASHFLOW_CWS'!P67</f>
        <v>-16119100</v>
      </c>
      <c r="Q44" s="250">
        <f>+'FIN-CASHFLOW_CWS'!Q67</f>
        <v>-13639375</v>
      </c>
      <c r="R44" s="250">
        <f>+'FIN-CASHFLOW_CWS'!R67</f>
        <v>-12810125</v>
      </c>
      <c r="S44" s="250">
        <f>+'FIN-CASHFLOW_CWS'!S67</f>
        <v>-11810125</v>
      </c>
      <c r="T44" s="250">
        <f>+'FIN-CASHFLOW_CWS'!T67</f>
        <v>-11810125</v>
      </c>
      <c r="U44" s="250">
        <f>+'FIN-CASHFLOW_CWS'!U67</f>
        <v>-11810125</v>
      </c>
      <c r="V44" s="250">
        <f>+'FIN-CASHFLOW_CWS'!V67</f>
        <v>-11810125</v>
      </c>
      <c r="W44" s="250">
        <f>+'FIN-CASHFLOW_CWS'!W67</f>
        <v>-11810125</v>
      </c>
      <c r="X44" s="250">
        <f>+'FIN-CASHFLOW_CWS'!X67</f>
        <v>-11810125</v>
      </c>
      <c r="Y44" s="250">
        <f>+'FIN-CASHFLOW_CWS'!Y67</f>
        <v>-11810125</v>
      </c>
      <c r="Z44" s="250">
        <f>+'FIN-CASHFLOW_CWS'!Z67</f>
        <v>-11810125</v>
      </c>
      <c r="AA44" s="250">
        <f>+'FIN-CASHFLOW_CWS'!AA67</f>
        <v>-14289850</v>
      </c>
      <c r="AB44" s="250">
        <f>+'FIN-CASHFLOW_CWS'!AB67</f>
        <v>-12078559.249999998</v>
      </c>
      <c r="AC44" s="250">
        <f>+'FIN-CASHFLOW_CWS'!AC67</f>
        <v>-4900036.2499999963</v>
      </c>
      <c r="AD44" s="250">
        <f>+'FIN-CASHFLOW_CWS'!AD67</f>
        <v>-2498608.5</v>
      </c>
      <c r="AE44" s="250">
        <f>+'FIN-CASHFLOW_CWS'!AE67</f>
        <v>-2498608.5</v>
      </c>
      <c r="AF44" s="250">
        <f>+'FIN-CASHFLOW_CWS'!AF67</f>
        <v>-2498608.5</v>
      </c>
      <c r="AG44" s="250">
        <f>+'FIN-CASHFLOW_CWS'!AG67</f>
        <v>-2498608.5</v>
      </c>
      <c r="AH44" s="250">
        <f>+'FIN-CASHFLOW_CWS'!AH67</f>
        <v>-2498608.5</v>
      </c>
      <c r="AI44" s="250">
        <f>+'FIN-CASHFLOW_CWS'!AI67</f>
        <v>-2498608.5</v>
      </c>
      <c r="AJ44" s="250">
        <f>+'FIN-CASHFLOW_CWS'!AJ67</f>
        <v>-2498608.5</v>
      </c>
      <c r="AK44" s="250">
        <f>+'FIN-CASHFLOW_CWS'!AK67</f>
        <v>-2498608.5</v>
      </c>
      <c r="AL44" s="250">
        <f>+'FIN-CASHFLOW_CWS'!AL67</f>
        <v>-2498608.5</v>
      </c>
      <c r="AM44" s="250">
        <f>+'FIN-CASHFLOW_CWS'!AM67</f>
        <v>-9691442.7499999981</v>
      </c>
      <c r="AN44" s="250">
        <f>+'FIN-CASHFLOW_CWS'!AN67</f>
        <v>-10427803.974999998</v>
      </c>
      <c r="AO44" s="250">
        <f>+'FIN-CASHFLOW_CWS'!AO67</f>
        <v>-1469173.2814999968</v>
      </c>
      <c r="AP44" s="250">
        <f>+'FIN-CASHFLOW_CWS'!AP67</f>
        <v>1516016.0805000067</v>
      </c>
      <c r="AQ44" s="250">
        <f>+'FIN-CASHFLOW_CWS'!AQ67</f>
        <v>1516016.0805000067</v>
      </c>
      <c r="AR44" s="250">
        <f>+'FIN-CASHFLOW_CWS'!AR67</f>
        <v>1516016.0805000067</v>
      </c>
      <c r="AS44" s="250">
        <f>+'FIN-CASHFLOW_CWS'!AS67</f>
        <v>1516016.0805000067</v>
      </c>
      <c r="AT44" s="250">
        <f>+'FIN-CASHFLOW_CWS'!AT67</f>
        <v>1516016.0805000067</v>
      </c>
      <c r="AU44" s="250">
        <f>+'FIN-CASHFLOW_CWS'!AU67</f>
        <v>1516016.0805000067</v>
      </c>
      <c r="AV44" s="250">
        <f>+'FIN-CASHFLOW_CWS'!AV67</f>
        <v>1516016.0805000067</v>
      </c>
      <c r="AW44" s="250">
        <f>+'FIN-CASHFLOW_CWS'!AW67</f>
        <v>1516016.0805000067</v>
      </c>
      <c r="AX44" s="250">
        <f>+'FIN-CASHFLOW_CWS'!AX67</f>
        <v>1516016.0805000067</v>
      </c>
      <c r="AY44" s="250">
        <f>+'FIN-CASHFLOW_CWS'!AY67</f>
        <v>-7442614.612999998</v>
      </c>
      <c r="AZ44" s="250">
        <f>+'FIN-CASHFLOW_CWS'!AZ67</f>
        <v>-13825492.476325003</v>
      </c>
      <c r="BA44" s="250">
        <f>+'FIN-CASHFLOW_CWS'!BA67</f>
        <v>-6056530.5213000029</v>
      </c>
      <c r="BB44" s="250">
        <f>+'FIN-CASHFLOW_CWS'!BB67</f>
        <v>-3479329.7089999989</v>
      </c>
      <c r="BC44" s="250">
        <f>+'FIN-CASHFLOW_CWS'!BC67</f>
        <v>-3479329.7089999989</v>
      </c>
      <c r="BD44" s="250">
        <f>+'FIN-CASHFLOW_CWS'!BD67</f>
        <v>-3479329.7089999989</v>
      </c>
      <c r="BE44" s="250">
        <f>+'FIN-CASHFLOW_CWS'!BE67</f>
        <v>-3479329.7089999989</v>
      </c>
      <c r="BF44" s="250">
        <f>+'FIN-CASHFLOW_CWS'!BF67</f>
        <v>-3479329.7089999989</v>
      </c>
      <c r="BG44" s="250">
        <f>+'FIN-CASHFLOW_CWS'!BG67</f>
        <v>-3479329.7089999989</v>
      </c>
      <c r="BH44" s="250">
        <f>+'FIN-CASHFLOW_CWS'!BH67</f>
        <v>-3479329.7089999989</v>
      </c>
      <c r="BI44" s="250">
        <f>+'FIN-CASHFLOW_CWS'!BI67</f>
        <v>-3479329.7089999989</v>
      </c>
      <c r="BJ44" s="250">
        <f>+'FIN-CASHFLOW_CWS'!BJ67</f>
        <v>-3479329.7089999989</v>
      </c>
      <c r="BK44" s="250">
        <f>+'FIN-CASHFLOW_CWS'!BK67</f>
        <v>-11231250.399974998</v>
      </c>
      <c r="BL44" s="66"/>
    </row>
    <row r="45" spans="1:64" x14ac:dyDescent="0.15">
      <c r="B45" s="33" t="s">
        <v>1078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-31900000</v>
      </c>
      <c r="H45" s="250">
        <f>+'FIN-CASHFLOW_CWS'!H70</f>
        <v>-47120000</v>
      </c>
      <c r="I45" s="250">
        <f>+'FIN-CASHFLOW_CWS'!I70</f>
        <v>-62085000</v>
      </c>
      <c r="J45" s="250">
        <f>+'FIN-CASHFLOW_CWS'!J70</f>
        <v>-76160000</v>
      </c>
      <c r="K45" s="250">
        <f>+'FIN-CASHFLOW_CWS'!K70</f>
        <v>-90155000</v>
      </c>
      <c r="L45" s="250">
        <f>+'FIN-CASHFLOW_CWS'!L70</f>
        <v>-104150000</v>
      </c>
      <c r="M45" s="250">
        <f>+'FIN-CASHFLOW_CWS'!M70</f>
        <v>-118145000</v>
      </c>
      <c r="N45" s="250">
        <f>+'FIN-CASHFLOW_CWS'!N70</f>
        <v>-132140000</v>
      </c>
      <c r="O45" s="250">
        <f>+'FIN-CASHFLOW_CWS'!O70</f>
        <v>-146327500</v>
      </c>
      <c r="P45" s="250">
        <f>+'FIN-CASHFLOW_CWS'!P70</f>
        <v>-162446600</v>
      </c>
      <c r="Q45" s="250">
        <f>+'FIN-CASHFLOW_CWS'!Q70</f>
        <v>-176085975</v>
      </c>
      <c r="R45" s="250">
        <f>+'FIN-CASHFLOW_CWS'!R70</f>
        <v>-188896100</v>
      </c>
      <c r="S45" s="250">
        <f>+'FIN-CASHFLOW_CWS'!S70</f>
        <v>-200706225</v>
      </c>
      <c r="T45" s="250">
        <f>+'FIN-CASHFLOW_CWS'!T70</f>
        <v>-212516350</v>
      </c>
      <c r="U45" s="250">
        <f>+'FIN-CASHFLOW_CWS'!U70</f>
        <v>-224326475</v>
      </c>
      <c r="V45" s="250">
        <f>+'FIN-CASHFLOW_CWS'!V70</f>
        <v>-236136600</v>
      </c>
      <c r="W45" s="250">
        <f>+'FIN-CASHFLOW_CWS'!W70</f>
        <v>-247946725</v>
      </c>
      <c r="X45" s="250">
        <f>+'FIN-CASHFLOW_CWS'!X70</f>
        <v>-259756850</v>
      </c>
      <c r="Y45" s="250">
        <f>+'FIN-CASHFLOW_CWS'!Y70</f>
        <v>-271566975</v>
      </c>
      <c r="Z45" s="250">
        <f>+'FIN-CASHFLOW_CWS'!Z70</f>
        <v>-283377100</v>
      </c>
      <c r="AA45" s="250">
        <f>+'FIN-CASHFLOW_CWS'!AA70</f>
        <v>-297666950</v>
      </c>
      <c r="AB45" s="250">
        <f>+'FIN-CASHFLOW_CWS'!AB70</f>
        <v>-309745509.25</v>
      </c>
      <c r="AC45" s="250">
        <f>+'FIN-CASHFLOW_CWS'!AC70</f>
        <v>-314645545.5</v>
      </c>
      <c r="AD45" s="250">
        <f>+'FIN-CASHFLOW_CWS'!AD70</f>
        <v>-317144154</v>
      </c>
      <c r="AE45" s="250">
        <f>+'FIN-CASHFLOW_CWS'!AE70</f>
        <v>-319642762.5</v>
      </c>
      <c r="AF45" s="250">
        <f>+'FIN-CASHFLOW_CWS'!AF70</f>
        <v>-322141371</v>
      </c>
      <c r="AG45" s="250">
        <f>+'FIN-CASHFLOW_CWS'!AG70</f>
        <v>-324639979.5</v>
      </c>
      <c r="AH45" s="250">
        <f>+'FIN-CASHFLOW_CWS'!AH70</f>
        <v>-327138588</v>
      </c>
      <c r="AI45" s="250">
        <f>+'FIN-CASHFLOW_CWS'!AI70</f>
        <v>-329637196.5</v>
      </c>
      <c r="AJ45" s="250">
        <f>+'FIN-CASHFLOW_CWS'!AJ70</f>
        <v>-332135805</v>
      </c>
      <c r="AK45" s="250">
        <f>+'FIN-CASHFLOW_CWS'!AK70</f>
        <v>-334634413.5</v>
      </c>
      <c r="AL45" s="250">
        <f>+'FIN-CASHFLOW_CWS'!AL70</f>
        <v>-337133022</v>
      </c>
      <c r="AM45" s="250">
        <f>+'FIN-CASHFLOW_CWS'!AM70</f>
        <v>-346824464.75</v>
      </c>
      <c r="AN45" s="250">
        <f>+'FIN-CASHFLOW_CWS'!AN70</f>
        <v>-357252268.72500002</v>
      </c>
      <c r="AO45" s="250">
        <f>+'FIN-CASHFLOW_CWS'!AO70</f>
        <v>-358721442.00650001</v>
      </c>
      <c r="AP45" s="250">
        <f>+'FIN-CASHFLOW_CWS'!AP70</f>
        <v>-357205425.926</v>
      </c>
      <c r="AQ45" s="250">
        <f>+'FIN-CASHFLOW_CWS'!AQ70</f>
        <v>-355689409.84549999</v>
      </c>
      <c r="AR45" s="250">
        <f>+'FIN-CASHFLOW_CWS'!AR70</f>
        <v>-354173393.76499999</v>
      </c>
      <c r="AS45" s="250">
        <f>+'FIN-CASHFLOW_CWS'!AS70</f>
        <v>-352657377.68449998</v>
      </c>
      <c r="AT45" s="250">
        <f>+'FIN-CASHFLOW_CWS'!AT70</f>
        <v>-351141361.60399997</v>
      </c>
      <c r="AU45" s="250">
        <f>+'FIN-CASHFLOW_CWS'!AU70</f>
        <v>-349625345.52349997</v>
      </c>
      <c r="AV45" s="250">
        <f>+'FIN-CASHFLOW_CWS'!AV70</f>
        <v>-348109329.44299996</v>
      </c>
      <c r="AW45" s="250">
        <f>+'FIN-CASHFLOW_CWS'!AW70</f>
        <v>-346593313.36249995</v>
      </c>
      <c r="AX45" s="250">
        <f>+'FIN-CASHFLOW_CWS'!AX70</f>
        <v>-345077297.28199995</v>
      </c>
      <c r="AY45" s="250">
        <f>+'FIN-CASHFLOW_CWS'!AY70</f>
        <v>-352519911.89499992</v>
      </c>
      <c r="AZ45" s="250">
        <f>+'FIN-CASHFLOW_CWS'!AZ70</f>
        <v>-366345404.3713249</v>
      </c>
      <c r="BA45" s="250">
        <f>+'FIN-CASHFLOW_CWS'!BA70</f>
        <v>-372401934.89262491</v>
      </c>
      <c r="BB45" s="250">
        <f>+'FIN-CASHFLOW_CWS'!BB70</f>
        <v>-375881264.60162491</v>
      </c>
      <c r="BC45" s="250">
        <f>+'FIN-CASHFLOW_CWS'!BC70</f>
        <v>-379360594.3106249</v>
      </c>
      <c r="BD45" s="250">
        <f>+'FIN-CASHFLOW_CWS'!BD70</f>
        <v>-382839924.01962489</v>
      </c>
      <c r="BE45" s="250">
        <f>+'FIN-CASHFLOW_CWS'!BE70</f>
        <v>-386319253.72862488</v>
      </c>
      <c r="BF45" s="250">
        <f>+'FIN-CASHFLOW_CWS'!BF70</f>
        <v>-389798583.43762487</v>
      </c>
      <c r="BG45" s="250">
        <f>+'FIN-CASHFLOW_CWS'!BG70</f>
        <v>-393277913.14662486</v>
      </c>
      <c r="BH45" s="250">
        <f>+'FIN-CASHFLOW_CWS'!BH70</f>
        <v>-396757242.85562485</v>
      </c>
      <c r="BI45" s="250">
        <f>+'FIN-CASHFLOW_CWS'!BI70</f>
        <v>-400236572.56462485</v>
      </c>
      <c r="BJ45" s="250">
        <f>+'FIN-CASHFLOW_CWS'!BJ70</f>
        <v>-403715902.27362484</v>
      </c>
      <c r="BK45" s="250">
        <f>+'FIN-CASHFLOW_CWS'!BK70</f>
        <v>-414947152.67359984</v>
      </c>
    </row>
    <row r="47" spans="1:64" x14ac:dyDescent="0.15">
      <c r="A47" s="251" t="s">
        <v>924</v>
      </c>
      <c r="C47" s="74" t="s">
        <v>147</v>
      </c>
      <c r="D47" s="390" t="s">
        <v>35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 t="s">
        <v>36</v>
      </c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390" t="s">
        <v>37</v>
      </c>
      <c r="AC47" s="390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390" t="s">
        <v>38</v>
      </c>
      <c r="AO47" s="390"/>
      <c r="AP47" s="390"/>
      <c r="AQ47" s="390"/>
      <c r="AR47" s="390"/>
      <c r="AS47" s="390"/>
      <c r="AT47" s="390"/>
      <c r="AU47" s="390"/>
      <c r="AV47" s="390"/>
      <c r="AW47" s="390"/>
      <c r="AX47" s="390"/>
      <c r="AY47" s="390"/>
      <c r="AZ47" s="390" t="s">
        <v>39</v>
      </c>
      <c r="BA47" s="390"/>
      <c r="BB47" s="390"/>
      <c r="BC47" s="390"/>
      <c r="BD47" s="390"/>
      <c r="BE47" s="390"/>
      <c r="BF47" s="390"/>
      <c r="BG47" s="390"/>
      <c r="BH47" s="390"/>
      <c r="BI47" s="390"/>
      <c r="BJ47" s="390"/>
      <c r="BK47" s="39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769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-21678250</v>
      </c>
      <c r="H49" s="250">
        <f t="shared" si="3"/>
        <v>-15235916.666666668</v>
      </c>
      <c r="I49" s="250">
        <f t="shared" si="3"/>
        <v>-15140916.666666668</v>
      </c>
      <c r="J49" s="250">
        <f t="shared" si="3"/>
        <v>-14172250</v>
      </c>
      <c r="K49" s="250">
        <f t="shared" si="3"/>
        <v>-14172250</v>
      </c>
      <c r="L49" s="250">
        <f t="shared" si="3"/>
        <v>-14172250</v>
      </c>
      <c r="M49" s="250">
        <f t="shared" si="3"/>
        <v>-14172250</v>
      </c>
      <c r="N49" s="250">
        <f t="shared" si="3"/>
        <v>-14172250</v>
      </c>
      <c r="O49" s="250">
        <f t="shared" si="3"/>
        <v>-14364750</v>
      </c>
      <c r="P49" s="250">
        <f t="shared" si="3"/>
        <v>-16296350</v>
      </c>
      <c r="Q49" s="250">
        <f t="shared" si="3"/>
        <v>-13816625</v>
      </c>
      <c r="R49" s="250">
        <f t="shared" si="3"/>
        <v>-12987375</v>
      </c>
      <c r="S49" s="250">
        <f t="shared" si="3"/>
        <v>-11987375</v>
      </c>
      <c r="T49" s="250">
        <f t="shared" si="3"/>
        <v>-11987375</v>
      </c>
      <c r="U49" s="250">
        <f t="shared" si="3"/>
        <v>-11987375</v>
      </c>
      <c r="V49" s="250">
        <f t="shared" si="3"/>
        <v>-11987375</v>
      </c>
      <c r="W49" s="250">
        <f t="shared" si="3"/>
        <v>-11987375</v>
      </c>
      <c r="X49" s="250">
        <f t="shared" si="3"/>
        <v>-11987375</v>
      </c>
      <c r="Y49" s="250">
        <f t="shared" si="3"/>
        <v>-11987375</v>
      </c>
      <c r="Z49" s="250">
        <f t="shared" si="3"/>
        <v>-11987375</v>
      </c>
      <c r="AA49" s="250">
        <f t="shared" si="3"/>
        <v>-14467100</v>
      </c>
      <c r="AB49" s="250">
        <f t="shared" si="3"/>
        <v>-12255809.249999998</v>
      </c>
      <c r="AC49" s="250">
        <f t="shared" si="3"/>
        <v>-5077286.2499999963</v>
      </c>
      <c r="AD49" s="250">
        <f t="shared" si="3"/>
        <v>-2675858.5</v>
      </c>
      <c r="AE49" s="250">
        <f t="shared" si="3"/>
        <v>-2675858.5</v>
      </c>
      <c r="AF49" s="250">
        <f t="shared" si="3"/>
        <v>-2675858.5</v>
      </c>
      <c r="AG49" s="250">
        <f t="shared" si="3"/>
        <v>-2675858.5</v>
      </c>
      <c r="AH49" s="250">
        <f t="shared" si="3"/>
        <v>-2675858.5</v>
      </c>
      <c r="AI49" s="250">
        <f t="shared" si="3"/>
        <v>-2675858.5</v>
      </c>
      <c r="AJ49" s="250">
        <f t="shared" si="3"/>
        <v>-2675858.5</v>
      </c>
      <c r="AK49" s="250">
        <f t="shared" si="3"/>
        <v>-2675858.5</v>
      </c>
      <c r="AL49" s="250">
        <f t="shared" si="3"/>
        <v>-2675858.5</v>
      </c>
      <c r="AM49" s="250">
        <f t="shared" si="3"/>
        <v>-9868692.7499999981</v>
      </c>
      <c r="AN49" s="250">
        <f t="shared" si="3"/>
        <v>-10605053.974999998</v>
      </c>
      <c r="AO49" s="250">
        <f t="shared" si="3"/>
        <v>-1646423.2814999968</v>
      </c>
      <c r="AP49" s="250">
        <f t="shared" si="3"/>
        <v>1338766.0805000067</v>
      </c>
      <c r="AQ49" s="250">
        <f t="shared" si="3"/>
        <v>1338766.0805000067</v>
      </c>
      <c r="AR49" s="250">
        <f t="shared" si="3"/>
        <v>1338766.0805000067</v>
      </c>
      <c r="AS49" s="250">
        <f t="shared" si="3"/>
        <v>1338766.0805000067</v>
      </c>
      <c r="AT49" s="250">
        <f t="shared" si="3"/>
        <v>1338766.0805000067</v>
      </c>
      <c r="AU49" s="250">
        <f t="shared" si="3"/>
        <v>1338766.0805000067</v>
      </c>
      <c r="AV49" s="250">
        <f t="shared" si="3"/>
        <v>1338766.0805000067</v>
      </c>
      <c r="AW49" s="250">
        <f t="shared" si="3"/>
        <v>1338766.0805000067</v>
      </c>
      <c r="AX49" s="250">
        <f t="shared" si="3"/>
        <v>1338766.0805000067</v>
      </c>
      <c r="AY49" s="250">
        <f t="shared" si="3"/>
        <v>-7619864.612999998</v>
      </c>
      <c r="AZ49" s="250">
        <f t="shared" si="3"/>
        <v>-14002742.476325003</v>
      </c>
      <c r="BA49" s="250">
        <f t="shared" si="3"/>
        <v>-6233780.5213000029</v>
      </c>
      <c r="BB49" s="250">
        <f t="shared" si="3"/>
        <v>-3656579.7089999989</v>
      </c>
      <c r="BC49" s="250">
        <f t="shared" si="3"/>
        <v>-3656579.7089999989</v>
      </c>
      <c r="BD49" s="250">
        <f t="shared" si="3"/>
        <v>-3656579.7089999989</v>
      </c>
      <c r="BE49" s="250">
        <f t="shared" si="3"/>
        <v>-3656579.7089999989</v>
      </c>
      <c r="BF49" s="250">
        <f t="shared" si="3"/>
        <v>-3656579.7089999989</v>
      </c>
      <c r="BG49" s="250">
        <f t="shared" si="3"/>
        <v>-3656579.7089999989</v>
      </c>
      <c r="BH49" s="250">
        <f t="shared" si="3"/>
        <v>-3656579.7089999989</v>
      </c>
      <c r="BI49" s="250">
        <f t="shared" si="3"/>
        <v>-3656579.7089999989</v>
      </c>
      <c r="BJ49" s="250">
        <f t="shared" si="3"/>
        <v>-3656579.7089999989</v>
      </c>
      <c r="BK49" s="250">
        <f t="shared" si="3"/>
        <v>-11408500.399974998</v>
      </c>
    </row>
    <row r="50" spans="1:64" x14ac:dyDescent="0.15">
      <c r="B50" s="33" t="s">
        <v>923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-31900000</v>
      </c>
      <c r="H50" s="250">
        <f t="shared" si="4"/>
        <v>-15220000.000000002</v>
      </c>
      <c r="I50" s="250">
        <f t="shared" si="4"/>
        <v>-14965000.000000002</v>
      </c>
      <c r="J50" s="250">
        <f t="shared" si="4"/>
        <v>-14075000</v>
      </c>
      <c r="K50" s="250">
        <f t="shared" si="4"/>
        <v>-13995000</v>
      </c>
      <c r="L50" s="250">
        <f t="shared" si="4"/>
        <v>-13995000</v>
      </c>
      <c r="M50" s="250">
        <f t="shared" si="4"/>
        <v>-13995000</v>
      </c>
      <c r="N50" s="250">
        <f t="shared" si="4"/>
        <v>-13995000</v>
      </c>
      <c r="O50" s="250">
        <f t="shared" si="4"/>
        <v>-14187500</v>
      </c>
      <c r="P50" s="250">
        <f t="shared" si="4"/>
        <v>-16119100</v>
      </c>
      <c r="Q50" s="250">
        <f t="shared" si="4"/>
        <v>-13639375</v>
      </c>
      <c r="R50" s="250">
        <f t="shared" si="4"/>
        <v>-12810125</v>
      </c>
      <c r="S50" s="250">
        <f t="shared" si="4"/>
        <v>-11810125</v>
      </c>
      <c r="T50" s="250">
        <f t="shared" si="4"/>
        <v>-11810125</v>
      </c>
      <c r="U50" s="250">
        <f t="shared" si="4"/>
        <v>-11810125</v>
      </c>
      <c r="V50" s="250">
        <f t="shared" si="4"/>
        <v>-11810125</v>
      </c>
      <c r="W50" s="250">
        <f t="shared" si="4"/>
        <v>-11810125</v>
      </c>
      <c r="X50" s="250">
        <f t="shared" si="4"/>
        <v>-11810125</v>
      </c>
      <c r="Y50" s="250">
        <f t="shared" si="4"/>
        <v>-11810125</v>
      </c>
      <c r="Z50" s="250">
        <f t="shared" si="4"/>
        <v>-11810125</v>
      </c>
      <c r="AA50" s="250">
        <f t="shared" si="4"/>
        <v>-14289850</v>
      </c>
      <c r="AB50" s="250">
        <f t="shared" si="4"/>
        <v>-12078559.249999998</v>
      </c>
      <c r="AC50" s="250">
        <f t="shared" si="4"/>
        <v>-4900036.2499999963</v>
      </c>
      <c r="AD50" s="250">
        <f t="shared" si="4"/>
        <v>-2498608.5</v>
      </c>
      <c r="AE50" s="250">
        <f t="shared" si="4"/>
        <v>-2498608.5</v>
      </c>
      <c r="AF50" s="250">
        <f t="shared" si="4"/>
        <v>-2498608.5</v>
      </c>
      <c r="AG50" s="250">
        <f t="shared" si="4"/>
        <v>-2498608.5</v>
      </c>
      <c r="AH50" s="250">
        <f t="shared" si="4"/>
        <v>-2498608.5</v>
      </c>
      <c r="AI50" s="250">
        <f t="shared" si="4"/>
        <v>-2498608.5</v>
      </c>
      <c r="AJ50" s="250">
        <f t="shared" si="4"/>
        <v>-2498608.5</v>
      </c>
      <c r="AK50" s="250">
        <f t="shared" si="4"/>
        <v>-2498608.5</v>
      </c>
      <c r="AL50" s="250">
        <f t="shared" si="4"/>
        <v>-2498608.5</v>
      </c>
      <c r="AM50" s="250">
        <f t="shared" si="4"/>
        <v>-9691442.7499999981</v>
      </c>
      <c r="AN50" s="250">
        <f t="shared" si="4"/>
        <v>-10427803.974999998</v>
      </c>
      <c r="AO50" s="250">
        <f t="shared" si="4"/>
        <v>-1469173.2814999968</v>
      </c>
      <c r="AP50" s="250">
        <f t="shared" si="4"/>
        <v>1516016.0805000067</v>
      </c>
      <c r="AQ50" s="250">
        <f t="shared" si="4"/>
        <v>1516016.0805000067</v>
      </c>
      <c r="AR50" s="250">
        <f t="shared" si="4"/>
        <v>1516016.0805000067</v>
      </c>
      <c r="AS50" s="250">
        <f t="shared" si="4"/>
        <v>1516016.0805000067</v>
      </c>
      <c r="AT50" s="250">
        <f t="shared" si="4"/>
        <v>1516016.0805000067</v>
      </c>
      <c r="AU50" s="250">
        <f t="shared" si="4"/>
        <v>1516016.0805000067</v>
      </c>
      <c r="AV50" s="250">
        <f t="shared" si="4"/>
        <v>1516016.0805000067</v>
      </c>
      <c r="AW50" s="250">
        <f t="shared" si="4"/>
        <v>1516016.0805000067</v>
      </c>
      <c r="AX50" s="250">
        <f t="shared" si="4"/>
        <v>1516016.0805000067</v>
      </c>
      <c r="AY50" s="250">
        <f t="shared" si="4"/>
        <v>-7442614.612999998</v>
      </c>
      <c r="AZ50" s="250">
        <f t="shared" si="4"/>
        <v>-13825492.476325003</v>
      </c>
      <c r="BA50" s="250">
        <f t="shared" si="4"/>
        <v>-6056530.5213000029</v>
      </c>
      <c r="BB50" s="250">
        <f t="shared" si="4"/>
        <v>-3479329.7089999989</v>
      </c>
      <c r="BC50" s="250">
        <f t="shared" si="4"/>
        <v>-3479329.7089999989</v>
      </c>
      <c r="BD50" s="250">
        <f t="shared" si="4"/>
        <v>-3479329.7089999989</v>
      </c>
      <c r="BE50" s="250">
        <f t="shared" si="4"/>
        <v>-3479329.7089999989</v>
      </c>
      <c r="BF50" s="250">
        <f t="shared" si="4"/>
        <v>-3479329.7089999989</v>
      </c>
      <c r="BG50" s="250">
        <f t="shared" si="4"/>
        <v>-3479329.7089999989</v>
      </c>
      <c r="BH50" s="250">
        <f t="shared" si="4"/>
        <v>-3479329.7089999989</v>
      </c>
      <c r="BI50" s="250">
        <f t="shared" si="4"/>
        <v>-3479329.7089999989</v>
      </c>
      <c r="BJ50" s="250">
        <f t="shared" si="4"/>
        <v>-3479329.7089999989</v>
      </c>
      <c r="BK50" s="250">
        <f t="shared" si="4"/>
        <v>-11231250.399974998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991</v>
      </c>
    </row>
    <row r="53" spans="1:64" x14ac:dyDescent="0.15">
      <c r="A53"/>
      <c r="C53" s="74" t="s">
        <v>147</v>
      </c>
      <c r="D53" s="390" t="s">
        <v>35</v>
      </c>
      <c r="E53" s="390"/>
      <c r="F53" s="390"/>
      <c r="G53" s="390"/>
      <c r="H53" s="390"/>
      <c r="I53" s="390"/>
      <c r="J53" s="390"/>
      <c r="K53" s="390"/>
      <c r="L53" s="390"/>
      <c r="M53" s="390"/>
      <c r="N53" s="390"/>
      <c r="O53" s="390"/>
      <c r="P53" s="390" t="s">
        <v>36</v>
      </c>
      <c r="Q53" s="390"/>
      <c r="R53" s="390"/>
      <c r="S53" s="390"/>
      <c r="T53" s="390"/>
      <c r="U53" s="390"/>
      <c r="V53" s="390"/>
      <c r="W53" s="390"/>
      <c r="X53" s="390"/>
      <c r="Y53" s="390"/>
      <c r="Z53" s="390"/>
      <c r="AA53" s="390"/>
      <c r="AB53" s="390" t="s">
        <v>37</v>
      </c>
      <c r="AC53" s="390"/>
      <c r="AD53" s="390"/>
      <c r="AE53" s="390"/>
      <c r="AF53" s="390"/>
      <c r="AG53" s="390"/>
      <c r="AH53" s="390"/>
      <c r="AI53" s="390"/>
      <c r="AJ53" s="390"/>
      <c r="AK53" s="390"/>
      <c r="AL53" s="390"/>
      <c r="AM53" s="390"/>
      <c r="AN53" s="390" t="s">
        <v>38</v>
      </c>
      <c r="AO53" s="390"/>
      <c r="AP53" s="390"/>
      <c r="AQ53" s="390"/>
      <c r="AR53" s="390"/>
      <c r="AS53" s="390"/>
      <c r="AT53" s="390"/>
      <c r="AU53" s="390"/>
      <c r="AV53" s="390"/>
      <c r="AW53" s="390"/>
      <c r="AX53" s="390"/>
      <c r="AY53" s="390"/>
      <c r="AZ53" s="390" t="s">
        <v>39</v>
      </c>
      <c r="BA53" s="390"/>
      <c r="BB53" s="390"/>
      <c r="BC53" s="390"/>
      <c r="BD53" s="390"/>
      <c r="BE53" s="390"/>
      <c r="BF53" s="390"/>
      <c r="BG53" s="390"/>
      <c r="BH53" s="390"/>
      <c r="BI53" s="390"/>
      <c r="BJ53" s="390"/>
      <c r="BK53" s="39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769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-21678250</v>
      </c>
      <c r="H55" s="250">
        <f t="shared" si="5"/>
        <v>-15235916.666666668</v>
      </c>
      <c r="I55" s="250">
        <f t="shared" si="5"/>
        <v>-15140916.666666668</v>
      </c>
      <c r="J55" s="250">
        <f t="shared" si="5"/>
        <v>-14172250</v>
      </c>
      <c r="K55" s="250">
        <f t="shared" si="5"/>
        <v>-14172250</v>
      </c>
      <c r="L55" s="250">
        <f t="shared" si="5"/>
        <v>-14172250</v>
      </c>
      <c r="M55" s="250">
        <f t="shared" si="5"/>
        <v>-14172250</v>
      </c>
      <c r="N55" s="250">
        <f t="shared" si="5"/>
        <v>-14172250</v>
      </c>
      <c r="O55" s="250">
        <f t="shared" si="5"/>
        <v>-14364750</v>
      </c>
      <c r="P55" s="250">
        <f t="shared" si="5"/>
        <v>-16296350</v>
      </c>
      <c r="Q55" s="250">
        <f t="shared" si="5"/>
        <v>-13816625</v>
      </c>
      <c r="R55" s="250">
        <f t="shared" si="5"/>
        <v>-12987375</v>
      </c>
      <c r="S55" s="250">
        <f t="shared" si="5"/>
        <v>-11987375</v>
      </c>
      <c r="T55" s="250">
        <f t="shared" si="5"/>
        <v>-11987375</v>
      </c>
      <c r="U55" s="250">
        <f t="shared" si="5"/>
        <v>-11987375</v>
      </c>
      <c r="V55" s="250">
        <f t="shared" si="5"/>
        <v>-11987375</v>
      </c>
      <c r="W55" s="250">
        <f t="shared" si="5"/>
        <v>-11987375</v>
      </c>
      <c r="X55" s="250">
        <f t="shared" si="5"/>
        <v>-11987375</v>
      </c>
      <c r="Y55" s="250">
        <f t="shared" si="5"/>
        <v>-11987375</v>
      </c>
      <c r="Z55" s="250">
        <f t="shared" si="5"/>
        <v>-11987375</v>
      </c>
      <c r="AA55" s="250">
        <f t="shared" si="5"/>
        <v>-14467100</v>
      </c>
      <c r="AB55" s="250">
        <f t="shared" si="5"/>
        <v>-12255809.249999998</v>
      </c>
      <c r="AC55" s="250">
        <f t="shared" si="5"/>
        <v>-5077286.2499999963</v>
      </c>
      <c r="AD55" s="250">
        <f t="shared" si="5"/>
        <v>-2675858.5</v>
      </c>
      <c r="AE55" s="250">
        <f t="shared" si="5"/>
        <v>-2675858.5</v>
      </c>
      <c r="AF55" s="250">
        <f t="shared" si="5"/>
        <v>-2675858.5</v>
      </c>
      <c r="AG55" s="250">
        <f t="shared" si="5"/>
        <v>-2675858.5</v>
      </c>
      <c r="AH55" s="250">
        <f t="shared" si="5"/>
        <v>-2675858.5</v>
      </c>
      <c r="AI55" s="250">
        <f t="shared" si="5"/>
        <v>-2675858.5</v>
      </c>
      <c r="AJ55" s="250">
        <f t="shared" si="5"/>
        <v>-2675858.5</v>
      </c>
      <c r="AK55" s="250">
        <f t="shared" si="5"/>
        <v>-2675858.5</v>
      </c>
      <c r="AL55" s="250">
        <f t="shared" si="5"/>
        <v>-2675858.5</v>
      </c>
      <c r="AM55" s="250">
        <f t="shared" si="5"/>
        <v>-9868692.7499999981</v>
      </c>
      <c r="AN55" s="250">
        <f t="shared" si="5"/>
        <v>-10605053.974999998</v>
      </c>
      <c r="AO55" s="250">
        <f t="shared" si="5"/>
        <v>-1646423.2814999968</v>
      </c>
      <c r="AP55" s="250">
        <f t="shared" si="5"/>
        <v>1338766.0805000067</v>
      </c>
      <c r="AQ55" s="250">
        <f t="shared" si="5"/>
        <v>1338766.0805000067</v>
      </c>
      <c r="AR55" s="250">
        <f t="shared" si="5"/>
        <v>1338766.0805000067</v>
      </c>
      <c r="AS55" s="250">
        <f t="shared" si="5"/>
        <v>1338766.0805000067</v>
      </c>
      <c r="AT55" s="250">
        <f t="shared" si="5"/>
        <v>1338766.0805000067</v>
      </c>
      <c r="AU55" s="250">
        <f t="shared" si="5"/>
        <v>1338766.0805000067</v>
      </c>
      <c r="AV55" s="250">
        <f t="shared" si="5"/>
        <v>1338766.0805000067</v>
      </c>
      <c r="AW55" s="250">
        <f t="shared" si="5"/>
        <v>1338766.0805000067</v>
      </c>
      <c r="AX55" s="250">
        <f t="shared" si="5"/>
        <v>1338766.0805000067</v>
      </c>
      <c r="AY55" s="250">
        <f t="shared" si="5"/>
        <v>-7619864.612999998</v>
      </c>
      <c r="AZ55" s="250">
        <f t="shared" si="5"/>
        <v>-14002742.476325003</v>
      </c>
      <c r="BA55" s="250">
        <f t="shared" si="5"/>
        <v>-6233780.5213000029</v>
      </c>
      <c r="BB55" s="250">
        <f t="shared" si="5"/>
        <v>-3656579.7089999989</v>
      </c>
      <c r="BC55" s="250">
        <f t="shared" si="5"/>
        <v>-3656579.7089999989</v>
      </c>
      <c r="BD55" s="250">
        <f t="shared" si="5"/>
        <v>-3656579.7089999989</v>
      </c>
      <c r="BE55" s="250">
        <f t="shared" si="5"/>
        <v>-3656579.7089999989</v>
      </c>
      <c r="BF55" s="250">
        <f t="shared" si="5"/>
        <v>-3656579.7089999989</v>
      </c>
      <c r="BG55" s="250">
        <f t="shared" si="5"/>
        <v>-3656579.7089999989</v>
      </c>
      <c r="BH55" s="250">
        <f t="shared" si="5"/>
        <v>-3656579.7089999989</v>
      </c>
      <c r="BI55" s="250">
        <f t="shared" si="5"/>
        <v>-3656579.7089999989</v>
      </c>
      <c r="BJ55" s="250">
        <f t="shared" si="5"/>
        <v>-3656579.7089999989</v>
      </c>
      <c r="BK55" s="250">
        <f t="shared" si="5"/>
        <v>-11408500.399974998</v>
      </c>
    </row>
    <row r="56" spans="1:64" x14ac:dyDescent="0.15">
      <c r="B56" s="33" t="s">
        <v>1077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-21678250</v>
      </c>
      <c r="H56" s="250">
        <f t="shared" si="6"/>
        <v>-36914166.666666672</v>
      </c>
      <c r="I56" s="250">
        <f t="shared" si="6"/>
        <v>-52055083.333333343</v>
      </c>
      <c r="J56" s="250">
        <f t="shared" si="6"/>
        <v>-66227333.333333343</v>
      </c>
      <c r="K56" s="250">
        <f t="shared" si="6"/>
        <v>-80399583.333333343</v>
      </c>
      <c r="L56" s="250">
        <f t="shared" si="6"/>
        <v>-94571833.333333343</v>
      </c>
      <c r="M56" s="250">
        <f t="shared" si="6"/>
        <v>-108744083.33333334</v>
      </c>
      <c r="N56" s="250">
        <f t="shared" si="6"/>
        <v>-122916333.33333334</v>
      </c>
      <c r="O56" s="250">
        <f t="shared" si="6"/>
        <v>-137281083.33333334</v>
      </c>
      <c r="P56" s="250">
        <f t="shared" si="6"/>
        <v>-153577433.33333334</v>
      </c>
      <c r="Q56" s="250">
        <f t="shared" si="6"/>
        <v>-167394058.33333334</v>
      </c>
      <c r="R56" s="250">
        <f t="shared" si="6"/>
        <v>-180381433.33333334</v>
      </c>
      <c r="S56" s="250">
        <f t="shared" si="5"/>
        <v>-192368808.33333334</v>
      </c>
      <c r="T56" s="250">
        <f t="shared" si="5"/>
        <v>-204356183.33333334</v>
      </c>
      <c r="U56" s="250">
        <f t="shared" si="5"/>
        <v>-216343558.33333334</v>
      </c>
      <c r="V56" s="250">
        <f t="shared" si="5"/>
        <v>-228330933.33333334</v>
      </c>
      <c r="W56" s="250">
        <f t="shared" si="5"/>
        <v>-240318308.33333334</v>
      </c>
      <c r="X56" s="250">
        <f t="shared" si="5"/>
        <v>-252305683.33333334</v>
      </c>
      <c r="Y56" s="250">
        <f t="shared" si="5"/>
        <v>-264293058.33333334</v>
      </c>
      <c r="Z56" s="250">
        <f t="shared" si="5"/>
        <v>-276280433.33333337</v>
      </c>
      <c r="AA56" s="250">
        <f t="shared" si="5"/>
        <v>-290747533.33333337</v>
      </c>
      <c r="AB56" s="250">
        <f t="shared" si="5"/>
        <v>-303003342.58333337</v>
      </c>
      <c r="AC56" s="250">
        <f t="shared" si="5"/>
        <v>-308080628.83333337</v>
      </c>
      <c r="AD56" s="250">
        <f t="shared" si="5"/>
        <v>-310756487.33333337</v>
      </c>
      <c r="AE56" s="250">
        <f t="shared" si="5"/>
        <v>-313432345.83333337</v>
      </c>
      <c r="AF56" s="250">
        <f t="shared" si="5"/>
        <v>-316108204.33333337</v>
      </c>
      <c r="AG56" s="250">
        <f t="shared" si="5"/>
        <v>-318784062.83333337</v>
      </c>
      <c r="AH56" s="250">
        <f t="shared" si="5"/>
        <v>-321459921.33333337</v>
      </c>
      <c r="AI56" s="250">
        <f t="shared" si="5"/>
        <v>-324135779.83333337</v>
      </c>
      <c r="AJ56" s="250">
        <f t="shared" si="5"/>
        <v>-326811638.33333337</v>
      </c>
      <c r="AK56" s="250">
        <f t="shared" si="5"/>
        <v>-329487496.83333337</v>
      </c>
      <c r="AL56" s="250">
        <f t="shared" si="5"/>
        <v>-332163355.33333337</v>
      </c>
      <c r="AM56" s="250">
        <f t="shared" si="5"/>
        <v>-342032048.08333337</v>
      </c>
      <c r="AN56" s="250">
        <f t="shared" si="5"/>
        <v>-352637102.0583334</v>
      </c>
      <c r="AO56" s="250">
        <f t="shared" si="5"/>
        <v>-354283525.33983338</v>
      </c>
      <c r="AP56" s="250">
        <f t="shared" si="5"/>
        <v>-352944759.25933337</v>
      </c>
      <c r="AQ56" s="250">
        <f t="shared" si="5"/>
        <v>-351605993.17883337</v>
      </c>
      <c r="AR56" s="250">
        <f t="shared" si="5"/>
        <v>-350267227.09833336</v>
      </c>
      <c r="AS56" s="250">
        <f t="shared" si="5"/>
        <v>-348928461.01783335</v>
      </c>
      <c r="AT56" s="250">
        <f t="shared" si="5"/>
        <v>-347589694.93733335</v>
      </c>
      <c r="AU56" s="250">
        <f t="shared" si="5"/>
        <v>-346250928.85683334</v>
      </c>
      <c r="AV56" s="250">
        <f t="shared" si="5"/>
        <v>-344912162.77633333</v>
      </c>
      <c r="AW56" s="250">
        <f t="shared" si="5"/>
        <v>-343573396.69583333</v>
      </c>
      <c r="AX56" s="250">
        <f t="shared" si="5"/>
        <v>-342234630.61533332</v>
      </c>
      <c r="AY56" s="250">
        <f t="shared" si="5"/>
        <v>-349854495.22833329</v>
      </c>
      <c r="AZ56" s="250">
        <f t="shared" si="5"/>
        <v>-363857237.70465827</v>
      </c>
      <c r="BA56" s="250">
        <f t="shared" si="5"/>
        <v>-370091018.22595829</v>
      </c>
      <c r="BB56" s="250">
        <f t="shared" si="5"/>
        <v>-373747597.93495828</v>
      </c>
      <c r="BC56" s="250">
        <f t="shared" si="5"/>
        <v>-377404177.64395827</v>
      </c>
      <c r="BD56" s="250">
        <f t="shared" si="5"/>
        <v>-381060757.35295826</v>
      </c>
      <c r="BE56" s="250">
        <f t="shared" si="5"/>
        <v>-384717337.06195825</v>
      </c>
      <c r="BF56" s="250">
        <f t="shared" si="5"/>
        <v>-388373916.77095824</v>
      </c>
      <c r="BG56" s="250">
        <f t="shared" si="5"/>
        <v>-392030496.47995824</v>
      </c>
      <c r="BH56" s="250">
        <f t="shared" si="5"/>
        <v>-395687076.18895823</v>
      </c>
      <c r="BI56" s="250">
        <f t="shared" si="5"/>
        <v>-399343655.89795822</v>
      </c>
      <c r="BJ56" s="250">
        <f t="shared" si="5"/>
        <v>-403000235.60695821</v>
      </c>
      <c r="BK56" s="250">
        <f t="shared" si="5"/>
        <v>-414408736.00693321</v>
      </c>
    </row>
    <row r="57" spans="1:64" x14ac:dyDescent="0.15">
      <c r="B57" s="33" t="s">
        <v>923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-31900000</v>
      </c>
      <c r="H57" s="250">
        <f t="shared" si="5"/>
        <v>-15220000.000000002</v>
      </c>
      <c r="I57" s="250">
        <f t="shared" si="5"/>
        <v>-14965000.000000002</v>
      </c>
      <c r="J57" s="250">
        <f t="shared" si="5"/>
        <v>-14075000</v>
      </c>
      <c r="K57" s="250">
        <f t="shared" si="5"/>
        <v>-13995000</v>
      </c>
      <c r="L57" s="250">
        <f t="shared" si="5"/>
        <v>-13995000</v>
      </c>
      <c r="M57" s="250">
        <f t="shared" si="5"/>
        <v>-13995000</v>
      </c>
      <c r="N57" s="250">
        <f t="shared" si="5"/>
        <v>-13995000</v>
      </c>
      <c r="O57" s="250">
        <f t="shared" si="5"/>
        <v>-14187500</v>
      </c>
      <c r="P57" s="250">
        <f t="shared" si="5"/>
        <v>-16119100</v>
      </c>
      <c r="Q57" s="250">
        <f t="shared" si="5"/>
        <v>-13639375</v>
      </c>
      <c r="R57" s="250">
        <f t="shared" si="5"/>
        <v>-12810125</v>
      </c>
      <c r="S57" s="250">
        <f t="shared" si="5"/>
        <v>-11810125</v>
      </c>
      <c r="T57" s="250">
        <f t="shared" si="5"/>
        <v>-11810125</v>
      </c>
      <c r="U57" s="250">
        <f t="shared" si="5"/>
        <v>-11810125</v>
      </c>
      <c r="V57" s="250">
        <f t="shared" si="5"/>
        <v>-11810125</v>
      </c>
      <c r="W57" s="250">
        <f t="shared" si="5"/>
        <v>-11810125</v>
      </c>
      <c r="X57" s="250">
        <f t="shared" si="5"/>
        <v>-11810125</v>
      </c>
      <c r="Y57" s="250">
        <f t="shared" si="5"/>
        <v>-11810125</v>
      </c>
      <c r="Z57" s="250">
        <f t="shared" si="5"/>
        <v>-11810125</v>
      </c>
      <c r="AA57" s="250">
        <f t="shared" si="5"/>
        <v>-14289850</v>
      </c>
      <c r="AB57" s="250">
        <f t="shared" si="5"/>
        <v>-12078559.249999998</v>
      </c>
      <c r="AC57" s="250">
        <f t="shared" si="5"/>
        <v>-4900036.2499999963</v>
      </c>
      <c r="AD57" s="250">
        <f t="shared" si="5"/>
        <v>-2498608.5</v>
      </c>
      <c r="AE57" s="250">
        <f t="shared" si="5"/>
        <v>-2498608.5</v>
      </c>
      <c r="AF57" s="250">
        <f t="shared" si="5"/>
        <v>-2498608.5</v>
      </c>
      <c r="AG57" s="250">
        <f t="shared" si="5"/>
        <v>-2498608.5</v>
      </c>
      <c r="AH57" s="250">
        <f t="shared" si="5"/>
        <v>-2498608.5</v>
      </c>
      <c r="AI57" s="250">
        <f t="shared" si="5"/>
        <v>-2498608.5</v>
      </c>
      <c r="AJ57" s="250">
        <f t="shared" si="5"/>
        <v>-2498608.5</v>
      </c>
      <c r="AK57" s="250">
        <f t="shared" si="5"/>
        <v>-2498608.5</v>
      </c>
      <c r="AL57" s="250">
        <f t="shared" si="5"/>
        <v>-2498608.5</v>
      </c>
      <c r="AM57" s="250">
        <f t="shared" si="5"/>
        <v>-9691442.7499999981</v>
      </c>
      <c r="AN57" s="250">
        <f t="shared" si="5"/>
        <v>-10427803.974999998</v>
      </c>
      <c r="AO57" s="250">
        <f t="shared" si="5"/>
        <v>-1469173.2814999968</v>
      </c>
      <c r="AP57" s="250">
        <f t="shared" si="5"/>
        <v>1516016.0805000067</v>
      </c>
      <c r="AQ57" s="250">
        <f t="shared" si="5"/>
        <v>1516016.0805000067</v>
      </c>
      <c r="AR57" s="250">
        <f t="shared" si="5"/>
        <v>1516016.0805000067</v>
      </c>
      <c r="AS57" s="250">
        <f t="shared" si="5"/>
        <v>1516016.0805000067</v>
      </c>
      <c r="AT57" s="250">
        <f t="shared" si="5"/>
        <v>1516016.0805000067</v>
      </c>
      <c r="AU57" s="250">
        <f t="shared" si="5"/>
        <v>1516016.0805000067</v>
      </c>
      <c r="AV57" s="250">
        <f t="shared" si="5"/>
        <v>1516016.0805000067</v>
      </c>
      <c r="AW57" s="250">
        <f t="shared" si="5"/>
        <v>1516016.0805000067</v>
      </c>
      <c r="AX57" s="250">
        <f t="shared" si="5"/>
        <v>1516016.0805000067</v>
      </c>
      <c r="AY57" s="250">
        <f t="shared" si="5"/>
        <v>-7442614.612999998</v>
      </c>
      <c r="AZ57" s="250">
        <f t="shared" si="5"/>
        <v>-13825492.476325003</v>
      </c>
      <c r="BA57" s="250">
        <f t="shared" si="5"/>
        <v>-6056530.5213000029</v>
      </c>
      <c r="BB57" s="250">
        <f t="shared" si="5"/>
        <v>-3479329.7089999989</v>
      </c>
      <c r="BC57" s="250">
        <f t="shared" si="5"/>
        <v>-3479329.7089999989</v>
      </c>
      <c r="BD57" s="250">
        <f t="shared" si="5"/>
        <v>-3479329.7089999989</v>
      </c>
      <c r="BE57" s="250">
        <f t="shared" si="5"/>
        <v>-3479329.7089999989</v>
      </c>
      <c r="BF57" s="250">
        <f t="shared" si="5"/>
        <v>-3479329.7089999989</v>
      </c>
      <c r="BG57" s="250">
        <f t="shared" si="5"/>
        <v>-3479329.7089999989</v>
      </c>
      <c r="BH57" s="250">
        <f t="shared" si="5"/>
        <v>-3479329.7089999989</v>
      </c>
      <c r="BI57" s="250">
        <f t="shared" si="5"/>
        <v>-3479329.7089999989</v>
      </c>
      <c r="BJ57" s="250">
        <f t="shared" si="5"/>
        <v>-3479329.7089999989</v>
      </c>
      <c r="BK57" s="250">
        <f t="shared" si="5"/>
        <v>-11231250.399974998</v>
      </c>
      <c r="BL57" s="66"/>
    </row>
    <row r="58" spans="1:64" x14ac:dyDescent="0.15">
      <c r="B58" s="33" t="s">
        <v>1078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-31900000</v>
      </c>
      <c r="H58" s="250">
        <f t="shared" si="5"/>
        <v>-47120000</v>
      </c>
      <c r="I58" s="250">
        <f t="shared" si="5"/>
        <v>-62085000</v>
      </c>
      <c r="J58" s="250">
        <f t="shared" si="5"/>
        <v>-76160000</v>
      </c>
      <c r="K58" s="250">
        <f t="shared" si="5"/>
        <v>-90155000</v>
      </c>
      <c r="L58" s="250">
        <f t="shared" si="5"/>
        <v>-104150000</v>
      </c>
      <c r="M58" s="250">
        <f t="shared" si="5"/>
        <v>-118145000</v>
      </c>
      <c r="N58" s="250">
        <f t="shared" si="5"/>
        <v>-132140000</v>
      </c>
      <c r="O58" s="250">
        <f t="shared" si="5"/>
        <v>-146327500</v>
      </c>
      <c r="P58" s="250">
        <f t="shared" si="5"/>
        <v>-162446600</v>
      </c>
      <c r="Q58" s="250">
        <f t="shared" si="5"/>
        <v>-176085975</v>
      </c>
      <c r="R58" s="250">
        <f t="shared" si="5"/>
        <v>-188896100</v>
      </c>
      <c r="S58" s="250">
        <f t="shared" si="5"/>
        <v>-200706225</v>
      </c>
      <c r="T58" s="250">
        <f t="shared" si="5"/>
        <v>-212516350</v>
      </c>
      <c r="U58" s="250">
        <f t="shared" si="5"/>
        <v>-224326475</v>
      </c>
      <c r="V58" s="250">
        <f t="shared" si="5"/>
        <v>-236136600</v>
      </c>
      <c r="W58" s="250">
        <f t="shared" si="5"/>
        <v>-247946725</v>
      </c>
      <c r="X58" s="250">
        <f t="shared" si="5"/>
        <v>-259756850</v>
      </c>
      <c r="Y58" s="250">
        <f t="shared" si="5"/>
        <v>-271566975</v>
      </c>
      <c r="Z58" s="250">
        <f t="shared" si="5"/>
        <v>-283377100</v>
      </c>
      <c r="AA58" s="250">
        <f t="shared" si="5"/>
        <v>-297666950</v>
      </c>
      <c r="AB58" s="250">
        <f t="shared" si="5"/>
        <v>-309745509.25</v>
      </c>
      <c r="AC58" s="250">
        <f t="shared" si="5"/>
        <v>-314645545.5</v>
      </c>
      <c r="AD58" s="250">
        <f t="shared" si="5"/>
        <v>-317144154</v>
      </c>
      <c r="AE58" s="250">
        <f t="shared" si="5"/>
        <v>-319642762.5</v>
      </c>
      <c r="AF58" s="250">
        <f t="shared" si="5"/>
        <v>-322141371</v>
      </c>
      <c r="AG58" s="250">
        <f t="shared" si="5"/>
        <v>-324639979.5</v>
      </c>
      <c r="AH58" s="250">
        <f t="shared" si="5"/>
        <v>-327138588</v>
      </c>
      <c r="AI58" s="250">
        <f t="shared" si="5"/>
        <v>-329637196.5</v>
      </c>
      <c r="AJ58" s="250">
        <f t="shared" si="5"/>
        <v>-332135805</v>
      </c>
      <c r="AK58" s="250">
        <f t="shared" si="5"/>
        <v>-334634413.5</v>
      </c>
      <c r="AL58" s="250">
        <f t="shared" si="5"/>
        <v>-337133022</v>
      </c>
      <c r="AM58" s="250">
        <f t="shared" si="5"/>
        <v>-346824464.75</v>
      </c>
      <c r="AN58" s="250">
        <f t="shared" si="5"/>
        <v>-357252268.72500002</v>
      </c>
      <c r="AO58" s="250">
        <f t="shared" si="5"/>
        <v>-358721442.00650001</v>
      </c>
      <c r="AP58" s="250">
        <f t="shared" si="5"/>
        <v>-357205425.926</v>
      </c>
      <c r="AQ58" s="250">
        <f t="shared" si="5"/>
        <v>-355689409.84549999</v>
      </c>
      <c r="AR58" s="250">
        <f t="shared" si="5"/>
        <v>-354173393.76499999</v>
      </c>
      <c r="AS58" s="250">
        <f t="shared" si="5"/>
        <v>-352657377.68449998</v>
      </c>
      <c r="AT58" s="250">
        <f t="shared" si="5"/>
        <v>-351141361.60399997</v>
      </c>
      <c r="AU58" s="250">
        <f t="shared" si="5"/>
        <v>-349625345.52349997</v>
      </c>
      <c r="AV58" s="250">
        <f t="shared" si="5"/>
        <v>-348109329.44299996</v>
      </c>
      <c r="AW58" s="250">
        <f t="shared" si="5"/>
        <v>-346593313.36249995</v>
      </c>
      <c r="AX58" s="250">
        <f t="shared" si="5"/>
        <v>-345077297.28199995</v>
      </c>
      <c r="AY58" s="250">
        <f t="shared" si="5"/>
        <v>-352519911.89499992</v>
      </c>
      <c r="AZ58" s="250">
        <f t="shared" si="5"/>
        <v>-366345404.3713249</v>
      </c>
      <c r="BA58" s="250">
        <f t="shared" si="5"/>
        <v>-372401934.89262491</v>
      </c>
      <c r="BB58" s="250">
        <f t="shared" si="5"/>
        <v>-375881264.60162491</v>
      </c>
      <c r="BC58" s="250">
        <f t="shared" si="5"/>
        <v>-379360594.3106249</v>
      </c>
      <c r="BD58" s="250">
        <f t="shared" si="5"/>
        <v>-382839924.01962489</v>
      </c>
      <c r="BE58" s="250">
        <f t="shared" si="5"/>
        <v>-386319253.72862488</v>
      </c>
      <c r="BF58" s="250">
        <f t="shared" si="5"/>
        <v>-389798583.43762487</v>
      </c>
      <c r="BG58" s="250">
        <f t="shared" si="5"/>
        <v>-393277913.14662486</v>
      </c>
      <c r="BH58" s="250">
        <f t="shared" si="5"/>
        <v>-396757242.85562485</v>
      </c>
      <c r="BI58" s="250">
        <f t="shared" si="5"/>
        <v>-400236572.56462485</v>
      </c>
      <c r="BJ58" s="250">
        <f t="shared" si="5"/>
        <v>-403715902.27362484</v>
      </c>
      <c r="BK58" s="250">
        <f t="shared" si="5"/>
        <v>-414947152.67359984</v>
      </c>
    </row>
    <row r="59" spans="1:64" x14ac:dyDescent="0.15">
      <c r="B59" s="33" t="s">
        <v>1080</v>
      </c>
      <c r="C59" s="259">
        <f ca="1">+'FIN-CASHFLOW_CWS'!C58</f>
        <v>76160000</v>
      </c>
      <c r="D59" s="259">
        <f ca="1">+'FIN-CASHFLOW_CWS'!D58</f>
        <v>76160000</v>
      </c>
      <c r="E59" s="259">
        <f ca="1">+'FIN-CASHFLOW_CWS'!E58</f>
        <v>76160000</v>
      </c>
      <c r="F59" s="259">
        <f ca="1">+'FIN-CASHFLOW_CWS'!F58</f>
        <v>76160000</v>
      </c>
      <c r="G59" s="259">
        <f ca="1">+'FIN-CASHFLOW_CWS'!G58</f>
        <v>44260000</v>
      </c>
      <c r="H59" s="259">
        <f ca="1">+'FIN-CASHFLOW_CWS'!H58</f>
        <v>29040000</v>
      </c>
      <c r="I59" s="259">
        <f ca="1">+'FIN-CASHFLOW_CWS'!I58</f>
        <v>14074999.999999998</v>
      </c>
      <c r="J59" s="259">
        <f ca="1">+'FIN-CASHFLOW_CWS'!J58</f>
        <v>0</v>
      </c>
      <c r="K59" s="259">
        <f ca="1">+'FIN-CASHFLOW_CWS'!K58</f>
        <v>85930975</v>
      </c>
      <c r="L59" s="259">
        <f ca="1">+'FIN-CASHFLOW_CWS'!L58</f>
        <v>71935975</v>
      </c>
      <c r="M59" s="259">
        <f ca="1">+'FIN-CASHFLOW_CWS'!M58</f>
        <v>57940975</v>
      </c>
      <c r="N59" s="259">
        <f ca="1">+'FIN-CASHFLOW_CWS'!N58</f>
        <v>43945975</v>
      </c>
      <c r="O59" s="259">
        <f ca="1">+'FIN-CASHFLOW_CWS'!O58</f>
        <v>29758475</v>
      </c>
      <c r="P59" s="259">
        <f ca="1">+'FIN-CASHFLOW_CWS'!P58</f>
        <v>13639375</v>
      </c>
      <c r="Q59" s="259">
        <f ca="1">+'FIN-CASHFLOW_CWS'!Q58</f>
        <v>0</v>
      </c>
      <c r="R59" s="259">
        <f ca="1">+'FIN-CASHFLOW_CWS'!R58</f>
        <v>108770850</v>
      </c>
      <c r="S59" s="259">
        <f ca="1">+'FIN-CASHFLOW_CWS'!S58</f>
        <v>96960725</v>
      </c>
      <c r="T59" s="259">
        <f ca="1">+'FIN-CASHFLOW_CWS'!T58</f>
        <v>85150600</v>
      </c>
      <c r="U59" s="259">
        <f ca="1">+'FIN-CASHFLOW_CWS'!U58</f>
        <v>73340475</v>
      </c>
      <c r="V59" s="259">
        <f ca="1">+'FIN-CASHFLOW_CWS'!V58</f>
        <v>61530350</v>
      </c>
      <c r="W59" s="259">
        <f ca="1">+'FIN-CASHFLOW_CWS'!W58</f>
        <v>49720225</v>
      </c>
      <c r="X59" s="259">
        <f ca="1">+'FIN-CASHFLOW_CWS'!X58</f>
        <v>37910100</v>
      </c>
      <c r="Y59" s="259">
        <f ca="1">+'FIN-CASHFLOW_CWS'!Y58</f>
        <v>26099975</v>
      </c>
      <c r="Z59" s="259">
        <f ca="1">+'FIN-CASHFLOW_CWS'!Z58</f>
        <v>14289850</v>
      </c>
      <c r="AA59" s="259">
        <f ca="1">+'FIN-CASHFLOW_CWS'!AA58</f>
        <v>0</v>
      </c>
      <c r="AB59" s="259">
        <f ca="1">+'FIN-CASHFLOW_CWS'!AB58</f>
        <v>-12078559.249999998</v>
      </c>
      <c r="AC59" s="259">
        <f ca="1">+'FIN-CASHFLOW_CWS'!AC58</f>
        <v>-16978595.499999993</v>
      </c>
      <c r="AD59" s="259">
        <f ca="1">+'FIN-CASHFLOW_CWS'!AD58</f>
        <v>-19477203.999999993</v>
      </c>
      <c r="AE59" s="259">
        <f ca="1">+'FIN-CASHFLOW_CWS'!AE58</f>
        <v>-21975812.499999993</v>
      </c>
      <c r="AF59" s="259">
        <f ca="1">+'FIN-CASHFLOW_CWS'!AF58</f>
        <v>-24474420.999999993</v>
      </c>
      <c r="AG59" s="259">
        <f ca="1">+'FIN-CASHFLOW_CWS'!AG58</f>
        <v>-26973029.499999993</v>
      </c>
      <c r="AH59" s="259">
        <f ca="1">+'FIN-CASHFLOW_CWS'!AH58</f>
        <v>-29471637.999999993</v>
      </c>
      <c r="AI59" s="259">
        <f ca="1">+'FIN-CASHFLOW_CWS'!AI58</f>
        <v>-31970246.499999993</v>
      </c>
      <c r="AJ59" s="259">
        <f ca="1">+'FIN-CASHFLOW_CWS'!AJ58</f>
        <v>-34468854.999999993</v>
      </c>
      <c r="AK59" s="259">
        <f ca="1">+'FIN-CASHFLOW_CWS'!AK58</f>
        <v>-36967463.499999993</v>
      </c>
      <c r="AL59" s="259">
        <f ca="1">+'FIN-CASHFLOW_CWS'!AL58</f>
        <v>-39466071.999999993</v>
      </c>
      <c r="AM59" s="259">
        <f ca="1">+'FIN-CASHFLOW_CWS'!AM58</f>
        <v>-49157514.749999993</v>
      </c>
      <c r="AN59" s="259">
        <f ca="1">+'FIN-CASHFLOW_CWS'!AN58</f>
        <v>-59585318.724999994</v>
      </c>
      <c r="AO59" s="259">
        <f ca="1">+'FIN-CASHFLOW_CWS'!AO58</f>
        <v>-61054492.006499991</v>
      </c>
      <c r="AP59" s="259">
        <f ca="1">+'FIN-CASHFLOW_CWS'!AP58</f>
        <v>-59538475.925999984</v>
      </c>
      <c r="AQ59" s="259">
        <f ca="1">+'FIN-CASHFLOW_CWS'!AQ58</f>
        <v>-58022459.845499977</v>
      </c>
      <c r="AR59" s="259">
        <f ca="1">+'FIN-CASHFLOW_CWS'!AR58</f>
        <v>-56506443.764999971</v>
      </c>
      <c r="AS59" s="259">
        <f ca="1">+'FIN-CASHFLOW_CWS'!AS58</f>
        <v>-54990427.684499964</v>
      </c>
      <c r="AT59" s="259">
        <f ca="1">+'FIN-CASHFLOW_CWS'!AT58</f>
        <v>-53474411.603999957</v>
      </c>
      <c r="AU59" s="259">
        <f ca="1">+'FIN-CASHFLOW_CWS'!AU58</f>
        <v>-51958395.523499951</v>
      </c>
      <c r="AV59" s="259">
        <f ca="1">+'FIN-CASHFLOW_CWS'!AV58</f>
        <v>-50442379.442999944</v>
      </c>
      <c r="AW59" s="259">
        <f ca="1">+'FIN-CASHFLOW_CWS'!AW58</f>
        <v>-48926363.362499937</v>
      </c>
      <c r="AX59" s="259">
        <f ca="1">+'FIN-CASHFLOW_CWS'!AX58</f>
        <v>-47410347.281999931</v>
      </c>
      <c r="AY59" s="259">
        <f ca="1">+'FIN-CASHFLOW_CWS'!AY58</f>
        <v>-54852961.894999929</v>
      </c>
      <c r="AZ59" s="259">
        <f ca="1">+'FIN-CASHFLOW_CWS'!AZ58</f>
        <v>-68678454.371324927</v>
      </c>
      <c r="BA59" s="259">
        <f ca="1">+'FIN-CASHFLOW_CWS'!BA58</f>
        <v>-74734984.89262493</v>
      </c>
      <c r="BB59" s="259">
        <f ca="1">+'FIN-CASHFLOW_CWS'!BB58</f>
        <v>-78214314.601624936</v>
      </c>
      <c r="BC59" s="259">
        <f ca="1">+'FIN-CASHFLOW_CWS'!BC58</f>
        <v>-81693644.310624927</v>
      </c>
      <c r="BD59" s="259">
        <f ca="1">+'FIN-CASHFLOW_CWS'!BD58</f>
        <v>-85172974.019624919</v>
      </c>
      <c r="BE59" s="259">
        <f ca="1">+'FIN-CASHFLOW_CWS'!BE58</f>
        <v>-88652303.72862491</v>
      </c>
      <c r="BF59" s="259">
        <f ca="1">+'FIN-CASHFLOW_CWS'!BF58</f>
        <v>-92131633.437624902</v>
      </c>
      <c r="BG59" s="259">
        <f ca="1">+'FIN-CASHFLOW_CWS'!BG58</f>
        <v>-95610963.146624893</v>
      </c>
      <c r="BH59" s="259">
        <f ca="1">+'FIN-CASHFLOW_CWS'!BH58</f>
        <v>-99090292.855624884</v>
      </c>
      <c r="BI59" s="259">
        <f ca="1">+'FIN-CASHFLOW_CWS'!BI58</f>
        <v>-102569622.56462488</v>
      </c>
      <c r="BJ59" s="259">
        <f ca="1">+'FIN-CASHFLOW_CWS'!BJ58</f>
        <v>-106048952.27362487</v>
      </c>
      <c r="BK59" s="259">
        <f ca="1">+'FIN-CASHFLOW_CWS'!BK58</f>
        <v>-117280202.67359987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90" t="s">
        <v>310</v>
      </c>
      <c r="B2" s="390"/>
      <c r="C2" s="197"/>
    </row>
    <row r="3" spans="1:62" x14ac:dyDescent="0.15">
      <c r="A3" s="10"/>
      <c r="B3" s="10" t="s">
        <v>721</v>
      </c>
      <c r="C3" s="197"/>
    </row>
    <row r="4" spans="1:62" x14ac:dyDescent="0.15">
      <c r="C4" s="390" t="s">
        <v>35</v>
      </c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 t="s">
        <v>36</v>
      </c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 t="s">
        <v>37</v>
      </c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 t="s">
        <v>38</v>
      </c>
      <c r="AN4" s="390"/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 t="s">
        <v>39</v>
      </c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396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399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397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712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400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713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722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129998000</v>
      </c>
      <c r="E4" s="63">
        <f>REV_DB!F24</f>
        <v>253626120</v>
      </c>
      <c r="F4" s="63">
        <f>REV_DB!G24</f>
        <v>560772508.99999988</v>
      </c>
      <c r="G4" s="63">
        <f>REV_DB!H24</f>
        <v>103488000</v>
      </c>
      <c r="H4" s="63">
        <f>REV_DB!I24</f>
        <v>103488000</v>
      </c>
      <c r="I4" s="181">
        <f>SUM(D4:H4)</f>
        <v>1151372629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56507000</v>
      </c>
      <c r="E5" s="63">
        <f>REV_DB!F17</f>
        <v>160394070</v>
      </c>
      <c r="F5" s="63">
        <f>REV_DB!G17</f>
        <v>473410425.49999988</v>
      </c>
      <c r="G5" s="63">
        <f>REV_DB!H17</f>
        <v>34368581.364999995</v>
      </c>
      <c r="H5" s="63">
        <f>REV_DB!I17</f>
        <v>37872173.718925007</v>
      </c>
      <c r="I5" s="181">
        <f>SUM(D5:H5)</f>
        <v>762552250.58392489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661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672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673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674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718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675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700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396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399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397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712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400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713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716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714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90" t="s">
        <v>36</v>
      </c>
      <c r="Q41" s="390"/>
      <c r="R41" s="390"/>
      <c r="S41" s="390"/>
      <c r="T41" s="390"/>
      <c r="U41" s="390"/>
      <c r="V41" s="390"/>
      <c r="W41" s="390"/>
      <c r="X41" s="390"/>
      <c r="Y41" s="390"/>
      <c r="Z41" s="390"/>
      <c r="AA41" s="390"/>
      <c r="AB41" s="390" t="s">
        <v>37</v>
      </c>
      <c r="AC41" s="390"/>
      <c r="AD41" s="390"/>
      <c r="AE41" s="390"/>
      <c r="AF41" s="390"/>
      <c r="AG41" s="390"/>
      <c r="AH41" s="390"/>
      <c r="AI41" s="390"/>
      <c r="AJ41" s="390"/>
      <c r="AK41" s="390"/>
      <c r="AL41" s="390"/>
      <c r="AM41" s="390"/>
      <c r="AN41" s="390" t="s">
        <v>38</v>
      </c>
      <c r="AO41" s="390"/>
      <c r="AP41" s="390"/>
      <c r="AQ41" s="390"/>
      <c r="AR41" s="390"/>
      <c r="AS41" s="390"/>
      <c r="AT41" s="390"/>
      <c r="AU41" s="390"/>
      <c r="AV41" s="390"/>
      <c r="AW41" s="390"/>
      <c r="AX41" s="390"/>
      <c r="AY41" s="390"/>
      <c r="AZ41" s="390" t="s">
        <v>39</v>
      </c>
      <c r="BA41" s="390"/>
      <c r="BB41" s="390"/>
      <c r="BC41" s="390"/>
      <c r="BD41" s="390"/>
      <c r="BE41" s="390"/>
      <c r="BF41" s="390"/>
      <c r="BG41" s="390"/>
      <c r="BH41" s="390"/>
      <c r="BI41" s="390"/>
      <c r="BJ41" s="390"/>
      <c r="BK41" s="390"/>
      <c r="BL41" s="35"/>
      <c r="BM41" s="212"/>
    </row>
    <row r="42" spans="2:75" s="14" customFormat="1" x14ac:dyDescent="0.15">
      <c r="B42" s="73" t="s">
        <v>677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90" t="s">
        <v>35</v>
      </c>
      <c r="F44" s="390"/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 t="s">
        <v>36</v>
      </c>
      <c r="R44" s="390"/>
      <c r="S44" s="390"/>
      <c r="T44" s="390"/>
      <c r="U44" s="390"/>
      <c r="V44" s="390"/>
      <c r="W44" s="390"/>
      <c r="X44" s="390"/>
      <c r="Y44" s="390"/>
      <c r="Z44" s="390"/>
      <c r="AA44" s="390"/>
      <c r="AB44" s="390"/>
      <c r="AC44" s="390" t="s">
        <v>37</v>
      </c>
      <c r="AD44" s="390"/>
      <c r="AE44" s="390"/>
      <c r="AF44" s="390"/>
      <c r="AG44" s="390"/>
      <c r="AH44" s="390"/>
      <c r="AI44" s="390"/>
      <c r="AJ44" s="390"/>
      <c r="AK44" s="390"/>
      <c r="AL44" s="390"/>
      <c r="AM44" s="390"/>
      <c r="AN44" s="390"/>
      <c r="AO44" s="390" t="s">
        <v>38</v>
      </c>
      <c r="AP44" s="390"/>
      <c r="AQ44" s="390"/>
      <c r="AR44" s="390"/>
      <c r="AS44" s="390"/>
      <c r="AT44" s="390"/>
      <c r="AU44" s="390"/>
      <c r="AV44" s="390"/>
      <c r="AW44" s="390"/>
      <c r="AX44" s="390"/>
      <c r="AY44" s="390"/>
      <c r="AZ44" s="390"/>
      <c r="BA44" s="390" t="s">
        <v>39</v>
      </c>
      <c r="BB44" s="390"/>
      <c r="BC44" s="390"/>
      <c r="BD44" s="390"/>
      <c r="BE44" s="390"/>
      <c r="BF44" s="390"/>
      <c r="BG44" s="390"/>
      <c r="BH44" s="390"/>
      <c r="BI44" s="390"/>
      <c r="BJ44" s="390"/>
      <c r="BK44" s="390"/>
      <c r="BL44" s="390"/>
      <c r="BM44" s="65"/>
    </row>
    <row r="45" spans="2:75" customFormat="1" x14ac:dyDescent="0.15">
      <c r="B45" s="14" t="s">
        <v>711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407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402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408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525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570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571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402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409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403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406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407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405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402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410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726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727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372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373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402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412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406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402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413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441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374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395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399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397</v>
      </c>
    </row>
    <row r="132" spans="1:75" x14ac:dyDescent="0.15">
      <c r="A132" s="75"/>
      <c r="B132" s="47" t="s">
        <v>414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415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398</v>
      </c>
    </row>
    <row r="136" spans="1:75" x14ac:dyDescent="0.15">
      <c r="A136" s="75"/>
      <c r="B136" s="47" t="s">
        <v>416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400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417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4" t="s">
        <v>35</v>
      </c>
      <c r="E143" s="394"/>
      <c r="F143" s="394"/>
      <c r="G143" s="394"/>
      <c r="H143" s="394"/>
      <c r="I143" s="394"/>
      <c r="J143" s="394"/>
      <c r="K143" s="394"/>
      <c r="L143" s="394"/>
      <c r="M143" s="394"/>
      <c r="N143" s="394"/>
      <c r="O143" s="39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666</v>
      </c>
      <c r="BM144" s="181" t="s">
        <v>599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763</v>
      </c>
      <c r="D1" s="75"/>
      <c r="E1" s="390" t="s">
        <v>35</v>
      </c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 t="s">
        <v>36</v>
      </c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 t="s">
        <v>37</v>
      </c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 t="s">
        <v>38</v>
      </c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 t="s">
        <v>39</v>
      </c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403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406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407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405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372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373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402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404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408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403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525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570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571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407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405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372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373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402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404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409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403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406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407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405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372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373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402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404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410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1249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726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727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407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405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372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373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402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404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412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403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406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407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405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372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373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402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404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413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374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395</v>
      </c>
    </row>
    <row r="78" spans="1:64" x14ac:dyDescent="0.15">
      <c r="B78" s="50"/>
    </row>
    <row r="79" spans="1:64" x14ac:dyDescent="0.15">
      <c r="B79" s="14" t="s">
        <v>396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399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397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414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415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416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400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417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90" t="s">
        <v>310</v>
      </c>
      <c r="B2" s="390"/>
      <c r="C2" s="197"/>
    </row>
    <row r="3" spans="1:63" x14ac:dyDescent="0.15">
      <c r="A3" s="10"/>
      <c r="B3" s="10" t="s">
        <v>685</v>
      </c>
      <c r="C3" s="197"/>
    </row>
    <row r="4" spans="1:63" x14ac:dyDescent="0.15">
      <c r="C4" s="198"/>
      <c r="D4" s="390" t="s">
        <v>35</v>
      </c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 t="s">
        <v>36</v>
      </c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 t="s">
        <v>37</v>
      </c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 t="s">
        <v>38</v>
      </c>
      <c r="AO4" s="390"/>
      <c r="AP4" s="390"/>
      <c r="AQ4" s="390"/>
      <c r="AR4" s="390"/>
      <c r="AS4" s="390"/>
      <c r="AT4" s="390"/>
      <c r="AU4" s="390"/>
      <c r="AV4" s="390"/>
      <c r="AW4" s="390"/>
      <c r="AX4" s="390"/>
      <c r="AY4" s="390"/>
      <c r="AZ4" s="390" t="s">
        <v>39</v>
      </c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385000</v>
      </c>
      <c r="H7" s="9">
        <f>'FIN-P&amp;L_CWS'!I129</f>
        <v>1830000</v>
      </c>
      <c r="I7" s="9">
        <f>'FIN-P&amp;L_CWS'!J129</f>
        <v>3925000</v>
      </c>
      <c r="J7" s="9">
        <f>'FIN-P&amp;L_CWS'!K129</f>
        <v>3925000</v>
      </c>
      <c r="K7" s="9">
        <f>'FIN-P&amp;L_CWS'!L129</f>
        <v>3925000</v>
      </c>
      <c r="L7" s="9">
        <f>'FIN-P&amp;L_CWS'!M129</f>
        <v>3925000</v>
      </c>
      <c r="M7" s="9">
        <f>'FIN-P&amp;L_CWS'!N129</f>
        <v>3925000</v>
      </c>
      <c r="N7" s="9">
        <f>'FIN-P&amp;L_CWS'!O129</f>
        <v>3925000</v>
      </c>
      <c r="O7" s="9">
        <f>'FIN-P&amp;L_CWS'!P129</f>
        <v>3732500</v>
      </c>
      <c r="P7" s="9">
        <f>'FIN-P&amp;L_CWS'!Q129</f>
        <v>4140900</v>
      </c>
      <c r="Q7" s="9">
        <f>'FIN-P&amp;L_CWS'!R129</f>
        <v>6620625</v>
      </c>
      <c r="R7" s="9">
        <f>'FIN-P&amp;L_CWS'!S129</f>
        <v>7449875</v>
      </c>
      <c r="S7" s="9">
        <f>'FIN-P&amp;L_CWS'!T129</f>
        <v>7449875</v>
      </c>
      <c r="T7" s="9">
        <f>'FIN-P&amp;L_CWS'!U129</f>
        <v>7449875</v>
      </c>
      <c r="U7" s="9">
        <f>'FIN-P&amp;L_CWS'!V129</f>
        <v>7449875</v>
      </c>
      <c r="V7" s="9">
        <f>'FIN-P&amp;L_CWS'!W129</f>
        <v>7449875</v>
      </c>
      <c r="W7" s="9">
        <f>'FIN-P&amp;L_CWS'!X129</f>
        <v>7449875</v>
      </c>
      <c r="X7" s="9">
        <f>'FIN-P&amp;L_CWS'!Y129</f>
        <v>7449875</v>
      </c>
      <c r="Y7" s="9">
        <f>'FIN-P&amp;L_CWS'!Z129</f>
        <v>7449875</v>
      </c>
      <c r="Z7" s="9">
        <f>'FIN-P&amp;L_CWS'!AA129</f>
        <v>7449875</v>
      </c>
      <c r="AA7" s="9">
        <f>'FIN-P&amp;L_CWS'!AB129</f>
        <v>4970150</v>
      </c>
      <c r="AB7" s="9">
        <f>'FIN-P&amp;L_CWS'!AC129</f>
        <v>11984240.750000002</v>
      </c>
      <c r="AC7" s="9">
        <f>'FIN-P&amp;L_CWS'!AD129</f>
        <v>19162763.750000004</v>
      </c>
      <c r="AD7" s="9">
        <f>'FIN-P&amp;L_CWS'!AE129</f>
        <v>21564191.5</v>
      </c>
      <c r="AE7" s="9">
        <f>'FIN-P&amp;L_CWS'!AF129</f>
        <v>21564191.5</v>
      </c>
      <c r="AF7" s="9">
        <f>'FIN-P&amp;L_CWS'!AG129</f>
        <v>21564191.5</v>
      </c>
      <c r="AG7" s="9">
        <f>'FIN-P&amp;L_CWS'!AH129</f>
        <v>21564191.5</v>
      </c>
      <c r="AH7" s="9">
        <f>'FIN-P&amp;L_CWS'!AI129</f>
        <v>21564191.5</v>
      </c>
      <c r="AI7" s="9">
        <f>'FIN-P&amp;L_CWS'!AJ129</f>
        <v>21564191.5</v>
      </c>
      <c r="AJ7" s="9">
        <f>'FIN-P&amp;L_CWS'!AK129</f>
        <v>21564191.5</v>
      </c>
      <c r="AK7" s="9">
        <f>'FIN-P&amp;L_CWS'!AL129</f>
        <v>21564191.5</v>
      </c>
      <c r="AL7" s="9">
        <f>'FIN-P&amp;L_CWS'!AM129</f>
        <v>21564191.5</v>
      </c>
      <c r="AM7" s="9">
        <f>'FIN-P&amp;L_CWS'!AN129</f>
        <v>14371357.250000002</v>
      </c>
      <c r="AN7" s="9">
        <f>'FIN-P&amp;L_CWS'!AO129</f>
        <v>14932072.025000002</v>
      </c>
      <c r="AO7" s="9">
        <f>'FIN-P&amp;L_CWS'!AP129</f>
        <v>23890702.718500003</v>
      </c>
      <c r="AP7" s="9">
        <f>'FIN-P&amp;L_CWS'!AQ129</f>
        <v>26875892.080500007</v>
      </c>
      <c r="AQ7" s="9">
        <f>'FIN-P&amp;L_CWS'!AR129</f>
        <v>26875892.080500007</v>
      </c>
      <c r="AR7" s="9">
        <f>'FIN-P&amp;L_CWS'!AS129</f>
        <v>26875892.080500007</v>
      </c>
      <c r="AS7" s="9">
        <f>'FIN-P&amp;L_CWS'!AT129</f>
        <v>26875892.080500007</v>
      </c>
      <c r="AT7" s="9">
        <f>'FIN-P&amp;L_CWS'!AU129</f>
        <v>26875892.080500007</v>
      </c>
      <c r="AU7" s="9">
        <f>'FIN-P&amp;L_CWS'!AV129</f>
        <v>26875892.080500007</v>
      </c>
      <c r="AV7" s="9">
        <f>'FIN-P&amp;L_CWS'!AW129</f>
        <v>26875892.080500007</v>
      </c>
      <c r="AW7" s="9">
        <f>'FIN-P&amp;L_CWS'!AX129</f>
        <v>26875892.080500007</v>
      </c>
      <c r="AX7" s="9">
        <f>'FIN-P&amp;L_CWS'!AY129</f>
        <v>26875892.080500007</v>
      </c>
      <c r="AY7" s="9">
        <f>'FIN-P&amp;L_CWS'!AZ129</f>
        <v>17917261.387000002</v>
      </c>
      <c r="AZ7" s="9">
        <f>'FIN-P&amp;L_CWS'!BA129</f>
        <v>12940404.843675001</v>
      </c>
      <c r="BA7" s="9">
        <f>'FIN-P&amp;L_CWS'!BB129</f>
        <v>20709366.798700001</v>
      </c>
      <c r="BB7" s="9">
        <f>'FIN-P&amp;L_CWS'!BC129</f>
        <v>23286567.611000005</v>
      </c>
      <c r="BC7" s="9">
        <f>'FIN-P&amp;L_CWS'!BD129</f>
        <v>23286567.611000005</v>
      </c>
      <c r="BD7" s="9">
        <f>'FIN-P&amp;L_CWS'!BE129</f>
        <v>23286567.611000005</v>
      </c>
      <c r="BE7" s="9">
        <f>'FIN-P&amp;L_CWS'!BF129</f>
        <v>23286567.611000005</v>
      </c>
      <c r="BF7" s="9">
        <f>'FIN-P&amp;L_CWS'!BG129</f>
        <v>23286567.611000005</v>
      </c>
      <c r="BG7" s="9">
        <f>'FIN-P&amp;L_CWS'!BH129</f>
        <v>23286567.611000005</v>
      </c>
      <c r="BH7" s="9">
        <f>'FIN-P&amp;L_CWS'!BI129</f>
        <v>23286567.611000005</v>
      </c>
      <c r="BI7" s="9">
        <f>'FIN-P&amp;L_CWS'!BJ129</f>
        <v>23286567.611000005</v>
      </c>
      <c r="BJ7" s="9">
        <f>'FIN-P&amp;L_CWS'!BK129</f>
        <v>23286567.611000005</v>
      </c>
      <c r="BK7" s="9">
        <f>'FIN-P&amp;L_CWS'!BL129</f>
        <v>15534646.920025006</v>
      </c>
    </row>
    <row r="8" spans="1:63" x14ac:dyDescent="0.15">
      <c r="B8" s="44" t="s">
        <v>632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351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-21678250</v>
      </c>
      <c r="H9" s="9">
        <f>'FIN-P&amp;L_CWS'!I208</f>
        <v>-15235916.666666668</v>
      </c>
      <c r="I9" s="9">
        <f>'FIN-P&amp;L_CWS'!J208</f>
        <v>-15140916.666666668</v>
      </c>
      <c r="J9" s="9">
        <f>'FIN-P&amp;L_CWS'!K208</f>
        <v>-14172250</v>
      </c>
      <c r="K9" s="9">
        <f>'FIN-P&amp;L_CWS'!L208</f>
        <v>-14172250</v>
      </c>
      <c r="L9" s="9">
        <f>'FIN-P&amp;L_CWS'!M208</f>
        <v>-14172250</v>
      </c>
      <c r="M9" s="9">
        <f>'FIN-P&amp;L_CWS'!N208</f>
        <v>-14172250</v>
      </c>
      <c r="N9" s="9">
        <f>'FIN-P&amp;L_CWS'!O208</f>
        <v>-14172250</v>
      </c>
      <c r="O9" s="9">
        <f>'FIN-P&amp;L_CWS'!P208</f>
        <v>-14364750</v>
      </c>
      <c r="P9" s="9">
        <f>'FIN-P&amp;L_CWS'!Q208</f>
        <v>-16296350</v>
      </c>
      <c r="Q9" s="9">
        <f>'FIN-P&amp;L_CWS'!R208</f>
        <v>-13816625</v>
      </c>
      <c r="R9" s="9">
        <f>'FIN-P&amp;L_CWS'!S208</f>
        <v>-12987375</v>
      </c>
      <c r="S9" s="9">
        <f>'FIN-P&amp;L_CWS'!T208</f>
        <v>-11987375</v>
      </c>
      <c r="T9" s="9">
        <f>'FIN-P&amp;L_CWS'!U208</f>
        <v>-11987375</v>
      </c>
      <c r="U9" s="9">
        <f>'FIN-P&amp;L_CWS'!V208</f>
        <v>-11987375</v>
      </c>
      <c r="V9" s="9">
        <f>'FIN-P&amp;L_CWS'!W208</f>
        <v>-11987375</v>
      </c>
      <c r="W9" s="9">
        <f>'FIN-P&amp;L_CWS'!X208</f>
        <v>-11987375</v>
      </c>
      <c r="X9" s="9">
        <f>'FIN-P&amp;L_CWS'!Y208</f>
        <v>-11987375</v>
      </c>
      <c r="Y9" s="9">
        <f>'FIN-P&amp;L_CWS'!Z208</f>
        <v>-11987375</v>
      </c>
      <c r="Z9" s="9">
        <f>'FIN-P&amp;L_CWS'!AA208</f>
        <v>-11987375</v>
      </c>
      <c r="AA9" s="9">
        <f>'FIN-P&amp;L_CWS'!AB208</f>
        <v>-14467100</v>
      </c>
      <c r="AB9" s="9">
        <f>'FIN-P&amp;L_CWS'!AC208</f>
        <v>-12255809.249999998</v>
      </c>
      <c r="AC9" s="9">
        <f>'FIN-P&amp;L_CWS'!AD208</f>
        <v>-5077286.2499999963</v>
      </c>
      <c r="AD9" s="9">
        <f>'FIN-P&amp;L_CWS'!AE208</f>
        <v>-2675858.5</v>
      </c>
      <c r="AE9" s="9">
        <f>'FIN-P&amp;L_CWS'!AF208</f>
        <v>-2675858.5</v>
      </c>
      <c r="AF9" s="9">
        <f>'FIN-P&amp;L_CWS'!AG208</f>
        <v>-2675858.5</v>
      </c>
      <c r="AG9" s="9">
        <f>'FIN-P&amp;L_CWS'!AH208</f>
        <v>-2675858.5</v>
      </c>
      <c r="AH9" s="9">
        <f>'FIN-P&amp;L_CWS'!AI208</f>
        <v>-2675858.5</v>
      </c>
      <c r="AI9" s="9">
        <f>'FIN-P&amp;L_CWS'!AJ208</f>
        <v>-2675858.5</v>
      </c>
      <c r="AJ9" s="9">
        <f>'FIN-P&amp;L_CWS'!AK208</f>
        <v>-2675858.5</v>
      </c>
      <c r="AK9" s="9">
        <f>'FIN-P&amp;L_CWS'!AL208</f>
        <v>-2675858.5</v>
      </c>
      <c r="AL9" s="9">
        <f>'FIN-P&amp;L_CWS'!AM208</f>
        <v>-2675858.5</v>
      </c>
      <c r="AM9" s="9">
        <f>'FIN-P&amp;L_CWS'!AN208</f>
        <v>-9868692.7499999981</v>
      </c>
      <c r="AN9" s="9">
        <f>'FIN-P&amp;L_CWS'!AO208</f>
        <v>-10605053.974999998</v>
      </c>
      <c r="AO9" s="9">
        <f>'FIN-P&amp;L_CWS'!AP208</f>
        <v>-1646423.2814999968</v>
      </c>
      <c r="AP9" s="9">
        <f>'FIN-P&amp;L_CWS'!AQ208</f>
        <v>1338766.0805000067</v>
      </c>
      <c r="AQ9" s="9">
        <f>'FIN-P&amp;L_CWS'!AR208</f>
        <v>1338766.0805000067</v>
      </c>
      <c r="AR9" s="9">
        <f>'FIN-P&amp;L_CWS'!AS208</f>
        <v>1338766.0805000067</v>
      </c>
      <c r="AS9" s="9">
        <f>'FIN-P&amp;L_CWS'!AT208</f>
        <v>1338766.0805000067</v>
      </c>
      <c r="AT9" s="9">
        <f>'FIN-P&amp;L_CWS'!AU208</f>
        <v>1338766.0805000067</v>
      </c>
      <c r="AU9" s="9">
        <f>'FIN-P&amp;L_CWS'!AV208</f>
        <v>1338766.0805000067</v>
      </c>
      <c r="AV9" s="9">
        <f>'FIN-P&amp;L_CWS'!AW208</f>
        <v>1338766.0805000067</v>
      </c>
      <c r="AW9" s="9">
        <f>'FIN-P&amp;L_CWS'!AX208</f>
        <v>1338766.0805000067</v>
      </c>
      <c r="AX9" s="9">
        <f>'FIN-P&amp;L_CWS'!AY208</f>
        <v>1338766.0805000067</v>
      </c>
      <c r="AY9" s="9">
        <f>'FIN-P&amp;L_CWS'!AZ208</f>
        <v>-7619864.612999998</v>
      </c>
      <c r="AZ9" s="9">
        <f>'FIN-P&amp;L_CWS'!BA208</f>
        <v>-14002742.476325003</v>
      </c>
      <c r="BA9" s="9">
        <f>'FIN-P&amp;L_CWS'!BB208</f>
        <v>-6233780.5213000029</v>
      </c>
      <c r="BB9" s="9">
        <f>'FIN-P&amp;L_CWS'!BC208</f>
        <v>-3656579.7089999989</v>
      </c>
      <c r="BC9" s="9">
        <f>'FIN-P&amp;L_CWS'!BD208</f>
        <v>-3656579.7089999989</v>
      </c>
      <c r="BD9" s="9">
        <f>'FIN-P&amp;L_CWS'!BE208</f>
        <v>-3656579.7089999989</v>
      </c>
      <c r="BE9" s="9">
        <f>'FIN-P&amp;L_CWS'!BF208</f>
        <v>-3656579.7089999989</v>
      </c>
      <c r="BF9" s="9">
        <f>'FIN-P&amp;L_CWS'!BG208</f>
        <v>-3656579.7089999989</v>
      </c>
      <c r="BG9" s="9">
        <f>'FIN-P&amp;L_CWS'!BH208</f>
        <v>-3656579.7089999989</v>
      </c>
      <c r="BH9" s="9">
        <f>'FIN-P&amp;L_CWS'!BI208</f>
        <v>-3656579.7089999989</v>
      </c>
      <c r="BI9" s="9">
        <f>'FIN-P&amp;L_CWS'!BJ208</f>
        <v>-3656579.7089999989</v>
      </c>
      <c r="BJ9" s="9">
        <f>'FIN-P&amp;L_CWS'!BK208</f>
        <v>-3656579.7089999989</v>
      </c>
      <c r="BK9" s="9">
        <f>'FIN-P&amp;L_CWS'!BL208</f>
        <v>-11408500.399974998</v>
      </c>
    </row>
    <row r="10" spans="1:63" x14ac:dyDescent="0.15">
      <c r="B10" s="44" t="s">
        <v>356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-21678250</v>
      </c>
      <c r="H10" s="9">
        <f>'FIN-P&amp;L_CWS'!I209</f>
        <v>-36914166.666666672</v>
      </c>
      <c r="I10" s="9">
        <f>'FIN-P&amp;L_CWS'!J209</f>
        <v>-52055083.333333343</v>
      </c>
      <c r="J10" s="9">
        <f>'FIN-P&amp;L_CWS'!K209</f>
        <v>-66227333.333333343</v>
      </c>
      <c r="K10" s="9">
        <f>'FIN-P&amp;L_CWS'!L209</f>
        <v>-80399583.333333343</v>
      </c>
      <c r="L10" s="9">
        <f>'FIN-P&amp;L_CWS'!M209</f>
        <v>-94571833.333333343</v>
      </c>
      <c r="M10" s="9">
        <f>'FIN-P&amp;L_CWS'!N209</f>
        <v>-108744083.33333334</v>
      </c>
      <c r="N10" s="9">
        <f>'FIN-P&amp;L_CWS'!O209</f>
        <v>-122916333.33333334</v>
      </c>
      <c r="O10" s="9">
        <f>'FIN-P&amp;L_CWS'!P209</f>
        <v>-137281083.33333334</v>
      </c>
      <c r="P10" s="9">
        <f>'FIN-P&amp;L_CWS'!Q209</f>
        <v>-153577433.33333334</v>
      </c>
      <c r="Q10" s="9">
        <f>'FIN-P&amp;L_CWS'!R209</f>
        <v>-167394058.33333334</v>
      </c>
      <c r="R10" s="9">
        <f>'FIN-P&amp;L_CWS'!S209</f>
        <v>-180381433.33333334</v>
      </c>
      <c r="S10" s="9">
        <f>'FIN-P&amp;L_CWS'!T209</f>
        <v>-192368808.33333334</v>
      </c>
      <c r="T10" s="9">
        <f>'FIN-P&amp;L_CWS'!U209</f>
        <v>-204356183.33333334</v>
      </c>
      <c r="U10" s="9">
        <f>'FIN-P&amp;L_CWS'!V209</f>
        <v>-216343558.33333334</v>
      </c>
      <c r="V10" s="9">
        <f>'FIN-P&amp;L_CWS'!W209</f>
        <v>-228330933.33333334</v>
      </c>
      <c r="W10" s="9">
        <f>'FIN-P&amp;L_CWS'!X209</f>
        <v>-240318308.33333334</v>
      </c>
      <c r="X10" s="9">
        <f>'FIN-P&amp;L_CWS'!Y209</f>
        <v>-252305683.33333334</v>
      </c>
      <c r="Y10" s="9">
        <f>'FIN-P&amp;L_CWS'!Z209</f>
        <v>-264293058.33333334</v>
      </c>
      <c r="Z10" s="9">
        <f>'FIN-P&amp;L_CWS'!AA209</f>
        <v>-276280433.33333337</v>
      </c>
      <c r="AA10" s="9">
        <f>'FIN-P&amp;L_CWS'!AB209</f>
        <v>-290747533.33333337</v>
      </c>
      <c r="AB10" s="9">
        <f>'FIN-P&amp;L_CWS'!AC209</f>
        <v>-303003342.58333337</v>
      </c>
      <c r="AC10" s="9">
        <f>'FIN-P&amp;L_CWS'!AD209</f>
        <v>-308080628.83333337</v>
      </c>
      <c r="AD10" s="9">
        <f>'FIN-P&amp;L_CWS'!AE209</f>
        <v>-310756487.33333337</v>
      </c>
      <c r="AE10" s="9">
        <f>'FIN-P&amp;L_CWS'!AF209</f>
        <v>-313432345.83333337</v>
      </c>
      <c r="AF10" s="9">
        <f>'FIN-P&amp;L_CWS'!AG209</f>
        <v>-316108204.33333337</v>
      </c>
      <c r="AG10" s="9">
        <f>'FIN-P&amp;L_CWS'!AH209</f>
        <v>-318784062.83333337</v>
      </c>
      <c r="AH10" s="9">
        <f>'FIN-P&amp;L_CWS'!AI209</f>
        <v>-321459921.33333337</v>
      </c>
      <c r="AI10" s="9">
        <f>'FIN-P&amp;L_CWS'!AJ209</f>
        <v>-324135779.83333337</v>
      </c>
      <c r="AJ10" s="9">
        <f>'FIN-P&amp;L_CWS'!AK209</f>
        <v>-326811638.33333337</v>
      </c>
      <c r="AK10" s="9">
        <f>'FIN-P&amp;L_CWS'!AL209</f>
        <v>-329487496.83333337</v>
      </c>
      <c r="AL10" s="9">
        <f>'FIN-P&amp;L_CWS'!AM209</f>
        <v>-332163355.33333337</v>
      </c>
      <c r="AM10" s="9">
        <f>'FIN-P&amp;L_CWS'!AN209</f>
        <v>-342032048.08333337</v>
      </c>
      <c r="AN10" s="9">
        <f>'FIN-P&amp;L_CWS'!AO209</f>
        <v>-352637102.0583334</v>
      </c>
      <c r="AO10" s="9">
        <f>'FIN-P&amp;L_CWS'!AP209</f>
        <v>-354283525.33983338</v>
      </c>
      <c r="AP10" s="9">
        <f>'FIN-P&amp;L_CWS'!AQ209</f>
        <v>-352944759.25933337</v>
      </c>
      <c r="AQ10" s="9">
        <f>'FIN-P&amp;L_CWS'!AR209</f>
        <v>-351605993.17883337</v>
      </c>
      <c r="AR10" s="9">
        <f>'FIN-P&amp;L_CWS'!AS209</f>
        <v>-350267227.09833336</v>
      </c>
      <c r="AS10" s="9">
        <f>'FIN-P&amp;L_CWS'!AT209</f>
        <v>-348928461.01783335</v>
      </c>
      <c r="AT10" s="9">
        <f>'FIN-P&amp;L_CWS'!AU209</f>
        <v>-347589694.93733335</v>
      </c>
      <c r="AU10" s="9">
        <f>'FIN-P&amp;L_CWS'!AV209</f>
        <v>-346250928.85683334</v>
      </c>
      <c r="AV10" s="9">
        <f>'FIN-P&amp;L_CWS'!AW209</f>
        <v>-344912162.77633333</v>
      </c>
      <c r="AW10" s="9">
        <f>'FIN-P&amp;L_CWS'!AX209</f>
        <v>-343573396.69583333</v>
      </c>
      <c r="AX10" s="9">
        <f>'FIN-P&amp;L_CWS'!AY209</f>
        <v>-342234630.61533332</v>
      </c>
      <c r="AY10" s="9">
        <f>'FIN-P&amp;L_CWS'!AZ209</f>
        <v>-349854495.22833329</v>
      </c>
      <c r="AZ10" s="9">
        <f>'FIN-P&amp;L_CWS'!BA209</f>
        <v>-363857237.70465827</v>
      </c>
      <c r="BA10" s="9">
        <f>'FIN-P&amp;L_CWS'!BB209</f>
        <v>-370091018.22595829</v>
      </c>
      <c r="BB10" s="9">
        <f>'FIN-P&amp;L_CWS'!BC209</f>
        <v>-373747597.93495828</v>
      </c>
      <c r="BC10" s="9">
        <f>'FIN-P&amp;L_CWS'!BD209</f>
        <v>-377404177.64395827</v>
      </c>
      <c r="BD10" s="9">
        <f>'FIN-P&amp;L_CWS'!BE209</f>
        <v>-381060757.35295826</v>
      </c>
      <c r="BE10" s="9">
        <f>'FIN-P&amp;L_CWS'!BF209</f>
        <v>-384717337.06195825</v>
      </c>
      <c r="BF10" s="9">
        <f>'FIN-P&amp;L_CWS'!BG209</f>
        <v>-388373916.77095824</v>
      </c>
      <c r="BG10" s="9">
        <f>'FIN-P&amp;L_CWS'!BH209</f>
        <v>-392030496.47995824</v>
      </c>
      <c r="BH10" s="9">
        <f>'FIN-P&amp;L_CWS'!BI209</f>
        <v>-395687076.18895823</v>
      </c>
      <c r="BI10" s="9">
        <f>'FIN-P&amp;L_CWS'!BJ209</f>
        <v>-399343655.89795822</v>
      </c>
      <c r="BJ10" s="9">
        <f>'FIN-P&amp;L_CWS'!BK209</f>
        <v>-403000235.60695821</v>
      </c>
      <c r="BK10" s="9">
        <f>'FIN-P&amp;L_CWS'!BL209</f>
        <v>-414408736.00693321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90" t="s">
        <v>35</v>
      </c>
      <c r="E13" s="390"/>
      <c r="F13" s="390"/>
      <c r="G13" s="390"/>
      <c r="H13" s="390"/>
      <c r="I13" s="390"/>
      <c r="J13" s="390"/>
      <c r="K13" s="390"/>
      <c r="L13" s="390"/>
      <c r="M13" s="390"/>
      <c r="N13" s="390"/>
      <c r="O13" s="390"/>
      <c r="P13" s="390" t="s">
        <v>36</v>
      </c>
      <c r="Q13" s="390"/>
      <c r="R13" s="390"/>
      <c r="S13" s="390"/>
      <c r="T13" s="390"/>
      <c r="U13" s="390"/>
      <c r="V13" s="390"/>
      <c r="W13" s="390"/>
      <c r="X13" s="390"/>
      <c r="Y13" s="390"/>
      <c r="Z13" s="390"/>
      <c r="AA13" s="390"/>
      <c r="AB13" s="390" t="s">
        <v>37</v>
      </c>
      <c r="AC13" s="390"/>
      <c r="AD13" s="390"/>
      <c r="AE13" s="390"/>
      <c r="AF13" s="390"/>
      <c r="AG13" s="390"/>
      <c r="AH13" s="390"/>
      <c r="AI13" s="390"/>
      <c r="AJ13" s="390"/>
      <c r="AK13" s="390"/>
      <c r="AL13" s="390"/>
      <c r="AM13" s="390"/>
      <c r="AN13" s="390" t="s">
        <v>38</v>
      </c>
      <c r="AO13" s="390"/>
      <c r="AP13" s="390"/>
      <c r="AQ13" s="390"/>
      <c r="AR13" s="390"/>
      <c r="AS13" s="390"/>
      <c r="AT13" s="390"/>
      <c r="AU13" s="390"/>
      <c r="AV13" s="390"/>
      <c r="AW13" s="390"/>
      <c r="AX13" s="390"/>
      <c r="AY13" s="390"/>
      <c r="AZ13" s="390" t="s">
        <v>39</v>
      </c>
      <c r="BA13" s="390"/>
      <c r="BB13" s="390"/>
      <c r="BC13" s="390"/>
      <c r="BD13" s="390"/>
      <c r="BE13" s="390"/>
      <c r="BF13" s="390"/>
      <c r="BG13" s="390"/>
      <c r="BH13" s="390"/>
      <c r="BI13" s="390"/>
      <c r="BJ13" s="390"/>
      <c r="BK13" s="39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688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616</v>
      </c>
      <c r="H15" s="206">
        <f>'REV-REVCALC_CWS'!G13</f>
        <v>726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681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671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351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9009000</v>
      </c>
      <c r="H19" s="9">
        <f>'REV-REVCALC_CWS'!G90</f>
        <v>12002000</v>
      </c>
      <c r="I19" s="9">
        <f>'REV-REVCALC_CWS'!H90</f>
        <v>16437000</v>
      </c>
      <c r="J19" s="9">
        <f>'REV-REVCALC_CWS'!I90</f>
        <v>16437000</v>
      </c>
      <c r="K19" s="9">
        <f>'REV-REVCALC_CWS'!J90</f>
        <v>16437000</v>
      </c>
      <c r="L19" s="9">
        <f>'REV-REVCALC_CWS'!K90</f>
        <v>16437000</v>
      </c>
      <c r="M19" s="9">
        <f>'REV-REVCALC_CWS'!L90</f>
        <v>16437000</v>
      </c>
      <c r="N19" s="9">
        <f>'REV-REVCALC_CWS'!M90</f>
        <v>16437000</v>
      </c>
      <c r="O19" s="9">
        <f>'REV-REVCALC_CWS'!N90</f>
        <v>16052500</v>
      </c>
      <c r="P19" s="9">
        <f>'REV-REVCALC_CWS'!O90</f>
        <v>16860860</v>
      </c>
      <c r="Q19" s="9">
        <f>'REV-REVCALC_CWS'!P90</f>
        <v>21793025</v>
      </c>
      <c r="R19" s="9">
        <f>'REV-REVCALC_CWS'!Q90</f>
        <v>23444035</v>
      </c>
      <c r="S19" s="9">
        <f>'REV-REVCALC_CWS'!R90</f>
        <v>23444035</v>
      </c>
      <c r="T19" s="9">
        <f>'REV-REVCALC_CWS'!S90</f>
        <v>23444035</v>
      </c>
      <c r="U19" s="9">
        <f>'REV-REVCALC_CWS'!T90</f>
        <v>23444035</v>
      </c>
      <c r="V19" s="9">
        <f>'REV-REVCALC_CWS'!U90</f>
        <v>23444035</v>
      </c>
      <c r="W19" s="9">
        <f>'REV-REVCALC_CWS'!V90</f>
        <v>23444035</v>
      </c>
      <c r="X19" s="9">
        <f>'REV-REVCALC_CWS'!W90</f>
        <v>23444035</v>
      </c>
      <c r="Y19" s="9">
        <f>'REV-REVCALC_CWS'!X90</f>
        <v>23444035</v>
      </c>
      <c r="Z19" s="9">
        <f>'REV-REVCALC_CWS'!Y90</f>
        <v>23444035</v>
      </c>
      <c r="AA19" s="9">
        <f>'REV-REVCALC_CWS'!Z90</f>
        <v>18511870</v>
      </c>
      <c r="AB19" s="9">
        <f>'REV-REVCALC_CWS'!AA90</f>
        <v>33083071.150000002</v>
      </c>
      <c r="AC19" s="9">
        <f>'REV-REVCALC_CWS'!AB90</f>
        <v>47735501.350000001</v>
      </c>
      <c r="AD19" s="9">
        <f>'REV-REVCALC_CWS'!AC90</f>
        <v>52637390.700000003</v>
      </c>
      <c r="AE19" s="9">
        <f>'REV-REVCALC_CWS'!AD90</f>
        <v>52637390.700000003</v>
      </c>
      <c r="AF19" s="9">
        <f>'REV-REVCALC_CWS'!AE90</f>
        <v>52637390.700000003</v>
      </c>
      <c r="AG19" s="9">
        <f>'REV-REVCALC_CWS'!AF90</f>
        <v>52637390.700000003</v>
      </c>
      <c r="AH19" s="9">
        <f>'REV-REVCALC_CWS'!AG90</f>
        <v>52637390.700000003</v>
      </c>
      <c r="AI19" s="9">
        <f>'REV-REVCALC_CWS'!AH90</f>
        <v>52637390.700000003</v>
      </c>
      <c r="AJ19" s="9">
        <f>'REV-REVCALC_CWS'!AI90</f>
        <v>52637390.700000003</v>
      </c>
      <c r="AK19" s="9">
        <f>'REV-REVCALC_CWS'!AJ90</f>
        <v>52637390.700000003</v>
      </c>
      <c r="AL19" s="9">
        <f>'REV-REVCALC_CWS'!AK90</f>
        <v>52637390.700000003</v>
      </c>
      <c r="AM19" s="9">
        <f>'REV-REVCALC_CWS'!AL90</f>
        <v>37956910.450000003</v>
      </c>
      <c r="AN19" s="9">
        <f>'REV-REVCALC_CWS'!AM90</f>
        <v>36401850.025000006</v>
      </c>
      <c r="AO19" s="9">
        <f>'REV-REVCALC_CWS'!AN90</f>
        <v>53067947.5185</v>
      </c>
      <c r="AP19" s="9">
        <f>'REV-REVCALC_CWS'!AO90</f>
        <v>58622292.480500005</v>
      </c>
      <c r="AQ19" s="9">
        <f>'REV-REVCALC_CWS'!AP90</f>
        <v>58622292.480500005</v>
      </c>
      <c r="AR19" s="9">
        <f>'REV-REVCALC_CWS'!AQ90</f>
        <v>58622292.480500005</v>
      </c>
      <c r="AS19" s="9">
        <f>'REV-REVCALC_CWS'!AR90</f>
        <v>58622292.480500005</v>
      </c>
      <c r="AT19" s="9">
        <f>'REV-REVCALC_CWS'!AS90</f>
        <v>58622292.480500005</v>
      </c>
      <c r="AU19" s="9">
        <f>'REV-REVCALC_CWS'!AT90</f>
        <v>58622292.480500005</v>
      </c>
      <c r="AV19" s="9">
        <f>'REV-REVCALC_CWS'!AU90</f>
        <v>58622292.480500005</v>
      </c>
      <c r="AW19" s="9">
        <f>'REV-REVCALC_CWS'!AV90</f>
        <v>58622292.480500005</v>
      </c>
      <c r="AX19" s="9">
        <f>'REV-REVCALC_CWS'!AW90</f>
        <v>58622292.480500005</v>
      </c>
      <c r="AY19" s="9">
        <f>'REV-REVCALC_CWS'!AX90</f>
        <v>41956194.987000003</v>
      </c>
      <c r="AZ19" s="9">
        <f>'REV-REVCALC_CWS'!AY90</f>
        <v>35721001.751675002</v>
      </c>
      <c r="BA19" s="9">
        <f>'REV-REVCALC_CWS'!AZ90</f>
        <v>51986861.954700008</v>
      </c>
      <c r="BB19" s="9">
        <f>'REV-REVCALC_CWS'!BA90</f>
        <v>57386561.839000009</v>
      </c>
      <c r="BC19" s="9">
        <f>'REV-REVCALC_CWS'!BB90</f>
        <v>57386561.839000009</v>
      </c>
      <c r="BD19" s="9">
        <f>'REV-REVCALC_CWS'!BC90</f>
        <v>57386561.839000009</v>
      </c>
      <c r="BE19" s="9">
        <f>'REV-REVCALC_CWS'!BD90</f>
        <v>57386561.839000009</v>
      </c>
      <c r="BF19" s="9">
        <f>'REV-REVCALC_CWS'!BE90</f>
        <v>57386561.839000009</v>
      </c>
      <c r="BG19" s="9">
        <f>'REV-REVCALC_CWS'!BF90</f>
        <v>57386561.839000009</v>
      </c>
      <c r="BH19" s="9">
        <f>'REV-REVCALC_CWS'!BG90</f>
        <v>57386561.839000009</v>
      </c>
      <c r="BI19" s="9">
        <f>'REV-REVCALC_CWS'!BH90</f>
        <v>57386561.839000009</v>
      </c>
      <c r="BJ19" s="9">
        <f>'REV-REVCALC_CWS'!BI90</f>
        <v>57386561.839000009</v>
      </c>
      <c r="BK19" s="9">
        <f>'REV-REVCALC_CWS'!BJ90</f>
        <v>41152443.416025005</v>
      </c>
    </row>
    <row r="20" spans="2:63" x14ac:dyDescent="0.15">
      <c r="B20" s="33" t="s">
        <v>356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385000</v>
      </c>
      <c r="H20" s="9">
        <f>'REV-REVCALC_CWS'!G91</f>
        <v>1830000</v>
      </c>
      <c r="I20" s="9">
        <f>'REV-REVCALC_CWS'!H91</f>
        <v>3925000</v>
      </c>
      <c r="J20" s="9">
        <f>'REV-REVCALC_CWS'!I91</f>
        <v>3925000</v>
      </c>
      <c r="K20" s="9">
        <f>'REV-REVCALC_CWS'!J91</f>
        <v>3925000</v>
      </c>
      <c r="L20" s="9">
        <f>'REV-REVCALC_CWS'!K91</f>
        <v>3925000</v>
      </c>
      <c r="M20" s="9">
        <f>'REV-REVCALC_CWS'!L91</f>
        <v>3925000</v>
      </c>
      <c r="N20" s="9">
        <f>'REV-REVCALC_CWS'!M91</f>
        <v>3925000</v>
      </c>
      <c r="O20" s="9">
        <f>'REV-REVCALC_CWS'!N91</f>
        <v>3732500</v>
      </c>
      <c r="P20" s="9">
        <f>'REV-REVCALC_CWS'!O91</f>
        <v>4140900</v>
      </c>
      <c r="Q20" s="9">
        <f>'REV-REVCALC_CWS'!P91</f>
        <v>6620625</v>
      </c>
      <c r="R20" s="9">
        <f>'REV-REVCALC_CWS'!Q91</f>
        <v>7449875</v>
      </c>
      <c r="S20" s="9">
        <f>'REV-REVCALC_CWS'!R91</f>
        <v>7449875</v>
      </c>
      <c r="T20" s="9">
        <f>'REV-REVCALC_CWS'!S91</f>
        <v>7449875</v>
      </c>
      <c r="U20" s="9">
        <f>'REV-REVCALC_CWS'!T91</f>
        <v>7449875</v>
      </c>
      <c r="V20" s="9">
        <f>'REV-REVCALC_CWS'!U91</f>
        <v>7449875</v>
      </c>
      <c r="W20" s="9">
        <f>'REV-REVCALC_CWS'!V91</f>
        <v>7449875</v>
      </c>
      <c r="X20" s="9">
        <f>'REV-REVCALC_CWS'!W91</f>
        <v>7449875</v>
      </c>
      <c r="Y20" s="9">
        <f>'REV-REVCALC_CWS'!X91</f>
        <v>7449875</v>
      </c>
      <c r="Z20" s="9">
        <f>'REV-REVCALC_CWS'!Y91</f>
        <v>7449875</v>
      </c>
      <c r="AA20" s="9">
        <f>'REV-REVCALC_CWS'!Z91</f>
        <v>4970150</v>
      </c>
      <c r="AB20" s="9">
        <f>'REV-REVCALC_CWS'!AA91</f>
        <v>11984240.750000002</v>
      </c>
      <c r="AC20" s="9">
        <f>'REV-REVCALC_CWS'!AB91</f>
        <v>19162763.750000004</v>
      </c>
      <c r="AD20" s="9">
        <f>'REV-REVCALC_CWS'!AC91</f>
        <v>21564191.5</v>
      </c>
      <c r="AE20" s="9">
        <f>'REV-REVCALC_CWS'!AD91</f>
        <v>21564191.5</v>
      </c>
      <c r="AF20" s="9">
        <f>'REV-REVCALC_CWS'!AE91</f>
        <v>21564191.5</v>
      </c>
      <c r="AG20" s="9">
        <f>'REV-REVCALC_CWS'!AF91</f>
        <v>21564191.5</v>
      </c>
      <c r="AH20" s="9">
        <f>'REV-REVCALC_CWS'!AG91</f>
        <v>21564191.5</v>
      </c>
      <c r="AI20" s="9">
        <f>'REV-REVCALC_CWS'!AH91</f>
        <v>21564191.5</v>
      </c>
      <c r="AJ20" s="9">
        <f>'REV-REVCALC_CWS'!AI91</f>
        <v>21564191.5</v>
      </c>
      <c r="AK20" s="9">
        <f>'REV-REVCALC_CWS'!AJ91</f>
        <v>21564191.5</v>
      </c>
      <c r="AL20" s="9">
        <f>'REV-REVCALC_CWS'!AK91</f>
        <v>21564191.5</v>
      </c>
      <c r="AM20" s="9">
        <f>'REV-REVCALC_CWS'!AL91</f>
        <v>14371357.250000002</v>
      </c>
      <c r="AN20" s="9">
        <f>'REV-REVCALC_CWS'!AM91</f>
        <v>14932072.025000002</v>
      </c>
      <c r="AO20" s="9">
        <f>'REV-REVCALC_CWS'!AN91</f>
        <v>23890702.718500003</v>
      </c>
      <c r="AP20" s="9">
        <f>'REV-REVCALC_CWS'!AO91</f>
        <v>26875892.080500007</v>
      </c>
      <c r="AQ20" s="9">
        <f>'REV-REVCALC_CWS'!AP91</f>
        <v>26875892.080500007</v>
      </c>
      <c r="AR20" s="9">
        <f>'REV-REVCALC_CWS'!AQ91</f>
        <v>26875892.080500007</v>
      </c>
      <c r="AS20" s="9">
        <f>'REV-REVCALC_CWS'!AR91</f>
        <v>26875892.080500007</v>
      </c>
      <c r="AT20" s="9">
        <f>'REV-REVCALC_CWS'!AS91</f>
        <v>26875892.080500007</v>
      </c>
      <c r="AU20" s="9">
        <f>'REV-REVCALC_CWS'!AT91</f>
        <v>26875892.080500007</v>
      </c>
      <c r="AV20" s="9">
        <f>'REV-REVCALC_CWS'!AU91</f>
        <v>26875892.080500007</v>
      </c>
      <c r="AW20" s="9">
        <f>'REV-REVCALC_CWS'!AV91</f>
        <v>26875892.080500007</v>
      </c>
      <c r="AX20" s="9">
        <f>'REV-REVCALC_CWS'!AW91</f>
        <v>26875892.080500007</v>
      </c>
      <c r="AY20" s="9">
        <f>'REV-REVCALC_CWS'!AX91</f>
        <v>17917261.387000002</v>
      </c>
      <c r="AZ20" s="9">
        <f>'REV-REVCALC_CWS'!AY91</f>
        <v>12940404.843675001</v>
      </c>
      <c r="BA20" s="9">
        <f>'REV-REVCALC_CWS'!AZ91</f>
        <v>20709366.798700001</v>
      </c>
      <c r="BB20" s="9">
        <f>'REV-REVCALC_CWS'!BA91</f>
        <v>23286567.611000009</v>
      </c>
      <c r="BC20" s="9">
        <f>'REV-REVCALC_CWS'!BB91</f>
        <v>23286567.611000009</v>
      </c>
      <c r="BD20" s="9">
        <f>'REV-REVCALC_CWS'!BC91</f>
        <v>23286567.611000009</v>
      </c>
      <c r="BE20" s="9">
        <f>'REV-REVCALC_CWS'!BD91</f>
        <v>23286567.611000009</v>
      </c>
      <c r="BF20" s="9">
        <f>'REV-REVCALC_CWS'!BE91</f>
        <v>23286567.611000009</v>
      </c>
      <c r="BG20" s="9">
        <f>'REV-REVCALC_CWS'!BF91</f>
        <v>23286567.611000009</v>
      </c>
      <c r="BH20" s="9">
        <f>'REV-REVCALC_CWS'!BG91</f>
        <v>23286567.611000009</v>
      </c>
      <c r="BI20" s="9">
        <f>'REV-REVCALC_CWS'!BH91</f>
        <v>23286567.611000009</v>
      </c>
      <c r="BJ20" s="9">
        <f>'REV-REVCALC_CWS'!BI91</f>
        <v>23286567.611000009</v>
      </c>
      <c r="BK20" s="9">
        <f>'REV-REVCALC_CWS'!BJ91</f>
        <v>15534646.920025006</v>
      </c>
    </row>
    <row r="21" spans="2:63" x14ac:dyDescent="0.15">
      <c r="B21" s="190" t="s">
        <v>682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90" t="s">
        <v>35</v>
      </c>
      <c r="E24" s="390"/>
      <c r="F24" s="390"/>
      <c r="G24" s="390"/>
      <c r="H24" s="390"/>
      <c r="I24" s="390"/>
      <c r="J24" s="390"/>
      <c r="K24" s="390"/>
      <c r="L24" s="390"/>
      <c r="M24" s="390"/>
      <c r="N24" s="390"/>
      <c r="O24" s="390"/>
      <c r="P24" s="390" t="s">
        <v>36</v>
      </c>
      <c r="Q24" s="390"/>
      <c r="R24" s="390"/>
      <c r="S24" s="390"/>
      <c r="T24" s="390"/>
      <c r="U24" s="390"/>
      <c r="V24" s="390"/>
      <c r="W24" s="390"/>
      <c r="X24" s="390"/>
      <c r="Y24" s="390"/>
      <c r="Z24" s="390"/>
      <c r="AA24" s="390"/>
      <c r="AB24" s="390" t="s">
        <v>37</v>
      </c>
      <c r="AC24" s="390"/>
      <c r="AD24" s="390"/>
      <c r="AE24" s="390"/>
      <c r="AF24" s="390"/>
      <c r="AG24" s="390"/>
      <c r="AH24" s="390"/>
      <c r="AI24" s="390"/>
      <c r="AJ24" s="390"/>
      <c r="AK24" s="390"/>
      <c r="AL24" s="390"/>
      <c r="AM24" s="390"/>
      <c r="AN24" s="390" t="s">
        <v>38</v>
      </c>
      <c r="AO24" s="390"/>
      <c r="AP24" s="390"/>
      <c r="AQ24" s="390"/>
      <c r="AR24" s="390"/>
      <c r="AS24" s="390"/>
      <c r="AT24" s="390"/>
      <c r="AU24" s="390"/>
      <c r="AV24" s="390"/>
      <c r="AW24" s="390"/>
      <c r="AX24" s="390"/>
      <c r="AY24" s="390"/>
      <c r="AZ24" s="390" t="s">
        <v>39</v>
      </c>
      <c r="BA24" s="390"/>
      <c r="BB24" s="390"/>
      <c r="BC24" s="390"/>
      <c r="BD24" s="390"/>
      <c r="BE24" s="390"/>
      <c r="BF24" s="390"/>
      <c r="BG24" s="390"/>
      <c r="BH24" s="390"/>
      <c r="BI24" s="390"/>
      <c r="BJ24" s="390"/>
      <c r="BK24" s="39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356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385000</v>
      </c>
      <c r="H26" s="9">
        <f>'REV-REVCALC_CWS'!G91</f>
        <v>1830000</v>
      </c>
      <c r="I26" s="9">
        <f>'REV-REVCALC_CWS'!H91</f>
        <v>3925000</v>
      </c>
      <c r="J26" s="9">
        <f>'REV-REVCALC_CWS'!I91</f>
        <v>3925000</v>
      </c>
      <c r="K26" s="9">
        <f>'REV-REVCALC_CWS'!J91</f>
        <v>3925000</v>
      </c>
      <c r="L26" s="9">
        <f>'REV-REVCALC_CWS'!K91</f>
        <v>3925000</v>
      </c>
      <c r="M26" s="9">
        <f>'REV-REVCALC_CWS'!L91</f>
        <v>3925000</v>
      </c>
      <c r="N26" s="9">
        <f>'REV-REVCALC_CWS'!M91</f>
        <v>3925000</v>
      </c>
      <c r="O26" s="9">
        <f>'REV-REVCALC_CWS'!N91</f>
        <v>3732500</v>
      </c>
      <c r="P26" s="9">
        <f>'REV-REVCALC_CWS'!O91</f>
        <v>4140900</v>
      </c>
      <c r="Q26" s="9">
        <f>'REV-REVCALC_CWS'!P91</f>
        <v>6620625</v>
      </c>
      <c r="R26" s="9">
        <f>'REV-REVCALC_CWS'!Q91</f>
        <v>7449875</v>
      </c>
      <c r="S26" s="9">
        <f>'REV-REVCALC_CWS'!R91</f>
        <v>7449875</v>
      </c>
      <c r="T26" s="9">
        <f>'REV-REVCALC_CWS'!S91</f>
        <v>7449875</v>
      </c>
      <c r="U26" s="9">
        <f>'REV-REVCALC_CWS'!T91</f>
        <v>7449875</v>
      </c>
      <c r="V26" s="9">
        <f>'REV-REVCALC_CWS'!U91</f>
        <v>7449875</v>
      </c>
      <c r="W26" s="9">
        <f>'REV-REVCALC_CWS'!V91</f>
        <v>7449875</v>
      </c>
      <c r="X26" s="9">
        <f>'REV-REVCALC_CWS'!W91</f>
        <v>7449875</v>
      </c>
      <c r="Y26" s="9">
        <f>'REV-REVCALC_CWS'!X91</f>
        <v>7449875</v>
      </c>
      <c r="Z26" s="9">
        <f>'REV-REVCALC_CWS'!Y91</f>
        <v>7449875</v>
      </c>
      <c r="AA26" s="9">
        <f>'REV-REVCALC_CWS'!Z91</f>
        <v>4970150</v>
      </c>
      <c r="AB26" s="9">
        <f>'REV-REVCALC_CWS'!AA91</f>
        <v>11984240.750000002</v>
      </c>
      <c r="AC26" s="9">
        <f>'REV-REVCALC_CWS'!AB91</f>
        <v>19162763.750000004</v>
      </c>
      <c r="AD26" s="9">
        <f>'REV-REVCALC_CWS'!AC91</f>
        <v>21564191.5</v>
      </c>
      <c r="AE26" s="9">
        <f>'REV-REVCALC_CWS'!AD91</f>
        <v>21564191.5</v>
      </c>
      <c r="AF26" s="9">
        <f>'REV-REVCALC_CWS'!AE91</f>
        <v>21564191.5</v>
      </c>
      <c r="AG26" s="9">
        <f>'REV-REVCALC_CWS'!AF91</f>
        <v>21564191.5</v>
      </c>
      <c r="AH26" s="9">
        <f>'REV-REVCALC_CWS'!AG91</f>
        <v>21564191.5</v>
      </c>
      <c r="AI26" s="9">
        <f>'REV-REVCALC_CWS'!AH91</f>
        <v>21564191.5</v>
      </c>
      <c r="AJ26" s="9">
        <f>'REV-REVCALC_CWS'!AI91</f>
        <v>21564191.5</v>
      </c>
      <c r="AK26" s="9">
        <f>'REV-REVCALC_CWS'!AJ91</f>
        <v>21564191.5</v>
      </c>
      <c r="AL26" s="9">
        <f>'REV-REVCALC_CWS'!AK91</f>
        <v>21564191.5</v>
      </c>
      <c r="AM26" s="9">
        <f>'REV-REVCALC_CWS'!AL91</f>
        <v>14371357.250000002</v>
      </c>
      <c r="AN26" s="9">
        <f>'REV-REVCALC_CWS'!AM91</f>
        <v>14932072.025000002</v>
      </c>
      <c r="AO26" s="9">
        <f>'REV-REVCALC_CWS'!AN91</f>
        <v>23890702.718500003</v>
      </c>
      <c r="AP26" s="9">
        <f>'REV-REVCALC_CWS'!AO91</f>
        <v>26875892.080500007</v>
      </c>
      <c r="AQ26" s="9">
        <f>'REV-REVCALC_CWS'!AP91</f>
        <v>26875892.080500007</v>
      </c>
      <c r="AR26" s="9">
        <f>'REV-REVCALC_CWS'!AQ91</f>
        <v>26875892.080500007</v>
      </c>
      <c r="AS26" s="9">
        <f>'REV-REVCALC_CWS'!AR91</f>
        <v>26875892.080500007</v>
      </c>
      <c r="AT26" s="9">
        <f>'REV-REVCALC_CWS'!AS91</f>
        <v>26875892.080500007</v>
      </c>
      <c r="AU26" s="9">
        <f>'REV-REVCALC_CWS'!AT91</f>
        <v>26875892.080500007</v>
      </c>
      <c r="AV26" s="9">
        <f>'REV-REVCALC_CWS'!AU91</f>
        <v>26875892.080500007</v>
      </c>
      <c r="AW26" s="9">
        <f>'REV-REVCALC_CWS'!AV91</f>
        <v>26875892.080500007</v>
      </c>
      <c r="AX26" s="9">
        <f>'REV-REVCALC_CWS'!AW91</f>
        <v>26875892.080500007</v>
      </c>
      <c r="AY26" s="9">
        <f>'REV-REVCALC_CWS'!AX91</f>
        <v>17917261.387000002</v>
      </c>
      <c r="AZ26" s="9">
        <f>'REV-REVCALC_CWS'!AY91</f>
        <v>12940404.843675001</v>
      </c>
      <c r="BA26" s="9">
        <f>'REV-REVCALC_CWS'!AZ91</f>
        <v>20709366.798700001</v>
      </c>
      <c r="BB26" s="9">
        <f>'REV-REVCALC_CWS'!BA91</f>
        <v>23286567.611000009</v>
      </c>
      <c r="BC26" s="9">
        <f>'REV-REVCALC_CWS'!BB91</f>
        <v>23286567.611000009</v>
      </c>
      <c r="BD26" s="9">
        <f>'REV-REVCALC_CWS'!BC91</f>
        <v>23286567.611000009</v>
      </c>
      <c r="BE26" s="9">
        <f>'REV-REVCALC_CWS'!BD91</f>
        <v>23286567.611000009</v>
      </c>
      <c r="BF26" s="9">
        <f>'REV-REVCALC_CWS'!BE91</f>
        <v>23286567.611000009</v>
      </c>
      <c r="BG26" s="9">
        <f>'REV-REVCALC_CWS'!BF91</f>
        <v>23286567.611000009</v>
      </c>
      <c r="BH26" s="9">
        <f>'REV-REVCALC_CWS'!BG91</f>
        <v>23286567.611000009</v>
      </c>
      <c r="BI26" s="9">
        <f>'REV-REVCALC_CWS'!BH91</f>
        <v>23286567.611000009</v>
      </c>
      <c r="BJ26" s="9">
        <f>'REV-REVCALC_CWS'!BI91</f>
        <v>23286567.611000009</v>
      </c>
      <c r="BK26" s="9">
        <f>'REV-REVCALC_CWS'!BJ91</f>
        <v>15534646.920025006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689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703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90" t="s">
        <v>35</v>
      </c>
      <c r="E31" s="390"/>
      <c r="F31" s="390"/>
      <c r="G31" s="390"/>
      <c r="H31" s="390"/>
      <c r="I31" s="390"/>
      <c r="J31" s="390"/>
      <c r="K31" s="390"/>
      <c r="L31" s="390"/>
      <c r="M31" s="390"/>
      <c r="N31" s="390"/>
      <c r="O31" s="390"/>
      <c r="P31" s="390" t="s">
        <v>36</v>
      </c>
      <c r="Q31" s="390"/>
      <c r="R31" s="390"/>
      <c r="S31" s="390"/>
      <c r="T31" s="390"/>
      <c r="U31" s="390"/>
      <c r="V31" s="390"/>
      <c r="W31" s="390"/>
      <c r="X31" s="390"/>
      <c r="Y31" s="390"/>
      <c r="Z31" s="390"/>
      <c r="AA31" s="390"/>
      <c r="AB31" s="390" t="s">
        <v>37</v>
      </c>
      <c r="AC31" s="390"/>
      <c r="AD31" s="390"/>
      <c r="AE31" s="390"/>
      <c r="AF31" s="390"/>
      <c r="AG31" s="390"/>
      <c r="AH31" s="390"/>
      <c r="AI31" s="390"/>
      <c r="AJ31" s="390"/>
      <c r="AK31" s="390"/>
      <c r="AL31" s="390"/>
      <c r="AM31" s="390"/>
      <c r="AN31" s="390" t="s">
        <v>38</v>
      </c>
      <c r="AO31" s="390"/>
      <c r="AP31" s="390"/>
      <c r="AQ31" s="390"/>
      <c r="AR31" s="390"/>
      <c r="AS31" s="390"/>
      <c r="AT31" s="390"/>
      <c r="AU31" s="390"/>
      <c r="AV31" s="390"/>
      <c r="AW31" s="390"/>
      <c r="AX31" s="390"/>
      <c r="AY31" s="390"/>
      <c r="AZ31" s="390" t="s">
        <v>39</v>
      </c>
      <c r="BA31" s="390"/>
      <c r="BB31" s="390"/>
      <c r="BC31" s="390"/>
      <c r="BD31" s="390"/>
      <c r="BE31" s="390"/>
      <c r="BF31" s="390"/>
      <c r="BG31" s="390"/>
      <c r="BH31" s="390"/>
      <c r="BI31" s="390"/>
      <c r="BJ31" s="390"/>
      <c r="BK31" s="39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672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670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675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664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687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686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90" t="s">
        <v>35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 t="s">
        <v>36</v>
      </c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390" t="s">
        <v>37</v>
      </c>
      <c r="AC40" s="390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390" t="s">
        <v>38</v>
      </c>
      <c r="AO40" s="390"/>
      <c r="AP40" s="390"/>
      <c r="AQ40" s="390"/>
      <c r="AR40" s="390"/>
      <c r="AS40" s="390"/>
      <c r="AT40" s="390"/>
      <c r="AU40" s="390"/>
      <c r="AV40" s="390"/>
      <c r="AW40" s="390"/>
      <c r="AX40" s="390"/>
      <c r="AY40" s="390"/>
      <c r="AZ40" s="390" t="s">
        <v>39</v>
      </c>
      <c r="BA40" s="390"/>
      <c r="BB40" s="390"/>
      <c r="BC40" s="390"/>
      <c r="BD40" s="390"/>
      <c r="BE40" s="390"/>
      <c r="BF40" s="390"/>
      <c r="BG40" s="390"/>
      <c r="BH40" s="390"/>
      <c r="BI40" s="390"/>
      <c r="BJ40" s="390"/>
      <c r="BK40" s="39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376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393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440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665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677</v>
      </c>
      <c r="C49" s="200"/>
    </row>
    <row r="50" spans="2:3" x14ac:dyDescent="0.15">
      <c r="B50" s="14"/>
      <c r="C50" s="200"/>
    </row>
    <row r="51" spans="2:3" x14ac:dyDescent="0.15">
      <c r="B51" s="14" t="s">
        <v>678</v>
      </c>
      <c r="C51" s="200"/>
    </row>
    <row r="52" spans="2:3" x14ac:dyDescent="0.15">
      <c r="B52" s="14" t="s">
        <v>684</v>
      </c>
      <c r="C52" s="200"/>
    </row>
    <row r="53" spans="2:3" x14ac:dyDescent="0.15">
      <c r="B53" s="14" t="s">
        <v>683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488</v>
      </c>
    </row>
    <row r="4" spans="2:66" hidden="1" x14ac:dyDescent="0.15"/>
    <row r="5" spans="2:66" x14ac:dyDescent="0.15">
      <c r="B5" s="44" t="s">
        <v>489</v>
      </c>
      <c r="E5" s="9">
        <f>SUM(E49)</f>
        <v>0</v>
      </c>
      <c r="F5" s="9">
        <f>SUM(F49:Q49)</f>
        <v>29497500</v>
      </c>
      <c r="G5" s="9">
        <f>SUM(R49:AC49)</f>
        <v>82780550</v>
      </c>
      <c r="H5" s="9">
        <f>SUM(AD49:AO49)</f>
        <v>239596085.25</v>
      </c>
      <c r="I5" s="9">
        <f>SUM(AP49:BA49)</f>
        <v>298623064.85500008</v>
      </c>
      <c r="J5" s="9">
        <f>SUM(BB49:BM49)</f>
        <v>258763527.06140006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490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491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492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497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679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680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90" t="s">
        <v>35</v>
      </c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/>
      <c r="R44" s="390" t="s">
        <v>36</v>
      </c>
      <c r="S44" s="390"/>
      <c r="T44" s="390"/>
      <c r="U44" s="390"/>
      <c r="V44" s="390"/>
      <c r="W44" s="390"/>
      <c r="X44" s="390"/>
      <c r="Y44" s="390"/>
      <c r="Z44" s="390"/>
      <c r="AA44" s="390"/>
      <c r="AB44" s="390"/>
      <c r="AC44" s="390"/>
      <c r="AD44" s="390" t="s">
        <v>37</v>
      </c>
      <c r="AE44" s="390"/>
      <c r="AF44" s="390"/>
      <c r="AG44" s="390"/>
      <c r="AH44" s="390"/>
      <c r="AI44" s="390"/>
      <c r="AJ44" s="390"/>
      <c r="AK44" s="390"/>
      <c r="AL44" s="390"/>
      <c r="AM44" s="390"/>
      <c r="AN44" s="390"/>
      <c r="AO44" s="390"/>
      <c r="AP44" s="390" t="s">
        <v>38</v>
      </c>
      <c r="AQ44" s="390"/>
      <c r="AR44" s="390"/>
      <c r="AS44" s="390"/>
      <c r="AT44" s="390"/>
      <c r="AU44" s="390"/>
      <c r="AV44" s="390"/>
      <c r="AW44" s="390"/>
      <c r="AX44" s="390"/>
      <c r="AY44" s="390"/>
      <c r="AZ44" s="390"/>
      <c r="BA44" s="390"/>
      <c r="BB44" s="390" t="s">
        <v>39</v>
      </c>
      <c r="BC44" s="390"/>
      <c r="BD44" s="390"/>
      <c r="BE44" s="390"/>
      <c r="BF44" s="390"/>
      <c r="BG44" s="390"/>
      <c r="BH44" s="390"/>
      <c r="BI44" s="390"/>
      <c r="BJ44" s="390"/>
      <c r="BK44" s="390"/>
      <c r="BL44" s="390"/>
      <c r="BM44" s="39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488</v>
      </c>
    </row>
    <row r="49" spans="2:66" x14ac:dyDescent="0.15">
      <c r="B49" s="44" t="s">
        <v>489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385000</v>
      </c>
      <c r="J49" s="9">
        <f>'REV-REVCALC_CWS'!G91</f>
        <v>1830000</v>
      </c>
      <c r="K49" s="9">
        <f>'REV-REVCALC_CWS'!H91</f>
        <v>3925000</v>
      </c>
      <c r="L49" s="9">
        <f>'REV-REVCALC_CWS'!I91</f>
        <v>3925000</v>
      </c>
      <c r="M49" s="9">
        <f>'REV-REVCALC_CWS'!J91</f>
        <v>3925000</v>
      </c>
      <c r="N49" s="9">
        <f>'REV-REVCALC_CWS'!K91</f>
        <v>3925000</v>
      </c>
      <c r="O49" s="9">
        <f>'REV-REVCALC_CWS'!L91</f>
        <v>3925000</v>
      </c>
      <c r="P49" s="9">
        <f>'REV-REVCALC_CWS'!M91</f>
        <v>3925000</v>
      </c>
      <c r="Q49" s="9">
        <f>'REV-REVCALC_CWS'!N91</f>
        <v>3732500</v>
      </c>
      <c r="R49" s="9">
        <f>'REV-REVCALC_CWS'!O91</f>
        <v>4140900</v>
      </c>
      <c r="S49" s="9">
        <f>'REV-REVCALC_CWS'!P91</f>
        <v>6620625</v>
      </c>
      <c r="T49" s="9">
        <f>'REV-REVCALC_CWS'!Q91</f>
        <v>7449875</v>
      </c>
      <c r="U49" s="9">
        <f>'REV-REVCALC_CWS'!R91</f>
        <v>7449875</v>
      </c>
      <c r="V49" s="9">
        <f>'REV-REVCALC_CWS'!S91</f>
        <v>7449875</v>
      </c>
      <c r="W49" s="9">
        <f>'REV-REVCALC_CWS'!T91</f>
        <v>7449875</v>
      </c>
      <c r="X49" s="9">
        <f>'REV-REVCALC_CWS'!U91</f>
        <v>7449875</v>
      </c>
      <c r="Y49" s="9">
        <f>'REV-REVCALC_CWS'!V91</f>
        <v>7449875</v>
      </c>
      <c r="Z49" s="9">
        <f>'REV-REVCALC_CWS'!W91</f>
        <v>7449875</v>
      </c>
      <c r="AA49" s="9">
        <f>'REV-REVCALC_CWS'!X91</f>
        <v>7449875</v>
      </c>
      <c r="AB49" s="9">
        <f>'REV-REVCALC_CWS'!Y91</f>
        <v>7449875</v>
      </c>
      <c r="AC49" s="9">
        <f>'REV-REVCALC_CWS'!Z91</f>
        <v>4970150</v>
      </c>
      <c r="AD49" s="9">
        <f>'REV-REVCALC_CWS'!AA91</f>
        <v>11984240.750000002</v>
      </c>
      <c r="AE49" s="9">
        <f>'REV-REVCALC_CWS'!AB91</f>
        <v>19162763.750000004</v>
      </c>
      <c r="AF49" s="9">
        <f>'REV-REVCALC_CWS'!AC91</f>
        <v>21564191.5</v>
      </c>
      <c r="AG49" s="9">
        <f>'REV-REVCALC_CWS'!AD91</f>
        <v>21564191.5</v>
      </c>
      <c r="AH49" s="9">
        <f>'REV-REVCALC_CWS'!AE91</f>
        <v>21564191.5</v>
      </c>
      <c r="AI49" s="9">
        <f>'REV-REVCALC_CWS'!AF91</f>
        <v>21564191.5</v>
      </c>
      <c r="AJ49" s="9">
        <f>'REV-REVCALC_CWS'!AG91</f>
        <v>21564191.5</v>
      </c>
      <c r="AK49" s="9">
        <f>'REV-REVCALC_CWS'!AH91</f>
        <v>21564191.5</v>
      </c>
      <c r="AL49" s="9">
        <f>'REV-REVCALC_CWS'!AI91</f>
        <v>21564191.5</v>
      </c>
      <c r="AM49" s="9">
        <f>'REV-REVCALC_CWS'!AJ91</f>
        <v>21564191.5</v>
      </c>
      <c r="AN49" s="9">
        <f>'REV-REVCALC_CWS'!AK91</f>
        <v>21564191.5</v>
      </c>
      <c r="AO49" s="9">
        <f>'REV-REVCALC_CWS'!AL91</f>
        <v>14371357.250000002</v>
      </c>
      <c r="AP49" s="9">
        <f>'REV-REVCALC_CWS'!AM91</f>
        <v>14932072.025000002</v>
      </c>
      <c r="AQ49" s="9">
        <f>'REV-REVCALC_CWS'!AN91</f>
        <v>23890702.718500003</v>
      </c>
      <c r="AR49" s="9">
        <f>'REV-REVCALC_CWS'!AO91</f>
        <v>26875892.080500007</v>
      </c>
      <c r="AS49" s="9">
        <f>'REV-REVCALC_CWS'!AP91</f>
        <v>26875892.080500007</v>
      </c>
      <c r="AT49" s="9">
        <f>'REV-REVCALC_CWS'!AQ91</f>
        <v>26875892.080500007</v>
      </c>
      <c r="AU49" s="9">
        <f>'REV-REVCALC_CWS'!AR91</f>
        <v>26875892.080500007</v>
      </c>
      <c r="AV49" s="9">
        <f>'REV-REVCALC_CWS'!AS91</f>
        <v>26875892.080500007</v>
      </c>
      <c r="AW49" s="9">
        <f>'REV-REVCALC_CWS'!AT91</f>
        <v>26875892.080500007</v>
      </c>
      <c r="AX49" s="9">
        <f>'REV-REVCALC_CWS'!AU91</f>
        <v>26875892.080500007</v>
      </c>
      <c r="AY49" s="9">
        <f>'REV-REVCALC_CWS'!AV91</f>
        <v>26875892.080500007</v>
      </c>
      <c r="AZ49" s="9">
        <f>'REV-REVCALC_CWS'!AW91</f>
        <v>26875892.080500007</v>
      </c>
      <c r="BA49" s="9">
        <f>'REV-REVCALC_CWS'!AX91</f>
        <v>17917261.387000002</v>
      </c>
      <c r="BB49" s="9">
        <f>'REV-REVCALC_CWS'!AY91</f>
        <v>12940404.843675001</v>
      </c>
      <c r="BC49" s="9">
        <f>'REV-REVCALC_CWS'!AZ91</f>
        <v>20709366.798700001</v>
      </c>
      <c r="BD49" s="9">
        <f>'REV-REVCALC_CWS'!BA91</f>
        <v>23286567.611000009</v>
      </c>
      <c r="BE49" s="9">
        <f>'REV-REVCALC_CWS'!BB91</f>
        <v>23286567.611000009</v>
      </c>
      <c r="BF49" s="9">
        <f>'REV-REVCALC_CWS'!BC91</f>
        <v>23286567.611000009</v>
      </c>
      <c r="BG49" s="9">
        <f>'REV-REVCALC_CWS'!BD91</f>
        <v>23286567.611000009</v>
      </c>
      <c r="BH49" s="9">
        <f>'REV-REVCALC_CWS'!BE91</f>
        <v>23286567.611000009</v>
      </c>
      <c r="BI49" s="9">
        <f>'REV-REVCALC_CWS'!BF91</f>
        <v>23286567.611000009</v>
      </c>
      <c r="BJ49" s="9">
        <f>'REV-REVCALC_CWS'!BG91</f>
        <v>23286567.611000009</v>
      </c>
      <c r="BK49" s="9">
        <f>'REV-REVCALC_CWS'!BH91</f>
        <v>23286567.611000009</v>
      </c>
      <c r="BL49" s="9">
        <f>'REV-REVCALC_CWS'!BI91</f>
        <v>23286567.611000009</v>
      </c>
      <c r="BM49" s="9">
        <f>'REV-REVCALC_CWS'!BJ91</f>
        <v>15534646.920025006</v>
      </c>
    </row>
    <row r="50" spans="2:66" x14ac:dyDescent="0.15">
      <c r="B50" s="44" t="s">
        <v>490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491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492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497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494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498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129998000</v>
      </c>
      <c r="E4" s="63">
        <f>REV_DB!F24</f>
        <v>253626120</v>
      </c>
      <c r="F4" s="63">
        <f>REV_DB!G24</f>
        <v>560772508.99999988</v>
      </c>
      <c r="G4" s="63">
        <f>REV_DB!H24</f>
        <v>103488000</v>
      </c>
      <c r="H4" s="63">
        <f>REV_DB!I24</f>
        <v>103488000</v>
      </c>
      <c r="I4" s="181">
        <f>SUM(D4:H4)</f>
        <v>1151372629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56507000</v>
      </c>
      <c r="E5" s="63">
        <f>REV_DB!F17</f>
        <v>160394070</v>
      </c>
      <c r="F5" s="63">
        <f>REV_DB!G17</f>
        <v>473410425.49999988</v>
      </c>
      <c r="G5" s="63">
        <f>REV_DB!H17</f>
        <v>34368581.364999995</v>
      </c>
      <c r="H5" s="63">
        <f>REV_DB!I17</f>
        <v>37872173.718925007</v>
      </c>
      <c r="I5" s="181">
        <f>SUM(D5:H5)</f>
        <v>762552250.58392489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695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696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697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681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671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682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661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672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670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673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674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675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702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701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683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664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700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376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393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419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439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440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686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90" t="s">
        <v>36</v>
      </c>
      <c r="Q34" s="390"/>
      <c r="R34" s="390"/>
      <c r="S34" s="390"/>
      <c r="T34" s="390"/>
      <c r="U34" s="390"/>
      <c r="V34" s="390"/>
      <c r="W34" s="390"/>
      <c r="X34" s="390"/>
      <c r="Y34" s="390"/>
      <c r="Z34" s="390"/>
      <c r="AA34" s="390"/>
      <c r="AB34" s="390" t="s">
        <v>37</v>
      </c>
      <c r="AC34" s="390"/>
      <c r="AD34" s="390"/>
      <c r="AE34" s="390"/>
      <c r="AF34" s="390"/>
      <c r="AG34" s="390"/>
      <c r="AH34" s="390"/>
      <c r="AI34" s="390"/>
      <c r="AJ34" s="390"/>
      <c r="AK34" s="390"/>
      <c r="AL34" s="390"/>
      <c r="AM34" s="390"/>
      <c r="AN34" s="390" t="s">
        <v>38</v>
      </c>
      <c r="AO34" s="390"/>
      <c r="AP34" s="390"/>
      <c r="AQ34" s="390"/>
      <c r="AR34" s="390"/>
      <c r="AS34" s="390"/>
      <c r="AT34" s="390"/>
      <c r="AU34" s="390"/>
      <c r="AV34" s="390"/>
      <c r="AW34" s="390"/>
      <c r="AX34" s="390"/>
      <c r="AY34" s="390"/>
      <c r="AZ34" s="390" t="s">
        <v>39</v>
      </c>
      <c r="BA34" s="390"/>
      <c r="BB34" s="390"/>
      <c r="BC34" s="390"/>
      <c r="BD34" s="390"/>
      <c r="BE34" s="390"/>
      <c r="BF34" s="390"/>
      <c r="BG34" s="390"/>
      <c r="BH34" s="390"/>
      <c r="BI34" s="390"/>
      <c r="BJ34" s="390"/>
      <c r="BK34" s="390"/>
      <c r="BL34" s="35"/>
    </row>
    <row r="35" spans="1:75" s="14" customFormat="1" x14ac:dyDescent="0.15">
      <c r="B35" s="47" t="s">
        <v>677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4" t="s">
        <v>35</v>
      </c>
      <c r="E38" s="394"/>
      <c r="F38" s="394"/>
      <c r="G38" s="394"/>
      <c r="H38" s="394"/>
      <c r="I38" s="394"/>
      <c r="J38" s="394"/>
      <c r="K38" s="394"/>
      <c r="L38" s="394"/>
      <c r="M38" s="394"/>
      <c r="N38" s="394"/>
      <c r="O38" s="39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666</v>
      </c>
      <c r="BM39" s="36" t="s">
        <v>599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669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377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378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391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389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384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388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392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390</v>
      </c>
    </row>
    <row r="61" spans="1:63" x14ac:dyDescent="0.15">
      <c r="A61" s="75"/>
      <c r="B61" s="50"/>
    </row>
    <row r="62" spans="1:63" x14ac:dyDescent="0.15">
      <c r="A62" s="75"/>
      <c r="B62" s="128" t="s">
        <v>389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384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388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393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418</v>
      </c>
    </row>
    <row r="73" spans="1:63" x14ac:dyDescent="0.15">
      <c r="A73" s="75"/>
      <c r="B73" s="124" t="s">
        <v>401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440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420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417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661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662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663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664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661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662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663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664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661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662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663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664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661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662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663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664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661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662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663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664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661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662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663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664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662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664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665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758</v>
      </c>
      <c r="C1" s="75"/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37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38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39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377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378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383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1221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379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382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389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384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375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386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387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388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392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390</v>
      </c>
    </row>
    <row r="22" spans="1:63" x14ac:dyDescent="0.15">
      <c r="B22" s="50"/>
    </row>
    <row r="23" spans="1:63" x14ac:dyDescent="0.15">
      <c r="B23" s="128" t="s">
        <v>389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384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375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386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387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385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388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393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401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394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440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395</v>
      </c>
    </row>
    <row r="46" spans="2:63" x14ac:dyDescent="0.15">
      <c r="B46" s="47" t="s">
        <v>1222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1248</v>
      </c>
      <c r="C47" s="371"/>
      <c r="D47" s="371">
        <v>0</v>
      </c>
      <c r="E47" s="371"/>
      <c r="F47" s="371"/>
      <c r="G47" s="371">
        <v>160000</v>
      </c>
      <c r="H47" s="371">
        <v>160000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417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topLeftCell="A18" workbookViewId="0">
      <selection activeCell="B19" sqref="B19"/>
    </sheetView>
    <sheetView workbookViewId="1">
      <selection activeCell="B21" sqref="B21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90" t="s">
        <v>617</v>
      </c>
      <c r="C2" s="390"/>
      <c r="D2" s="390"/>
      <c r="E2" s="390"/>
      <c r="F2" s="390"/>
      <c r="G2" s="39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1190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1185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1252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1251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90" t="s">
        <v>1246</v>
      </c>
      <c r="C12" s="390"/>
      <c r="D12" s="390"/>
      <c r="E12" s="390"/>
      <c r="F12" s="390"/>
      <c r="G12" s="390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618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1186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1187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1276</v>
      </c>
      <c r="C19" s="388">
        <f>B10/360</f>
        <v>47.52</v>
      </c>
      <c r="D19" s="33" t="s">
        <v>1275</v>
      </c>
    </row>
    <row r="21" spans="1:20" x14ac:dyDescent="0.15">
      <c r="C21" s="390" t="s">
        <v>619</v>
      </c>
      <c r="D21" s="390"/>
      <c r="E21" s="390"/>
      <c r="F21" s="390"/>
    </row>
    <row r="23" spans="1:20" x14ac:dyDescent="0.15">
      <c r="C23" s="34" t="s">
        <v>321</v>
      </c>
      <c r="D23" s="34" t="s">
        <v>620</v>
      </c>
      <c r="E23" s="34" t="s">
        <v>615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8965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141720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90" t="s">
        <v>621</v>
      </c>
      <c r="C32" s="390"/>
      <c r="D32" s="390"/>
      <c r="E32" s="390"/>
      <c r="F32" s="390"/>
      <c r="G32" s="390"/>
      <c r="H32" s="39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1188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1189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322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855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8965</v>
      </c>
    </row>
    <row r="40" spans="2:15" x14ac:dyDescent="0.15">
      <c r="B40" s="14" t="s">
        <v>323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322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324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322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325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322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322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1206</v>
      </c>
      <c r="E3" s="66">
        <f>E24</f>
        <v>129998000</v>
      </c>
      <c r="F3" s="66">
        <f>F24</f>
        <v>253626120</v>
      </c>
      <c r="G3" s="66">
        <f>G24</f>
        <v>560772508.99999988</v>
      </c>
      <c r="H3" s="66">
        <f>H24</f>
        <v>103488000</v>
      </c>
      <c r="I3" s="66">
        <f>I24</f>
        <v>103488000</v>
      </c>
      <c r="J3" s="118">
        <f>SUM(E3:I3)</f>
        <v>1151372629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77616000</v>
      </c>
      <c r="F5" s="66">
        <f>F31</f>
        <v>103488000</v>
      </c>
      <c r="G5" s="66">
        <f>G31</f>
        <v>103488000</v>
      </c>
      <c r="H5" s="66">
        <f>H31</f>
        <v>103488000</v>
      </c>
      <c r="I5" s="66">
        <f>I31</f>
        <v>103488000</v>
      </c>
      <c r="J5" s="118">
        <f>SUM(E5:I5)</f>
        <v>491568000</v>
      </c>
    </row>
    <row r="6" spans="2:11" x14ac:dyDescent="0.15">
      <c r="B6" s="33" t="s">
        <v>330</v>
      </c>
      <c r="E6" s="66">
        <f>E3-E5</f>
        <v>52382000</v>
      </c>
      <c r="F6" s="66">
        <f>F3-F5</f>
        <v>150138120</v>
      </c>
      <c r="G6" s="66">
        <f>G3-G5</f>
        <v>457284508.99999988</v>
      </c>
      <c r="H6" s="66">
        <f>H3-H5</f>
        <v>0</v>
      </c>
      <c r="I6" s="66">
        <f>I3-I5</f>
        <v>0</v>
      </c>
      <c r="J6" s="118">
        <f>SUM(E6:I6)</f>
        <v>659804628.99999988</v>
      </c>
    </row>
    <row r="7" spans="2:11" x14ac:dyDescent="0.15">
      <c r="B7" s="33" t="s">
        <v>318</v>
      </c>
      <c r="E7" s="116">
        <f>E6/E3</f>
        <v>0.40294466068708751</v>
      </c>
      <c r="F7" s="116">
        <f>F6/F3</f>
        <v>0.59196631640305819</v>
      </c>
      <c r="G7" s="116">
        <f>G6/G3</f>
        <v>0.81545457678632383</v>
      </c>
      <c r="H7" s="116">
        <f>H6/H3</f>
        <v>0</v>
      </c>
      <c r="I7" s="116">
        <f>I6/I3</f>
        <v>0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1205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350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1207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1209</v>
      </c>
      <c r="E13" s="66">
        <f t="shared" ref="E13:I14" si="2">E47</f>
        <v>4125000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102747621.58392501</v>
      </c>
    </row>
    <row r="14" spans="2:11" outlineLevel="1" x14ac:dyDescent="0.15">
      <c r="B14" s="33" t="s">
        <v>352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1208</v>
      </c>
      <c r="E15" s="66">
        <f>SUM(E13:E14)</f>
        <v>4125000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102747621.58392501</v>
      </c>
      <c r="K15" s="120">
        <f>J15+J14+J13+J11+J6</f>
        <v>865299872.1678499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356</v>
      </c>
      <c r="E17" s="66">
        <f>E6+E11+E15</f>
        <v>56507000</v>
      </c>
      <c r="F17" s="66">
        <f>F6+F11+F15</f>
        <v>160394070</v>
      </c>
      <c r="G17" s="66">
        <f>G6+G11+G15</f>
        <v>473410425.49999988</v>
      </c>
      <c r="H17" s="66">
        <f>H6+H11+H15</f>
        <v>34368581.364999995</v>
      </c>
      <c r="I17" s="66">
        <f>I6+I11+I15</f>
        <v>37872173.718925007</v>
      </c>
      <c r="J17" s="118">
        <f t="shared" si="1"/>
        <v>762552250.58392489</v>
      </c>
      <c r="K17" s="120">
        <f>J15+J11+J3</f>
        <v>1254120250.583925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1210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8965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504020078.20000017</v>
      </c>
      <c r="I20">
        <f>SUM('REV-REVCALC_CWS'!AY13:BJ13, 'REV-REVCALC_CWS'!AY51:BJ51)</f>
        <v>485079975.59999996</v>
      </c>
      <c r="J20" s="118">
        <f>SUM(E20:I20)</f>
        <v>989165874.80000019</v>
      </c>
      <c r="K20" s="120">
        <f>J20-'REV-REVCALC_CWS'!BK13</f>
        <v>989051068.80000019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129998000</v>
      </c>
      <c r="F21" s="66">
        <f>SUM('REV-REVCALC_CWS'!O14:Z14, 'REV-REVCALC_CWS'!O51:Z51)</f>
        <v>253626120</v>
      </c>
      <c r="G21" s="66">
        <f>SUM('REV-REVCALC_CWS'!AA14:AL14, 'REV-REVCALC_CWS'!AA51:AL51)</f>
        <v>560772508.99999988</v>
      </c>
      <c r="H21" s="66">
        <f>SUM('REV-REVCALC_CWS'!AM14:AX14)</f>
        <v>103488000</v>
      </c>
      <c r="I21" s="66">
        <f>SUM('REV-REVCALC_CWS'!AY14:BJ14)</f>
        <v>103488000</v>
      </c>
      <c r="J21" s="118">
        <f>SUM(E21:I21)</f>
        <v>1151372629</v>
      </c>
      <c r="K21" s="120">
        <f>J21-'REV-REVCALC_CWS'!BK14</f>
        <v>1142748629</v>
      </c>
    </row>
    <row r="22" spans="2:11" outlineLevel="1" x14ac:dyDescent="0.15">
      <c r="B22" s="47" t="s">
        <v>334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335</v>
      </c>
      <c r="C24" s="73"/>
      <c r="E24" s="66">
        <f>SUM('REV-REVCALC_CWS'!C17:N17, 'REV-REVCALC_CWS'!C54:N54)</f>
        <v>129998000</v>
      </c>
      <c r="F24" s="66">
        <f>SUM('REV-REVCALC_CWS'!O17:Z17, 'REV-REVCALC_CWS'!O54:Z54)</f>
        <v>253626120</v>
      </c>
      <c r="G24" s="66">
        <f>SUM('REV-REVCALC_CWS'!AA17:AL17, 'REV-REVCALC_CWS'!AA54:AL54)</f>
        <v>560772508.99999988</v>
      </c>
      <c r="H24" s="66">
        <f>SUM('REV-REVCALC_CWS'!AM17:AX17)</f>
        <v>103488000</v>
      </c>
      <c r="I24" s="66">
        <f>SUM('REV-REVCALC_CWS'!AY17:BJ17)</f>
        <v>103488000</v>
      </c>
      <c r="J24" s="118">
        <f>SUM(E24:I24)</f>
        <v>1151372629</v>
      </c>
      <c r="K24" s="120">
        <f>J24-'REV-REVCALC_CWS'!BK17</f>
        <v>1142748629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77616000</v>
      </c>
      <c r="F27" s="66">
        <f>SUM('REV-REVCALC_CWS'!O21:Z21)</f>
        <v>103488000</v>
      </c>
      <c r="G27" s="66">
        <f>SUM('REV-REVCALC_CWS'!AA21:AL21)</f>
        <v>103488000</v>
      </c>
      <c r="H27" s="66">
        <f>SUM('REV-REVCALC_CWS'!AM21:AX21)</f>
        <v>103488000</v>
      </c>
      <c r="I27" s="66">
        <f>SUM('REV-REVCALC_CWS'!AY21:BJ21)</f>
        <v>103488000</v>
      </c>
      <c r="J27" s="118">
        <f>SUM(E27:I27)</f>
        <v>491568000</v>
      </c>
      <c r="K27" s="120">
        <f>J27-'REV-REVCALC_CWS'!BK21</f>
        <v>482944000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333</v>
      </c>
      <c r="C31" s="73"/>
      <c r="E31" s="66">
        <f>SUM('REV-REVCALC_CWS'!C26:N26)</f>
        <v>77616000</v>
      </c>
      <c r="F31" s="66">
        <f>SUM('REV-REVCALC_CWS'!O26:Z26)</f>
        <v>103488000</v>
      </c>
      <c r="G31" s="66">
        <f>SUM('REV-REVCALC_CWS'!AA26:AL26)</f>
        <v>103488000</v>
      </c>
      <c r="H31" s="66">
        <f>SUM('REV-REVCALC_CWS'!AM26:AX26)</f>
        <v>103488000</v>
      </c>
      <c r="I31" s="66">
        <f>SUM('REV-REVCALC_CWS'!AY26:BJ26)</f>
        <v>103488000</v>
      </c>
      <c r="J31" s="118">
        <f>SUM(E31:I31)</f>
        <v>491568000</v>
      </c>
      <c r="K31" s="120">
        <f>J31-'REV-REVCALC_CWS'!BK26</f>
        <v>482944000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330</v>
      </c>
      <c r="C33" s="73"/>
      <c r="E33" s="66">
        <f>SUM('REV-REVCALC_CWS'!C28:N28)</f>
        <v>0</v>
      </c>
      <c r="F33" s="66">
        <f>SUM('REV-REVCALC_CWS'!O28:Z28)</f>
        <v>0</v>
      </c>
      <c r="G33" s="66">
        <f>SUM('REV-REVCALC_CWS'!AA28:AL28)</f>
        <v>0</v>
      </c>
      <c r="H33" s="66">
        <f>SUM('REV-REVCALC_CWS'!AM28:AX28)</f>
        <v>0</v>
      </c>
      <c r="I33" s="66">
        <f>SUM('REV-REVCALC_CWS'!AY28:BJ28)</f>
        <v>0</v>
      </c>
      <c r="J33" s="118">
        <f>SUM(E33:I33)</f>
        <v>0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</v>
      </c>
      <c r="F34" s="116">
        <f>F33/F24</f>
        <v>0</v>
      </c>
      <c r="G34" s="116">
        <f>G33/G24</f>
        <v>0</v>
      </c>
      <c r="H34" s="116">
        <f>H33/H24</f>
        <v>0</v>
      </c>
      <c r="I34" s="116">
        <f>I33/I24</f>
        <v>0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331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4934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80909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1650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33897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332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345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4125000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102747621.58392501</v>
      </c>
      <c r="K47" s="120">
        <f>J47-'REV-REVCALC_CWS'!BK44</f>
        <v>0</v>
      </c>
    </row>
    <row r="48" spans="2:11" x14ac:dyDescent="0.15">
      <c r="B48" s="47" t="s">
        <v>344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90" t="s">
        <v>690</v>
      </c>
      <c r="C2" s="390"/>
      <c r="D2" s="390"/>
    </row>
    <row r="3" spans="2:4" x14ac:dyDescent="0.15">
      <c r="C3" s="10" t="s">
        <v>364</v>
      </c>
      <c r="D3" s="10" t="s">
        <v>365</v>
      </c>
    </row>
    <row r="4" spans="2:4" x14ac:dyDescent="0.15">
      <c r="B4" s="14" t="s">
        <v>422</v>
      </c>
      <c r="C4" s="376">
        <v>3</v>
      </c>
      <c r="D4" s="376">
        <v>2</v>
      </c>
    </row>
    <row r="5" spans="2:4" x14ac:dyDescent="0.15">
      <c r="B5" s="17" t="s">
        <v>366</v>
      </c>
      <c r="C5" s="93"/>
      <c r="D5" s="375">
        <v>0</v>
      </c>
    </row>
    <row r="6" spans="2:4" x14ac:dyDescent="0.15">
      <c r="B6" s="17" t="s">
        <v>367</v>
      </c>
      <c r="C6" s="280">
        <v>0</v>
      </c>
      <c r="D6" s="90">
        <f>C6*$D$4</f>
        <v>0</v>
      </c>
    </row>
    <row r="7" spans="2:4" x14ac:dyDescent="0.15">
      <c r="B7" s="17" t="s">
        <v>368</v>
      </c>
      <c r="C7" s="280">
        <v>0</v>
      </c>
      <c r="D7" s="90">
        <f>C7*$C$4</f>
        <v>0</v>
      </c>
    </row>
    <row r="8" spans="2:4" x14ac:dyDescent="0.15">
      <c r="B8" s="17" t="s">
        <v>369</v>
      </c>
      <c r="C8" s="280">
        <v>0</v>
      </c>
      <c r="D8" s="90">
        <f>C8*$C$4</f>
        <v>0</v>
      </c>
    </row>
    <row r="9" spans="2:4" x14ac:dyDescent="0.15">
      <c r="B9" s="73" t="s">
        <v>370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371</v>
      </c>
      <c r="C11" s="376">
        <v>2</v>
      </c>
      <c r="D11" s="376">
        <v>2</v>
      </c>
    </row>
    <row r="12" spans="2:4" x14ac:dyDescent="0.15">
      <c r="B12" s="17" t="s">
        <v>366</v>
      </c>
      <c r="C12" s="93"/>
      <c r="D12" s="375">
        <v>0</v>
      </c>
    </row>
    <row r="13" spans="2:4" x14ac:dyDescent="0.15">
      <c r="B13" s="17" t="s">
        <v>367</v>
      </c>
      <c r="C13" s="280">
        <v>0</v>
      </c>
      <c r="D13" s="90">
        <f>C13*$D$11</f>
        <v>0</v>
      </c>
    </row>
    <row r="14" spans="2:4" x14ac:dyDescent="0.15">
      <c r="B14" s="17" t="s">
        <v>368</v>
      </c>
      <c r="C14" s="280">
        <v>0</v>
      </c>
      <c r="D14" s="90">
        <f>C14*$C$11</f>
        <v>0</v>
      </c>
    </row>
    <row r="15" spans="2:4" x14ac:dyDescent="0.15">
      <c r="B15" s="17" t="s">
        <v>369</v>
      </c>
      <c r="C15" s="280">
        <v>0</v>
      </c>
      <c r="D15" s="90">
        <f>C15*$C$11</f>
        <v>0</v>
      </c>
    </row>
    <row r="16" spans="2:4" x14ac:dyDescent="0.15">
      <c r="B16" s="73" t="s">
        <v>370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423</v>
      </c>
      <c r="C18" s="376">
        <v>4</v>
      </c>
      <c r="D18" s="376">
        <v>3</v>
      </c>
    </row>
    <row r="19" spans="2:4" x14ac:dyDescent="0.15">
      <c r="B19" s="17" t="s">
        <v>366</v>
      </c>
      <c r="C19" s="93"/>
      <c r="D19" s="375">
        <v>0</v>
      </c>
    </row>
    <row r="20" spans="2:4" x14ac:dyDescent="0.15">
      <c r="B20" s="17" t="s">
        <v>367</v>
      </c>
      <c r="C20" s="280">
        <v>0</v>
      </c>
      <c r="D20" s="90">
        <f>C20*$D$18</f>
        <v>0</v>
      </c>
    </row>
    <row r="21" spans="2:4" x14ac:dyDescent="0.15">
      <c r="B21" s="17" t="s">
        <v>368</v>
      </c>
      <c r="C21" s="280">
        <v>0</v>
      </c>
      <c r="D21" s="90">
        <f>C21*$C$18</f>
        <v>0</v>
      </c>
    </row>
    <row r="22" spans="2:4" x14ac:dyDescent="0.15">
      <c r="B22" s="17" t="s">
        <v>369</v>
      </c>
      <c r="C22" s="280">
        <v>0</v>
      </c>
      <c r="D22" s="90">
        <f>C22*$C$18</f>
        <v>0</v>
      </c>
    </row>
    <row r="23" spans="2:4" x14ac:dyDescent="0.15">
      <c r="B23" s="73" t="s">
        <v>370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421</v>
      </c>
      <c r="C25" s="376">
        <v>3</v>
      </c>
      <c r="D25" s="376">
        <v>2</v>
      </c>
    </row>
    <row r="26" spans="2:4" x14ac:dyDescent="0.15">
      <c r="B26" s="17" t="s">
        <v>366</v>
      </c>
      <c r="C26" s="93"/>
      <c r="D26" s="375">
        <v>0</v>
      </c>
    </row>
    <row r="27" spans="2:4" x14ac:dyDescent="0.15">
      <c r="B27" s="47" t="s">
        <v>367</v>
      </c>
      <c r="C27" s="280">
        <v>0</v>
      </c>
      <c r="D27" s="90">
        <f>C27*$D$25</f>
        <v>0</v>
      </c>
    </row>
    <row r="28" spans="2:4" x14ac:dyDescent="0.15">
      <c r="B28" s="17" t="s">
        <v>368</v>
      </c>
      <c r="C28" s="280">
        <v>0</v>
      </c>
      <c r="D28" s="90">
        <f>C28*$C$25</f>
        <v>0</v>
      </c>
    </row>
    <row r="29" spans="2:4" x14ac:dyDescent="0.15">
      <c r="B29" s="17" t="s">
        <v>369</v>
      </c>
      <c r="C29" s="280">
        <v>0</v>
      </c>
      <c r="D29" s="90">
        <f>C29*$C$25</f>
        <v>0</v>
      </c>
    </row>
    <row r="30" spans="2:4" x14ac:dyDescent="0.15">
      <c r="B30" s="73" t="s">
        <v>370</v>
      </c>
      <c r="C30" s="27"/>
      <c r="D30" s="117">
        <f>SUM(D26:D29)</f>
        <v>0</v>
      </c>
    </row>
    <row r="32" spans="2:4" x14ac:dyDescent="0.15">
      <c r="B32" s="73" t="s">
        <v>424</v>
      </c>
      <c r="C32" s="376">
        <v>3</v>
      </c>
      <c r="D32" s="376">
        <v>2</v>
      </c>
    </row>
    <row r="33" spans="2:4" x14ac:dyDescent="0.15">
      <c r="B33" s="17" t="s">
        <v>366</v>
      </c>
      <c r="C33" s="93"/>
      <c r="D33" s="375">
        <v>0</v>
      </c>
    </row>
    <row r="34" spans="2:4" x14ac:dyDescent="0.15">
      <c r="B34" s="47" t="s">
        <v>1070</v>
      </c>
      <c r="C34" s="280">
        <v>0</v>
      </c>
      <c r="D34" s="90">
        <f>C34*$D$25</f>
        <v>0</v>
      </c>
    </row>
    <row r="35" spans="2:4" x14ac:dyDescent="0.15">
      <c r="B35" s="17" t="s">
        <v>368</v>
      </c>
      <c r="C35" s="280">
        <v>0</v>
      </c>
      <c r="D35" s="90">
        <f>C35*$C$25</f>
        <v>0</v>
      </c>
    </row>
    <row r="36" spans="2:4" x14ac:dyDescent="0.15">
      <c r="B36" s="17" t="s">
        <v>369</v>
      </c>
      <c r="C36" s="280">
        <v>0</v>
      </c>
      <c r="D36" s="90">
        <f>C36*$C$25</f>
        <v>0</v>
      </c>
    </row>
    <row r="37" spans="2:4" x14ac:dyDescent="0.15">
      <c r="B37" s="73" t="s">
        <v>370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90" t="s">
        <v>35</v>
      </c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 t="s">
        <v>36</v>
      </c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 t="s">
        <v>37</v>
      </c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 t="s">
        <v>38</v>
      </c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 t="s">
        <v>39</v>
      </c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5"/>
    </row>
    <row r="2" spans="1:76" s="14" customFormat="1" x14ac:dyDescent="0.15">
      <c r="A2" s="10"/>
      <c r="B2" s="14" t="s">
        <v>723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426</v>
      </c>
    </row>
    <row r="25" spans="2:64" x14ac:dyDescent="0.15">
      <c r="B25" s="14"/>
    </row>
    <row r="26" spans="2:64" s="102" customFormat="1" x14ac:dyDescent="0.15">
      <c r="B26" s="298" t="s">
        <v>422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371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423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421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424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427</v>
      </c>
    </row>
    <row r="35" spans="2:64" x14ac:dyDescent="0.15">
      <c r="B35" s="14"/>
    </row>
    <row r="36" spans="2:64" x14ac:dyDescent="0.15">
      <c r="B36" s="47" t="s">
        <v>422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428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429</v>
      </c>
    </row>
    <row r="63" spans="2:64" x14ac:dyDescent="0.15">
      <c r="B63" s="14"/>
    </row>
    <row r="64" spans="2:64" s="102" customFormat="1" x14ac:dyDescent="0.15">
      <c r="B64" s="298" t="s">
        <v>422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371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423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421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424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430</v>
      </c>
    </row>
    <row r="73" spans="2:64" x14ac:dyDescent="0.15">
      <c r="B73" s="14"/>
    </row>
    <row r="74" spans="2:64" x14ac:dyDescent="0.15">
      <c r="B74" s="47" t="s">
        <v>422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947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946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432</v>
      </c>
    </row>
    <row r="107" spans="2:64" x14ac:dyDescent="0.15">
      <c r="B107" s="14"/>
    </row>
    <row r="108" spans="2:64" s="102" customFormat="1" x14ac:dyDescent="0.15">
      <c r="B108" s="298" t="s">
        <v>422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371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423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421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424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433</v>
      </c>
    </row>
    <row r="117" spans="2:64" x14ac:dyDescent="0.15">
      <c r="B117" s="14"/>
    </row>
    <row r="118" spans="2:64" x14ac:dyDescent="0.15">
      <c r="B118" s="47" t="s">
        <v>422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437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438</v>
      </c>
    </row>
    <row r="182" spans="2:64" hidden="1" x14ac:dyDescent="0.15">
      <c r="B182" s="14"/>
    </row>
    <row r="183" spans="2:64" s="102" customFormat="1" x14ac:dyDescent="0.15">
      <c r="B183" s="298" t="s">
        <v>422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371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423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421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424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435</v>
      </c>
    </row>
    <row r="192" spans="2:64" x14ac:dyDescent="0.15">
      <c r="B192" s="14"/>
    </row>
    <row r="193" spans="2:64" x14ac:dyDescent="0.15">
      <c r="B193" s="47" t="s">
        <v>422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371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436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651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358</v>
      </c>
      <c r="C3" s="169">
        <f>C25</f>
        <v>0</v>
      </c>
      <c r="D3" s="169">
        <f>SUM(D25:O25)</f>
        <v>6584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114806</v>
      </c>
    </row>
    <row r="5" spans="2:63" x14ac:dyDescent="0.15">
      <c r="B5" s="16" t="s">
        <v>339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1053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1054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1059</v>
      </c>
    </row>
    <row r="9" spans="2:63" s="169" customFormat="1" x14ac:dyDescent="0.15">
      <c r="B9" s="314" t="s">
        <v>1053</v>
      </c>
      <c r="C9" s="169">
        <f>C34</f>
        <v>0</v>
      </c>
      <c r="D9" s="169">
        <f>SUM(D34:O34)</f>
        <v>6584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1055</v>
      </c>
      <c r="C10" s="9">
        <f>C35</f>
        <v>0</v>
      </c>
      <c r="D10" s="9">
        <f>SUM(D35:O35)</f>
        <v>62548000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338</v>
      </c>
      <c r="C11" s="107"/>
    </row>
    <row r="12" spans="2:63" s="169" customFormat="1" x14ac:dyDescent="0.15">
      <c r="B12" s="314" t="s">
        <v>1053</v>
      </c>
      <c r="C12" s="169">
        <v>0</v>
      </c>
      <c r="D12" s="169">
        <f>SUM(D38:O38)</f>
        <v>6584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1056</v>
      </c>
      <c r="C13" s="9">
        <v>0</v>
      </c>
      <c r="D13" s="9">
        <f>SUM(D39:O39)</f>
        <v>62548000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340</v>
      </c>
      <c r="C14" s="97"/>
    </row>
    <row r="15" spans="2:63" s="169" customFormat="1" ht="16.5" customHeight="1" x14ac:dyDescent="0.15">
      <c r="B15" s="314" t="s">
        <v>1053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1056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341</v>
      </c>
    </row>
    <row r="18" spans="2:69" x14ac:dyDescent="0.15">
      <c r="B18" s="106" t="s">
        <v>1053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1055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90" t="s">
        <v>35</v>
      </c>
      <c r="E21" s="390"/>
      <c r="F21" s="390"/>
      <c r="G21" s="390"/>
      <c r="H21" s="390"/>
      <c r="I21" s="390"/>
      <c r="J21" s="390"/>
      <c r="K21" s="390"/>
      <c r="L21" s="390"/>
      <c r="M21" s="390"/>
      <c r="N21" s="390"/>
      <c r="O21" s="390"/>
      <c r="P21" s="390" t="s">
        <v>36</v>
      </c>
      <c r="Q21" s="390"/>
      <c r="R21" s="390"/>
      <c r="S21" s="390"/>
      <c r="T21" s="390"/>
      <c r="U21" s="390"/>
      <c r="V21" s="390"/>
      <c r="W21" s="390"/>
      <c r="X21" s="390"/>
      <c r="Y21" s="390"/>
      <c r="Z21" s="390"/>
      <c r="AA21" s="390"/>
      <c r="AB21" s="390" t="s">
        <v>37</v>
      </c>
      <c r="AC21" s="390"/>
      <c r="AD21" s="390"/>
      <c r="AE21" s="390"/>
      <c r="AF21" s="390"/>
      <c r="AG21" s="390"/>
      <c r="AH21" s="390"/>
      <c r="AI21" s="390"/>
      <c r="AJ21" s="390"/>
      <c r="AK21" s="390"/>
      <c r="AL21" s="390"/>
      <c r="AM21" s="390"/>
      <c r="AN21" s="390" t="s">
        <v>38</v>
      </c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/>
      <c r="AZ21" s="390" t="s">
        <v>39</v>
      </c>
      <c r="BA21" s="390"/>
      <c r="BB21" s="390"/>
      <c r="BC21" s="390"/>
      <c r="BD21" s="390"/>
      <c r="BE21" s="390"/>
      <c r="BF21" s="390"/>
      <c r="BG21" s="390"/>
      <c r="BH21" s="390"/>
      <c r="BI21" s="390"/>
      <c r="BJ21" s="390"/>
      <c r="BK21" s="390"/>
      <c r="BM21" s="10" t="s">
        <v>630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650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357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616</v>
      </c>
      <c r="H25" s="313">
        <f>'REV-REVCALC_CWS'!G13</f>
        <v>726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342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1053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1054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1059</v>
      </c>
    </row>
    <row r="34" spans="2:66" s="169" customFormat="1" x14ac:dyDescent="0.15">
      <c r="B34" s="314" t="s">
        <v>1053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616</v>
      </c>
      <c r="H34" s="169">
        <f t="shared" si="7"/>
        <v>726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114806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1056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5852000</v>
      </c>
      <c r="H35" s="145">
        <f t="shared" si="9"/>
        <v>6897000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1248693199.3000002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338</v>
      </c>
      <c r="C37" s="107"/>
    </row>
    <row r="38" spans="2:66" s="169" customFormat="1" x14ac:dyDescent="0.15">
      <c r="B38" s="314" t="s">
        <v>1053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616</v>
      </c>
      <c r="H38" s="169">
        <f>'REV-REVCALC_CWS'!G13</f>
        <v>726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114806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1055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5852000</v>
      </c>
      <c r="H39" s="145">
        <f t="shared" si="11"/>
        <v>6897000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1248693199.3000002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340</v>
      </c>
      <c r="C41" s="97"/>
    </row>
    <row r="42" spans="2:66" s="169" customFormat="1" ht="16.5" customHeight="1" x14ac:dyDescent="0.15">
      <c r="B42" s="314" t="s">
        <v>1057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1058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341</v>
      </c>
    </row>
    <row r="47" spans="2:66" s="169" customFormat="1" x14ac:dyDescent="0.15">
      <c r="B47" s="314" t="s">
        <v>1053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1055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652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363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359</v>
      </c>
      <c r="C54" s="9">
        <f t="shared" si="19"/>
        <v>0</v>
      </c>
      <c r="D54" s="66">
        <f>SUM(D66:O66)</f>
        <v>62548000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360</v>
      </c>
      <c r="C55" s="9">
        <f t="shared" si="19"/>
        <v>0</v>
      </c>
      <c r="D55" s="9">
        <f>D53+D54</f>
        <v>62548000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361</v>
      </c>
      <c r="C56" s="9">
        <f t="shared" si="19"/>
        <v>0</v>
      </c>
      <c r="D56" s="66">
        <f>SUM(D68:O68)</f>
        <v>62548000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362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529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90" t="s">
        <v>35</v>
      </c>
      <c r="E60" s="390"/>
      <c r="F60" s="390"/>
      <c r="G60" s="390"/>
      <c r="H60" s="390"/>
      <c r="I60" s="390"/>
      <c r="J60" s="390"/>
      <c r="K60" s="390"/>
      <c r="L60" s="390"/>
      <c r="M60" s="390"/>
      <c r="N60" s="390"/>
      <c r="O60" s="390"/>
      <c r="P60" s="390" t="s">
        <v>36</v>
      </c>
      <c r="Q60" s="390"/>
      <c r="R60" s="390"/>
      <c r="S60" s="390"/>
      <c r="T60" s="390"/>
      <c r="U60" s="390"/>
      <c r="V60" s="390"/>
      <c r="W60" s="390"/>
      <c r="X60" s="390"/>
      <c r="Y60" s="390"/>
      <c r="Z60" s="390"/>
      <c r="AA60" s="390"/>
      <c r="AB60" s="390" t="s">
        <v>37</v>
      </c>
      <c r="AC60" s="390"/>
      <c r="AD60" s="390"/>
      <c r="AE60" s="390"/>
      <c r="AF60" s="390"/>
      <c r="AG60" s="390"/>
      <c r="AH60" s="390"/>
      <c r="AI60" s="390"/>
      <c r="AJ60" s="390"/>
      <c r="AK60" s="390"/>
      <c r="AL60" s="390"/>
      <c r="AM60" s="390"/>
      <c r="AN60" s="390" t="s">
        <v>38</v>
      </c>
      <c r="AO60" s="390"/>
      <c r="AP60" s="390"/>
      <c r="AQ60" s="390"/>
      <c r="AR60" s="390"/>
      <c r="AS60" s="390"/>
      <c r="AT60" s="390"/>
      <c r="AU60" s="390"/>
      <c r="AV60" s="390"/>
      <c r="AW60" s="390"/>
      <c r="AX60" s="390"/>
      <c r="AY60" s="390"/>
      <c r="AZ60" s="390" t="s">
        <v>39</v>
      </c>
      <c r="BA60" s="390"/>
      <c r="BB60" s="390"/>
      <c r="BC60" s="390"/>
      <c r="BD60" s="390"/>
      <c r="BE60" s="390"/>
      <c r="BF60" s="390"/>
      <c r="BG60" s="390"/>
      <c r="BH60" s="390"/>
      <c r="BI60" s="390"/>
      <c r="BJ60" s="390"/>
      <c r="BK60" s="390"/>
      <c r="BM60" s="10" t="s">
        <v>630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835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363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359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5852000</v>
      </c>
      <c r="H66" s="9">
        <f t="shared" si="22"/>
        <v>6897000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1248693199.3000002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360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5852000</v>
      </c>
      <c r="H67" s="9">
        <f t="shared" si="24"/>
        <v>6897000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1248693199.3000002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361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5852000</v>
      </c>
      <c r="H68" s="9">
        <f t="shared" ref="H68:BN68" si="27">H67</f>
        <v>6897000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1248693199.3000002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362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529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1245</v>
      </c>
    </row>
    <row r="2" spans="1:7" x14ac:dyDescent="0.15">
      <c r="B2" s="10" t="s">
        <v>314</v>
      </c>
      <c r="C2" s="10" t="s">
        <v>315</v>
      </c>
      <c r="D2" s="10" t="s">
        <v>622</v>
      </c>
      <c r="E2" s="10" t="s">
        <v>329</v>
      </c>
      <c r="F2" s="10" t="s">
        <v>330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1196</v>
      </c>
    </row>
    <row r="5" spans="1:7" outlineLevel="1" x14ac:dyDescent="0.15">
      <c r="A5" s="47" t="s">
        <v>1195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1270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1197</v>
      </c>
      <c r="B11" s="91"/>
      <c r="D11" s="91"/>
      <c r="E11" s="91"/>
      <c r="F11" s="3"/>
      <c r="G11" s="94"/>
    </row>
    <row r="12" spans="1:7" outlineLevel="1" x14ac:dyDescent="0.15">
      <c r="A12" s="47" t="s">
        <v>1200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1194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328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1198</v>
      </c>
      <c r="B19" s="91"/>
      <c r="D19" s="91"/>
      <c r="E19" s="91"/>
      <c r="F19" s="3"/>
      <c r="G19" s="94"/>
    </row>
    <row r="20" spans="1:7" outlineLevel="1" x14ac:dyDescent="0.15">
      <c r="A20" s="47" t="s">
        <v>1193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1191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1192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1213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1201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1195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1194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1212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12000</v>
      </c>
      <c r="F34" s="93">
        <f>SUM(F29:F32)</f>
        <v>10000</v>
      </c>
      <c r="G34" s="4">
        <f>F34/D34</f>
        <v>0.45454545454545453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1197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1200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1194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328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1198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1193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1191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1192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1213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13200</v>
      </c>
      <c r="F51" s="27">
        <f>F49+F34</f>
        <v>11300</v>
      </c>
      <c r="G51" s="179">
        <f>F51/D51</f>
        <v>0.46122448979591835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1196</v>
      </c>
    </row>
    <row r="55" spans="1:7" outlineLevel="2" x14ac:dyDescent="0.15">
      <c r="A55" s="47" t="s">
        <v>1195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1194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1197</v>
      </c>
      <c r="B61" s="91"/>
      <c r="D61" s="91"/>
      <c r="E61" s="91"/>
      <c r="F61" s="3"/>
      <c r="G61" s="94"/>
    </row>
    <row r="62" spans="1:7" outlineLevel="2" x14ac:dyDescent="0.15">
      <c r="A62" s="47" t="s">
        <v>1200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1194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328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1198</v>
      </c>
      <c r="B69" s="91"/>
      <c r="D69" s="91"/>
      <c r="E69" s="91"/>
      <c r="F69" s="3"/>
      <c r="G69" s="94"/>
    </row>
    <row r="70" spans="1:7" outlineLevel="2" x14ac:dyDescent="0.15">
      <c r="A70" s="47" t="s">
        <v>1193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1191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1192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1213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1201</v>
      </c>
    </row>
    <row r="79" spans="1:7" outlineLevel="2" x14ac:dyDescent="0.15">
      <c r="A79" s="47" t="s">
        <v>1195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1194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1212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12840</v>
      </c>
      <c r="F84" s="93">
        <f>SUM(F79:F82)</f>
        <v>10700</v>
      </c>
      <c r="G84" s="4">
        <f>F84/D84</f>
        <v>0.45454545454545453</v>
      </c>
    </row>
    <row r="85" spans="1:7" outlineLevel="2" x14ac:dyDescent="0.15"/>
    <row r="86" spans="1:7" s="14" customFormat="1" outlineLevel="2" x14ac:dyDescent="0.15">
      <c r="A86" s="14" t="s">
        <v>1197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1200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1194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328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12840</v>
      </c>
      <c r="F92" s="27">
        <f>F90+F84</f>
        <v>10700</v>
      </c>
      <c r="G92" s="179">
        <f>F92/D92</f>
        <v>0.45454545454545453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1198</v>
      </c>
      <c r="B94" s="91"/>
      <c r="D94" s="91"/>
      <c r="E94" s="91"/>
      <c r="F94" s="3"/>
      <c r="G94" s="94"/>
    </row>
    <row r="95" spans="1:7" outlineLevel="2" x14ac:dyDescent="0.15">
      <c r="A95" s="47" t="s">
        <v>1193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1191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1192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1213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14124</v>
      </c>
      <c r="F101" s="27">
        <f>F99+F84</f>
        <v>12091</v>
      </c>
      <c r="G101" s="179">
        <f>F101/D101</f>
        <v>0.46122448979591835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1196</v>
      </c>
    </row>
    <row r="105" spans="1:7" outlineLevel="2" x14ac:dyDescent="0.15">
      <c r="A105" s="47" t="s">
        <v>1195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1194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1197</v>
      </c>
      <c r="B111" s="91"/>
      <c r="D111" s="91"/>
      <c r="E111" s="91"/>
      <c r="F111" s="3"/>
      <c r="G111" s="94"/>
    </row>
    <row r="112" spans="1:7" outlineLevel="2" x14ac:dyDescent="0.15">
      <c r="A112" s="47" t="s">
        <v>1200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1194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328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1198</v>
      </c>
      <c r="B119" s="91"/>
      <c r="D119" s="91"/>
      <c r="E119" s="91"/>
      <c r="F119" s="3"/>
      <c r="G119" s="94"/>
    </row>
    <row r="120" spans="1:7" outlineLevel="2" x14ac:dyDescent="0.15">
      <c r="A120" s="47" t="s">
        <v>1193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1191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1192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1213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1201</v>
      </c>
    </row>
    <row r="129" spans="1:7" outlineLevel="2" x14ac:dyDescent="0.15">
      <c r="A129" s="47" t="s">
        <v>1195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1194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1212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13738.800000000001</v>
      </c>
      <c r="F134" s="93">
        <f>SUM(F129:F132)</f>
        <v>11449.000000000002</v>
      </c>
      <c r="G134" s="4">
        <f>F134/D134</f>
        <v>0.45454545454545459</v>
      </c>
    </row>
    <row r="135" spans="1:7" outlineLevel="2" x14ac:dyDescent="0.15"/>
    <row r="136" spans="1:7" outlineLevel="2" x14ac:dyDescent="0.15">
      <c r="A136" s="14" t="s">
        <v>1197</v>
      </c>
      <c r="B136" s="91"/>
      <c r="D136" s="91"/>
      <c r="E136" s="91"/>
      <c r="F136" s="3"/>
      <c r="G136" s="94"/>
    </row>
    <row r="137" spans="1:7" outlineLevel="2" x14ac:dyDescent="0.15">
      <c r="A137" s="47" t="s">
        <v>1200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1194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328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13738.800000000001</v>
      </c>
      <c r="F142" s="27">
        <f>F140+F134</f>
        <v>11449.000000000002</v>
      </c>
      <c r="G142" s="179">
        <f>F142/D142</f>
        <v>0.45454545454545459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1198</v>
      </c>
      <c r="B144" s="91"/>
      <c r="D144" s="91"/>
      <c r="E144" s="91"/>
      <c r="F144" s="3"/>
      <c r="G144" s="94"/>
    </row>
    <row r="145" spans="1:7" outlineLevel="2" x14ac:dyDescent="0.15">
      <c r="A145" s="47" t="s">
        <v>1193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1191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1192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331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15112.68</v>
      </c>
      <c r="F151" s="27">
        <f>F149+F134</f>
        <v>12937.370000000003</v>
      </c>
      <c r="G151" s="179">
        <f>F151/D151</f>
        <v>0.4612244897959184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1196</v>
      </c>
    </row>
    <row r="155" spans="1:7" outlineLevel="1" x14ac:dyDescent="0.15">
      <c r="A155" s="47" t="s">
        <v>1195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1194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1197</v>
      </c>
      <c r="B161" s="91"/>
      <c r="D161" s="91"/>
      <c r="E161" s="91"/>
      <c r="F161" s="3"/>
      <c r="G161" s="94"/>
    </row>
    <row r="162" spans="1:7" outlineLevel="1" x14ac:dyDescent="0.15">
      <c r="A162" s="47" t="s">
        <v>1200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1194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328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1198</v>
      </c>
      <c r="B169" s="91"/>
      <c r="D169" s="91"/>
      <c r="E169" s="91"/>
      <c r="F169" s="3"/>
      <c r="G169" s="94"/>
    </row>
    <row r="170" spans="1:7" outlineLevel="1" x14ac:dyDescent="0.15">
      <c r="A170" s="47" t="s">
        <v>1193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1191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1192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331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1201</v>
      </c>
    </row>
    <row r="179" spans="1:7" outlineLevel="1" x14ac:dyDescent="0.15">
      <c r="A179" s="47" t="s">
        <v>1195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1194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1212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14700.516000000001</v>
      </c>
      <c r="F184" s="93">
        <f>SUM(F179:F182)</f>
        <v>12250.430000000002</v>
      </c>
      <c r="G184" s="4">
        <f>F184/D184</f>
        <v>0.45454545454545459</v>
      </c>
    </row>
    <row r="185" spans="1:7" outlineLevel="1" x14ac:dyDescent="0.15"/>
    <row r="186" spans="1:7" outlineLevel="1" x14ac:dyDescent="0.15">
      <c r="A186" s="14" t="s">
        <v>1197</v>
      </c>
      <c r="B186" s="91"/>
      <c r="D186" s="91"/>
      <c r="E186" s="91"/>
      <c r="F186" s="3"/>
      <c r="G186" s="94"/>
    </row>
    <row r="187" spans="1:7" outlineLevel="1" x14ac:dyDescent="0.15">
      <c r="A187" s="47" t="s">
        <v>1200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1194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328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14700.516000000001</v>
      </c>
      <c r="F192" s="27">
        <f>F190+F184</f>
        <v>12250.430000000002</v>
      </c>
      <c r="G192" s="179">
        <f>F192/D192</f>
        <v>0.45454545454545459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1198</v>
      </c>
      <c r="B194" s="91"/>
      <c r="D194" s="91"/>
      <c r="E194" s="91"/>
      <c r="F194" s="3"/>
      <c r="G194" s="94"/>
    </row>
    <row r="195" spans="1:7" outlineLevel="1" x14ac:dyDescent="0.15">
      <c r="A195" s="47" t="s">
        <v>1193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1191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1192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331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16170.567600000002</v>
      </c>
      <c r="F201" s="27">
        <f>F199+F184</f>
        <v>13842.985900000001</v>
      </c>
      <c r="G201" s="179">
        <f>F201/D201</f>
        <v>0.4612244897959184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1196</v>
      </c>
    </row>
    <row r="205" spans="1:7" outlineLevel="1" x14ac:dyDescent="0.15">
      <c r="A205" s="47" t="s">
        <v>1195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1194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1197</v>
      </c>
      <c r="B211" s="91"/>
      <c r="D211" s="91"/>
      <c r="E211" s="91"/>
      <c r="F211" s="3"/>
      <c r="G211" s="94"/>
    </row>
    <row r="212" spans="1:7" outlineLevel="1" x14ac:dyDescent="0.15">
      <c r="A212" s="47" t="s">
        <v>1200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1194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328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1198</v>
      </c>
      <c r="B219" s="91"/>
      <c r="D219" s="91"/>
      <c r="E219" s="91"/>
      <c r="F219" s="3"/>
      <c r="G219" s="94"/>
    </row>
    <row r="220" spans="1:7" outlineLevel="1" x14ac:dyDescent="0.15">
      <c r="A220" s="47" t="s">
        <v>1193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1191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1192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1212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1201</v>
      </c>
    </row>
    <row r="229" spans="1:7" outlineLevel="1" x14ac:dyDescent="0.15">
      <c r="A229" s="47" t="s">
        <v>1195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1194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331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15729.552120000002</v>
      </c>
      <c r="F234" s="93">
        <f>SUM(F229:F232)</f>
        <v>13107.960100000002</v>
      </c>
      <c r="G234" s="4">
        <f>F234/D234</f>
        <v>0.45454545454545453</v>
      </c>
    </row>
    <row r="235" spans="1:7" outlineLevel="1" x14ac:dyDescent="0.15"/>
    <row r="236" spans="1:7" outlineLevel="1" x14ac:dyDescent="0.15">
      <c r="A236" s="14" t="s">
        <v>1197</v>
      </c>
      <c r="B236" s="91"/>
      <c r="D236" s="91"/>
      <c r="E236" s="91"/>
      <c r="F236" s="3"/>
      <c r="G236" s="94"/>
    </row>
    <row r="237" spans="1:7" outlineLevel="1" x14ac:dyDescent="0.15">
      <c r="A237" s="47" t="s">
        <v>1200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1194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328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15729.552120000002</v>
      </c>
      <c r="F242" s="27">
        <f>F240+F234</f>
        <v>13107.960100000002</v>
      </c>
      <c r="G242" s="179">
        <f>F242/D242</f>
        <v>0.45454545454545453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1198</v>
      </c>
      <c r="B244" s="91"/>
      <c r="D244" s="91"/>
      <c r="E244" s="91"/>
      <c r="F244" s="3"/>
      <c r="G244" s="94"/>
    </row>
    <row r="245" spans="1:7" outlineLevel="1" x14ac:dyDescent="0.15">
      <c r="A245" s="47" t="s">
        <v>1193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1191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1192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331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17302.507332000001</v>
      </c>
      <c r="F251" s="27">
        <f>F249+F234</f>
        <v>14811.994913000002</v>
      </c>
      <c r="G251" s="179">
        <f>F251/D251</f>
        <v>0.4612244897959184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528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1216</v>
      </c>
      <c r="B3" s="75"/>
      <c r="C3" s="63">
        <f>SUM(C12:N12)</f>
        <v>152759500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3114996954.017025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1214</v>
      </c>
      <c r="B4" s="75"/>
      <c r="C4" s="63">
        <f>SUM(C13:N13)</f>
        <v>60857000</v>
      </c>
      <c r="D4" s="63"/>
      <c r="E4" s="63">
        <f>SUM(O13:Z13)</f>
        <v>150991445</v>
      </c>
      <c r="F4" s="63"/>
      <c r="G4" s="63">
        <f>SUM(AA13:AL13)</f>
        <v>334395362.24999994</v>
      </c>
      <c r="H4" s="63"/>
      <c r="I4" s="63">
        <f>SUM(AM13:AX13)</f>
        <v>366478963.708</v>
      </c>
      <c r="J4" s="63"/>
      <c r="K4" s="63">
        <f>SUM(AY13:BJ13)</f>
        <v>403863460.05905515</v>
      </c>
      <c r="M4" s="322">
        <f>SUM(C4:K4)</f>
        <v>1316586231.017055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1215</v>
      </c>
      <c r="B5" s="75"/>
      <c r="C5" s="96">
        <f>C4/C3</f>
        <v>0.39838438853230079</v>
      </c>
      <c r="D5" s="96"/>
      <c r="E5" s="96">
        <f>E4/E3</f>
        <v>0.40053162577292228</v>
      </c>
      <c r="F5" s="96"/>
      <c r="G5" s="96">
        <f>G4/G3</f>
        <v>0.42878734508153321</v>
      </c>
      <c r="H5" s="96"/>
      <c r="I5" s="96">
        <f>I4/I3</f>
        <v>0.42670006218869999</v>
      </c>
      <c r="J5" s="96"/>
      <c r="K5" s="96">
        <f>K4/K3</f>
        <v>0.42667834552573924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640</v>
      </c>
      <c r="B6" s="75"/>
      <c r="C6" s="63">
        <f>SUM(C15:N15)</f>
        <v>32149500</v>
      </c>
      <c r="D6" s="96">
        <f>C6/TotalIngresosAñ1</f>
        <v>0.21045826937113568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641</v>
      </c>
      <c r="B7" s="75"/>
      <c r="C7" s="63">
        <f>SUM(C16:N16)</f>
        <v>28707500</v>
      </c>
      <c r="D7" s="96">
        <f>C7/TotalIngresosAñ1</f>
        <v>0.18792611916116511</v>
      </c>
      <c r="E7" s="63">
        <f>SUM(O16:Z16)</f>
        <v>72412250</v>
      </c>
      <c r="F7" s="96">
        <f>E7/E3</f>
        <v>0.19208635441812807</v>
      </c>
      <c r="G7" s="63">
        <f>SUM(AA16:AL16)</f>
        <v>224785498.50000003</v>
      </c>
      <c r="H7" s="96">
        <f>G7/G3</f>
        <v>0.2882371826753527</v>
      </c>
      <c r="I7" s="63">
        <f>SUM(AM16:AX16)</f>
        <v>246270394.29000014</v>
      </c>
      <c r="J7" s="96">
        <f>I7/I3</f>
        <v>0.2867384023780048</v>
      </c>
      <c r="K7" s="63">
        <f>SUM(AY16:BJ16)</f>
        <v>271357713.000175</v>
      </c>
      <c r="L7" s="96">
        <f>K7/K3</f>
        <v>0.28668713929116713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5" t="s">
        <v>35</v>
      </c>
      <c r="D9" s="395"/>
      <c r="E9" s="395"/>
      <c r="F9" s="395"/>
      <c r="G9" s="395"/>
      <c r="H9" s="395"/>
      <c r="I9" s="395"/>
      <c r="J9" s="395"/>
      <c r="K9" s="395"/>
      <c r="L9" s="395"/>
      <c r="M9" s="395"/>
      <c r="N9" s="395"/>
      <c r="O9" s="395" t="s">
        <v>36</v>
      </c>
      <c r="P9" s="395"/>
      <c r="Q9" s="395"/>
      <c r="R9" s="395"/>
      <c r="S9" s="395"/>
      <c r="T9" s="395"/>
      <c r="U9" s="395"/>
      <c r="V9" s="395"/>
      <c r="W9" s="395"/>
      <c r="X9" s="395"/>
      <c r="Y9" s="395"/>
      <c r="Z9" s="395"/>
      <c r="AA9" s="395" t="s">
        <v>37</v>
      </c>
      <c r="AB9" s="395"/>
      <c r="AC9" s="395"/>
      <c r="AD9" s="395"/>
      <c r="AE9" s="395"/>
      <c r="AF9" s="395"/>
      <c r="AG9" s="395"/>
      <c r="AH9" s="395"/>
      <c r="AI9" s="395"/>
      <c r="AJ9" s="395"/>
      <c r="AK9" s="395"/>
      <c r="AL9" s="395"/>
      <c r="AM9" s="395" t="s">
        <v>38</v>
      </c>
      <c r="AN9" s="395"/>
      <c r="AO9" s="395"/>
      <c r="AP9" s="395"/>
      <c r="AQ9" s="395"/>
      <c r="AR9" s="395"/>
      <c r="AS9" s="395"/>
      <c r="AT9" s="395"/>
      <c r="AU9" s="395"/>
      <c r="AV9" s="395"/>
      <c r="AW9" s="395"/>
      <c r="AX9" s="395"/>
      <c r="AY9" s="395" t="s">
        <v>39</v>
      </c>
      <c r="AZ9" s="395"/>
      <c r="BA9" s="395"/>
      <c r="BB9" s="395"/>
      <c r="BC9" s="395"/>
      <c r="BD9" s="395"/>
      <c r="BE9" s="395"/>
      <c r="BF9" s="395"/>
      <c r="BG9" s="395"/>
      <c r="BH9" s="395"/>
      <c r="BI9" s="395"/>
      <c r="BJ9" s="39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1216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10496500</v>
      </c>
      <c r="G12" s="63">
        <f t="shared" si="0"/>
        <v>14568500</v>
      </c>
      <c r="H12" s="63">
        <f t="shared" si="0"/>
        <v>18369000</v>
      </c>
      <c r="I12" s="63">
        <f t="shared" si="0"/>
        <v>18369000</v>
      </c>
      <c r="J12" s="63">
        <f t="shared" si="0"/>
        <v>18369000</v>
      </c>
      <c r="K12" s="63">
        <f t="shared" si="0"/>
        <v>18369000</v>
      </c>
      <c r="L12" s="63">
        <f t="shared" si="0"/>
        <v>18369000</v>
      </c>
      <c r="M12" s="63">
        <f t="shared" ref="M12:AH12" si="1">M132</f>
        <v>18369000</v>
      </c>
      <c r="N12" s="63">
        <f t="shared" si="1"/>
        <v>17480500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1214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4182000</v>
      </c>
      <c r="G13" s="63">
        <f t="shared" si="3"/>
        <v>5803500</v>
      </c>
      <c r="H13" s="63">
        <f t="shared" si="3"/>
        <v>7318000</v>
      </c>
      <c r="I13" s="63">
        <f t="shared" si="3"/>
        <v>7318000</v>
      </c>
      <c r="J13" s="63">
        <f t="shared" si="3"/>
        <v>7318000</v>
      </c>
      <c r="K13" s="63">
        <f t="shared" si="3"/>
        <v>7318000</v>
      </c>
      <c r="L13" s="63">
        <f t="shared" si="3"/>
        <v>7318000</v>
      </c>
      <c r="M13" s="63">
        <f t="shared" ref="M13:AH13" si="4">M133</f>
        <v>7318000</v>
      </c>
      <c r="N13" s="63">
        <f t="shared" si="4"/>
        <v>6963500</v>
      </c>
      <c r="O13" s="63">
        <f t="shared" si="4"/>
        <v>7498560</v>
      </c>
      <c r="P13" s="63">
        <f t="shared" si="4"/>
        <v>12085650</v>
      </c>
      <c r="Q13" s="63">
        <f t="shared" si="4"/>
        <v>13593815</v>
      </c>
      <c r="R13" s="63">
        <f t="shared" si="4"/>
        <v>13593815</v>
      </c>
      <c r="S13" s="63">
        <f t="shared" si="4"/>
        <v>13593815</v>
      </c>
      <c r="T13" s="63">
        <f t="shared" si="4"/>
        <v>13593815</v>
      </c>
      <c r="U13" s="63">
        <f t="shared" si="4"/>
        <v>13593815</v>
      </c>
      <c r="V13" s="63">
        <f t="shared" si="4"/>
        <v>13593815</v>
      </c>
      <c r="W13" s="63">
        <f t="shared" si="4"/>
        <v>13593815</v>
      </c>
      <c r="X13" s="63">
        <f t="shared" si="4"/>
        <v>13593815</v>
      </c>
      <c r="Y13" s="63">
        <f t="shared" si="4"/>
        <v>13593815</v>
      </c>
      <c r="Z13" s="63">
        <f t="shared" si="4"/>
        <v>9062900</v>
      </c>
      <c r="AA13" s="63">
        <f t="shared" si="4"/>
        <v>16722934.700000001</v>
      </c>
      <c r="AB13" s="63">
        <f t="shared" si="4"/>
        <v>26748737.75</v>
      </c>
      <c r="AC13" s="63">
        <f t="shared" si="4"/>
        <v>30095872.449999999</v>
      </c>
      <c r="AD13" s="63">
        <f t="shared" si="4"/>
        <v>30095872.449999999</v>
      </c>
      <c r="AE13" s="63">
        <f t="shared" si="4"/>
        <v>30095872.449999999</v>
      </c>
      <c r="AF13" s="63">
        <f t="shared" si="4"/>
        <v>30095872.449999999</v>
      </c>
      <c r="AG13" s="63">
        <f t="shared" si="4"/>
        <v>30095872.449999999</v>
      </c>
      <c r="AH13" s="63">
        <f t="shared" si="4"/>
        <v>30095872.449999999</v>
      </c>
      <c r="AI13" s="63">
        <f t="shared" ref="AI13:BJ13" si="5">AI133</f>
        <v>30095872.449999999</v>
      </c>
      <c r="AJ13" s="63">
        <f t="shared" si="5"/>
        <v>30095872.449999999</v>
      </c>
      <c r="AK13" s="63">
        <f t="shared" si="5"/>
        <v>30095872.449999999</v>
      </c>
      <c r="AL13" s="63">
        <f t="shared" si="5"/>
        <v>20060837.750000004</v>
      </c>
      <c r="AM13" s="63">
        <f t="shared" si="5"/>
        <v>18324193.194000002</v>
      </c>
      <c r="AN13" s="63">
        <f t="shared" si="5"/>
        <v>29318341.597500004</v>
      </c>
      <c r="AO13" s="63">
        <f t="shared" si="5"/>
        <v>32983057.732000008</v>
      </c>
      <c r="AP13" s="63">
        <f t="shared" si="5"/>
        <v>32983057.732000008</v>
      </c>
      <c r="AQ13" s="63">
        <f t="shared" si="5"/>
        <v>32983057.732000008</v>
      </c>
      <c r="AR13" s="63">
        <f t="shared" si="5"/>
        <v>32983057.732000008</v>
      </c>
      <c r="AS13" s="63">
        <f t="shared" si="5"/>
        <v>32983057.732000008</v>
      </c>
      <c r="AT13" s="63">
        <f t="shared" si="5"/>
        <v>32983057.732000008</v>
      </c>
      <c r="AU13" s="63">
        <f t="shared" si="5"/>
        <v>32983057.732000008</v>
      </c>
      <c r="AV13" s="63">
        <f t="shared" si="5"/>
        <v>32983057.732000008</v>
      </c>
      <c r="AW13" s="63">
        <f t="shared" si="5"/>
        <v>32983057.732000008</v>
      </c>
      <c r="AX13" s="63">
        <f t="shared" si="5"/>
        <v>21988909.328500006</v>
      </c>
      <c r="AY13" s="63">
        <f t="shared" si="5"/>
        <v>20191501.73804</v>
      </c>
      <c r="AZ13" s="63">
        <f t="shared" si="5"/>
        <v>32314398.636525009</v>
      </c>
      <c r="BA13" s="63">
        <f t="shared" si="5"/>
        <v>36346407.16328501</v>
      </c>
      <c r="BB13" s="63">
        <f t="shared" si="5"/>
        <v>36346407.16328501</v>
      </c>
      <c r="BC13" s="63">
        <f t="shared" si="5"/>
        <v>36346407.16328501</v>
      </c>
      <c r="BD13" s="63">
        <f t="shared" si="5"/>
        <v>36346407.16328501</v>
      </c>
      <c r="BE13" s="63">
        <f t="shared" si="5"/>
        <v>36346407.16328501</v>
      </c>
      <c r="BF13" s="63">
        <f t="shared" si="5"/>
        <v>36346407.16328501</v>
      </c>
      <c r="BG13" s="63">
        <f t="shared" si="5"/>
        <v>36346407.16328501</v>
      </c>
      <c r="BH13" s="63">
        <f t="shared" si="5"/>
        <v>36346407.16328501</v>
      </c>
      <c r="BI13" s="63">
        <f t="shared" si="5"/>
        <v>36346407.16328501</v>
      </c>
      <c r="BJ13" s="63">
        <f t="shared" si="5"/>
        <v>24239895.214925002</v>
      </c>
    </row>
    <row r="14" spans="1:62" x14ac:dyDescent="0.15">
      <c r="A14" s="33" t="s">
        <v>1217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0.39841852045920068</v>
      </c>
      <c r="G14" s="96">
        <f>IF(G12&gt;0,G13/G12,0)</f>
        <v>0.39835947420805162</v>
      </c>
      <c r="H14" s="96">
        <f t="shared" ref="H14:BJ14" si="6">IF(H12&gt;0,H13/H12,0)</f>
        <v>0.398388589471392</v>
      </c>
      <c r="I14" s="96">
        <f t="shared" si="6"/>
        <v>0.398388589471392</v>
      </c>
      <c r="J14" s="96">
        <f t="shared" si="6"/>
        <v>0.398388589471392</v>
      </c>
      <c r="K14" s="96">
        <f t="shared" si="6"/>
        <v>0.398388589471392</v>
      </c>
      <c r="L14" s="96">
        <f t="shared" si="6"/>
        <v>0.398388589471392</v>
      </c>
      <c r="M14" s="96">
        <f t="shared" si="6"/>
        <v>0.398388589471392</v>
      </c>
      <c r="N14" s="96">
        <f t="shared" si="6"/>
        <v>0.39835817053287947</v>
      </c>
      <c r="O14" s="96">
        <f t="shared" si="6"/>
        <v>0.39939589091841676</v>
      </c>
      <c r="P14" s="96">
        <f t="shared" si="6"/>
        <v>0.40056742619026509</v>
      </c>
      <c r="Q14" s="96">
        <f t="shared" si="6"/>
        <v>0.40058963565561495</v>
      </c>
      <c r="R14" s="96">
        <f t="shared" si="6"/>
        <v>0.40058963565561495</v>
      </c>
      <c r="S14" s="96">
        <f t="shared" si="6"/>
        <v>0.40058963565561495</v>
      </c>
      <c r="T14" s="96">
        <f t="shared" si="6"/>
        <v>0.40058963565561495</v>
      </c>
      <c r="U14" s="96">
        <f t="shared" si="6"/>
        <v>0.40058963565561495</v>
      </c>
      <c r="V14" s="96">
        <f t="shared" si="6"/>
        <v>0.40058963565561495</v>
      </c>
      <c r="W14" s="96">
        <f t="shared" si="6"/>
        <v>0.40058963565561495</v>
      </c>
      <c r="X14" s="96">
        <f t="shared" si="6"/>
        <v>0.40058963565561495</v>
      </c>
      <c r="Y14" s="96">
        <f t="shared" si="6"/>
        <v>0.40058963565561495</v>
      </c>
      <c r="Z14" s="96">
        <f t="shared" si="6"/>
        <v>0.4006432997493023</v>
      </c>
      <c r="AA14" s="96">
        <f t="shared" si="6"/>
        <v>0.42882605925646144</v>
      </c>
      <c r="AB14" s="96">
        <f t="shared" si="6"/>
        <v>0.42876854225628147</v>
      </c>
      <c r="AC14" s="96">
        <f t="shared" si="6"/>
        <v>0.42878885179024201</v>
      </c>
      <c r="AD14" s="96">
        <f t="shared" si="6"/>
        <v>0.42878885179024201</v>
      </c>
      <c r="AE14" s="96">
        <f t="shared" si="6"/>
        <v>0.42878885179024201</v>
      </c>
      <c r="AF14" s="96">
        <f t="shared" si="6"/>
        <v>0.42878885179024201</v>
      </c>
      <c r="AG14" s="96">
        <f t="shared" si="6"/>
        <v>0.42878885179024201</v>
      </c>
      <c r="AH14" s="96">
        <f t="shared" si="6"/>
        <v>0.42878885179024201</v>
      </c>
      <c r="AI14" s="96">
        <f t="shared" si="6"/>
        <v>0.42878885179024201</v>
      </c>
      <c r="AJ14" s="96">
        <f t="shared" si="6"/>
        <v>0.42878885179024201</v>
      </c>
      <c r="AK14" s="96">
        <f t="shared" si="6"/>
        <v>0.42878885179024201</v>
      </c>
      <c r="AL14" s="96">
        <f t="shared" si="6"/>
        <v>0.42875980601361108</v>
      </c>
      <c r="AM14" s="96">
        <f t="shared" si="6"/>
        <v>0.42674959344954488</v>
      </c>
      <c r="AN14" s="96">
        <f t="shared" si="6"/>
        <v>0.42670315759445149</v>
      </c>
      <c r="AO14" s="96">
        <f t="shared" si="6"/>
        <v>0.42669455934325434</v>
      </c>
      <c r="AP14" s="96">
        <f t="shared" si="6"/>
        <v>0.42669455934325434</v>
      </c>
      <c r="AQ14" s="96">
        <f t="shared" si="6"/>
        <v>0.42669455934325434</v>
      </c>
      <c r="AR14" s="96">
        <f t="shared" si="6"/>
        <v>0.42669455934325434</v>
      </c>
      <c r="AS14" s="96">
        <f t="shared" si="6"/>
        <v>0.42669455934325434</v>
      </c>
      <c r="AT14" s="96">
        <f t="shared" si="6"/>
        <v>0.42669455934325434</v>
      </c>
      <c r="AU14" s="96">
        <f t="shared" si="6"/>
        <v>0.42669455934325434</v>
      </c>
      <c r="AV14" s="96">
        <f t="shared" si="6"/>
        <v>0.42669455934325434</v>
      </c>
      <c r="AW14" s="96">
        <f t="shared" si="6"/>
        <v>0.42669455934325434</v>
      </c>
      <c r="AX14" s="96">
        <f t="shared" si="6"/>
        <v>0.42672895418776602</v>
      </c>
      <c r="AY14" s="96">
        <f t="shared" si="6"/>
        <v>0.42671542147981939</v>
      </c>
      <c r="AZ14" s="96">
        <f t="shared" si="6"/>
        <v>0.42670209175328222</v>
      </c>
      <c r="BA14" s="96">
        <f t="shared" si="6"/>
        <v>0.42667107773742852</v>
      </c>
      <c r="BB14" s="96">
        <f t="shared" si="6"/>
        <v>0.42667107773742852</v>
      </c>
      <c r="BC14" s="96">
        <f t="shared" si="6"/>
        <v>0.42667107773742852</v>
      </c>
      <c r="BD14" s="96">
        <f t="shared" si="6"/>
        <v>0.42667107773742852</v>
      </c>
      <c r="BE14" s="96">
        <f t="shared" si="6"/>
        <v>0.42667107773742852</v>
      </c>
      <c r="BF14" s="96">
        <f t="shared" si="6"/>
        <v>0.42667107773742852</v>
      </c>
      <c r="BG14" s="96">
        <f t="shared" si="6"/>
        <v>0.42667107773742852</v>
      </c>
      <c r="BH14" s="96">
        <f t="shared" si="6"/>
        <v>0.42667107773742852</v>
      </c>
      <c r="BI14" s="96">
        <f t="shared" si="6"/>
        <v>0.42667107773742852</v>
      </c>
      <c r="BJ14" s="96">
        <f t="shared" si="6"/>
        <v>0.42671389343978589</v>
      </c>
    </row>
    <row r="15" spans="1:62" x14ac:dyDescent="0.15">
      <c r="A15" s="33" t="s">
        <v>640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2209500</v>
      </c>
      <c r="G15" s="63">
        <f t="shared" si="7"/>
        <v>3066000</v>
      </c>
      <c r="H15" s="63">
        <f t="shared" si="7"/>
        <v>3865500</v>
      </c>
      <c r="I15" s="63">
        <f t="shared" si="7"/>
        <v>3865500</v>
      </c>
      <c r="J15" s="63">
        <f t="shared" si="7"/>
        <v>3865500</v>
      </c>
      <c r="K15" s="63">
        <f t="shared" si="7"/>
        <v>3865500</v>
      </c>
      <c r="L15" s="63">
        <f t="shared" si="7"/>
        <v>3865500</v>
      </c>
      <c r="M15" s="63">
        <f t="shared" si="7"/>
        <v>3865500</v>
      </c>
      <c r="N15" s="63">
        <f t="shared" si="7"/>
        <v>3681000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641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1972500</v>
      </c>
      <c r="G16" s="63">
        <f t="shared" si="9"/>
        <v>2737500</v>
      </c>
      <c r="H16" s="63">
        <f t="shared" si="9"/>
        <v>3452500</v>
      </c>
      <c r="I16" s="63">
        <f t="shared" si="9"/>
        <v>3452500</v>
      </c>
      <c r="J16" s="63">
        <f t="shared" si="9"/>
        <v>3452500</v>
      </c>
      <c r="K16" s="63">
        <f t="shared" si="9"/>
        <v>3452500</v>
      </c>
      <c r="L16" s="63">
        <f t="shared" si="9"/>
        <v>3452500</v>
      </c>
      <c r="M16" s="63">
        <f t="shared" si="9"/>
        <v>3452500</v>
      </c>
      <c r="N16" s="63">
        <f t="shared" si="9"/>
        <v>3282500</v>
      </c>
      <c r="O16" s="63">
        <f t="shared" si="9"/>
        <v>3514950</v>
      </c>
      <c r="P16" s="63">
        <f t="shared" si="9"/>
        <v>5799400</v>
      </c>
      <c r="Q16" s="63">
        <f t="shared" si="9"/>
        <v>6527000</v>
      </c>
      <c r="R16" s="63">
        <f t="shared" si="9"/>
        <v>6527000</v>
      </c>
      <c r="S16" s="63">
        <f t="shared" si="9"/>
        <v>6527000</v>
      </c>
      <c r="T16" s="63">
        <f t="shared" si="9"/>
        <v>6527000</v>
      </c>
      <c r="U16" s="63">
        <f t="shared" si="9"/>
        <v>6527000</v>
      </c>
      <c r="V16" s="63">
        <f t="shared" si="9"/>
        <v>6527000</v>
      </c>
      <c r="W16" s="63">
        <f t="shared" si="9"/>
        <v>6527000</v>
      </c>
      <c r="X16" s="63">
        <f t="shared" si="9"/>
        <v>6527000</v>
      </c>
      <c r="Y16" s="63">
        <f t="shared" si="9"/>
        <v>6527000</v>
      </c>
      <c r="Z16" s="63">
        <f t="shared" si="9"/>
        <v>4354900</v>
      </c>
      <c r="AA16" s="63">
        <f t="shared" si="9"/>
        <v>11242870.850000001</v>
      </c>
      <c r="AB16" s="63">
        <f t="shared" si="9"/>
        <v>17977086.399999999</v>
      </c>
      <c r="AC16" s="63">
        <f t="shared" si="9"/>
        <v>20231414.050000001</v>
      </c>
      <c r="AD16" s="63">
        <f t="shared" si="9"/>
        <v>20231414.050000001</v>
      </c>
      <c r="AE16" s="63">
        <f t="shared" si="9"/>
        <v>20231414.050000001</v>
      </c>
      <c r="AF16" s="63">
        <f t="shared" si="9"/>
        <v>20231414.050000001</v>
      </c>
      <c r="AG16" s="63">
        <f t="shared" si="9"/>
        <v>20231414.050000001</v>
      </c>
      <c r="AH16" s="63">
        <f t="shared" si="9"/>
        <v>20231414.050000001</v>
      </c>
      <c r="AI16" s="63">
        <f t="shared" ref="AI16:BJ16" si="10">AI31</f>
        <v>20231414.050000001</v>
      </c>
      <c r="AJ16" s="63">
        <f t="shared" si="10"/>
        <v>20231414.050000001</v>
      </c>
      <c r="AK16" s="63">
        <f t="shared" si="10"/>
        <v>20231414.050000001</v>
      </c>
      <c r="AL16" s="63">
        <f t="shared" si="10"/>
        <v>13482814.800000003</v>
      </c>
      <c r="AM16" s="63">
        <f t="shared" si="10"/>
        <v>12314744.7575</v>
      </c>
      <c r="AN16" s="63">
        <f t="shared" si="10"/>
        <v>19701754.047500007</v>
      </c>
      <c r="AO16" s="63">
        <f t="shared" si="10"/>
        <v>22164090.477500007</v>
      </c>
      <c r="AP16" s="63">
        <f t="shared" si="10"/>
        <v>22164090.477500007</v>
      </c>
      <c r="AQ16" s="63">
        <f t="shared" si="10"/>
        <v>22164090.477500007</v>
      </c>
      <c r="AR16" s="63">
        <f t="shared" si="10"/>
        <v>22164090.477500007</v>
      </c>
      <c r="AS16" s="63">
        <f t="shared" si="10"/>
        <v>22164090.477500007</v>
      </c>
      <c r="AT16" s="63">
        <f t="shared" si="10"/>
        <v>22164090.477500007</v>
      </c>
      <c r="AU16" s="63">
        <f t="shared" si="10"/>
        <v>22164090.477500007</v>
      </c>
      <c r="AV16" s="63">
        <f t="shared" si="10"/>
        <v>22164090.477500007</v>
      </c>
      <c r="AW16" s="63">
        <f t="shared" si="10"/>
        <v>22164090.477500007</v>
      </c>
      <c r="AX16" s="63">
        <f t="shared" si="10"/>
        <v>14777081.187500004</v>
      </c>
      <c r="AY16" s="63">
        <f t="shared" si="10"/>
        <v>13570015.693525003</v>
      </c>
      <c r="AZ16" s="63">
        <f t="shared" si="10"/>
        <v>21716612.895675004</v>
      </c>
      <c r="BA16" s="63">
        <f t="shared" si="10"/>
        <v>24420129.666300002</v>
      </c>
      <c r="BB16" s="63">
        <f t="shared" si="10"/>
        <v>24420129.666300002</v>
      </c>
      <c r="BC16" s="63">
        <f t="shared" si="10"/>
        <v>24420129.666300002</v>
      </c>
      <c r="BD16" s="63">
        <f t="shared" si="10"/>
        <v>24420129.666300002</v>
      </c>
      <c r="BE16" s="63">
        <f t="shared" si="10"/>
        <v>24420129.666300002</v>
      </c>
      <c r="BF16" s="63">
        <f t="shared" si="10"/>
        <v>24420129.666300002</v>
      </c>
      <c r="BG16" s="63">
        <f t="shared" si="10"/>
        <v>24420129.666300002</v>
      </c>
      <c r="BH16" s="63">
        <f t="shared" si="10"/>
        <v>24420129.666300002</v>
      </c>
      <c r="BI16" s="63">
        <f t="shared" si="10"/>
        <v>24420129.666300002</v>
      </c>
      <c r="BJ16" s="63">
        <f t="shared" si="10"/>
        <v>16289917.414275002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632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598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643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8372000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631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2691000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633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375000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1220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2209500</v>
      </c>
      <c r="G23" s="63">
        <f t="shared" si="17"/>
        <v>3066000</v>
      </c>
      <c r="H23" s="63">
        <f t="shared" si="17"/>
        <v>3865500</v>
      </c>
      <c r="I23" s="63">
        <f t="shared" si="17"/>
        <v>3865500</v>
      </c>
      <c r="J23" s="63">
        <f t="shared" si="17"/>
        <v>3865500</v>
      </c>
      <c r="K23" s="63">
        <f t="shared" si="17"/>
        <v>3865500</v>
      </c>
      <c r="L23" s="63">
        <f t="shared" si="17"/>
        <v>3865500</v>
      </c>
      <c r="M23" s="63">
        <f t="shared" si="17"/>
        <v>3865500</v>
      </c>
      <c r="N23" s="63">
        <f t="shared" si="17"/>
        <v>3681000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0.35049175126903553</v>
      </c>
      <c r="G24" s="96">
        <f t="shared" si="18"/>
        <v>0.35052017834686178</v>
      </c>
      <c r="H24" s="96">
        <f t="shared" si="18"/>
        <v>0.35050097474724579</v>
      </c>
      <c r="I24" s="96">
        <f t="shared" si="18"/>
        <v>0.35050097474724579</v>
      </c>
      <c r="J24" s="96">
        <f t="shared" si="18"/>
        <v>0.35050097474724579</v>
      </c>
      <c r="K24" s="96">
        <f t="shared" si="18"/>
        <v>0.35050097474724579</v>
      </c>
      <c r="L24" s="96">
        <f t="shared" si="18"/>
        <v>0.35050097474724579</v>
      </c>
      <c r="M24" s="96">
        <f t="shared" si="18"/>
        <v>0.35050097474724579</v>
      </c>
      <c r="N24" s="96">
        <f t="shared" si="18"/>
        <v>0.35050466577794703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632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257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643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5654000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631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1850000</v>
      </c>
      <c r="G29" s="63">
        <f t="shared" si="21"/>
        <v>2570000</v>
      </c>
      <c r="H29" s="63">
        <f t="shared" si="21"/>
        <v>3240000</v>
      </c>
      <c r="I29" s="63">
        <f t="shared" si="21"/>
        <v>3240000</v>
      </c>
      <c r="J29" s="63">
        <f t="shared" si="21"/>
        <v>3240000</v>
      </c>
      <c r="K29" s="63">
        <f t="shared" si="21"/>
        <v>3240000</v>
      </c>
      <c r="L29" s="63">
        <f t="shared" si="21"/>
        <v>3240000</v>
      </c>
      <c r="M29" s="63">
        <f t="shared" si="21"/>
        <v>3240000</v>
      </c>
      <c r="N29" s="63">
        <f t="shared" si="21"/>
        <v>3080000</v>
      </c>
      <c r="O29" s="63">
        <f t="shared" si="21"/>
        <v>3306300</v>
      </c>
      <c r="P29" s="63">
        <f t="shared" si="21"/>
        <v>5457000</v>
      </c>
      <c r="Q29" s="63">
        <f t="shared" si="21"/>
        <v>6141800</v>
      </c>
      <c r="R29" s="63">
        <f t="shared" si="21"/>
        <v>6141800</v>
      </c>
      <c r="S29" s="63">
        <f t="shared" si="21"/>
        <v>6141800</v>
      </c>
      <c r="T29" s="63">
        <f t="shared" si="21"/>
        <v>6141800</v>
      </c>
      <c r="U29" s="63">
        <f t="shared" si="21"/>
        <v>6141800</v>
      </c>
      <c r="V29" s="63">
        <f t="shared" si="21"/>
        <v>6141800</v>
      </c>
      <c r="W29" s="63">
        <f t="shared" si="21"/>
        <v>6141800</v>
      </c>
      <c r="X29" s="63">
        <f t="shared" si="21"/>
        <v>6141800</v>
      </c>
      <c r="Y29" s="63">
        <f t="shared" si="21"/>
        <v>6141800</v>
      </c>
      <c r="Z29" s="63">
        <f t="shared" si="21"/>
        <v>4098100</v>
      </c>
      <c r="AA29" s="63">
        <f t="shared" si="21"/>
        <v>10461476.600000001</v>
      </c>
      <c r="AB29" s="63">
        <f t="shared" si="21"/>
        <v>16729145.4</v>
      </c>
      <c r="AC29" s="63">
        <f t="shared" si="21"/>
        <v>18826049.300000001</v>
      </c>
      <c r="AD29" s="63">
        <f t="shared" si="21"/>
        <v>18826049.300000001</v>
      </c>
      <c r="AE29" s="63">
        <f t="shared" si="21"/>
        <v>18826049.300000001</v>
      </c>
      <c r="AF29" s="63">
        <f t="shared" si="21"/>
        <v>18826049.300000001</v>
      </c>
      <c r="AG29" s="63">
        <f t="shared" si="21"/>
        <v>18826049.300000001</v>
      </c>
      <c r="AH29" s="63">
        <f t="shared" si="21"/>
        <v>18826049.300000001</v>
      </c>
      <c r="AI29" s="63">
        <f t="shared" si="21"/>
        <v>18826049.300000001</v>
      </c>
      <c r="AJ29" s="63">
        <f t="shared" si="21"/>
        <v>18826049.300000001</v>
      </c>
      <c r="AK29" s="63">
        <f t="shared" si="21"/>
        <v>18826049.300000001</v>
      </c>
      <c r="AL29" s="63">
        <f t="shared" si="21"/>
        <v>12546859.050000003</v>
      </c>
      <c r="AM29" s="63">
        <f t="shared" si="21"/>
        <v>11454152.050000001</v>
      </c>
      <c r="AN29" s="63">
        <f t="shared" si="21"/>
        <v>18326643.280000005</v>
      </c>
      <c r="AO29" s="63">
        <f t="shared" si="21"/>
        <v>20617473.690000005</v>
      </c>
      <c r="AP29" s="63">
        <f t="shared" si="21"/>
        <v>20617473.690000005</v>
      </c>
      <c r="AQ29" s="63">
        <f t="shared" si="21"/>
        <v>20617473.690000005</v>
      </c>
      <c r="AR29" s="63">
        <f t="shared" si="21"/>
        <v>20617473.690000005</v>
      </c>
      <c r="AS29" s="63">
        <f t="shared" si="21"/>
        <v>20617473.690000005</v>
      </c>
      <c r="AT29" s="63">
        <f t="shared" si="21"/>
        <v>20617473.690000005</v>
      </c>
      <c r="AU29" s="63">
        <f t="shared" si="21"/>
        <v>20617473.690000005</v>
      </c>
      <c r="AV29" s="63">
        <f t="shared" si="21"/>
        <v>20617473.690000005</v>
      </c>
      <c r="AW29" s="63">
        <f t="shared" si="21"/>
        <v>20617473.690000005</v>
      </c>
      <c r="AX29" s="63">
        <f t="shared" si="21"/>
        <v>13744982.460000005</v>
      </c>
      <c r="AY29" s="63">
        <f t="shared" si="21"/>
        <v>12622965.576300003</v>
      </c>
      <c r="AZ29" s="63">
        <f t="shared" si="21"/>
        <v>20199366.514100004</v>
      </c>
      <c r="BA29" s="63">
        <f t="shared" si="21"/>
        <v>22716094.853300001</v>
      </c>
      <c r="BB29" s="63">
        <f t="shared" si="21"/>
        <v>22716094.853300001</v>
      </c>
      <c r="BC29" s="63">
        <f t="shared" si="21"/>
        <v>22716094.853300001</v>
      </c>
      <c r="BD29" s="63">
        <f t="shared" si="21"/>
        <v>22716094.853300001</v>
      </c>
      <c r="BE29" s="63">
        <f t="shared" si="21"/>
        <v>22716094.853300001</v>
      </c>
      <c r="BF29" s="63">
        <f t="shared" si="21"/>
        <v>22716094.853300001</v>
      </c>
      <c r="BG29" s="63">
        <f t="shared" si="21"/>
        <v>22716094.853300001</v>
      </c>
      <c r="BH29" s="63">
        <f t="shared" si="21"/>
        <v>22716094.853300001</v>
      </c>
      <c r="BI29" s="63">
        <f t="shared" si="21"/>
        <v>22716094.853300001</v>
      </c>
      <c r="BJ29" s="63">
        <f t="shared" si="21"/>
        <v>15152801.875600003</v>
      </c>
      <c r="BL29" s="104">
        <f>BJ28+BJ30</f>
        <v>34473279.664995007</v>
      </c>
    </row>
    <row r="30" spans="1:64" x14ac:dyDescent="0.15">
      <c r="A30" s="47" t="s">
        <v>637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167500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16289917.414275002</v>
      </c>
    </row>
    <row r="31" spans="1:64" x14ac:dyDescent="0.15">
      <c r="A31" s="47" t="s">
        <v>1220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1972500</v>
      </c>
      <c r="G31" s="63">
        <f t="shared" si="23"/>
        <v>2737500</v>
      </c>
      <c r="H31" s="63">
        <f t="shared" si="23"/>
        <v>3452500</v>
      </c>
      <c r="I31" s="63">
        <f t="shared" si="23"/>
        <v>3452500</v>
      </c>
      <c r="J31" s="63">
        <f t="shared" si="23"/>
        <v>3452500</v>
      </c>
      <c r="K31" s="63">
        <f t="shared" si="23"/>
        <v>3452500</v>
      </c>
      <c r="L31" s="63">
        <f t="shared" si="23"/>
        <v>3452500</v>
      </c>
      <c r="M31" s="63">
        <f t="shared" si="23"/>
        <v>3452500</v>
      </c>
      <c r="N31" s="63">
        <f t="shared" si="23"/>
        <v>3282500</v>
      </c>
      <c r="O31" s="63">
        <f t="shared" si="23"/>
        <v>3514950</v>
      </c>
      <c r="P31" s="63">
        <f t="shared" si="23"/>
        <v>5799400</v>
      </c>
      <c r="Q31" s="63">
        <f t="shared" si="23"/>
        <v>6527000</v>
      </c>
      <c r="R31" s="63">
        <f t="shared" si="23"/>
        <v>6527000</v>
      </c>
      <c r="S31" s="63">
        <f t="shared" si="23"/>
        <v>6527000</v>
      </c>
      <c r="T31" s="63">
        <f t="shared" si="23"/>
        <v>6527000</v>
      </c>
      <c r="U31" s="63">
        <f t="shared" si="23"/>
        <v>6527000</v>
      </c>
      <c r="V31" s="63">
        <f t="shared" si="23"/>
        <v>6527000</v>
      </c>
      <c r="W31" s="63">
        <f t="shared" si="23"/>
        <v>6527000</v>
      </c>
      <c r="X31" s="63">
        <f t="shared" si="23"/>
        <v>6527000</v>
      </c>
      <c r="Y31" s="63">
        <f t="shared" si="23"/>
        <v>6527000</v>
      </c>
      <c r="Z31" s="63">
        <f t="shared" si="23"/>
        <v>4354900</v>
      </c>
      <c r="AA31" s="63">
        <f t="shared" si="23"/>
        <v>11242870.850000001</v>
      </c>
      <c r="AB31" s="63">
        <f t="shared" si="23"/>
        <v>17977086.399999999</v>
      </c>
      <c r="AC31" s="63">
        <f t="shared" si="23"/>
        <v>20231414.050000001</v>
      </c>
      <c r="AD31" s="63">
        <f t="shared" si="23"/>
        <v>20231414.050000001</v>
      </c>
      <c r="AE31" s="63">
        <f t="shared" si="23"/>
        <v>20231414.050000001</v>
      </c>
      <c r="AF31" s="63">
        <f t="shared" si="23"/>
        <v>20231414.050000001</v>
      </c>
      <c r="AG31" s="63">
        <f t="shared" si="23"/>
        <v>20231414.050000001</v>
      </c>
      <c r="AH31" s="63">
        <f t="shared" si="23"/>
        <v>20231414.050000001</v>
      </c>
      <c r="AI31" s="63">
        <f t="shared" si="23"/>
        <v>20231414.050000001</v>
      </c>
      <c r="AJ31" s="63">
        <f t="shared" si="23"/>
        <v>20231414.050000001</v>
      </c>
      <c r="AK31" s="63">
        <f t="shared" si="23"/>
        <v>20231414.050000001</v>
      </c>
      <c r="AL31" s="63">
        <f t="shared" si="23"/>
        <v>13482814.800000003</v>
      </c>
      <c r="AM31" s="63">
        <f t="shared" si="23"/>
        <v>12314744.7575</v>
      </c>
      <c r="AN31" s="63">
        <f t="shared" si="23"/>
        <v>19701754.047500007</v>
      </c>
      <c r="AO31" s="63">
        <f t="shared" si="23"/>
        <v>22164090.477500007</v>
      </c>
      <c r="AP31" s="63">
        <f t="shared" si="23"/>
        <v>22164090.477500007</v>
      </c>
      <c r="AQ31" s="63">
        <f t="shared" si="23"/>
        <v>22164090.477500007</v>
      </c>
      <c r="AR31" s="63">
        <f t="shared" si="23"/>
        <v>22164090.477500007</v>
      </c>
      <c r="AS31" s="63">
        <f t="shared" si="23"/>
        <v>22164090.477500007</v>
      </c>
      <c r="AT31" s="63">
        <f t="shared" si="23"/>
        <v>22164090.477500007</v>
      </c>
      <c r="AU31" s="63">
        <f t="shared" si="23"/>
        <v>22164090.477500007</v>
      </c>
      <c r="AV31" s="63">
        <f t="shared" si="23"/>
        <v>22164090.477500007</v>
      </c>
      <c r="AW31" s="63">
        <f t="shared" si="23"/>
        <v>22164090.477500007</v>
      </c>
      <c r="AX31" s="63">
        <f t="shared" si="23"/>
        <v>14777081.187500004</v>
      </c>
      <c r="AY31" s="63">
        <f t="shared" si="23"/>
        <v>13570015.693525003</v>
      </c>
      <c r="AZ31" s="63">
        <f t="shared" si="23"/>
        <v>21716612.895675004</v>
      </c>
      <c r="BA31" s="63">
        <f t="shared" si="23"/>
        <v>24420129.666300002</v>
      </c>
      <c r="BB31" s="63">
        <f t="shared" si="23"/>
        <v>24420129.666300002</v>
      </c>
      <c r="BC31" s="63">
        <f t="shared" si="23"/>
        <v>24420129.666300002</v>
      </c>
      <c r="BD31" s="63">
        <f t="shared" si="23"/>
        <v>24420129.666300002</v>
      </c>
      <c r="BE31" s="63">
        <f t="shared" si="23"/>
        <v>24420129.666300002</v>
      </c>
      <c r="BF31" s="63">
        <f t="shared" si="23"/>
        <v>24420129.666300002</v>
      </c>
      <c r="BG31" s="63">
        <f t="shared" si="23"/>
        <v>24420129.666300002</v>
      </c>
      <c r="BH31" s="63">
        <f t="shared" si="23"/>
        <v>24420129.666300002</v>
      </c>
      <c r="BI31" s="63">
        <f t="shared" si="23"/>
        <v>24420129.666300002</v>
      </c>
      <c r="BJ31" s="63">
        <f t="shared" si="23"/>
        <v>16289917.414275002</v>
      </c>
      <c r="BL31" s="178">
        <f>BL30/BL29</f>
        <v>0.47253750071294126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0.47048300536672627</v>
      </c>
      <c r="G32" s="96">
        <f t="shared" si="24"/>
        <v>0.47023962896160781</v>
      </c>
      <c r="H32" s="96">
        <f t="shared" si="24"/>
        <v>0.47033580818745319</v>
      </c>
      <c r="I32" s="96">
        <f t="shared" si="24"/>
        <v>0.47033580818745319</v>
      </c>
      <c r="J32" s="96">
        <f t="shared" si="24"/>
        <v>0.47033580818745319</v>
      </c>
      <c r="K32" s="96">
        <f t="shared" si="24"/>
        <v>0.47033580818745319</v>
      </c>
      <c r="L32" s="96">
        <f t="shared" si="24"/>
        <v>0.47033580818745319</v>
      </c>
      <c r="M32" s="96">
        <f t="shared" si="24"/>
        <v>0.47033580818745319</v>
      </c>
      <c r="N32" s="96">
        <f t="shared" si="24"/>
        <v>0.47037328938883716</v>
      </c>
      <c r="O32" s="96">
        <f t="shared" si="24"/>
        <v>0.46975546975546978</v>
      </c>
      <c r="P32" s="96">
        <f t="shared" si="24"/>
        <v>0.46967071057192372</v>
      </c>
      <c r="Q32" s="96">
        <f t="shared" si="24"/>
        <v>0.46966430551278104</v>
      </c>
      <c r="R32" s="96">
        <f t="shared" si="24"/>
        <v>0.46966430551278104</v>
      </c>
      <c r="S32" s="96">
        <f t="shared" si="24"/>
        <v>0.46966430551278104</v>
      </c>
      <c r="T32" s="96">
        <f t="shared" si="24"/>
        <v>0.46966430551278104</v>
      </c>
      <c r="U32" s="96">
        <f t="shared" si="24"/>
        <v>0.46966430551278104</v>
      </c>
      <c r="V32" s="96">
        <f t="shared" si="24"/>
        <v>0.46966430551278104</v>
      </c>
      <c r="W32" s="96">
        <f t="shared" si="24"/>
        <v>0.46966430551278104</v>
      </c>
      <c r="X32" s="96">
        <f t="shared" si="24"/>
        <v>0.46966430551278104</v>
      </c>
      <c r="Y32" s="96">
        <f t="shared" si="24"/>
        <v>0.46966430551278104</v>
      </c>
      <c r="Z32" s="96">
        <f t="shared" si="24"/>
        <v>0.46965151165474267</v>
      </c>
      <c r="AA32" s="96">
        <f t="shared" si="24"/>
        <v>0.47534713640215709</v>
      </c>
      <c r="AB32" s="96">
        <f t="shared" si="24"/>
        <v>0.47532492230046758</v>
      </c>
      <c r="AC32" s="96">
        <f t="shared" si="24"/>
        <v>0.47533726672138332</v>
      </c>
      <c r="AD32" s="96">
        <f t="shared" si="24"/>
        <v>0.47533726672138332</v>
      </c>
      <c r="AE32" s="96">
        <f t="shared" si="24"/>
        <v>0.47533726672138332</v>
      </c>
      <c r="AF32" s="96">
        <f t="shared" si="24"/>
        <v>0.47533726672138332</v>
      </c>
      <c r="AG32" s="96">
        <f t="shared" si="24"/>
        <v>0.47533726672138332</v>
      </c>
      <c r="AH32" s="96">
        <f t="shared" si="24"/>
        <v>0.47533726672138332</v>
      </c>
      <c r="AI32" s="96">
        <f t="shared" ref="AI32:BJ32" si="25">IF(AI30+AI28&gt;0,(+AI31/(AI30+AI28)),0)</f>
        <v>0.47533726672138332</v>
      </c>
      <c r="AJ32" s="96">
        <f t="shared" si="25"/>
        <v>0.47533726672138332</v>
      </c>
      <c r="AK32" s="96">
        <f t="shared" si="25"/>
        <v>0.47533726672138332</v>
      </c>
      <c r="AL32" s="96">
        <f t="shared" si="25"/>
        <v>0.47532492230046769</v>
      </c>
      <c r="AM32" s="96">
        <f t="shared" si="25"/>
        <v>0.47255846750499469</v>
      </c>
      <c r="AN32" s="96">
        <f t="shared" si="25"/>
        <v>0.47253522161336303</v>
      </c>
      <c r="AO32" s="96">
        <f t="shared" si="25"/>
        <v>0.47253091659375535</v>
      </c>
      <c r="AP32" s="96">
        <f t="shared" si="25"/>
        <v>0.47253091659375535</v>
      </c>
      <c r="AQ32" s="96">
        <f t="shared" si="25"/>
        <v>0.47253091659375535</v>
      </c>
      <c r="AR32" s="96">
        <f t="shared" si="25"/>
        <v>0.47253091659375535</v>
      </c>
      <c r="AS32" s="96">
        <f t="shared" si="25"/>
        <v>0.47253091659375535</v>
      </c>
      <c r="AT32" s="96">
        <f t="shared" si="25"/>
        <v>0.47253091659375535</v>
      </c>
      <c r="AU32" s="96">
        <f t="shared" si="25"/>
        <v>0.47253091659375535</v>
      </c>
      <c r="AV32" s="96">
        <f t="shared" si="25"/>
        <v>0.47253091659375535</v>
      </c>
      <c r="AW32" s="96">
        <f t="shared" si="25"/>
        <v>0.47253091659375535</v>
      </c>
      <c r="AX32" s="96">
        <f t="shared" si="25"/>
        <v>0.47254813625056319</v>
      </c>
      <c r="AY32" s="96">
        <f t="shared" si="25"/>
        <v>0.47253349156720004</v>
      </c>
      <c r="AZ32" s="96">
        <f t="shared" si="25"/>
        <v>0.47255380139477171</v>
      </c>
      <c r="BA32" s="96">
        <f t="shared" si="25"/>
        <v>0.47253081722721046</v>
      </c>
      <c r="BB32" s="96">
        <f t="shared" si="25"/>
        <v>0.47253081722721046</v>
      </c>
      <c r="BC32" s="96">
        <f t="shared" si="25"/>
        <v>0.47253081722721046</v>
      </c>
      <c r="BD32" s="96">
        <f t="shared" si="25"/>
        <v>0.47253081722721046</v>
      </c>
      <c r="BE32" s="96">
        <f t="shared" si="25"/>
        <v>0.47253081722721046</v>
      </c>
      <c r="BF32" s="96">
        <f t="shared" si="25"/>
        <v>0.47253081722721046</v>
      </c>
      <c r="BG32" s="96">
        <f t="shared" si="25"/>
        <v>0.47253081722721046</v>
      </c>
      <c r="BH32" s="96">
        <f t="shared" si="25"/>
        <v>0.47253081722721046</v>
      </c>
      <c r="BI32" s="96">
        <f t="shared" si="25"/>
        <v>0.47253081722721046</v>
      </c>
      <c r="BJ32" s="96">
        <f t="shared" si="25"/>
        <v>0.47253750071294126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632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855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1218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14026000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1219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3789500</v>
      </c>
      <c r="G37" s="63">
        <f t="shared" si="30"/>
        <v>5261000</v>
      </c>
      <c r="H37" s="63">
        <f t="shared" si="30"/>
        <v>6633000</v>
      </c>
      <c r="I37" s="63">
        <f t="shared" si="30"/>
        <v>6633000</v>
      </c>
      <c r="J37" s="63">
        <f t="shared" si="30"/>
        <v>6633000</v>
      </c>
      <c r="K37" s="63">
        <f t="shared" si="30"/>
        <v>6633000</v>
      </c>
      <c r="L37" s="63">
        <f t="shared" si="30"/>
        <v>6633000</v>
      </c>
      <c r="M37" s="63">
        <f t="shared" si="30"/>
        <v>6633000</v>
      </c>
      <c r="N37" s="63">
        <f t="shared" si="30"/>
        <v>6311000</v>
      </c>
      <c r="O37" s="63">
        <f t="shared" si="30"/>
        <v>6768285</v>
      </c>
      <c r="P37" s="63">
        <f t="shared" si="30"/>
        <v>10922025</v>
      </c>
      <c r="Q37" s="63">
        <f t="shared" si="30"/>
        <v>12285740</v>
      </c>
      <c r="R37" s="63">
        <f t="shared" si="30"/>
        <v>12285740</v>
      </c>
      <c r="S37" s="63">
        <f t="shared" si="30"/>
        <v>12285740</v>
      </c>
      <c r="T37" s="63">
        <f t="shared" si="30"/>
        <v>12285740</v>
      </c>
      <c r="U37" s="63">
        <f t="shared" si="30"/>
        <v>12285740</v>
      </c>
      <c r="V37" s="63">
        <f t="shared" si="30"/>
        <v>12285740</v>
      </c>
      <c r="W37" s="63">
        <f t="shared" si="30"/>
        <v>12285740</v>
      </c>
      <c r="X37" s="63">
        <f t="shared" si="30"/>
        <v>12285740</v>
      </c>
      <c r="Y37" s="63">
        <f t="shared" si="30"/>
        <v>12285740</v>
      </c>
      <c r="Z37" s="63">
        <f t="shared" si="30"/>
        <v>8190850</v>
      </c>
      <c r="AA37" s="63">
        <f t="shared" si="30"/>
        <v>15134385.950000001</v>
      </c>
      <c r="AB37" s="63">
        <f t="shared" si="30"/>
        <v>24209922</v>
      </c>
      <c r="AC37" s="63">
        <f t="shared" si="30"/>
        <v>27239346.949999999</v>
      </c>
      <c r="AD37" s="63">
        <f t="shared" si="30"/>
        <v>27239346.949999999</v>
      </c>
      <c r="AE37" s="63">
        <f t="shared" si="30"/>
        <v>27239346.949999999</v>
      </c>
      <c r="AF37" s="63">
        <f t="shared" si="30"/>
        <v>27239346.949999999</v>
      </c>
      <c r="AG37" s="63">
        <f t="shared" si="30"/>
        <v>27239346.949999999</v>
      </c>
      <c r="AH37" s="63">
        <f t="shared" si="30"/>
        <v>27239346.949999999</v>
      </c>
      <c r="AI37" s="63">
        <f t="shared" ref="AI37:BJ37" si="31">AI21+AI29</f>
        <v>27239346.949999999</v>
      </c>
      <c r="AJ37" s="63">
        <f t="shared" si="31"/>
        <v>27239346.949999999</v>
      </c>
      <c r="AK37" s="63">
        <f t="shared" si="31"/>
        <v>27239346.949999999</v>
      </c>
      <c r="AL37" s="63">
        <f t="shared" si="31"/>
        <v>18157441.500000004</v>
      </c>
      <c r="AM37" s="63">
        <f t="shared" si="31"/>
        <v>16603007.779000003</v>
      </c>
      <c r="AN37" s="63">
        <f t="shared" si="31"/>
        <v>26568120.062500004</v>
      </c>
      <c r="AO37" s="63">
        <f t="shared" si="31"/>
        <v>29889824.157000005</v>
      </c>
      <c r="AP37" s="63">
        <f t="shared" si="31"/>
        <v>29889824.157000005</v>
      </c>
      <c r="AQ37" s="63">
        <f t="shared" si="31"/>
        <v>29889824.157000005</v>
      </c>
      <c r="AR37" s="63">
        <f t="shared" si="31"/>
        <v>29889824.157000005</v>
      </c>
      <c r="AS37" s="63">
        <f t="shared" si="31"/>
        <v>29889824.157000005</v>
      </c>
      <c r="AT37" s="63">
        <f t="shared" si="31"/>
        <v>29889824.157000005</v>
      </c>
      <c r="AU37" s="63">
        <f t="shared" si="31"/>
        <v>29889824.157000005</v>
      </c>
      <c r="AV37" s="63">
        <f t="shared" si="31"/>
        <v>29889824.157000005</v>
      </c>
      <c r="AW37" s="63">
        <f t="shared" si="31"/>
        <v>29889824.157000005</v>
      </c>
      <c r="AX37" s="63">
        <f t="shared" si="31"/>
        <v>19924711.873500004</v>
      </c>
      <c r="AY37" s="63">
        <f t="shared" si="31"/>
        <v>18297401.503590003</v>
      </c>
      <c r="AZ37" s="63">
        <f t="shared" si="31"/>
        <v>29283182.863400009</v>
      </c>
      <c r="BA37" s="63">
        <f t="shared" si="31"/>
        <v>32938337.537285004</v>
      </c>
      <c r="BB37" s="63">
        <f t="shared" si="31"/>
        <v>32938337.537285004</v>
      </c>
      <c r="BC37" s="63">
        <f t="shared" si="31"/>
        <v>32938337.537285004</v>
      </c>
      <c r="BD37" s="63">
        <f t="shared" si="31"/>
        <v>32938337.537285004</v>
      </c>
      <c r="BE37" s="63">
        <f t="shared" si="31"/>
        <v>32938337.537285004</v>
      </c>
      <c r="BF37" s="63">
        <f t="shared" si="31"/>
        <v>32938337.537285004</v>
      </c>
      <c r="BG37" s="63">
        <f t="shared" si="31"/>
        <v>32938337.537285004</v>
      </c>
      <c r="BH37" s="63">
        <f t="shared" si="31"/>
        <v>32938337.537285004</v>
      </c>
      <c r="BI37" s="63">
        <f t="shared" si="31"/>
        <v>32938337.537285004</v>
      </c>
      <c r="BJ37" s="63">
        <f t="shared" si="31"/>
        <v>21965664.137575001</v>
      </c>
    </row>
    <row r="38" spans="1:62" x14ac:dyDescent="0.15">
      <c r="A38" s="47" t="s">
        <v>638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542500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1220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4182000</v>
      </c>
      <c r="G39" s="63">
        <f t="shared" si="34"/>
        <v>5803500</v>
      </c>
      <c r="H39" s="63">
        <f t="shared" si="34"/>
        <v>7318000</v>
      </c>
      <c r="I39" s="63">
        <f t="shared" si="34"/>
        <v>7318000</v>
      </c>
      <c r="J39" s="63">
        <f t="shared" si="34"/>
        <v>7318000</v>
      </c>
      <c r="K39" s="63">
        <f t="shared" si="34"/>
        <v>7318000</v>
      </c>
      <c r="L39" s="63">
        <f t="shared" si="34"/>
        <v>7318000</v>
      </c>
      <c r="M39" s="63">
        <f t="shared" si="34"/>
        <v>7318000</v>
      </c>
      <c r="N39" s="63">
        <f t="shared" si="34"/>
        <v>6963500</v>
      </c>
      <c r="O39" s="63">
        <f t="shared" si="34"/>
        <v>7498560</v>
      </c>
      <c r="P39" s="63">
        <f t="shared" si="34"/>
        <v>12085650</v>
      </c>
      <c r="Q39" s="63">
        <f t="shared" si="34"/>
        <v>13593815</v>
      </c>
      <c r="R39" s="63">
        <f t="shared" si="34"/>
        <v>13593815</v>
      </c>
      <c r="S39" s="63">
        <f t="shared" si="34"/>
        <v>13593815</v>
      </c>
      <c r="T39" s="63">
        <f t="shared" si="34"/>
        <v>13593815</v>
      </c>
      <c r="U39" s="63">
        <f t="shared" si="34"/>
        <v>13593815</v>
      </c>
      <c r="V39" s="63">
        <f t="shared" si="34"/>
        <v>13593815</v>
      </c>
      <c r="W39" s="63">
        <f t="shared" si="34"/>
        <v>13593815</v>
      </c>
      <c r="X39" s="63">
        <f t="shared" si="34"/>
        <v>13593815</v>
      </c>
      <c r="Y39" s="63">
        <f t="shared" si="34"/>
        <v>13593815</v>
      </c>
      <c r="Z39" s="63">
        <f t="shared" si="34"/>
        <v>9062900</v>
      </c>
      <c r="AA39" s="63">
        <f t="shared" si="34"/>
        <v>16722934.700000001</v>
      </c>
      <c r="AB39" s="63">
        <f t="shared" si="34"/>
        <v>26748737.749999996</v>
      </c>
      <c r="AC39" s="63">
        <f t="shared" si="34"/>
        <v>30095872.449999999</v>
      </c>
      <c r="AD39" s="63">
        <f t="shared" si="34"/>
        <v>30095872.449999999</v>
      </c>
      <c r="AE39" s="63">
        <f t="shared" si="34"/>
        <v>30095872.449999999</v>
      </c>
      <c r="AF39" s="63">
        <f t="shared" si="34"/>
        <v>30095872.449999999</v>
      </c>
      <c r="AG39" s="63">
        <f t="shared" si="34"/>
        <v>30095872.449999999</v>
      </c>
      <c r="AH39" s="63">
        <f t="shared" si="34"/>
        <v>30095872.449999999</v>
      </c>
      <c r="AI39" s="63">
        <f t="shared" ref="AI39:BJ39" si="35">AI23+AI31</f>
        <v>30095872.449999999</v>
      </c>
      <c r="AJ39" s="63">
        <f t="shared" si="35"/>
        <v>30095872.449999999</v>
      </c>
      <c r="AK39" s="63">
        <f t="shared" si="35"/>
        <v>30095872.449999999</v>
      </c>
      <c r="AL39" s="63">
        <f t="shared" si="35"/>
        <v>20060837.750000004</v>
      </c>
      <c r="AM39" s="63">
        <f t="shared" si="35"/>
        <v>18324193.194000002</v>
      </c>
      <c r="AN39" s="63">
        <f t="shared" si="35"/>
        <v>29318341.597500004</v>
      </c>
      <c r="AO39" s="63">
        <f t="shared" si="35"/>
        <v>32983057.732000008</v>
      </c>
      <c r="AP39" s="63">
        <f t="shared" si="35"/>
        <v>32983057.732000008</v>
      </c>
      <c r="AQ39" s="63">
        <f t="shared" si="35"/>
        <v>32983057.732000008</v>
      </c>
      <c r="AR39" s="63">
        <f t="shared" si="35"/>
        <v>32983057.732000008</v>
      </c>
      <c r="AS39" s="63">
        <f t="shared" si="35"/>
        <v>32983057.732000008</v>
      </c>
      <c r="AT39" s="63">
        <f t="shared" si="35"/>
        <v>32983057.732000008</v>
      </c>
      <c r="AU39" s="63">
        <f t="shared" si="35"/>
        <v>32983057.732000008</v>
      </c>
      <c r="AV39" s="63">
        <f t="shared" si="35"/>
        <v>32983057.732000008</v>
      </c>
      <c r="AW39" s="63">
        <f t="shared" si="35"/>
        <v>32983057.732000008</v>
      </c>
      <c r="AX39" s="63">
        <f t="shared" si="35"/>
        <v>21988909.328500006</v>
      </c>
      <c r="AY39" s="63">
        <f t="shared" si="35"/>
        <v>20191501.738040004</v>
      </c>
      <c r="AZ39" s="63">
        <f t="shared" si="35"/>
        <v>32314398.636525009</v>
      </c>
      <c r="BA39" s="63">
        <f t="shared" si="35"/>
        <v>36346407.163285002</v>
      </c>
      <c r="BB39" s="63">
        <f t="shared" si="35"/>
        <v>36346407.163285002</v>
      </c>
      <c r="BC39" s="63">
        <f t="shared" si="35"/>
        <v>36346407.163285002</v>
      </c>
      <c r="BD39" s="63">
        <f t="shared" si="35"/>
        <v>36346407.163285002</v>
      </c>
      <c r="BE39" s="63">
        <f t="shared" si="35"/>
        <v>36346407.163285002</v>
      </c>
      <c r="BF39" s="63">
        <f t="shared" si="35"/>
        <v>36346407.163285002</v>
      </c>
      <c r="BG39" s="63">
        <f t="shared" si="35"/>
        <v>36346407.163285002</v>
      </c>
      <c r="BH39" s="63">
        <f t="shared" si="35"/>
        <v>36346407.163285002</v>
      </c>
      <c r="BI39" s="63">
        <f t="shared" si="35"/>
        <v>36346407.163285002</v>
      </c>
      <c r="BJ39" s="63">
        <f t="shared" si="35"/>
        <v>24239895.214925002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1203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855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598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257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598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76546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8372000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1265012566.4475603</v>
      </c>
    </row>
    <row r="53" spans="1:63" outlineLevel="1" x14ac:dyDescent="0.15">
      <c r="A53" s="47" t="s">
        <v>334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642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335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8372000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1265012566.4475603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5681000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858401384.37513018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333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5681000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858401384.37513018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635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636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2691000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406611182.07243007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448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54113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150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22433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1268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375000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66441693.154450022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1269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375000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257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65174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5654000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1725761892.0205398</v>
      </c>
    </row>
    <row r="94" spans="1:64" customFormat="1" outlineLevel="1" x14ac:dyDescent="0.15">
      <c r="A94" s="47" t="s">
        <v>334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642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335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5654000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1725761892.0205398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2955500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902102807.19255507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128500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37906531.432285011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333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2220000</v>
      </c>
      <c r="G106" s="63">
        <f t="shared" si="69"/>
        <v>3084000</v>
      </c>
      <c r="H106" s="63">
        <f t="shared" si="69"/>
        <v>3888000</v>
      </c>
      <c r="I106" s="63">
        <f t="shared" si="69"/>
        <v>3888000</v>
      </c>
      <c r="J106" s="63">
        <f t="shared" si="69"/>
        <v>3888000</v>
      </c>
      <c r="K106" s="63">
        <f t="shared" si="69"/>
        <v>3888000</v>
      </c>
      <c r="L106" s="63">
        <f t="shared" si="69"/>
        <v>3888000</v>
      </c>
      <c r="M106" s="63">
        <f t="shared" si="69"/>
        <v>3888000</v>
      </c>
      <c r="N106" s="63">
        <f t="shared" si="69"/>
        <v>3696000</v>
      </c>
      <c r="O106" s="63">
        <f t="shared" si="69"/>
        <v>3967560</v>
      </c>
      <c r="P106" s="63">
        <f t="shared" si="69"/>
        <v>6548400</v>
      </c>
      <c r="Q106" s="63">
        <f t="shared" si="69"/>
        <v>7370160</v>
      </c>
      <c r="R106" s="63">
        <f t="shared" si="69"/>
        <v>7370160</v>
      </c>
      <c r="S106" s="63">
        <f t="shared" si="69"/>
        <v>7370160</v>
      </c>
      <c r="T106" s="63">
        <f t="shared" si="69"/>
        <v>7370160</v>
      </c>
      <c r="U106" s="63">
        <f t="shared" si="69"/>
        <v>7370160</v>
      </c>
      <c r="V106" s="63">
        <f t="shared" si="69"/>
        <v>7370160</v>
      </c>
      <c r="W106" s="63">
        <f t="shared" si="69"/>
        <v>7370160</v>
      </c>
      <c r="X106" s="63">
        <f t="shared" si="69"/>
        <v>7370160</v>
      </c>
      <c r="Y106" s="63">
        <f t="shared" si="69"/>
        <v>7370160</v>
      </c>
      <c r="Z106" s="63">
        <f t="shared" si="69"/>
        <v>4917720</v>
      </c>
      <c r="AA106" s="63">
        <f t="shared" si="69"/>
        <v>12409045.800000001</v>
      </c>
      <c r="AB106" s="63">
        <f t="shared" si="69"/>
        <v>19843540.199999999</v>
      </c>
      <c r="AC106" s="63">
        <f t="shared" si="69"/>
        <v>22330815.900000002</v>
      </c>
      <c r="AD106" s="63">
        <f t="shared" si="69"/>
        <v>22330815.900000002</v>
      </c>
      <c r="AE106" s="63">
        <f t="shared" si="69"/>
        <v>22330815.900000002</v>
      </c>
      <c r="AF106" s="63">
        <f t="shared" si="69"/>
        <v>22330815.900000002</v>
      </c>
      <c r="AG106" s="63">
        <f t="shared" si="69"/>
        <v>22330815.900000002</v>
      </c>
      <c r="AH106" s="63">
        <f t="shared" si="69"/>
        <v>22330815.900000002</v>
      </c>
      <c r="AI106" s="63">
        <f t="shared" si="69"/>
        <v>22330815.900000002</v>
      </c>
      <c r="AJ106" s="63">
        <f t="shared" si="69"/>
        <v>22330815.900000002</v>
      </c>
      <c r="AK106" s="63">
        <f t="shared" si="69"/>
        <v>22330815.900000002</v>
      </c>
      <c r="AL106" s="63">
        <f t="shared" si="69"/>
        <v>14882655.15</v>
      </c>
      <c r="AM106" s="63">
        <f t="shared" si="69"/>
        <v>13744982.460000001</v>
      </c>
      <c r="AN106" s="63">
        <f t="shared" si="69"/>
        <v>21991971.936000001</v>
      </c>
      <c r="AO106" s="63">
        <f t="shared" si="69"/>
        <v>24740968.428000003</v>
      </c>
      <c r="AP106" s="63">
        <f t="shared" si="69"/>
        <v>24740968.428000003</v>
      </c>
      <c r="AQ106" s="63">
        <f t="shared" si="69"/>
        <v>24740968.428000003</v>
      </c>
      <c r="AR106" s="63">
        <f t="shared" si="69"/>
        <v>24740968.428000003</v>
      </c>
      <c r="AS106" s="63">
        <f t="shared" si="69"/>
        <v>24740968.428000003</v>
      </c>
      <c r="AT106" s="63">
        <f t="shared" si="69"/>
        <v>24740968.428000003</v>
      </c>
      <c r="AU106" s="63">
        <f t="shared" si="69"/>
        <v>24740968.428000003</v>
      </c>
      <c r="AV106" s="63">
        <f t="shared" si="69"/>
        <v>24740968.428000003</v>
      </c>
      <c r="AW106" s="63">
        <f t="shared" si="69"/>
        <v>24740968.428000003</v>
      </c>
      <c r="AX106" s="63">
        <f t="shared" si="69"/>
        <v>16493978.952</v>
      </c>
      <c r="AY106" s="63">
        <f t="shared" si="69"/>
        <v>15147558.69156</v>
      </c>
      <c r="AZ106" s="63">
        <f t="shared" si="69"/>
        <v>24239239.816920001</v>
      </c>
      <c r="BA106" s="63">
        <f t="shared" si="69"/>
        <v>27259313.823960003</v>
      </c>
      <c r="BB106" s="63">
        <f t="shared" si="69"/>
        <v>27259313.823960003</v>
      </c>
      <c r="BC106" s="63">
        <f t="shared" si="69"/>
        <v>27259313.823960003</v>
      </c>
      <c r="BD106" s="63">
        <f t="shared" si="69"/>
        <v>27259313.823960003</v>
      </c>
      <c r="BE106" s="63">
        <f t="shared" si="69"/>
        <v>27259313.823960003</v>
      </c>
      <c r="BF106" s="63">
        <f t="shared" si="69"/>
        <v>27259313.823960003</v>
      </c>
      <c r="BG106" s="63">
        <f t="shared" si="69"/>
        <v>27259313.823960003</v>
      </c>
      <c r="BH106" s="63">
        <f t="shared" si="69"/>
        <v>27259313.823960003</v>
      </c>
      <c r="BI106" s="63">
        <f t="shared" si="69"/>
        <v>27259313.823960003</v>
      </c>
      <c r="BJ106" s="63">
        <f t="shared" si="69"/>
        <v>18183362.250720002</v>
      </c>
      <c r="BK106" s="118">
        <f>SUM(C106:BJ106)</f>
        <v>940009338.62483931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635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10000</v>
      </c>
      <c r="G108" s="63">
        <f t="shared" si="70"/>
        <v>10000</v>
      </c>
      <c r="H108" s="63">
        <f t="shared" si="70"/>
        <v>10000</v>
      </c>
      <c r="I108" s="63">
        <f t="shared" si="70"/>
        <v>10000</v>
      </c>
      <c r="J108" s="63">
        <f t="shared" si="70"/>
        <v>10000</v>
      </c>
      <c r="K108" s="63">
        <f t="shared" si="70"/>
        <v>10000</v>
      </c>
      <c r="L108" s="63">
        <f t="shared" si="70"/>
        <v>10000</v>
      </c>
      <c r="M108" s="63">
        <f t="shared" si="70"/>
        <v>10000</v>
      </c>
      <c r="N108" s="63">
        <f t="shared" si="70"/>
        <v>10000</v>
      </c>
      <c r="O108" s="63">
        <f t="shared" si="70"/>
        <v>10700</v>
      </c>
      <c r="P108" s="63">
        <f t="shared" si="70"/>
        <v>10700</v>
      </c>
      <c r="Q108" s="63">
        <f t="shared" si="70"/>
        <v>10700</v>
      </c>
      <c r="R108" s="63">
        <f t="shared" si="70"/>
        <v>10700</v>
      </c>
      <c r="S108" s="63">
        <f t="shared" si="70"/>
        <v>10700</v>
      </c>
      <c r="T108" s="63">
        <f t="shared" si="70"/>
        <v>10700</v>
      </c>
      <c r="U108" s="63">
        <f t="shared" si="70"/>
        <v>10700</v>
      </c>
      <c r="V108" s="63">
        <f t="shared" si="70"/>
        <v>10700</v>
      </c>
      <c r="W108" s="63">
        <f t="shared" si="70"/>
        <v>10700</v>
      </c>
      <c r="X108" s="63">
        <f t="shared" si="70"/>
        <v>10700</v>
      </c>
      <c r="Y108" s="63">
        <f t="shared" si="70"/>
        <v>10700</v>
      </c>
      <c r="Z108" s="63">
        <f t="shared" si="70"/>
        <v>10700</v>
      </c>
      <c r="AA108" s="63">
        <f t="shared" si="70"/>
        <v>11521.450000000003</v>
      </c>
      <c r="AB108" s="63">
        <f t="shared" si="70"/>
        <v>11521.45</v>
      </c>
      <c r="AC108" s="63">
        <f t="shared" si="70"/>
        <v>11521.45</v>
      </c>
      <c r="AD108" s="63">
        <f t="shared" si="70"/>
        <v>11521.45</v>
      </c>
      <c r="AE108" s="63">
        <f t="shared" si="70"/>
        <v>11521.45</v>
      </c>
      <c r="AF108" s="63">
        <f t="shared" si="70"/>
        <v>11521.45</v>
      </c>
      <c r="AG108" s="63">
        <f t="shared" si="70"/>
        <v>11521.45</v>
      </c>
      <c r="AH108" s="63">
        <f t="shared" si="70"/>
        <v>11521.45</v>
      </c>
      <c r="AI108" s="63">
        <f t="shared" si="70"/>
        <v>11521.45</v>
      </c>
      <c r="AJ108" s="63">
        <f t="shared" si="70"/>
        <v>11521.45</v>
      </c>
      <c r="AK108" s="63">
        <f t="shared" si="70"/>
        <v>11521.45</v>
      </c>
      <c r="AL108" s="63">
        <f t="shared" si="70"/>
        <v>11521.450000000003</v>
      </c>
      <c r="AM108" s="63">
        <f t="shared" si="70"/>
        <v>12250.43</v>
      </c>
      <c r="AN108" s="63">
        <f t="shared" si="70"/>
        <v>12250.430000000004</v>
      </c>
      <c r="AO108" s="63">
        <f t="shared" si="70"/>
        <v>12250.430000000002</v>
      </c>
      <c r="AP108" s="63">
        <f t="shared" si="70"/>
        <v>12250.430000000002</v>
      </c>
      <c r="AQ108" s="63">
        <f t="shared" si="70"/>
        <v>12250.430000000002</v>
      </c>
      <c r="AR108" s="63">
        <f t="shared" si="70"/>
        <v>12250.430000000002</v>
      </c>
      <c r="AS108" s="63">
        <f t="shared" si="70"/>
        <v>12250.430000000002</v>
      </c>
      <c r="AT108" s="63">
        <f t="shared" si="70"/>
        <v>12250.430000000002</v>
      </c>
      <c r="AU108" s="63">
        <f t="shared" si="70"/>
        <v>12250.430000000002</v>
      </c>
      <c r="AV108" s="63">
        <f t="shared" si="70"/>
        <v>12250.430000000002</v>
      </c>
      <c r="AW108" s="63">
        <f t="shared" si="70"/>
        <v>12250.430000000002</v>
      </c>
      <c r="AX108" s="63">
        <f t="shared" si="70"/>
        <v>12250.430000000004</v>
      </c>
      <c r="AY108" s="63">
        <f t="shared" si="70"/>
        <v>13107.960100000002</v>
      </c>
      <c r="AZ108" s="63">
        <f t="shared" si="70"/>
        <v>13107.960100000002</v>
      </c>
      <c r="BA108" s="63">
        <f t="shared" si="70"/>
        <v>13107.9601</v>
      </c>
      <c r="BB108" s="63">
        <f t="shared" si="70"/>
        <v>13107.9601</v>
      </c>
      <c r="BC108" s="63">
        <f t="shared" si="70"/>
        <v>13107.9601</v>
      </c>
      <c r="BD108" s="63">
        <f t="shared" si="70"/>
        <v>13107.9601</v>
      </c>
      <c r="BE108" s="63">
        <f t="shared" si="70"/>
        <v>13107.9601</v>
      </c>
      <c r="BF108" s="63">
        <f t="shared" si="70"/>
        <v>13107.9601</v>
      </c>
      <c r="BG108" s="63">
        <f t="shared" si="70"/>
        <v>13107.9601</v>
      </c>
      <c r="BH108" s="63">
        <f t="shared" si="70"/>
        <v>13107.9601</v>
      </c>
      <c r="BI108" s="63">
        <f t="shared" si="70"/>
        <v>13107.9601</v>
      </c>
      <c r="BJ108" s="63">
        <f t="shared" si="70"/>
        <v>13107.960100000002</v>
      </c>
    </row>
    <row r="109" spans="1:63" outlineLevel="1" x14ac:dyDescent="0.15">
      <c r="A109" s="47" t="s">
        <v>636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1850000</v>
      </c>
      <c r="G109" s="63">
        <f t="shared" ref="G109:BJ109" si="72">G97-G106</f>
        <v>2570000</v>
      </c>
      <c r="H109" s="63">
        <f t="shared" si="72"/>
        <v>3240000</v>
      </c>
      <c r="I109" s="63">
        <f t="shared" si="72"/>
        <v>3240000</v>
      </c>
      <c r="J109" s="63">
        <f t="shared" si="72"/>
        <v>3240000</v>
      </c>
      <c r="K109" s="63">
        <f t="shared" si="72"/>
        <v>3240000</v>
      </c>
      <c r="L109" s="63">
        <f t="shared" si="72"/>
        <v>3240000</v>
      </c>
      <c r="M109" s="63">
        <f t="shared" si="72"/>
        <v>3240000</v>
      </c>
      <c r="N109" s="63">
        <f t="shared" si="72"/>
        <v>3080000</v>
      </c>
      <c r="O109" s="63">
        <f t="shared" si="72"/>
        <v>3306300</v>
      </c>
      <c r="P109" s="63">
        <f t="shared" si="72"/>
        <v>5457000</v>
      </c>
      <c r="Q109" s="63">
        <f t="shared" si="72"/>
        <v>6141800</v>
      </c>
      <c r="R109" s="63">
        <f t="shared" si="72"/>
        <v>6141800</v>
      </c>
      <c r="S109" s="63">
        <f t="shared" si="72"/>
        <v>6141800</v>
      </c>
      <c r="T109" s="63">
        <f t="shared" si="72"/>
        <v>6141800</v>
      </c>
      <c r="U109" s="63">
        <f t="shared" si="72"/>
        <v>6141800</v>
      </c>
      <c r="V109" s="63">
        <f t="shared" si="72"/>
        <v>6141800</v>
      </c>
      <c r="W109" s="63">
        <f t="shared" si="72"/>
        <v>6141800</v>
      </c>
      <c r="X109" s="63">
        <f t="shared" si="72"/>
        <v>6141800</v>
      </c>
      <c r="Y109" s="63">
        <f t="shared" si="72"/>
        <v>6141800</v>
      </c>
      <c r="Z109" s="63">
        <f t="shared" si="72"/>
        <v>4098100</v>
      </c>
      <c r="AA109" s="63">
        <f t="shared" si="72"/>
        <v>10461476.600000001</v>
      </c>
      <c r="AB109" s="63">
        <f t="shared" si="72"/>
        <v>16729145.400000002</v>
      </c>
      <c r="AC109" s="63">
        <f t="shared" si="72"/>
        <v>18826049.300000001</v>
      </c>
      <c r="AD109" s="63">
        <f t="shared" si="72"/>
        <v>18826049.300000001</v>
      </c>
      <c r="AE109" s="63">
        <f t="shared" si="72"/>
        <v>18826049.300000001</v>
      </c>
      <c r="AF109" s="63">
        <f t="shared" si="72"/>
        <v>18826049.300000001</v>
      </c>
      <c r="AG109" s="63">
        <f t="shared" si="72"/>
        <v>18826049.300000001</v>
      </c>
      <c r="AH109" s="63">
        <f t="shared" si="72"/>
        <v>18826049.300000001</v>
      </c>
      <c r="AI109" s="63">
        <f t="shared" si="72"/>
        <v>18826049.300000001</v>
      </c>
      <c r="AJ109" s="63">
        <f t="shared" si="72"/>
        <v>18826049.300000001</v>
      </c>
      <c r="AK109" s="63">
        <f t="shared" si="72"/>
        <v>18826049.300000001</v>
      </c>
      <c r="AL109" s="63">
        <f t="shared" si="72"/>
        <v>12546859.050000003</v>
      </c>
      <c r="AM109" s="63">
        <f t="shared" si="72"/>
        <v>11454152.050000001</v>
      </c>
      <c r="AN109" s="63">
        <f t="shared" si="72"/>
        <v>18326643.280000005</v>
      </c>
      <c r="AO109" s="63">
        <f t="shared" si="72"/>
        <v>20617473.690000005</v>
      </c>
      <c r="AP109" s="63">
        <f t="shared" si="72"/>
        <v>20617473.690000005</v>
      </c>
      <c r="AQ109" s="63">
        <f t="shared" si="72"/>
        <v>20617473.690000005</v>
      </c>
      <c r="AR109" s="63">
        <f t="shared" si="72"/>
        <v>20617473.690000005</v>
      </c>
      <c r="AS109" s="63">
        <f t="shared" si="72"/>
        <v>20617473.690000005</v>
      </c>
      <c r="AT109" s="63">
        <f t="shared" si="72"/>
        <v>20617473.690000005</v>
      </c>
      <c r="AU109" s="63">
        <f t="shared" si="72"/>
        <v>20617473.690000005</v>
      </c>
      <c r="AV109" s="63">
        <f t="shared" si="72"/>
        <v>20617473.690000005</v>
      </c>
      <c r="AW109" s="63">
        <f t="shared" si="72"/>
        <v>20617473.690000005</v>
      </c>
      <c r="AX109" s="63">
        <f t="shared" si="72"/>
        <v>13744982.460000005</v>
      </c>
      <c r="AY109" s="63">
        <f t="shared" si="72"/>
        <v>12622965.576300003</v>
      </c>
      <c r="AZ109" s="63">
        <f t="shared" si="72"/>
        <v>20199366.514100004</v>
      </c>
      <c r="BA109" s="63">
        <f t="shared" si="72"/>
        <v>22716094.853300001</v>
      </c>
      <c r="BB109" s="63">
        <f t="shared" si="72"/>
        <v>22716094.853300001</v>
      </c>
      <c r="BC109" s="63">
        <f t="shared" si="72"/>
        <v>22716094.853300001</v>
      </c>
      <c r="BD109" s="63">
        <f t="shared" si="72"/>
        <v>22716094.853300001</v>
      </c>
      <c r="BE109" s="63">
        <f t="shared" si="72"/>
        <v>22716094.853300001</v>
      </c>
      <c r="BF109" s="63">
        <f t="shared" si="72"/>
        <v>22716094.853300001</v>
      </c>
      <c r="BG109" s="63">
        <f t="shared" si="72"/>
        <v>22716094.853300001</v>
      </c>
      <c r="BH109" s="63">
        <f t="shared" si="72"/>
        <v>22716094.853300001</v>
      </c>
      <c r="BI109" s="63">
        <f t="shared" si="72"/>
        <v>22716094.853300001</v>
      </c>
      <c r="BJ109" s="63">
        <f t="shared" si="72"/>
        <v>15152801.875600003</v>
      </c>
      <c r="BK109" s="118">
        <f>SUM(C109:BJ109)</f>
        <v>785752553.39569986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0.45454545454545453</v>
      </c>
      <c r="G110" s="46">
        <f t="shared" si="73"/>
        <v>0.45454545454545453</v>
      </c>
      <c r="H110" s="46">
        <f t="shared" si="73"/>
        <v>0.45454545454545453</v>
      </c>
      <c r="I110" s="46">
        <f t="shared" si="73"/>
        <v>0.45454545454545453</v>
      </c>
      <c r="J110" s="46">
        <f t="shared" si="73"/>
        <v>0.45454545454545453</v>
      </c>
      <c r="K110" s="46">
        <f t="shared" si="73"/>
        <v>0.45454545454545453</v>
      </c>
      <c r="L110" s="46">
        <f t="shared" si="73"/>
        <v>0.45454545454545453</v>
      </c>
      <c r="M110" s="46">
        <f t="shared" si="73"/>
        <v>0.45454545454545453</v>
      </c>
      <c r="N110" s="46">
        <f t="shared" si="73"/>
        <v>0.45454545454545453</v>
      </c>
      <c r="O110" s="46">
        <f t="shared" si="73"/>
        <v>0.45454545454545453</v>
      </c>
      <c r="P110" s="46">
        <f t="shared" si="73"/>
        <v>0.45454545454545453</v>
      </c>
      <c r="Q110" s="46">
        <f t="shared" si="73"/>
        <v>0.45454545454545453</v>
      </c>
      <c r="R110" s="46">
        <f t="shared" si="73"/>
        <v>0.45454545454545453</v>
      </c>
      <c r="S110" s="46">
        <f t="shared" si="73"/>
        <v>0.45454545454545453</v>
      </c>
      <c r="T110" s="46">
        <f t="shared" si="73"/>
        <v>0.45454545454545453</v>
      </c>
      <c r="U110" s="46">
        <f t="shared" si="73"/>
        <v>0.45454545454545453</v>
      </c>
      <c r="V110" s="46">
        <f t="shared" si="73"/>
        <v>0.45454545454545453</v>
      </c>
      <c r="W110" s="46">
        <f t="shared" si="73"/>
        <v>0.45454545454545453</v>
      </c>
      <c r="X110" s="46">
        <f t="shared" si="73"/>
        <v>0.45454545454545453</v>
      </c>
      <c r="Y110" s="46">
        <f t="shared" si="73"/>
        <v>0.45454545454545453</v>
      </c>
      <c r="Z110" s="46">
        <f t="shared" si="73"/>
        <v>0.45454545454545453</v>
      </c>
      <c r="AA110" s="46">
        <f t="shared" si="73"/>
        <v>0.45742184708469974</v>
      </c>
      <c r="AB110" s="46">
        <f t="shared" si="73"/>
        <v>0.4574218470846998</v>
      </c>
      <c r="AC110" s="46">
        <f t="shared" si="73"/>
        <v>0.45742184708469974</v>
      </c>
      <c r="AD110" s="46">
        <f t="shared" si="73"/>
        <v>0.45742184708469974</v>
      </c>
      <c r="AE110" s="46">
        <f t="shared" si="73"/>
        <v>0.45742184708469974</v>
      </c>
      <c r="AF110" s="46">
        <f t="shared" si="73"/>
        <v>0.45742184708469974</v>
      </c>
      <c r="AG110" s="46">
        <f t="shared" si="73"/>
        <v>0.45742184708469974</v>
      </c>
      <c r="AH110" s="46">
        <f t="shared" si="73"/>
        <v>0.45742184708469974</v>
      </c>
      <c r="AI110" s="46">
        <f t="shared" ref="AI110:BJ110" si="74">IF(AI109&gt;0,(AI109/AI97),0)</f>
        <v>0.45742184708469974</v>
      </c>
      <c r="AJ110" s="46">
        <f t="shared" si="74"/>
        <v>0.45742184708469974</v>
      </c>
      <c r="AK110" s="46">
        <f t="shared" si="74"/>
        <v>0.45742184708469974</v>
      </c>
      <c r="AL110" s="46">
        <f t="shared" si="74"/>
        <v>0.4574218470846998</v>
      </c>
      <c r="AM110" s="46">
        <f t="shared" si="74"/>
        <v>0.45454545454545453</v>
      </c>
      <c r="AN110" s="46">
        <f t="shared" si="74"/>
        <v>0.45454545454545459</v>
      </c>
      <c r="AO110" s="46">
        <f t="shared" si="74"/>
        <v>0.45454545454545459</v>
      </c>
      <c r="AP110" s="46">
        <f t="shared" si="74"/>
        <v>0.45454545454545459</v>
      </c>
      <c r="AQ110" s="46">
        <f t="shared" si="74"/>
        <v>0.45454545454545459</v>
      </c>
      <c r="AR110" s="46">
        <f t="shared" si="74"/>
        <v>0.45454545454545459</v>
      </c>
      <c r="AS110" s="46">
        <f t="shared" si="74"/>
        <v>0.45454545454545459</v>
      </c>
      <c r="AT110" s="46">
        <f t="shared" si="74"/>
        <v>0.45454545454545459</v>
      </c>
      <c r="AU110" s="46">
        <f t="shared" si="74"/>
        <v>0.45454545454545459</v>
      </c>
      <c r="AV110" s="46">
        <f t="shared" si="74"/>
        <v>0.45454545454545459</v>
      </c>
      <c r="AW110" s="46">
        <f t="shared" si="74"/>
        <v>0.45454545454545459</v>
      </c>
      <c r="AX110" s="46">
        <f t="shared" si="74"/>
        <v>0.45454545454545464</v>
      </c>
      <c r="AY110" s="46">
        <f t="shared" si="74"/>
        <v>0.45454545454545459</v>
      </c>
      <c r="AZ110" s="46">
        <f t="shared" si="74"/>
        <v>0.45454545454545459</v>
      </c>
      <c r="BA110" s="46">
        <f t="shared" si="74"/>
        <v>0.45454545454545453</v>
      </c>
      <c r="BB110" s="46">
        <f t="shared" si="74"/>
        <v>0.45454545454545453</v>
      </c>
      <c r="BC110" s="46">
        <f t="shared" si="74"/>
        <v>0.45454545454545453</v>
      </c>
      <c r="BD110" s="46">
        <f t="shared" si="74"/>
        <v>0.45454545454545453</v>
      </c>
      <c r="BE110" s="46">
        <f t="shared" si="74"/>
        <v>0.45454545454545453</v>
      </c>
      <c r="BF110" s="46">
        <f t="shared" si="74"/>
        <v>0.45454545454545453</v>
      </c>
      <c r="BG110" s="46">
        <f t="shared" si="74"/>
        <v>0.45454545454545453</v>
      </c>
      <c r="BH110" s="46">
        <f t="shared" si="74"/>
        <v>0.45454545454545453</v>
      </c>
      <c r="BI110" s="46">
        <f t="shared" si="74"/>
        <v>0.45454545454545453</v>
      </c>
      <c r="BJ110" s="46">
        <f t="shared" si="74"/>
        <v>0.45454545454545459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1199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190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46023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67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1268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167500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57780802.394475028</v>
      </c>
    </row>
    <row r="127" spans="1:64" customFormat="1" outlineLevel="1" x14ac:dyDescent="0.15">
      <c r="A127" s="47" t="s">
        <v>344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1269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167500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351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10496500</v>
      </c>
      <c r="G132" s="63">
        <f t="shared" si="82"/>
        <v>14568500</v>
      </c>
      <c r="H132" s="63">
        <f t="shared" si="82"/>
        <v>18369000</v>
      </c>
      <c r="I132" s="63">
        <f t="shared" si="82"/>
        <v>18369000</v>
      </c>
      <c r="J132" s="63">
        <f t="shared" si="82"/>
        <v>18369000</v>
      </c>
      <c r="K132" s="63">
        <f t="shared" si="82"/>
        <v>18369000</v>
      </c>
      <c r="L132" s="63">
        <f t="shared" si="82"/>
        <v>18369000</v>
      </c>
      <c r="M132" s="63">
        <f t="shared" si="82"/>
        <v>18369000</v>
      </c>
      <c r="N132" s="63">
        <f t="shared" si="82"/>
        <v>17480500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3114996954.0170236</v>
      </c>
      <c r="BL132" s="178">
        <f>BK87+BK86+BK82+BK81+BK56</f>
        <v>1331454259.6020103</v>
      </c>
    </row>
    <row r="133" spans="1:64" x14ac:dyDescent="0.15">
      <c r="A133" s="33" t="s">
        <v>634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4182000</v>
      </c>
      <c r="G133" s="63">
        <f t="shared" si="83"/>
        <v>5803500</v>
      </c>
      <c r="H133" s="63">
        <f t="shared" si="83"/>
        <v>7318000</v>
      </c>
      <c r="I133" s="63">
        <f t="shared" si="83"/>
        <v>7318000</v>
      </c>
      <c r="J133" s="63">
        <f t="shared" si="83"/>
        <v>7318000</v>
      </c>
      <c r="K133" s="63">
        <f t="shared" si="83"/>
        <v>7318000</v>
      </c>
      <c r="L133" s="63">
        <f t="shared" si="83"/>
        <v>7318000</v>
      </c>
      <c r="M133" s="63">
        <f t="shared" si="83"/>
        <v>7318000</v>
      </c>
      <c r="N133" s="63">
        <f t="shared" si="83"/>
        <v>6963500</v>
      </c>
      <c r="O133" s="63">
        <f t="shared" si="83"/>
        <v>7498560</v>
      </c>
      <c r="P133" s="63">
        <f t="shared" si="83"/>
        <v>12085650</v>
      </c>
      <c r="Q133" s="63">
        <f t="shared" si="83"/>
        <v>13593815</v>
      </c>
      <c r="R133" s="63">
        <f t="shared" si="83"/>
        <v>13593815</v>
      </c>
      <c r="S133" s="63">
        <f t="shared" si="83"/>
        <v>13593815</v>
      </c>
      <c r="T133" s="63">
        <f t="shared" si="83"/>
        <v>13593815</v>
      </c>
      <c r="U133" s="63">
        <f t="shared" si="83"/>
        <v>13593815</v>
      </c>
      <c r="V133" s="63">
        <f t="shared" si="83"/>
        <v>13593815</v>
      </c>
      <c r="W133" s="63">
        <f t="shared" si="83"/>
        <v>13593815</v>
      </c>
      <c r="X133" s="63">
        <f t="shared" si="83"/>
        <v>13593815</v>
      </c>
      <c r="Y133" s="63">
        <f t="shared" si="83"/>
        <v>13593815</v>
      </c>
      <c r="Z133" s="63">
        <f t="shared" si="83"/>
        <v>9062900</v>
      </c>
      <c r="AA133" s="63">
        <f t="shared" si="83"/>
        <v>16722934.700000001</v>
      </c>
      <c r="AB133" s="63">
        <f t="shared" si="83"/>
        <v>26748737.75</v>
      </c>
      <c r="AC133" s="63">
        <f t="shared" si="83"/>
        <v>30095872.449999999</v>
      </c>
      <c r="AD133" s="63">
        <f t="shared" si="83"/>
        <v>30095872.449999999</v>
      </c>
      <c r="AE133" s="63">
        <f t="shared" si="83"/>
        <v>30095872.449999999</v>
      </c>
      <c r="AF133" s="63">
        <f t="shared" si="83"/>
        <v>30095872.449999999</v>
      </c>
      <c r="AG133" s="63">
        <f t="shared" si="83"/>
        <v>30095872.449999999</v>
      </c>
      <c r="AH133" s="63">
        <f t="shared" si="83"/>
        <v>30095872.449999999</v>
      </c>
      <c r="AI133" s="63">
        <f t="shared" si="83"/>
        <v>30095872.449999999</v>
      </c>
      <c r="AJ133" s="63">
        <f t="shared" si="83"/>
        <v>30095872.449999999</v>
      </c>
      <c r="AK133" s="63">
        <f t="shared" si="83"/>
        <v>30095872.449999999</v>
      </c>
      <c r="AL133" s="63">
        <f t="shared" si="83"/>
        <v>20060837.750000004</v>
      </c>
      <c r="AM133" s="63">
        <f t="shared" si="83"/>
        <v>18324193.194000002</v>
      </c>
      <c r="AN133" s="63">
        <f t="shared" si="83"/>
        <v>29318341.597500004</v>
      </c>
      <c r="AO133" s="63">
        <f t="shared" si="83"/>
        <v>32983057.732000008</v>
      </c>
      <c r="AP133" s="63">
        <f t="shared" si="83"/>
        <v>32983057.732000008</v>
      </c>
      <c r="AQ133" s="63">
        <f t="shared" si="83"/>
        <v>32983057.732000008</v>
      </c>
      <c r="AR133" s="63">
        <f t="shared" si="83"/>
        <v>32983057.732000008</v>
      </c>
      <c r="AS133" s="63">
        <f t="shared" si="83"/>
        <v>32983057.732000008</v>
      </c>
      <c r="AT133" s="63">
        <f t="shared" si="83"/>
        <v>32983057.732000008</v>
      </c>
      <c r="AU133" s="63">
        <f t="shared" si="83"/>
        <v>32983057.732000008</v>
      </c>
      <c r="AV133" s="63">
        <f t="shared" si="83"/>
        <v>32983057.732000008</v>
      </c>
      <c r="AW133" s="63">
        <f t="shared" si="83"/>
        <v>32983057.732000008</v>
      </c>
      <c r="AX133" s="63">
        <f t="shared" si="83"/>
        <v>21988909.328500006</v>
      </c>
      <c r="AY133" s="63">
        <f t="shared" si="83"/>
        <v>20191501.73804</v>
      </c>
      <c r="AZ133" s="63">
        <f t="shared" si="83"/>
        <v>32314398.636525009</v>
      </c>
      <c r="BA133" s="63">
        <f t="shared" si="83"/>
        <v>36346407.16328501</v>
      </c>
      <c r="BB133" s="63">
        <f t="shared" si="83"/>
        <v>36346407.16328501</v>
      </c>
      <c r="BC133" s="63">
        <f t="shared" si="83"/>
        <v>36346407.16328501</v>
      </c>
      <c r="BD133" s="63">
        <f t="shared" si="83"/>
        <v>36346407.16328501</v>
      </c>
      <c r="BE133" s="63">
        <f t="shared" si="83"/>
        <v>36346407.16328501</v>
      </c>
      <c r="BF133" s="63">
        <f t="shared" si="83"/>
        <v>36346407.16328501</v>
      </c>
      <c r="BG133" s="63">
        <f t="shared" si="83"/>
        <v>36346407.16328501</v>
      </c>
      <c r="BH133" s="63">
        <f t="shared" si="83"/>
        <v>36346407.16328501</v>
      </c>
      <c r="BI133" s="63">
        <f t="shared" si="83"/>
        <v>36346407.16328501</v>
      </c>
      <c r="BJ133" s="63">
        <f t="shared" si="83"/>
        <v>24239895.214925002</v>
      </c>
      <c r="BK133" s="118">
        <f>SUM(C133:BJ133)</f>
        <v>1316586231.017055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90" t="s">
        <v>310</v>
      </c>
      <c r="B2" s="390"/>
    </row>
    <row r="3" spans="1:63" x14ac:dyDescent="0.15">
      <c r="A3" s="10"/>
      <c r="B3" s="10"/>
    </row>
    <row r="4" spans="1:63" x14ac:dyDescent="0.15">
      <c r="A4" s="390" t="s">
        <v>347</v>
      </c>
      <c r="B4" s="39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8624000</v>
      </c>
      <c r="G7" s="9">
        <f>'REV-REVCALC_CWS'!G17</f>
        <v>8624000</v>
      </c>
      <c r="H7" s="9">
        <f>'REV-REVCALC_CWS'!H17</f>
        <v>8624000</v>
      </c>
      <c r="I7" s="9">
        <f>'REV-REVCALC_CWS'!I17</f>
        <v>8624000</v>
      </c>
      <c r="J7" s="9">
        <f>'REV-REVCALC_CWS'!J17</f>
        <v>8624000</v>
      </c>
      <c r="K7" s="9">
        <f>'REV-REVCALC_CWS'!K17</f>
        <v>8624000</v>
      </c>
      <c r="L7" s="9">
        <f>'REV-REVCALC_CWS'!L17</f>
        <v>8624000</v>
      </c>
      <c r="M7" s="9">
        <f>'REV-REVCALC_CWS'!M17</f>
        <v>8624000</v>
      </c>
      <c r="N7" s="9">
        <f>'REV-REVCALC_CWS'!N17</f>
        <v>8624000</v>
      </c>
      <c r="O7" s="9">
        <f>'REV-REVCALC_CWS'!O17</f>
        <v>8624000</v>
      </c>
      <c r="P7" s="9">
        <f>'REV-REVCALC_CWS'!P17</f>
        <v>8624000</v>
      </c>
      <c r="Q7" s="9">
        <f>'REV-REVCALC_CWS'!Q17</f>
        <v>8624000</v>
      </c>
      <c r="R7" s="9">
        <f>'REV-REVCALC_CWS'!R17</f>
        <v>8624000</v>
      </c>
      <c r="S7" s="9">
        <f>'REV-REVCALC_CWS'!S17</f>
        <v>8624000</v>
      </c>
      <c r="T7" s="9">
        <f>'REV-REVCALC_CWS'!T17</f>
        <v>8624000</v>
      </c>
      <c r="U7" s="9">
        <f>'REV-REVCALC_CWS'!U17</f>
        <v>8624000</v>
      </c>
      <c r="V7" s="9">
        <f>'REV-REVCALC_CWS'!V17</f>
        <v>8624000</v>
      </c>
      <c r="W7" s="9">
        <f>'REV-REVCALC_CWS'!W17</f>
        <v>8624000</v>
      </c>
      <c r="X7" s="9">
        <f>'REV-REVCALC_CWS'!X17</f>
        <v>8624000</v>
      </c>
      <c r="Y7" s="9">
        <f>'REV-REVCALC_CWS'!Y17</f>
        <v>8624000</v>
      </c>
      <c r="Z7" s="9">
        <f>'REV-REVCALC_CWS'!Z17</f>
        <v>8624000</v>
      </c>
      <c r="AA7" s="9">
        <f>'REV-REVCALC_CWS'!AA17</f>
        <v>8624000</v>
      </c>
      <c r="AB7" s="9">
        <f>'REV-REVCALC_CWS'!AB17</f>
        <v>8624000</v>
      </c>
      <c r="AC7" s="9">
        <f>'REV-REVCALC_CWS'!AC17</f>
        <v>8624000</v>
      </c>
      <c r="AD7" s="9">
        <f>'REV-REVCALC_CWS'!AD17</f>
        <v>8624000</v>
      </c>
      <c r="AE7" s="9">
        <f>'REV-REVCALC_CWS'!AE17</f>
        <v>8624000</v>
      </c>
      <c r="AF7" s="9">
        <f>'REV-REVCALC_CWS'!AF17</f>
        <v>8624000</v>
      </c>
      <c r="AG7" s="9">
        <f>'REV-REVCALC_CWS'!AG17</f>
        <v>8624000</v>
      </c>
      <c r="AH7" s="9">
        <f>'REV-REVCALC_CWS'!AH17</f>
        <v>8624000</v>
      </c>
      <c r="AI7" s="9">
        <f>'REV-REVCALC_CWS'!AI17</f>
        <v>8624000</v>
      </c>
      <c r="AJ7" s="9">
        <f>'REV-REVCALC_CWS'!AJ17</f>
        <v>8624000</v>
      </c>
      <c r="AK7" s="9">
        <f>'REV-REVCALC_CWS'!AK17</f>
        <v>8624000</v>
      </c>
      <c r="AL7" s="9">
        <f>'REV-REVCALC_CWS'!AL17</f>
        <v>8624000</v>
      </c>
      <c r="AM7" s="9">
        <f>'REV-REVCALC_CWS'!AM17</f>
        <v>8624000</v>
      </c>
      <c r="AN7" s="9">
        <f>'REV-REVCALC_CWS'!AN17</f>
        <v>8624000</v>
      </c>
      <c r="AO7" s="9">
        <f>'REV-REVCALC_CWS'!AO17</f>
        <v>8624000</v>
      </c>
      <c r="AP7" s="9">
        <f>'REV-REVCALC_CWS'!AP17</f>
        <v>8624000</v>
      </c>
      <c r="AQ7" s="9">
        <f>'REV-REVCALC_CWS'!AQ17</f>
        <v>8624000</v>
      </c>
      <c r="AR7" s="9">
        <f>'REV-REVCALC_CWS'!AR17</f>
        <v>8624000</v>
      </c>
      <c r="AS7" s="9">
        <f>'REV-REVCALC_CWS'!AS17</f>
        <v>8624000</v>
      </c>
      <c r="AT7" s="9">
        <f>'REV-REVCALC_CWS'!AT17</f>
        <v>8624000</v>
      </c>
      <c r="AU7" s="9">
        <f>'REV-REVCALC_CWS'!AU17</f>
        <v>8624000</v>
      </c>
      <c r="AV7" s="9">
        <f>'REV-REVCALC_CWS'!AV17</f>
        <v>8624000</v>
      </c>
      <c r="AW7" s="9">
        <f>'REV-REVCALC_CWS'!AW17</f>
        <v>8624000</v>
      </c>
      <c r="AX7" s="9">
        <f>'REV-REVCALC_CWS'!AX17</f>
        <v>8624000</v>
      </c>
      <c r="AY7" s="9">
        <f>'REV-REVCALC_CWS'!AY17</f>
        <v>8624000</v>
      </c>
      <c r="AZ7" s="9">
        <f>'REV-REVCALC_CWS'!AZ17</f>
        <v>8624000</v>
      </c>
      <c r="BA7" s="9">
        <f>'REV-REVCALC_CWS'!BA17</f>
        <v>8624000</v>
      </c>
      <c r="BB7" s="9">
        <f>'REV-REVCALC_CWS'!BB17</f>
        <v>8624000</v>
      </c>
      <c r="BC7" s="9">
        <f>'REV-REVCALC_CWS'!BC17</f>
        <v>8624000</v>
      </c>
      <c r="BD7" s="9">
        <f>'REV-REVCALC_CWS'!BD17</f>
        <v>8624000</v>
      </c>
      <c r="BE7" s="9">
        <f>'REV-REVCALC_CWS'!BE17</f>
        <v>8624000</v>
      </c>
      <c r="BF7" s="9">
        <f>'REV-REVCALC_CWS'!BF17</f>
        <v>8624000</v>
      </c>
      <c r="BG7" s="9">
        <f>'REV-REVCALC_CWS'!BG17</f>
        <v>8624000</v>
      </c>
      <c r="BH7" s="9">
        <f>'REV-REVCALC_CWS'!BH17</f>
        <v>8624000</v>
      </c>
      <c r="BI7" s="9">
        <f>'REV-REVCALC_CWS'!BI17</f>
        <v>8624000</v>
      </c>
      <c r="BJ7" s="9">
        <f>'REV-REVCALC_CWS'!BJ17</f>
        <v>8624000</v>
      </c>
    </row>
    <row r="8" spans="1:63" x14ac:dyDescent="0.15">
      <c r="B8" s="33" t="s">
        <v>349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350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1048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385000</v>
      </c>
      <c r="G10" s="9">
        <f>'REV-REVCALC_CWS'!G44</f>
        <v>455000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352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9009000</v>
      </c>
      <c r="G12" s="9">
        <f t="shared" si="0"/>
        <v>9079000</v>
      </c>
      <c r="H12" s="9">
        <f t="shared" si="0"/>
        <v>9096500</v>
      </c>
      <c r="I12" s="9">
        <f t="shared" si="0"/>
        <v>9096500</v>
      </c>
      <c r="J12" s="9">
        <f t="shared" si="0"/>
        <v>9096500</v>
      </c>
      <c r="K12" s="9">
        <f t="shared" si="0"/>
        <v>9096500</v>
      </c>
      <c r="L12" s="9">
        <f t="shared" si="0"/>
        <v>9096500</v>
      </c>
      <c r="M12" s="9">
        <f t="shared" si="0"/>
        <v>9096500</v>
      </c>
      <c r="N12" s="9">
        <f t="shared" si="0"/>
        <v>9074000</v>
      </c>
      <c r="O12" s="9">
        <f t="shared" si="0"/>
        <v>9137600</v>
      </c>
      <c r="P12" s="9">
        <f t="shared" si="0"/>
        <v>9445225</v>
      </c>
      <c r="Q12" s="9">
        <f t="shared" si="0"/>
        <v>9546875</v>
      </c>
      <c r="R12" s="9">
        <f t="shared" si="0"/>
        <v>9546875</v>
      </c>
      <c r="S12" s="9">
        <f t="shared" si="0"/>
        <v>9546875</v>
      </c>
      <c r="T12" s="9">
        <f t="shared" si="0"/>
        <v>9546875</v>
      </c>
      <c r="U12" s="9">
        <f t="shared" si="0"/>
        <v>9546875</v>
      </c>
      <c r="V12" s="9">
        <f t="shared" si="0"/>
        <v>9546875</v>
      </c>
      <c r="W12" s="9">
        <f t="shared" si="0"/>
        <v>9546875</v>
      </c>
      <c r="X12" s="9">
        <f t="shared" si="0"/>
        <v>9546875</v>
      </c>
      <c r="Y12" s="9">
        <f t="shared" si="0"/>
        <v>9546875</v>
      </c>
      <c r="Z12" s="9">
        <f t="shared" si="0"/>
        <v>9239250</v>
      </c>
      <c r="AA12" s="9">
        <f t="shared" si="0"/>
        <v>9431154.5</v>
      </c>
      <c r="AB12" s="9">
        <f t="shared" si="0"/>
        <v>9914874.75</v>
      </c>
      <c r="AC12" s="9">
        <f t="shared" si="0"/>
        <v>10075160.75</v>
      </c>
      <c r="AD12" s="9">
        <f t="shared" si="0"/>
        <v>10075160.75</v>
      </c>
      <c r="AE12" s="9">
        <f t="shared" si="0"/>
        <v>10075160.75</v>
      </c>
      <c r="AF12" s="9">
        <f t="shared" si="0"/>
        <v>10075160.75</v>
      </c>
      <c r="AG12" s="9">
        <f t="shared" si="0"/>
        <v>10075160.75</v>
      </c>
      <c r="AH12" s="9">
        <f t="shared" si="0"/>
        <v>10075160.75</v>
      </c>
      <c r="AI12" s="9">
        <f t="shared" si="0"/>
        <v>10075160.75</v>
      </c>
      <c r="AJ12" s="9">
        <f t="shared" si="0"/>
        <v>10075160.75</v>
      </c>
      <c r="AK12" s="9">
        <f t="shared" si="0"/>
        <v>10075160.75</v>
      </c>
      <c r="AL12" s="9">
        <f t="shared" si="0"/>
        <v>9591440.5</v>
      </c>
      <c r="AM12" s="9">
        <f t="shared" si="0"/>
        <v>10342122.807500001</v>
      </c>
      <c r="AN12" s="9">
        <f t="shared" si="0"/>
        <v>11374221.535</v>
      </c>
      <c r="AO12" s="9">
        <f t="shared" si="0"/>
        <v>11717233.574999999</v>
      </c>
      <c r="AP12" s="9">
        <f t="shared" si="0"/>
        <v>11717233.574999999</v>
      </c>
      <c r="AQ12" s="9">
        <f t="shared" si="0"/>
        <v>11717233.574999999</v>
      </c>
      <c r="AR12" s="9">
        <f t="shared" si="0"/>
        <v>11717233.574999999</v>
      </c>
      <c r="AS12" s="9">
        <f t="shared" si="0"/>
        <v>11717233.574999999</v>
      </c>
      <c r="AT12" s="9">
        <f t="shared" si="0"/>
        <v>11717233.574999999</v>
      </c>
      <c r="AU12" s="9">
        <f t="shared" si="0"/>
        <v>11717233.574999999</v>
      </c>
      <c r="AV12" s="9">
        <f t="shared" si="0"/>
        <v>11717233.574999999</v>
      </c>
      <c r="AW12" s="9">
        <f t="shared" si="0"/>
        <v>11717233.574999999</v>
      </c>
      <c r="AX12" s="9">
        <f t="shared" si="0"/>
        <v>10685134.8475</v>
      </c>
      <c r="AY12" s="9">
        <f t="shared" si="0"/>
        <v>10518100.234449999</v>
      </c>
      <c r="AZ12" s="9">
        <f t="shared" si="0"/>
        <v>11655215.773125</v>
      </c>
      <c r="BA12" s="9">
        <f t="shared" si="0"/>
        <v>12032069.626</v>
      </c>
      <c r="BB12" s="9">
        <f t="shared" si="0"/>
        <v>12032069.626</v>
      </c>
      <c r="BC12" s="9">
        <f t="shared" si="0"/>
        <v>12032069.626</v>
      </c>
      <c r="BD12" s="9">
        <f t="shared" si="0"/>
        <v>12032069.626</v>
      </c>
      <c r="BE12" s="9">
        <f t="shared" si="0"/>
        <v>12032069.626</v>
      </c>
      <c r="BF12" s="9">
        <f t="shared" si="0"/>
        <v>12032069.626</v>
      </c>
      <c r="BG12" s="9">
        <f t="shared" si="0"/>
        <v>12032069.626</v>
      </c>
      <c r="BH12" s="9">
        <f t="shared" si="0"/>
        <v>12032069.626</v>
      </c>
      <c r="BI12" s="9">
        <f t="shared" si="0"/>
        <v>12032069.626</v>
      </c>
      <c r="BJ12" s="9">
        <f t="shared" si="0"/>
        <v>10898231.07735</v>
      </c>
      <c r="BK12" s="66">
        <f>SUM(C12:BJ12)</f>
        <v>594315621.58392501</v>
      </c>
    </row>
    <row r="13" spans="1:63" s="37" customFormat="1" x14ac:dyDescent="0.15">
      <c r="B13" s="37" t="s">
        <v>301</v>
      </c>
      <c r="N13" s="38">
        <f>SUM(C7:N11)</f>
        <v>81741000</v>
      </c>
      <c r="Z13" s="38">
        <f>SUM(O7:Z11)</f>
        <v>113743950</v>
      </c>
      <c r="AL13" s="38">
        <f>SUM(AA7:AL11)</f>
        <v>119613916.5</v>
      </c>
      <c r="AX13" s="38">
        <f>SUM(AM7:AX11)</f>
        <v>137856581.36500001</v>
      </c>
      <c r="BJ13" s="38">
        <f>SUM(AY7:BJ11)</f>
        <v>141360173.71892497</v>
      </c>
      <c r="BK13" s="65">
        <f>SUM(C13:BJ13)</f>
        <v>594315621.58392501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616</v>
      </c>
    </row>
    <row r="17" spans="2:62" x14ac:dyDescent="0.15">
      <c r="C17" s="390" t="s">
        <v>35</v>
      </c>
      <c r="D17" s="390"/>
      <c r="E17" s="390"/>
      <c r="F17" s="390"/>
      <c r="G17" s="390"/>
      <c r="H17" s="390"/>
      <c r="I17" s="390"/>
      <c r="J17" s="390"/>
      <c r="K17" s="390"/>
      <c r="L17" s="390"/>
      <c r="M17" s="390"/>
      <c r="N17" s="390"/>
      <c r="O17" s="390" t="s">
        <v>36</v>
      </c>
      <c r="P17" s="390"/>
      <c r="Q17" s="390"/>
      <c r="R17" s="390"/>
      <c r="S17" s="390"/>
      <c r="T17" s="390"/>
      <c r="U17" s="390"/>
      <c r="V17" s="390"/>
      <c r="W17" s="390"/>
      <c r="X17" s="390"/>
      <c r="Y17" s="390"/>
      <c r="Z17" s="390"/>
      <c r="AA17" s="390" t="s">
        <v>37</v>
      </c>
      <c r="AB17" s="390"/>
      <c r="AC17" s="390"/>
      <c r="AD17" s="390"/>
      <c r="AE17" s="390"/>
      <c r="AF17" s="390"/>
      <c r="AG17" s="390"/>
      <c r="AH17" s="390"/>
      <c r="AI17" s="390"/>
      <c r="AJ17" s="390"/>
      <c r="AK17" s="390"/>
      <c r="AL17" s="390"/>
      <c r="AM17" s="390" t="s">
        <v>38</v>
      </c>
      <c r="AN17" s="390"/>
      <c r="AO17" s="390"/>
      <c r="AP17" s="390"/>
      <c r="AQ17" s="390"/>
      <c r="AR17" s="390"/>
      <c r="AS17" s="390"/>
      <c r="AT17" s="390"/>
      <c r="AU17" s="390"/>
      <c r="AV17" s="390"/>
      <c r="AW17" s="390"/>
      <c r="AX17" s="390"/>
      <c r="AY17" s="390" t="s">
        <v>39</v>
      </c>
      <c r="AZ17" s="390"/>
      <c r="BA17" s="390"/>
      <c r="BB17" s="390"/>
      <c r="BC17" s="390"/>
      <c r="BD17" s="390"/>
      <c r="BE17" s="390"/>
      <c r="BF17" s="390"/>
      <c r="BG17" s="390"/>
      <c r="BH17" s="390"/>
      <c r="BI17" s="390"/>
      <c r="BJ17" s="39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385000</v>
      </c>
      <c r="G20" s="9">
        <f>'FIN-P&amp;L_CWS'!I129</f>
        <v>1830000</v>
      </c>
      <c r="H20" s="9">
        <f>'FIN-P&amp;L_CWS'!J129</f>
        <v>3925000</v>
      </c>
      <c r="I20" s="9">
        <f>'FIN-P&amp;L_CWS'!K129</f>
        <v>3925000</v>
      </c>
      <c r="J20" s="9">
        <f>'FIN-P&amp;L_CWS'!L129</f>
        <v>3925000</v>
      </c>
      <c r="K20" s="9">
        <f>'FIN-P&amp;L_CWS'!M129</f>
        <v>3925000</v>
      </c>
      <c r="L20" s="9">
        <f>'FIN-P&amp;L_CWS'!N129</f>
        <v>3925000</v>
      </c>
      <c r="M20" s="9">
        <f>'FIN-P&amp;L_CWS'!O129</f>
        <v>3925000</v>
      </c>
      <c r="N20" s="9">
        <f>'FIN-P&amp;L_CWS'!P129</f>
        <v>3732500</v>
      </c>
      <c r="O20" s="9">
        <f>'FIN-P&amp;L_CWS'!Q129</f>
        <v>4140900</v>
      </c>
      <c r="P20" s="9">
        <f>'FIN-P&amp;L_CWS'!R129</f>
        <v>6620625</v>
      </c>
      <c r="Q20" s="9">
        <f>'FIN-P&amp;L_CWS'!S129</f>
        <v>7449875</v>
      </c>
      <c r="R20" s="9">
        <f>'FIN-P&amp;L_CWS'!T129</f>
        <v>7449875</v>
      </c>
      <c r="S20" s="9">
        <f>'FIN-P&amp;L_CWS'!U129</f>
        <v>7449875</v>
      </c>
      <c r="T20" s="9">
        <f>'FIN-P&amp;L_CWS'!V129</f>
        <v>7449875</v>
      </c>
      <c r="U20" s="9">
        <f>'FIN-P&amp;L_CWS'!W129</f>
        <v>7449875</v>
      </c>
      <c r="V20" s="9">
        <f>'FIN-P&amp;L_CWS'!X129</f>
        <v>7449875</v>
      </c>
      <c r="W20" s="9">
        <f>'FIN-P&amp;L_CWS'!Y129</f>
        <v>7449875</v>
      </c>
      <c r="X20" s="9">
        <f>'FIN-P&amp;L_CWS'!Z129</f>
        <v>7449875</v>
      </c>
      <c r="Y20" s="9">
        <f>'FIN-P&amp;L_CWS'!AA129</f>
        <v>7449875</v>
      </c>
      <c r="Z20" s="9">
        <f>'FIN-P&amp;L_CWS'!AB129</f>
        <v>4970150</v>
      </c>
      <c r="AA20" s="9">
        <f>'FIN-P&amp;L_CWS'!AC129</f>
        <v>11984240.750000002</v>
      </c>
      <c r="AB20" s="9">
        <f>'FIN-P&amp;L_CWS'!AD129</f>
        <v>19162763.750000004</v>
      </c>
      <c r="AC20" s="9">
        <f>'FIN-P&amp;L_CWS'!AE129</f>
        <v>21564191.5</v>
      </c>
      <c r="AD20" s="9">
        <f>'FIN-P&amp;L_CWS'!AF129</f>
        <v>21564191.5</v>
      </c>
      <c r="AE20" s="9">
        <f>'FIN-P&amp;L_CWS'!AG129</f>
        <v>21564191.5</v>
      </c>
      <c r="AF20" s="9">
        <f>'FIN-P&amp;L_CWS'!AH129</f>
        <v>21564191.5</v>
      </c>
      <c r="AG20" s="9">
        <f>'FIN-P&amp;L_CWS'!AI129</f>
        <v>21564191.5</v>
      </c>
      <c r="AH20" s="9">
        <f>'FIN-P&amp;L_CWS'!AJ129</f>
        <v>21564191.5</v>
      </c>
      <c r="AI20" s="9">
        <f>'FIN-P&amp;L_CWS'!AK129</f>
        <v>21564191.5</v>
      </c>
      <c r="AJ20" s="9">
        <f>'FIN-P&amp;L_CWS'!AL129</f>
        <v>21564191.5</v>
      </c>
      <c r="AK20" s="9">
        <f>'FIN-P&amp;L_CWS'!AM129</f>
        <v>21564191.5</v>
      </c>
      <c r="AL20" s="9">
        <f>'FIN-P&amp;L_CWS'!AN129</f>
        <v>14371357.250000002</v>
      </c>
      <c r="AM20" s="9">
        <f>'FIN-P&amp;L_CWS'!AO129</f>
        <v>14932072.025000002</v>
      </c>
      <c r="AN20" s="9">
        <f>'FIN-P&amp;L_CWS'!AP129</f>
        <v>23890702.718500003</v>
      </c>
      <c r="AO20" s="9">
        <f>'FIN-P&amp;L_CWS'!AQ129</f>
        <v>26875892.080500007</v>
      </c>
      <c r="AP20" s="9">
        <f>'FIN-P&amp;L_CWS'!AR129</f>
        <v>26875892.080500007</v>
      </c>
      <c r="AQ20" s="9">
        <f>'FIN-P&amp;L_CWS'!AS129</f>
        <v>26875892.080500007</v>
      </c>
      <c r="AR20" s="9">
        <f>'FIN-P&amp;L_CWS'!AT129</f>
        <v>26875892.080500007</v>
      </c>
      <c r="AS20" s="9">
        <f>'FIN-P&amp;L_CWS'!AU129</f>
        <v>26875892.080500007</v>
      </c>
      <c r="AT20" s="9">
        <f>'FIN-P&amp;L_CWS'!AV129</f>
        <v>26875892.080500007</v>
      </c>
      <c r="AU20" s="9">
        <f>'FIN-P&amp;L_CWS'!AW129</f>
        <v>26875892.080500007</v>
      </c>
      <c r="AV20" s="9">
        <f>'FIN-P&amp;L_CWS'!AX129</f>
        <v>26875892.080500007</v>
      </c>
      <c r="AW20" s="9">
        <f>'FIN-P&amp;L_CWS'!AY129</f>
        <v>26875892.080500007</v>
      </c>
      <c r="AX20" s="9">
        <f>'FIN-P&amp;L_CWS'!AZ129</f>
        <v>17917261.387000002</v>
      </c>
      <c r="AY20" s="9">
        <f>'FIN-P&amp;L_CWS'!BA129</f>
        <v>12940404.843675001</v>
      </c>
      <c r="AZ20" s="9">
        <f>'FIN-P&amp;L_CWS'!BB129</f>
        <v>20709366.798700001</v>
      </c>
      <c r="BA20" s="9">
        <f>'FIN-P&amp;L_CWS'!BC129</f>
        <v>23286567.611000005</v>
      </c>
      <c r="BB20" s="9">
        <f>'FIN-P&amp;L_CWS'!BD129</f>
        <v>23286567.611000005</v>
      </c>
      <c r="BC20" s="9">
        <f>'FIN-P&amp;L_CWS'!BE129</f>
        <v>23286567.611000005</v>
      </c>
      <c r="BD20" s="9">
        <f>'FIN-P&amp;L_CWS'!BF129</f>
        <v>23286567.611000005</v>
      </c>
      <c r="BE20" s="9">
        <f>'FIN-P&amp;L_CWS'!BG129</f>
        <v>23286567.611000005</v>
      </c>
      <c r="BF20" s="9">
        <f>'FIN-P&amp;L_CWS'!BH129</f>
        <v>23286567.611000005</v>
      </c>
      <c r="BG20" s="9">
        <f>'FIN-P&amp;L_CWS'!BI129</f>
        <v>23286567.611000005</v>
      </c>
      <c r="BH20" s="9">
        <f>'FIN-P&amp;L_CWS'!BJ129</f>
        <v>23286567.611000005</v>
      </c>
      <c r="BI20" s="9">
        <f>'FIN-P&amp;L_CWS'!BK129</f>
        <v>23286567.611000005</v>
      </c>
      <c r="BJ20" s="9">
        <f>'FIN-P&amp;L_CWS'!BL129</f>
        <v>15534646.920025006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526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-21678250</v>
      </c>
      <c r="G22" s="9">
        <f>'FIN-P&amp;L_CWS'!I208</f>
        <v>-15235916.666666668</v>
      </c>
      <c r="H22" s="9">
        <f>'FIN-P&amp;L_CWS'!J208</f>
        <v>-15140916.666666668</v>
      </c>
      <c r="I22" s="9">
        <f>'FIN-P&amp;L_CWS'!K208</f>
        <v>-14172250</v>
      </c>
      <c r="J22" s="9">
        <f>'FIN-P&amp;L_CWS'!L208</f>
        <v>-14172250</v>
      </c>
      <c r="K22" s="9">
        <f>'FIN-P&amp;L_CWS'!M208</f>
        <v>-14172250</v>
      </c>
      <c r="L22" s="9">
        <f>'FIN-P&amp;L_CWS'!N208</f>
        <v>-14172250</v>
      </c>
      <c r="M22" s="9">
        <f>'FIN-P&amp;L_CWS'!O208</f>
        <v>-14172250</v>
      </c>
      <c r="N22" s="9">
        <f>'FIN-P&amp;L_CWS'!P208</f>
        <v>-14364750</v>
      </c>
      <c r="O22" s="9">
        <f>'FIN-P&amp;L_CWS'!Q208</f>
        <v>-16296350</v>
      </c>
      <c r="P22" s="9">
        <f>'FIN-P&amp;L_CWS'!R208</f>
        <v>-13816625</v>
      </c>
      <c r="Q22" s="9">
        <f>'FIN-P&amp;L_CWS'!S208</f>
        <v>-12987375</v>
      </c>
      <c r="R22" s="9">
        <f>'FIN-P&amp;L_CWS'!T208</f>
        <v>-11987375</v>
      </c>
      <c r="S22" s="9">
        <f>'FIN-P&amp;L_CWS'!U208</f>
        <v>-11987375</v>
      </c>
      <c r="T22" s="9">
        <f>'FIN-P&amp;L_CWS'!V208</f>
        <v>-11987375</v>
      </c>
      <c r="U22" s="9">
        <f>'FIN-P&amp;L_CWS'!W208</f>
        <v>-11987375</v>
      </c>
      <c r="V22" s="9">
        <f>'FIN-P&amp;L_CWS'!X208</f>
        <v>-11987375</v>
      </c>
      <c r="W22" s="9">
        <f>'FIN-P&amp;L_CWS'!Y208</f>
        <v>-11987375</v>
      </c>
      <c r="X22" s="9">
        <f>'FIN-P&amp;L_CWS'!Z208</f>
        <v>-11987375</v>
      </c>
      <c r="Y22" s="9">
        <f>'FIN-P&amp;L_CWS'!AA208</f>
        <v>-11987375</v>
      </c>
      <c r="Z22" s="9">
        <f>'FIN-P&amp;L_CWS'!AB208</f>
        <v>-14467100</v>
      </c>
      <c r="AA22" s="9">
        <f>'FIN-P&amp;L_CWS'!AC208</f>
        <v>-12255809.249999998</v>
      </c>
      <c r="AB22" s="9">
        <f>'FIN-P&amp;L_CWS'!AD208</f>
        <v>-5077286.2499999963</v>
      </c>
      <c r="AC22" s="9">
        <f>'FIN-P&amp;L_CWS'!AE208</f>
        <v>-2675858.5</v>
      </c>
      <c r="AD22" s="9">
        <f>'FIN-P&amp;L_CWS'!AF208</f>
        <v>-2675858.5</v>
      </c>
      <c r="AE22" s="9">
        <f>'FIN-P&amp;L_CWS'!AG208</f>
        <v>-2675858.5</v>
      </c>
      <c r="AF22" s="9">
        <f>'FIN-P&amp;L_CWS'!AH208</f>
        <v>-2675858.5</v>
      </c>
      <c r="AG22" s="9">
        <f>'FIN-P&amp;L_CWS'!AI208</f>
        <v>-2675858.5</v>
      </c>
      <c r="AH22" s="9">
        <f>'FIN-P&amp;L_CWS'!AJ208</f>
        <v>-2675858.5</v>
      </c>
      <c r="AI22" s="9">
        <f>'FIN-P&amp;L_CWS'!AK208</f>
        <v>-2675858.5</v>
      </c>
      <c r="AJ22" s="9">
        <f>'FIN-P&amp;L_CWS'!AL208</f>
        <v>-2675858.5</v>
      </c>
      <c r="AK22" s="9">
        <f>'FIN-P&amp;L_CWS'!AM208</f>
        <v>-2675858.5</v>
      </c>
      <c r="AL22" s="9">
        <f>'FIN-P&amp;L_CWS'!AN208</f>
        <v>-9868692.7499999981</v>
      </c>
      <c r="AM22" s="9">
        <f>'FIN-P&amp;L_CWS'!AO208</f>
        <v>-10605053.974999998</v>
      </c>
      <c r="AN22" s="9">
        <f>'FIN-P&amp;L_CWS'!AP208</f>
        <v>-1646423.2814999968</v>
      </c>
      <c r="AO22" s="9">
        <f>'FIN-P&amp;L_CWS'!AQ208</f>
        <v>1338766.0805000067</v>
      </c>
      <c r="AP22" s="9">
        <f>'FIN-P&amp;L_CWS'!AR208</f>
        <v>1338766.0805000067</v>
      </c>
      <c r="AQ22" s="9">
        <f>'FIN-P&amp;L_CWS'!AS208</f>
        <v>1338766.0805000067</v>
      </c>
      <c r="AR22" s="9">
        <f>'FIN-P&amp;L_CWS'!AT208</f>
        <v>1338766.0805000067</v>
      </c>
      <c r="AS22" s="9">
        <f>'FIN-P&amp;L_CWS'!AU208</f>
        <v>1338766.0805000067</v>
      </c>
      <c r="AT22" s="9">
        <f>'FIN-P&amp;L_CWS'!AV208</f>
        <v>1338766.0805000067</v>
      </c>
      <c r="AU22" s="9">
        <f>'FIN-P&amp;L_CWS'!AW208</f>
        <v>1338766.0805000067</v>
      </c>
      <c r="AV22" s="9">
        <f>'FIN-P&amp;L_CWS'!AX208</f>
        <v>1338766.0805000067</v>
      </c>
      <c r="AW22" s="9">
        <f>'FIN-P&amp;L_CWS'!AY208</f>
        <v>1338766.0805000067</v>
      </c>
      <c r="AX22" s="9">
        <f>'FIN-P&amp;L_CWS'!AZ208</f>
        <v>-7619864.612999998</v>
      </c>
      <c r="AY22" s="9">
        <f>'FIN-P&amp;L_CWS'!BA208</f>
        <v>-14002742.476325003</v>
      </c>
      <c r="AZ22" s="9">
        <f>'FIN-P&amp;L_CWS'!BB208</f>
        <v>-6233780.5213000029</v>
      </c>
      <c r="BA22" s="9">
        <f>'FIN-P&amp;L_CWS'!BC208</f>
        <v>-3656579.7089999989</v>
      </c>
      <c r="BB22" s="9">
        <f>'FIN-P&amp;L_CWS'!BD208</f>
        <v>-3656579.7089999989</v>
      </c>
      <c r="BC22" s="9">
        <f>'FIN-P&amp;L_CWS'!BE208</f>
        <v>-3656579.7089999989</v>
      </c>
      <c r="BD22" s="9">
        <f>'FIN-P&amp;L_CWS'!BF208</f>
        <v>-3656579.7089999989</v>
      </c>
      <c r="BE22" s="9">
        <f>'FIN-P&amp;L_CWS'!BG208</f>
        <v>-3656579.7089999989</v>
      </c>
      <c r="BF22" s="9">
        <f>'FIN-P&amp;L_CWS'!BH208</f>
        <v>-3656579.7089999989</v>
      </c>
      <c r="BG22" s="9">
        <f>'FIN-P&amp;L_CWS'!BI208</f>
        <v>-3656579.7089999989</v>
      </c>
      <c r="BH22" s="9">
        <f>'FIN-P&amp;L_CWS'!BJ208</f>
        <v>-3656579.7089999989</v>
      </c>
      <c r="BI22" s="9">
        <f>'FIN-P&amp;L_CWS'!BK208</f>
        <v>-3656579.7089999989</v>
      </c>
      <c r="BJ22" s="9">
        <f>'FIN-P&amp;L_CWS'!BL208</f>
        <v>-11408500.399974998</v>
      </c>
    </row>
    <row r="23" spans="2:62" x14ac:dyDescent="0.15">
      <c r="B23" s="33" t="s">
        <v>527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-21678250</v>
      </c>
      <c r="G23" s="9">
        <f>'FIN-P&amp;L_CWS'!I209</f>
        <v>-36914166.666666672</v>
      </c>
      <c r="H23" s="9">
        <f>'FIN-P&amp;L_CWS'!J209</f>
        <v>-52055083.333333343</v>
      </c>
      <c r="I23" s="9">
        <f>'FIN-P&amp;L_CWS'!K209</f>
        <v>-66227333.333333343</v>
      </c>
      <c r="J23" s="9">
        <f>'FIN-P&amp;L_CWS'!L209</f>
        <v>-80399583.333333343</v>
      </c>
      <c r="K23" s="9">
        <f>'FIN-P&amp;L_CWS'!M209</f>
        <v>-94571833.333333343</v>
      </c>
      <c r="L23" s="9">
        <f>'FIN-P&amp;L_CWS'!N209</f>
        <v>-108744083.33333334</v>
      </c>
      <c r="M23" s="9">
        <f>'FIN-P&amp;L_CWS'!O209</f>
        <v>-122916333.33333334</v>
      </c>
      <c r="N23" s="9">
        <f>'FIN-P&amp;L_CWS'!P209</f>
        <v>-137281083.33333334</v>
      </c>
      <c r="O23" s="9">
        <f>'FIN-P&amp;L_CWS'!Q209</f>
        <v>-153577433.33333334</v>
      </c>
      <c r="P23" s="9">
        <f>'FIN-P&amp;L_CWS'!R209</f>
        <v>-167394058.33333334</v>
      </c>
      <c r="Q23" s="9">
        <f>'FIN-P&amp;L_CWS'!S209</f>
        <v>-180381433.33333334</v>
      </c>
      <c r="R23" s="9">
        <f>'FIN-P&amp;L_CWS'!T209</f>
        <v>-192368808.33333334</v>
      </c>
      <c r="S23" s="9">
        <f>'FIN-P&amp;L_CWS'!U209</f>
        <v>-204356183.33333334</v>
      </c>
      <c r="T23" s="9">
        <f>'FIN-P&amp;L_CWS'!V209</f>
        <v>-216343558.33333334</v>
      </c>
      <c r="U23" s="9">
        <f>'FIN-P&amp;L_CWS'!W209</f>
        <v>-228330933.33333334</v>
      </c>
      <c r="V23" s="9">
        <f>'FIN-P&amp;L_CWS'!X209</f>
        <v>-240318308.33333334</v>
      </c>
      <c r="W23" s="9">
        <f>'FIN-P&amp;L_CWS'!Y209</f>
        <v>-252305683.33333334</v>
      </c>
      <c r="X23" s="9">
        <f>'FIN-P&amp;L_CWS'!Z209</f>
        <v>-264293058.33333334</v>
      </c>
      <c r="Y23" s="9">
        <f>'FIN-P&amp;L_CWS'!AA209</f>
        <v>-276280433.33333337</v>
      </c>
      <c r="Z23" s="9">
        <f>'FIN-P&amp;L_CWS'!AB209</f>
        <v>-290747533.33333337</v>
      </c>
      <c r="AA23" s="9">
        <f>'FIN-P&amp;L_CWS'!AC209</f>
        <v>-303003342.58333337</v>
      </c>
      <c r="AB23" s="9">
        <f>'FIN-P&amp;L_CWS'!AD209</f>
        <v>-308080628.83333337</v>
      </c>
      <c r="AC23" s="9">
        <f>'FIN-P&amp;L_CWS'!AE209</f>
        <v>-310756487.33333337</v>
      </c>
      <c r="AD23" s="9">
        <f>'FIN-P&amp;L_CWS'!AF209</f>
        <v>-313432345.83333337</v>
      </c>
      <c r="AE23" s="9">
        <f>'FIN-P&amp;L_CWS'!AG209</f>
        <v>-316108204.33333337</v>
      </c>
      <c r="AF23" s="9">
        <f>'FIN-P&amp;L_CWS'!AH209</f>
        <v>-318784062.83333337</v>
      </c>
      <c r="AG23" s="9">
        <f>'FIN-P&amp;L_CWS'!AI209</f>
        <v>-321459921.33333337</v>
      </c>
      <c r="AH23" s="9">
        <f>'FIN-P&amp;L_CWS'!AJ209</f>
        <v>-324135779.83333337</v>
      </c>
      <c r="AI23" s="9">
        <f>'FIN-P&amp;L_CWS'!AK209</f>
        <v>-326811638.33333337</v>
      </c>
      <c r="AJ23" s="9">
        <f>'FIN-P&amp;L_CWS'!AL209</f>
        <v>-329487496.83333337</v>
      </c>
      <c r="AK23" s="9">
        <f>'FIN-P&amp;L_CWS'!AM209</f>
        <v>-332163355.33333337</v>
      </c>
      <c r="AL23" s="9">
        <f>'FIN-P&amp;L_CWS'!AN209</f>
        <v>-342032048.08333337</v>
      </c>
      <c r="AM23" s="9">
        <f>'FIN-P&amp;L_CWS'!AO209</f>
        <v>-352637102.0583334</v>
      </c>
      <c r="AN23" s="9">
        <f>'FIN-P&amp;L_CWS'!AP209</f>
        <v>-354283525.33983338</v>
      </c>
      <c r="AO23" s="9">
        <f>'FIN-P&amp;L_CWS'!AQ209</f>
        <v>-352944759.25933337</v>
      </c>
      <c r="AP23" s="9">
        <f>'FIN-P&amp;L_CWS'!AR209</f>
        <v>-351605993.17883337</v>
      </c>
      <c r="AQ23" s="9">
        <f>'FIN-P&amp;L_CWS'!AS209</f>
        <v>-350267227.09833336</v>
      </c>
      <c r="AR23" s="9">
        <f>'FIN-P&amp;L_CWS'!AT209</f>
        <v>-348928461.01783335</v>
      </c>
      <c r="AS23" s="9">
        <f>'FIN-P&amp;L_CWS'!AU209</f>
        <v>-347589694.93733335</v>
      </c>
      <c r="AT23" s="9">
        <f>'FIN-P&amp;L_CWS'!AV209</f>
        <v>-346250928.85683334</v>
      </c>
      <c r="AU23" s="9">
        <f>'FIN-P&amp;L_CWS'!AW209</f>
        <v>-344912162.77633333</v>
      </c>
      <c r="AV23" s="9">
        <f>'FIN-P&amp;L_CWS'!AX209</f>
        <v>-343573396.69583333</v>
      </c>
      <c r="AW23" s="9">
        <f>'FIN-P&amp;L_CWS'!AY209</f>
        <v>-342234630.61533332</v>
      </c>
      <c r="AX23" s="9">
        <f>'FIN-P&amp;L_CWS'!AZ209</f>
        <v>-349854495.22833329</v>
      </c>
      <c r="AY23" s="9">
        <f>'FIN-P&amp;L_CWS'!BA209</f>
        <v>-363857237.70465827</v>
      </c>
      <c r="AZ23" s="9">
        <f>'FIN-P&amp;L_CWS'!BB209</f>
        <v>-370091018.22595829</v>
      </c>
      <c r="BA23" s="9">
        <f>'FIN-P&amp;L_CWS'!BC209</f>
        <v>-373747597.93495828</v>
      </c>
      <c r="BB23" s="9">
        <f>'FIN-P&amp;L_CWS'!BD209</f>
        <v>-377404177.64395827</v>
      </c>
      <c r="BC23" s="9">
        <f>'FIN-P&amp;L_CWS'!BE209</f>
        <v>-381060757.35295826</v>
      </c>
      <c r="BD23" s="9">
        <f>'FIN-P&amp;L_CWS'!BF209</f>
        <v>-384717337.06195825</v>
      </c>
      <c r="BE23" s="9">
        <f>'FIN-P&amp;L_CWS'!BG209</f>
        <v>-388373916.77095824</v>
      </c>
      <c r="BF23" s="9">
        <f>'FIN-P&amp;L_CWS'!BH209</f>
        <v>-392030496.47995824</v>
      </c>
      <c r="BG23" s="9">
        <f>'FIN-P&amp;L_CWS'!BI209</f>
        <v>-395687076.18895823</v>
      </c>
      <c r="BH23" s="9">
        <f>'FIN-P&amp;L_CWS'!BJ209</f>
        <v>-399343655.89795822</v>
      </c>
      <c r="BI23" s="9">
        <f>'FIN-P&amp;L_CWS'!BK209</f>
        <v>-403000235.60695821</v>
      </c>
      <c r="BJ23" s="9">
        <f>'FIN-P&amp;L_CWS'!BL209</f>
        <v>-414408736.00693321</v>
      </c>
    </row>
    <row r="25" spans="2:62" x14ac:dyDescent="0.15">
      <c r="B25" s="14" t="s">
        <v>646</v>
      </c>
    </row>
    <row r="26" spans="2:62" x14ac:dyDescent="0.15">
      <c r="C26" s="390" t="s">
        <v>35</v>
      </c>
      <c r="D26" s="390"/>
      <c r="E26" s="390"/>
      <c r="F26" s="390"/>
      <c r="G26" s="390"/>
      <c r="H26" s="390"/>
      <c r="I26" s="390"/>
      <c r="J26" s="390"/>
      <c r="K26" s="390"/>
      <c r="L26" s="390"/>
      <c r="M26" s="390"/>
      <c r="N26" s="390"/>
      <c r="O26" s="390" t="s">
        <v>36</v>
      </c>
      <c r="P26" s="390"/>
      <c r="Q26" s="390"/>
      <c r="R26" s="390"/>
      <c r="S26" s="390"/>
      <c r="T26" s="390"/>
      <c r="U26" s="390"/>
      <c r="V26" s="390"/>
      <c r="W26" s="390"/>
      <c r="X26" s="390"/>
      <c r="Y26" s="390"/>
      <c r="Z26" s="390"/>
      <c r="AA26" s="390" t="s">
        <v>37</v>
      </c>
      <c r="AB26" s="390"/>
      <c r="AC26" s="390"/>
      <c r="AD26" s="390"/>
      <c r="AE26" s="390"/>
      <c r="AF26" s="390"/>
      <c r="AG26" s="390"/>
      <c r="AH26" s="390"/>
      <c r="AI26" s="390"/>
      <c r="AJ26" s="390"/>
      <c r="AK26" s="390"/>
      <c r="AL26" s="390"/>
      <c r="AM26" s="390" t="s">
        <v>38</v>
      </c>
      <c r="AN26" s="390"/>
      <c r="AO26" s="390"/>
      <c r="AP26" s="390"/>
      <c r="AQ26" s="390"/>
      <c r="AR26" s="390"/>
      <c r="AS26" s="390"/>
      <c r="AT26" s="390"/>
      <c r="AU26" s="390"/>
      <c r="AV26" s="390"/>
      <c r="AW26" s="390"/>
      <c r="AX26" s="390"/>
      <c r="AY26" s="390" t="s">
        <v>39</v>
      </c>
      <c r="AZ26" s="390"/>
      <c r="BA26" s="390"/>
      <c r="BB26" s="390"/>
      <c r="BC26" s="390"/>
      <c r="BD26" s="390"/>
      <c r="BE26" s="390"/>
      <c r="BF26" s="390"/>
      <c r="BG26" s="390"/>
      <c r="BH26" s="390"/>
      <c r="BI26" s="390"/>
      <c r="BJ26" s="39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634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4182000</v>
      </c>
      <c r="G28" s="9">
        <f>COGS_DB!G13</f>
        <v>5803500</v>
      </c>
      <c r="H28" s="9">
        <f>COGS_DB!H13</f>
        <v>7318000</v>
      </c>
      <c r="I28" s="9">
        <f>COGS_DB!I13</f>
        <v>7318000</v>
      </c>
      <c r="J28" s="9">
        <f>COGS_DB!J13</f>
        <v>7318000</v>
      </c>
      <c r="K28" s="9">
        <f>COGS_DB!K13</f>
        <v>7318000</v>
      </c>
      <c r="L28" s="9">
        <f>COGS_DB!L13</f>
        <v>7318000</v>
      </c>
      <c r="M28" s="9">
        <f>COGS_DB!M13</f>
        <v>7318000</v>
      </c>
      <c r="N28" s="9">
        <f>COGS_DB!N13</f>
        <v>6963500</v>
      </c>
      <c r="O28" s="9">
        <f>COGS_DB!O13</f>
        <v>7498560</v>
      </c>
      <c r="P28" s="9">
        <f>COGS_DB!P13</f>
        <v>12085650</v>
      </c>
      <c r="Q28" s="9">
        <f>COGS_DB!Q13</f>
        <v>13593815</v>
      </c>
      <c r="R28" s="9">
        <f>COGS_DB!R13</f>
        <v>13593815</v>
      </c>
      <c r="S28" s="9">
        <f>COGS_DB!S13</f>
        <v>13593815</v>
      </c>
      <c r="T28" s="9">
        <f>COGS_DB!T13</f>
        <v>13593815</v>
      </c>
      <c r="U28" s="9">
        <f>COGS_DB!U13</f>
        <v>13593815</v>
      </c>
      <c r="V28" s="9">
        <f>COGS_DB!V13</f>
        <v>13593815</v>
      </c>
      <c r="W28" s="9">
        <f>COGS_DB!W13</f>
        <v>13593815</v>
      </c>
      <c r="X28" s="9">
        <f>COGS_DB!X13</f>
        <v>13593815</v>
      </c>
      <c r="Y28" s="9">
        <f>COGS_DB!Y13</f>
        <v>13593815</v>
      </c>
      <c r="Z28" s="9">
        <f>COGS_DB!Z13</f>
        <v>9062900</v>
      </c>
      <c r="AA28" s="9">
        <f>COGS_DB!AA13</f>
        <v>16722934.700000001</v>
      </c>
      <c r="AB28" s="9">
        <f>COGS_DB!AB13</f>
        <v>26748737.75</v>
      </c>
      <c r="AC28" s="9">
        <f>COGS_DB!AC13</f>
        <v>30095872.449999999</v>
      </c>
      <c r="AD28" s="9">
        <f>COGS_DB!AD13</f>
        <v>30095872.449999999</v>
      </c>
      <c r="AE28" s="9">
        <f>COGS_DB!AE13</f>
        <v>30095872.449999999</v>
      </c>
      <c r="AF28" s="9">
        <f>COGS_DB!AF13</f>
        <v>30095872.449999999</v>
      </c>
      <c r="AG28" s="9">
        <f>COGS_DB!AG13</f>
        <v>30095872.449999999</v>
      </c>
      <c r="AH28" s="9">
        <f>COGS_DB!AH13</f>
        <v>30095872.449999999</v>
      </c>
      <c r="AI28" s="9">
        <f>COGS_DB!AI13</f>
        <v>30095872.449999999</v>
      </c>
      <c r="AJ28" s="9">
        <f>COGS_DB!AJ13</f>
        <v>30095872.449999999</v>
      </c>
      <c r="AK28" s="9">
        <f>COGS_DB!AK13</f>
        <v>30095872.449999999</v>
      </c>
      <c r="AL28" s="9">
        <f>COGS_DB!AL13</f>
        <v>20060837.750000004</v>
      </c>
      <c r="AM28" s="9">
        <f>COGS_DB!AM13</f>
        <v>18324193.194000002</v>
      </c>
      <c r="AN28" s="9">
        <f>COGS_DB!AN13</f>
        <v>29318341.597500004</v>
      </c>
      <c r="AO28" s="9">
        <f>COGS_DB!AO13</f>
        <v>32983057.732000008</v>
      </c>
      <c r="AP28" s="9">
        <f>COGS_DB!AP13</f>
        <v>32983057.732000008</v>
      </c>
      <c r="AQ28" s="9">
        <f>COGS_DB!AQ13</f>
        <v>32983057.732000008</v>
      </c>
      <c r="AR28" s="9">
        <f>COGS_DB!AR13</f>
        <v>32983057.732000008</v>
      </c>
      <c r="AS28" s="9">
        <f>COGS_DB!AS13</f>
        <v>32983057.732000008</v>
      </c>
      <c r="AT28" s="9">
        <f>COGS_DB!AT13</f>
        <v>32983057.732000008</v>
      </c>
      <c r="AU28" s="9">
        <f>COGS_DB!AU13</f>
        <v>32983057.732000008</v>
      </c>
      <c r="AV28" s="9">
        <f>COGS_DB!AV13</f>
        <v>32983057.732000008</v>
      </c>
      <c r="AW28" s="9">
        <f>COGS_DB!AW13</f>
        <v>32983057.732000008</v>
      </c>
      <c r="AX28" s="9">
        <f>COGS_DB!AX13</f>
        <v>21988909.328500006</v>
      </c>
      <c r="AY28" s="9">
        <f>COGS_DB!AY13</f>
        <v>20191501.73804</v>
      </c>
      <c r="AZ28" s="9">
        <f>COGS_DB!AZ13</f>
        <v>32314398.636525009</v>
      </c>
      <c r="BA28" s="9">
        <f>COGS_DB!BA13</f>
        <v>36346407.16328501</v>
      </c>
      <c r="BB28" s="9">
        <f>COGS_DB!BB13</f>
        <v>36346407.16328501</v>
      </c>
      <c r="BC28" s="9">
        <f>COGS_DB!BC13</f>
        <v>36346407.16328501</v>
      </c>
      <c r="BD28" s="9">
        <f>COGS_DB!BD13</f>
        <v>36346407.16328501</v>
      </c>
      <c r="BE28" s="9">
        <f>COGS_DB!BE13</f>
        <v>36346407.16328501</v>
      </c>
      <c r="BF28" s="9">
        <f>COGS_DB!BF13</f>
        <v>36346407.16328501</v>
      </c>
      <c r="BG28" s="9">
        <f>COGS_DB!BG13</f>
        <v>36346407.16328501</v>
      </c>
      <c r="BH28" s="9">
        <f>COGS_DB!BH13</f>
        <v>36346407.16328501</v>
      </c>
      <c r="BI28" s="9">
        <f>COGS_DB!BI13</f>
        <v>36346407.16328501</v>
      </c>
      <c r="BJ28" s="9">
        <f>COGS_DB!BJ13</f>
        <v>24239895.214925002</v>
      </c>
    </row>
    <row r="29" spans="2:62" x14ac:dyDescent="0.15">
      <c r="B29" s="14" t="s">
        <v>640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2209500</v>
      </c>
      <c r="G29" s="9">
        <f>COGS_DB!G15</f>
        <v>3066000</v>
      </c>
      <c r="H29" s="9">
        <f>COGS_DB!H15</f>
        <v>3865500</v>
      </c>
      <c r="I29" s="9">
        <f>COGS_DB!I15</f>
        <v>3865500</v>
      </c>
      <c r="J29" s="9">
        <f>COGS_DB!J15</f>
        <v>3865500</v>
      </c>
      <c r="K29" s="9">
        <f>COGS_DB!K15</f>
        <v>3865500</v>
      </c>
      <c r="L29" s="9">
        <f>COGS_DB!L15</f>
        <v>3865500</v>
      </c>
      <c r="M29" s="9">
        <f>COGS_DB!M15</f>
        <v>3865500</v>
      </c>
      <c r="N29" s="9">
        <f>COGS_DB!N15</f>
        <v>3681000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641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1972500</v>
      </c>
      <c r="G30" s="9">
        <f>COGS_DB!G16</f>
        <v>2737500</v>
      </c>
      <c r="H30" s="9">
        <f>COGS_DB!H16</f>
        <v>3452500</v>
      </c>
      <c r="I30" s="9">
        <f>COGS_DB!I16</f>
        <v>3452500</v>
      </c>
      <c r="J30" s="9">
        <f>COGS_DB!J16</f>
        <v>3452500</v>
      </c>
      <c r="K30" s="9">
        <f>COGS_DB!K16</f>
        <v>3452500</v>
      </c>
      <c r="L30" s="9">
        <f>COGS_DB!L16</f>
        <v>3452500</v>
      </c>
      <c r="M30" s="9">
        <f>COGS_DB!M16</f>
        <v>3452500</v>
      </c>
      <c r="N30" s="9">
        <f>COGS_DB!N16</f>
        <v>3282500</v>
      </c>
      <c r="O30" s="9">
        <f>COGS_DB!O16</f>
        <v>3514950</v>
      </c>
      <c r="P30" s="9">
        <f>COGS_DB!P16</f>
        <v>5799400</v>
      </c>
      <c r="Q30" s="9">
        <f>COGS_DB!Q16</f>
        <v>6527000</v>
      </c>
      <c r="R30" s="9">
        <f>COGS_DB!R16</f>
        <v>6527000</v>
      </c>
      <c r="S30" s="9">
        <f>COGS_DB!S16</f>
        <v>6527000</v>
      </c>
      <c r="T30" s="9">
        <f>COGS_DB!T16</f>
        <v>6527000</v>
      </c>
      <c r="U30" s="9">
        <f>COGS_DB!U16</f>
        <v>6527000</v>
      </c>
      <c r="V30" s="9">
        <f>COGS_DB!V16</f>
        <v>6527000</v>
      </c>
      <c r="W30" s="9">
        <f>COGS_DB!W16</f>
        <v>6527000</v>
      </c>
      <c r="X30" s="9">
        <f>COGS_DB!X16</f>
        <v>6527000</v>
      </c>
      <c r="Y30" s="9">
        <f>COGS_DB!Y16</f>
        <v>6527000</v>
      </c>
      <c r="Z30" s="9">
        <f>COGS_DB!Z16</f>
        <v>4354900</v>
      </c>
      <c r="AA30" s="9">
        <f>COGS_DB!AA16</f>
        <v>11242870.850000001</v>
      </c>
      <c r="AB30" s="9">
        <f>COGS_DB!AB16</f>
        <v>17977086.399999999</v>
      </c>
      <c r="AC30" s="9">
        <f>COGS_DB!AC16</f>
        <v>20231414.050000001</v>
      </c>
      <c r="AD30" s="9">
        <f>COGS_DB!AD16</f>
        <v>20231414.050000001</v>
      </c>
      <c r="AE30" s="9">
        <f>COGS_DB!AE16</f>
        <v>20231414.050000001</v>
      </c>
      <c r="AF30" s="9">
        <f>COGS_DB!AF16</f>
        <v>20231414.050000001</v>
      </c>
      <c r="AG30" s="9">
        <f>COGS_DB!AG16</f>
        <v>20231414.050000001</v>
      </c>
      <c r="AH30" s="9">
        <f>COGS_DB!AH16</f>
        <v>20231414.050000001</v>
      </c>
      <c r="AI30" s="9">
        <f>COGS_DB!AI16</f>
        <v>20231414.050000001</v>
      </c>
      <c r="AJ30" s="9">
        <f>COGS_DB!AJ16</f>
        <v>20231414.050000001</v>
      </c>
      <c r="AK30" s="9">
        <f>COGS_DB!AK16</f>
        <v>20231414.050000001</v>
      </c>
      <c r="AL30" s="9">
        <f>COGS_DB!AL16</f>
        <v>13482814.800000003</v>
      </c>
      <c r="AM30" s="9">
        <f>COGS_DB!AM16</f>
        <v>12314744.7575</v>
      </c>
      <c r="AN30" s="9">
        <f>COGS_DB!AN16</f>
        <v>19701754.047500007</v>
      </c>
      <c r="AO30" s="9">
        <f>COGS_DB!AO16</f>
        <v>22164090.477500007</v>
      </c>
      <c r="AP30" s="9">
        <f>COGS_DB!AP16</f>
        <v>22164090.477500007</v>
      </c>
      <c r="AQ30" s="9">
        <f>COGS_DB!AQ16</f>
        <v>22164090.477500007</v>
      </c>
      <c r="AR30" s="9">
        <f>COGS_DB!AR16</f>
        <v>22164090.477500007</v>
      </c>
      <c r="AS30" s="9">
        <f>COGS_DB!AS16</f>
        <v>22164090.477500007</v>
      </c>
      <c r="AT30" s="9">
        <f>COGS_DB!AT16</f>
        <v>22164090.477500007</v>
      </c>
      <c r="AU30" s="9">
        <f>COGS_DB!AU16</f>
        <v>22164090.477500007</v>
      </c>
      <c r="AV30" s="9">
        <f>COGS_DB!AV16</f>
        <v>22164090.477500007</v>
      </c>
      <c r="AW30" s="9">
        <f>COGS_DB!AW16</f>
        <v>22164090.477500007</v>
      </c>
      <c r="AX30" s="9">
        <f>COGS_DB!AX16</f>
        <v>14777081.187500004</v>
      </c>
      <c r="AY30" s="9">
        <f>COGS_DB!AY16</f>
        <v>13570015.693525003</v>
      </c>
      <c r="AZ30" s="9">
        <f>COGS_DB!AZ16</f>
        <v>21716612.895675004</v>
      </c>
      <c r="BA30" s="9">
        <f>COGS_DB!BA16</f>
        <v>24420129.666300002</v>
      </c>
      <c r="BB30" s="9">
        <f>COGS_DB!BB16</f>
        <v>24420129.666300002</v>
      </c>
      <c r="BC30" s="9">
        <f>COGS_DB!BC16</f>
        <v>24420129.666300002</v>
      </c>
      <c r="BD30" s="9">
        <f>COGS_DB!BD16</f>
        <v>24420129.666300002</v>
      </c>
      <c r="BE30" s="9">
        <f>COGS_DB!BE16</f>
        <v>24420129.666300002</v>
      </c>
      <c r="BF30" s="9">
        <f>COGS_DB!BF16</f>
        <v>24420129.666300002</v>
      </c>
      <c r="BG30" s="9">
        <f>COGS_DB!BG16</f>
        <v>24420129.666300002</v>
      </c>
      <c r="BH30" s="9">
        <f>COGS_DB!BH16</f>
        <v>24420129.666300002</v>
      </c>
      <c r="BI30" s="9">
        <f>COGS_DB!BI16</f>
        <v>24420129.666300002</v>
      </c>
      <c r="BJ30" s="9">
        <f>COGS_DB!BJ16</f>
        <v>16289917.414275002</v>
      </c>
    </row>
    <row r="31" spans="2:62" x14ac:dyDescent="0.15">
      <c r="B31" s="14" t="s">
        <v>639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0.39841852045920068</v>
      </c>
      <c r="G31" s="98">
        <f>COGS_DB!G14</f>
        <v>0.39835947420805162</v>
      </c>
      <c r="H31" s="98">
        <f>COGS_DB!H14</f>
        <v>0.398388589471392</v>
      </c>
      <c r="I31" s="98">
        <f>COGS_DB!I14</f>
        <v>0.398388589471392</v>
      </c>
      <c r="J31" s="98">
        <f>COGS_DB!J14</f>
        <v>0.398388589471392</v>
      </c>
      <c r="K31" s="98">
        <f>COGS_DB!K14</f>
        <v>0.398388589471392</v>
      </c>
      <c r="L31" s="98">
        <f>COGS_DB!L14</f>
        <v>0.398388589471392</v>
      </c>
      <c r="M31" s="98">
        <f>COGS_DB!M14</f>
        <v>0.398388589471392</v>
      </c>
      <c r="N31" s="98">
        <f>COGS_DB!N14</f>
        <v>0.39835817053287947</v>
      </c>
      <c r="O31" s="98">
        <f>COGS_DB!O14</f>
        <v>0.39939589091841676</v>
      </c>
      <c r="P31" s="98">
        <f>COGS_DB!P14</f>
        <v>0.40056742619026509</v>
      </c>
      <c r="Q31" s="98">
        <f>COGS_DB!Q14</f>
        <v>0.40058963565561495</v>
      </c>
      <c r="R31" s="98">
        <f>COGS_DB!R14</f>
        <v>0.40058963565561495</v>
      </c>
      <c r="S31" s="98">
        <f>COGS_DB!S14</f>
        <v>0.40058963565561495</v>
      </c>
      <c r="T31" s="98">
        <f>COGS_DB!T14</f>
        <v>0.40058963565561495</v>
      </c>
      <c r="U31" s="98">
        <f>COGS_DB!U14</f>
        <v>0.40058963565561495</v>
      </c>
      <c r="V31" s="98">
        <f>COGS_DB!V14</f>
        <v>0.40058963565561495</v>
      </c>
      <c r="W31" s="98">
        <f>COGS_DB!W14</f>
        <v>0.40058963565561495</v>
      </c>
      <c r="X31" s="98">
        <f>COGS_DB!X14</f>
        <v>0.40058963565561495</v>
      </c>
      <c r="Y31" s="98">
        <f>COGS_DB!Y14</f>
        <v>0.40058963565561495</v>
      </c>
      <c r="Z31" s="98">
        <f>COGS_DB!Z14</f>
        <v>0.4006432997493023</v>
      </c>
      <c r="AA31" s="98">
        <f>COGS_DB!AA14</f>
        <v>0.42882605925646144</v>
      </c>
      <c r="AB31" s="98">
        <f>COGS_DB!AB14</f>
        <v>0.42876854225628147</v>
      </c>
      <c r="AC31" s="98">
        <f>COGS_DB!AC14</f>
        <v>0.42878885179024201</v>
      </c>
      <c r="AD31" s="98">
        <f>COGS_DB!AD14</f>
        <v>0.42878885179024201</v>
      </c>
      <c r="AE31" s="98">
        <f>COGS_DB!AE14</f>
        <v>0.42878885179024201</v>
      </c>
      <c r="AF31" s="98">
        <f>COGS_DB!AF14</f>
        <v>0.42878885179024201</v>
      </c>
      <c r="AG31" s="98">
        <f>COGS_DB!AG14</f>
        <v>0.42878885179024201</v>
      </c>
      <c r="AH31" s="98">
        <f>COGS_DB!AH14</f>
        <v>0.42878885179024201</v>
      </c>
      <c r="AI31" s="98">
        <f>COGS_DB!AI14</f>
        <v>0.42878885179024201</v>
      </c>
      <c r="AJ31" s="98">
        <f>COGS_DB!AJ14</f>
        <v>0.42878885179024201</v>
      </c>
      <c r="AK31" s="98">
        <f>COGS_DB!AK14</f>
        <v>0.42878885179024201</v>
      </c>
      <c r="AL31" s="98">
        <f>COGS_DB!AL14</f>
        <v>0.42875980601361108</v>
      </c>
      <c r="AM31" s="98">
        <f>COGS_DB!AM14</f>
        <v>0.42674959344954488</v>
      </c>
      <c r="AN31" s="98">
        <f>COGS_DB!AN14</f>
        <v>0.42670315759445149</v>
      </c>
      <c r="AO31" s="98">
        <f>COGS_DB!AO14</f>
        <v>0.42669455934325434</v>
      </c>
      <c r="AP31" s="98">
        <f>COGS_DB!AP14</f>
        <v>0.42669455934325434</v>
      </c>
      <c r="AQ31" s="98">
        <f>COGS_DB!AQ14</f>
        <v>0.42669455934325434</v>
      </c>
      <c r="AR31" s="98">
        <f>COGS_DB!AR14</f>
        <v>0.42669455934325434</v>
      </c>
      <c r="AS31" s="98">
        <f>COGS_DB!AS14</f>
        <v>0.42669455934325434</v>
      </c>
      <c r="AT31" s="98">
        <f>COGS_DB!AT14</f>
        <v>0.42669455934325434</v>
      </c>
      <c r="AU31" s="98">
        <f>COGS_DB!AU14</f>
        <v>0.42669455934325434</v>
      </c>
      <c r="AV31" s="98">
        <f>COGS_DB!AV14</f>
        <v>0.42669455934325434</v>
      </c>
      <c r="AW31" s="98">
        <f>COGS_DB!AW14</f>
        <v>0.42669455934325434</v>
      </c>
      <c r="AX31" s="98">
        <f>COGS_DB!AX14</f>
        <v>0.42672895418776602</v>
      </c>
      <c r="AY31" s="98">
        <f>COGS_DB!AY14</f>
        <v>0.42671542147981939</v>
      </c>
      <c r="AZ31" s="98">
        <f>COGS_DB!AZ14</f>
        <v>0.42670209175328222</v>
      </c>
      <c r="BA31" s="98">
        <f>COGS_DB!BA14</f>
        <v>0.42667107773742852</v>
      </c>
      <c r="BB31" s="98">
        <f>COGS_DB!BB14</f>
        <v>0.42667107773742852</v>
      </c>
      <c r="BC31" s="98">
        <f>COGS_DB!BC14</f>
        <v>0.42667107773742852</v>
      </c>
      <c r="BD31" s="98">
        <f>COGS_DB!BD14</f>
        <v>0.42667107773742852</v>
      </c>
      <c r="BE31" s="98">
        <f>COGS_DB!BE14</f>
        <v>0.42667107773742852</v>
      </c>
      <c r="BF31" s="98">
        <f>COGS_DB!BF14</f>
        <v>0.42667107773742852</v>
      </c>
      <c r="BG31" s="98">
        <f>COGS_DB!BG14</f>
        <v>0.42667107773742852</v>
      </c>
      <c r="BH31" s="98">
        <f>COGS_DB!BH14</f>
        <v>0.42667107773742852</v>
      </c>
      <c r="BI31" s="98">
        <f>COGS_DB!BI14</f>
        <v>0.42667107773742852</v>
      </c>
      <c r="BJ31" s="98">
        <f>COGS_DB!BJ14</f>
        <v>0.42671389343978589</v>
      </c>
    </row>
    <row r="32" spans="2:62" x14ac:dyDescent="0.15">
      <c r="B32" s="14" t="s">
        <v>351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10496500</v>
      </c>
      <c r="G32" s="9">
        <f>COGS_DB!G12</f>
        <v>14568500</v>
      </c>
      <c r="H32" s="9">
        <f>COGS_DB!H12</f>
        <v>18369000</v>
      </c>
      <c r="I32" s="9">
        <f>COGS_DB!I12</f>
        <v>18369000</v>
      </c>
      <c r="J32" s="9">
        <f>COGS_DB!J12</f>
        <v>18369000</v>
      </c>
      <c r="K32" s="9">
        <f>COGS_DB!K12</f>
        <v>18369000</v>
      </c>
      <c r="L32" s="9">
        <f>COGS_DB!L12</f>
        <v>18369000</v>
      </c>
      <c r="M32" s="9">
        <f>COGS_DB!M12</f>
        <v>18369000</v>
      </c>
      <c r="N32" s="9">
        <f>COGS_DB!N12</f>
        <v>17480500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647</v>
      </c>
      <c r="C34" s="390"/>
      <c r="D34" s="390"/>
      <c r="E34" s="390"/>
      <c r="F34" s="390"/>
      <c r="G34" s="390"/>
      <c r="H34" s="390"/>
      <c r="I34" s="390"/>
      <c r="J34" s="390"/>
      <c r="K34" s="390"/>
      <c r="L34" s="390"/>
      <c r="M34" s="390"/>
      <c r="N34" s="390"/>
      <c r="O34" s="390" t="s">
        <v>36</v>
      </c>
      <c r="P34" s="390"/>
      <c r="Q34" s="390"/>
      <c r="R34" s="390"/>
      <c r="S34" s="390"/>
      <c r="T34" s="390"/>
      <c r="U34" s="390"/>
      <c r="V34" s="390"/>
      <c r="W34" s="390"/>
      <c r="X34" s="390"/>
      <c r="Y34" s="390"/>
      <c r="Z34" s="390"/>
      <c r="AA34" s="390" t="s">
        <v>37</v>
      </c>
      <c r="AB34" s="390"/>
      <c r="AC34" s="390"/>
      <c r="AD34" s="390"/>
      <c r="AE34" s="390"/>
      <c r="AF34" s="390"/>
      <c r="AG34" s="390"/>
      <c r="AH34" s="390"/>
      <c r="AI34" s="390"/>
      <c r="AJ34" s="390"/>
      <c r="AK34" s="390"/>
      <c r="AL34" s="390"/>
      <c r="AM34" s="390" t="s">
        <v>38</v>
      </c>
      <c r="AN34" s="390"/>
      <c r="AO34" s="390"/>
      <c r="AP34" s="390"/>
      <c r="AQ34" s="390"/>
      <c r="AR34" s="390"/>
      <c r="AS34" s="390"/>
      <c r="AT34" s="390"/>
      <c r="AU34" s="390"/>
      <c r="AV34" s="390"/>
      <c r="AW34" s="390"/>
      <c r="AX34" s="390"/>
      <c r="AY34" s="390" t="s">
        <v>39</v>
      </c>
      <c r="AZ34" s="390"/>
      <c r="BA34" s="390"/>
      <c r="BB34" s="390"/>
      <c r="BC34" s="390"/>
      <c r="BD34" s="390"/>
      <c r="BE34" s="390"/>
      <c r="BF34" s="390"/>
      <c r="BG34" s="390"/>
      <c r="BH34" s="390"/>
      <c r="BI34" s="390"/>
      <c r="BJ34" s="39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351</v>
      </c>
      <c r="C36" s="9">
        <f>COGS_DB!C3</f>
        <v>152759500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634</v>
      </c>
      <c r="C37" s="9">
        <f>COGS_DB!C4</f>
        <v>60857000</v>
      </c>
      <c r="D37" s="9">
        <f>COGS_DB!E4</f>
        <v>150991445</v>
      </c>
      <c r="E37" s="9">
        <f>COGS_DB!G4</f>
        <v>334395362.24999994</v>
      </c>
      <c r="F37" s="9">
        <f>COGS_DB!I4</f>
        <v>366478963.708</v>
      </c>
      <c r="G37" s="9">
        <f>COGS_DB!K4</f>
        <v>403863460.05905515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640</v>
      </c>
      <c r="C38" s="9">
        <f>COGS_DB!C6</f>
        <v>32149500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641</v>
      </c>
      <c r="C39" s="9">
        <f>COGS_DB!C7</f>
        <v>28707500</v>
      </c>
      <c r="D39" s="9">
        <f>COGS_DB!E7</f>
        <v>72412250</v>
      </c>
      <c r="E39" s="9">
        <f>COGS_DB!G7</f>
        <v>224785498.50000003</v>
      </c>
      <c r="F39" s="9">
        <f>COGS_DB!I7</f>
        <v>246270394.29000014</v>
      </c>
      <c r="G39" s="9">
        <f>COGS_DB!K7</f>
        <v>271357713.000175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644</v>
      </c>
      <c r="C42" s="116">
        <f>COGS_DB!C5</f>
        <v>0.39838438853230079</v>
      </c>
      <c r="D42" s="116">
        <f>COGS_DB!E5</f>
        <v>0.40053162577292228</v>
      </c>
      <c r="E42" s="116">
        <f>COGS_DB!G5</f>
        <v>0.42878734508153321</v>
      </c>
      <c r="F42" s="116">
        <f>COGS_DB!I5</f>
        <v>0.42670006218869999</v>
      </c>
      <c r="G42" s="116">
        <f>COGS_DB!K5</f>
        <v>0.42667834552573924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645</v>
      </c>
      <c r="C43" s="116">
        <f>COGS_DB!D6</f>
        <v>0.21045826937113568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648</v>
      </c>
      <c r="C44" s="98">
        <f>COGS_DB!D7</f>
        <v>0.18792611916116511</v>
      </c>
      <c r="D44" s="116">
        <f>COGS_DB!F7</f>
        <v>0.19208635441812807</v>
      </c>
      <c r="E44" s="98">
        <f>COGS_DB!H7</f>
        <v>0.2882371826753527</v>
      </c>
      <c r="F44" s="98">
        <f>COGS_DB!J7</f>
        <v>0.2867384023780048</v>
      </c>
      <c r="G44" s="98">
        <f>COGS_DB!L7</f>
        <v>0.28668713929116713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653</v>
      </c>
    </row>
    <row r="47" spans="2:66" x14ac:dyDescent="0.15">
      <c r="C47" s="75"/>
      <c r="D47" s="390" t="s">
        <v>35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 t="s">
        <v>36</v>
      </c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390" t="s">
        <v>37</v>
      </c>
      <c r="AC47" s="390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390" t="s">
        <v>38</v>
      </c>
      <c r="AO47" s="390"/>
      <c r="AP47" s="390"/>
      <c r="AQ47" s="390"/>
      <c r="AR47" s="390"/>
      <c r="AS47" s="390"/>
      <c r="AT47" s="390"/>
      <c r="AU47" s="390"/>
      <c r="AV47" s="390"/>
      <c r="AW47" s="390"/>
      <c r="AX47" s="390"/>
      <c r="AY47" s="390"/>
      <c r="AZ47" s="390" t="s">
        <v>39</v>
      </c>
      <c r="BA47" s="390"/>
      <c r="BB47" s="390"/>
      <c r="BC47" s="390"/>
      <c r="BD47" s="390"/>
      <c r="BE47" s="390"/>
      <c r="BF47" s="390"/>
      <c r="BG47" s="390"/>
      <c r="BH47" s="390"/>
      <c r="BI47" s="390"/>
      <c r="BJ47" s="390"/>
      <c r="BK47" s="390"/>
      <c r="BM47" s="10" t="s">
        <v>630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5852000</v>
      </c>
      <c r="H50" s="9">
        <f>'COGS-INVENTORY_CWS'!H35</f>
        <v>6897000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5852000</v>
      </c>
      <c r="H51" s="9">
        <f>'COGS-INVENTORY_CWS'!H39</f>
        <v>6897000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90" t="s">
        <v>35</v>
      </c>
      <c r="E55" s="390"/>
      <c r="F55" s="390"/>
      <c r="G55" s="390"/>
      <c r="H55" s="390"/>
      <c r="I55" s="390"/>
      <c r="J55" s="390"/>
      <c r="K55" s="390"/>
      <c r="L55" s="390"/>
      <c r="M55" s="390"/>
      <c r="N55" s="390"/>
      <c r="O55" s="390"/>
      <c r="P55" s="390" t="s">
        <v>36</v>
      </c>
      <c r="Q55" s="390"/>
      <c r="R55" s="390"/>
      <c r="S55" s="390"/>
      <c r="T55" s="390"/>
      <c r="U55" s="390"/>
      <c r="V55" s="390"/>
      <c r="W55" s="390"/>
      <c r="X55" s="390"/>
      <c r="Y55" s="390"/>
      <c r="Z55" s="390"/>
      <c r="AA55" s="390"/>
      <c r="AB55" s="390" t="s">
        <v>37</v>
      </c>
      <c r="AC55" s="390"/>
      <c r="AD55" s="390"/>
      <c r="AE55" s="390"/>
      <c r="AF55" s="390"/>
      <c r="AG55" s="390"/>
      <c r="AH55" s="390"/>
      <c r="AI55" s="390"/>
      <c r="AJ55" s="390"/>
      <c r="AK55" s="390"/>
      <c r="AL55" s="390"/>
      <c r="AM55" s="390"/>
      <c r="AN55" s="390" t="s">
        <v>38</v>
      </c>
      <c r="AO55" s="390"/>
      <c r="AP55" s="390"/>
      <c r="AQ55" s="390"/>
      <c r="AR55" s="390"/>
      <c r="AS55" s="390"/>
      <c r="AT55" s="390"/>
      <c r="AU55" s="390"/>
      <c r="AV55" s="390"/>
      <c r="AW55" s="390"/>
      <c r="AX55" s="390"/>
      <c r="AY55" s="390"/>
      <c r="AZ55" s="390" t="s">
        <v>39</v>
      </c>
      <c r="BA55" s="390"/>
      <c r="BB55" s="390"/>
      <c r="BC55" s="390"/>
      <c r="BD55" s="390"/>
      <c r="BE55" s="390"/>
      <c r="BF55" s="390"/>
      <c r="BG55" s="390"/>
      <c r="BH55" s="390"/>
      <c r="BI55" s="390"/>
      <c r="BJ55" s="390"/>
      <c r="BK55" s="390"/>
      <c r="BM55" s="10" t="s">
        <v>630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1050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tabSelected="1" workbookViewId="2">
      <selection activeCell="F17" sqref="F17:BK17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6" width="14.6640625" bestFit="1" customWidth="1"/>
    <col min="17" max="18" width="13.6640625" bestFit="1" customWidth="1"/>
    <col min="19" max="26" width="12.1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1244</v>
      </c>
      <c r="C1" s="366" t="s">
        <v>597</v>
      </c>
    </row>
    <row r="2" spans="1:63" x14ac:dyDescent="0.15">
      <c r="B2" s="75"/>
      <c r="C2" s="390" t="s">
        <v>35</v>
      </c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 t="s">
        <v>36</v>
      </c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 t="s">
        <v>37</v>
      </c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 t="s">
        <v>38</v>
      </c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/>
      <c r="AY2" s="390" t="s">
        <v>39</v>
      </c>
      <c r="AZ2" s="390"/>
      <c r="BA2" s="390"/>
      <c r="BB2" s="390"/>
      <c r="BC2" s="390"/>
      <c r="BD2" s="390"/>
      <c r="BE2" s="390"/>
      <c r="BF2" s="390"/>
      <c r="BG2" s="390"/>
      <c r="BH2" s="390"/>
      <c r="BI2" s="390"/>
      <c r="BJ2" s="39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1203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1202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855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99">
        <v>0</v>
      </c>
      <c r="G7" s="399">
        <v>0.15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616</v>
      </c>
      <c r="G8" s="169">
        <f t="shared" si="2"/>
        <v>726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129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616</v>
      </c>
      <c r="G13" s="169">
        <f t="shared" si="9"/>
        <v>726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114806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70">
        <f>'COGS-PRICE-MARGIN_CWS'!$B5*F13</f>
        <v>8624000</v>
      </c>
      <c r="G14" s="70">
        <v>8624000</v>
      </c>
      <c r="H14" s="70">
        <v>8624000</v>
      </c>
      <c r="I14" s="70">
        <v>8624000</v>
      </c>
      <c r="J14" s="70">
        <v>8624000</v>
      </c>
      <c r="K14" s="70">
        <v>8624000</v>
      </c>
      <c r="L14" s="70">
        <v>8624000</v>
      </c>
      <c r="M14" s="66">
        <v>8624000</v>
      </c>
      <c r="N14" s="66">
        <v>8624000</v>
      </c>
      <c r="O14" s="66">
        <v>8624000</v>
      </c>
      <c r="P14" s="66">
        <v>8624000</v>
      </c>
      <c r="Q14" s="66">
        <v>8624000</v>
      </c>
      <c r="R14" s="66">
        <v>8624000</v>
      </c>
      <c r="S14" s="66">
        <v>8624000</v>
      </c>
      <c r="T14" s="66">
        <v>8624000</v>
      </c>
      <c r="U14" s="66">
        <v>8624000</v>
      </c>
      <c r="V14" s="66">
        <v>8624000</v>
      </c>
      <c r="W14" s="66">
        <v>8624000</v>
      </c>
      <c r="X14" s="66">
        <v>8624000</v>
      </c>
      <c r="Y14" s="66">
        <v>8624000</v>
      </c>
      <c r="Z14" s="66">
        <v>8624000</v>
      </c>
      <c r="AA14" s="66">
        <v>8624000</v>
      </c>
      <c r="AB14" s="66">
        <v>8624000</v>
      </c>
      <c r="AC14" s="66">
        <v>8624000</v>
      </c>
      <c r="AD14" s="66">
        <v>8624000</v>
      </c>
      <c r="AE14" s="66">
        <v>8624000</v>
      </c>
      <c r="AF14" s="66">
        <v>8624000</v>
      </c>
      <c r="AG14" s="66">
        <v>8624000</v>
      </c>
      <c r="AH14" s="66">
        <v>8624000</v>
      </c>
      <c r="AI14" s="66">
        <v>8624000</v>
      </c>
      <c r="AJ14" s="66">
        <v>8624000</v>
      </c>
      <c r="AK14" s="66">
        <v>8624000</v>
      </c>
      <c r="AL14" s="66">
        <v>8624000</v>
      </c>
      <c r="AM14" s="66">
        <v>8624000</v>
      </c>
      <c r="AN14" s="66">
        <v>8624000</v>
      </c>
      <c r="AO14" s="66">
        <v>8624000</v>
      </c>
      <c r="AP14" s="66">
        <v>8624000</v>
      </c>
      <c r="AQ14" s="66">
        <v>8624000</v>
      </c>
      <c r="AR14" s="66">
        <v>8624000</v>
      </c>
      <c r="AS14" s="66">
        <v>8624000</v>
      </c>
      <c r="AT14" s="66">
        <v>8624000</v>
      </c>
      <c r="AU14" s="66">
        <v>8624000</v>
      </c>
      <c r="AV14" s="66">
        <v>8624000</v>
      </c>
      <c r="AW14" s="66">
        <v>8624000</v>
      </c>
      <c r="AX14" s="66">
        <v>8624000</v>
      </c>
      <c r="AY14" s="66">
        <v>8624000</v>
      </c>
      <c r="AZ14" s="66">
        <v>8624000</v>
      </c>
      <c r="BA14" s="66">
        <v>8624000</v>
      </c>
      <c r="BB14" s="66">
        <v>8624000</v>
      </c>
      <c r="BC14" s="66">
        <v>8624000</v>
      </c>
      <c r="BD14" s="66">
        <v>8624000</v>
      </c>
      <c r="BE14" s="66">
        <v>8624000</v>
      </c>
      <c r="BF14" s="66">
        <v>8624000</v>
      </c>
      <c r="BG14" s="66">
        <v>8624000</v>
      </c>
      <c r="BH14" s="66">
        <v>8624000</v>
      </c>
      <c r="BI14" s="66">
        <v>8624000</v>
      </c>
      <c r="BJ14" s="66">
        <v>8624000</v>
      </c>
      <c r="BK14" s="65">
        <v>8624000</v>
      </c>
    </row>
    <row r="15" spans="1:63" outlineLevel="1" x14ac:dyDescent="0.15">
      <c r="A15" s="47" t="s">
        <v>334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335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168">
        <v>8624000</v>
      </c>
      <c r="G17" s="168">
        <v>8624000</v>
      </c>
      <c r="H17" s="168">
        <v>8624000</v>
      </c>
      <c r="I17" s="168">
        <v>8624000</v>
      </c>
      <c r="J17" s="168">
        <v>8624000</v>
      </c>
      <c r="K17" s="168">
        <v>8624000</v>
      </c>
      <c r="L17" s="168">
        <v>8624000</v>
      </c>
      <c r="M17" s="168">
        <v>8624000</v>
      </c>
      <c r="N17" s="168">
        <v>8624000</v>
      </c>
      <c r="O17" s="168">
        <v>8624000</v>
      </c>
      <c r="P17" s="168">
        <v>8624000</v>
      </c>
      <c r="Q17" s="168">
        <v>8624000</v>
      </c>
      <c r="R17" s="168">
        <v>8624000</v>
      </c>
      <c r="S17" s="168">
        <v>8624000</v>
      </c>
      <c r="T17" s="168">
        <v>8624000</v>
      </c>
      <c r="U17" s="168">
        <v>8624000</v>
      </c>
      <c r="V17" s="168">
        <v>8624000</v>
      </c>
      <c r="W17" s="168">
        <v>8624000</v>
      </c>
      <c r="X17" s="168">
        <v>8624000</v>
      </c>
      <c r="Y17" s="168">
        <v>8624000</v>
      </c>
      <c r="Z17" s="168">
        <v>8624000</v>
      </c>
      <c r="AA17" s="168">
        <v>8624000</v>
      </c>
      <c r="AB17" s="168">
        <v>8624000</v>
      </c>
      <c r="AC17" s="168">
        <v>8624000</v>
      </c>
      <c r="AD17" s="168">
        <v>8624000</v>
      </c>
      <c r="AE17" s="168">
        <v>8624000</v>
      </c>
      <c r="AF17" s="168">
        <v>8624000</v>
      </c>
      <c r="AG17" s="168">
        <v>8624000</v>
      </c>
      <c r="AH17" s="168">
        <v>8624000</v>
      </c>
      <c r="AI17" s="168">
        <v>8624000</v>
      </c>
      <c r="AJ17" s="168">
        <v>8624000</v>
      </c>
      <c r="AK17" s="168">
        <v>8624000</v>
      </c>
      <c r="AL17" s="168">
        <v>8624000</v>
      </c>
      <c r="AM17" s="168">
        <v>8624000</v>
      </c>
      <c r="AN17" s="168">
        <v>8624000</v>
      </c>
      <c r="AO17" s="168">
        <v>8624000</v>
      </c>
      <c r="AP17" s="168">
        <v>8624000</v>
      </c>
      <c r="AQ17" s="168">
        <v>8624000</v>
      </c>
      <c r="AR17" s="168">
        <v>8624000</v>
      </c>
      <c r="AS17" s="168">
        <v>8624000</v>
      </c>
      <c r="AT17" s="168">
        <v>8624000</v>
      </c>
      <c r="AU17" s="168">
        <v>8624000</v>
      </c>
      <c r="AV17" s="168">
        <v>8624000</v>
      </c>
      <c r="AW17" s="168">
        <v>8624000</v>
      </c>
      <c r="AX17" s="168">
        <v>8624000</v>
      </c>
      <c r="AY17" s="168">
        <v>8624000</v>
      </c>
      <c r="AZ17" s="168">
        <v>8624000</v>
      </c>
      <c r="BA17" s="168">
        <v>8624000</v>
      </c>
      <c r="BB17" s="168">
        <v>8624000</v>
      </c>
      <c r="BC17" s="168">
        <v>8624000</v>
      </c>
      <c r="BD17" s="168">
        <v>8624000</v>
      </c>
      <c r="BE17" s="168">
        <v>8624000</v>
      </c>
      <c r="BF17" s="168">
        <v>8624000</v>
      </c>
      <c r="BG17" s="168">
        <v>8624000</v>
      </c>
      <c r="BH17" s="168">
        <v>8624000</v>
      </c>
      <c r="BI17" s="168">
        <v>8624000</v>
      </c>
      <c r="BJ17" s="168">
        <v>8624000</v>
      </c>
      <c r="BK17" s="65">
        <v>8624000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66">
        <v>8624000</v>
      </c>
      <c r="G21" s="66">
        <v>8624000</v>
      </c>
      <c r="H21" s="66">
        <v>8624000</v>
      </c>
      <c r="I21" s="66">
        <v>8624000</v>
      </c>
      <c r="J21" s="66">
        <v>8624000</v>
      </c>
      <c r="K21" s="66">
        <v>8624000</v>
      </c>
      <c r="L21" s="66">
        <v>8624000</v>
      </c>
      <c r="M21" s="66">
        <v>8624000</v>
      </c>
      <c r="N21" s="66">
        <v>8624000</v>
      </c>
      <c r="O21" s="66">
        <v>8624000</v>
      </c>
      <c r="P21" s="66">
        <v>8624000</v>
      </c>
      <c r="Q21" s="66">
        <v>8624000</v>
      </c>
      <c r="R21" s="66">
        <v>8624000</v>
      </c>
      <c r="S21" s="66">
        <v>8624000</v>
      </c>
      <c r="T21" s="66">
        <v>8624000</v>
      </c>
      <c r="U21" s="66">
        <v>8624000</v>
      </c>
      <c r="V21" s="66">
        <v>8624000</v>
      </c>
      <c r="W21" s="66">
        <v>8624000</v>
      </c>
      <c r="X21" s="66">
        <v>8624000</v>
      </c>
      <c r="Y21" s="66">
        <v>8624000</v>
      </c>
      <c r="Z21" s="66">
        <v>8624000</v>
      </c>
      <c r="AA21" s="66">
        <v>8624000</v>
      </c>
      <c r="AB21" s="66">
        <v>8624000</v>
      </c>
      <c r="AC21" s="66">
        <v>8624000</v>
      </c>
      <c r="AD21" s="66">
        <v>8624000</v>
      </c>
      <c r="AE21" s="66">
        <v>8624000</v>
      </c>
      <c r="AF21" s="66">
        <v>8624000</v>
      </c>
      <c r="AG21" s="66">
        <v>8624000</v>
      </c>
      <c r="AH21" s="66">
        <v>8624000</v>
      </c>
      <c r="AI21" s="66">
        <v>8624000</v>
      </c>
      <c r="AJ21" s="66">
        <v>8624000</v>
      </c>
      <c r="AK21" s="66">
        <v>8624000</v>
      </c>
      <c r="AL21" s="66">
        <v>8624000</v>
      </c>
      <c r="AM21" s="66">
        <v>8624000</v>
      </c>
      <c r="AN21" s="66">
        <v>8624000</v>
      </c>
      <c r="AO21" s="66">
        <v>8624000</v>
      </c>
      <c r="AP21" s="66">
        <v>8624000</v>
      </c>
      <c r="AQ21" s="66">
        <v>8624000</v>
      </c>
      <c r="AR21" s="66">
        <v>8624000</v>
      </c>
      <c r="AS21" s="66">
        <v>8624000</v>
      </c>
      <c r="AT21" s="66">
        <v>8624000</v>
      </c>
      <c r="AU21" s="66">
        <v>8624000</v>
      </c>
      <c r="AV21" s="66">
        <v>8624000</v>
      </c>
      <c r="AW21" s="66">
        <v>8624000</v>
      </c>
      <c r="AX21" s="66">
        <v>8624000</v>
      </c>
      <c r="AY21" s="66">
        <v>8624000</v>
      </c>
      <c r="AZ21" s="66">
        <v>8624000</v>
      </c>
      <c r="BA21" s="66">
        <v>8624000</v>
      </c>
      <c r="BB21" s="66">
        <v>8624000</v>
      </c>
      <c r="BC21" s="66">
        <v>8624000</v>
      </c>
      <c r="BD21" s="66">
        <v>8624000</v>
      </c>
      <c r="BE21" s="66">
        <v>8624000</v>
      </c>
      <c r="BF21" s="66">
        <v>8624000</v>
      </c>
      <c r="BG21" s="66">
        <v>8624000</v>
      </c>
      <c r="BH21" s="66">
        <v>8624000</v>
      </c>
      <c r="BI21" s="66">
        <v>8624000</v>
      </c>
      <c r="BJ21" s="66">
        <v>8624000</v>
      </c>
      <c r="BK21" s="65">
        <v>8624000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333</v>
      </c>
      <c r="C26" s="187">
        <f>SUM(C21:C24)</f>
        <v>0</v>
      </c>
      <c r="D26" s="187">
        <f t="shared" ref="D26:N26" si="11">SUM(D21:D24)</f>
        <v>0</v>
      </c>
      <c r="E26" s="187">
        <f t="shared" si="11"/>
        <v>0</v>
      </c>
      <c r="F26" s="168">
        <v>8624000</v>
      </c>
      <c r="G26" s="168">
        <v>8624000</v>
      </c>
      <c r="H26" s="168">
        <v>8624000</v>
      </c>
      <c r="I26" s="168">
        <v>8624000</v>
      </c>
      <c r="J26" s="168">
        <v>8624000</v>
      </c>
      <c r="K26" s="168">
        <v>8624000</v>
      </c>
      <c r="L26" s="168">
        <v>8624000</v>
      </c>
      <c r="M26" s="168">
        <v>8624000</v>
      </c>
      <c r="N26" s="168">
        <v>8624000</v>
      </c>
      <c r="O26" s="168">
        <v>8624000</v>
      </c>
      <c r="P26" s="168">
        <v>8624000</v>
      </c>
      <c r="Q26" s="168">
        <v>8624000</v>
      </c>
      <c r="R26" s="168">
        <v>8624000</v>
      </c>
      <c r="S26" s="168">
        <v>8624000</v>
      </c>
      <c r="T26" s="168">
        <v>8624000</v>
      </c>
      <c r="U26" s="168">
        <v>8624000</v>
      </c>
      <c r="V26" s="168">
        <v>8624000</v>
      </c>
      <c r="W26" s="168">
        <v>8624000</v>
      </c>
      <c r="X26" s="168">
        <v>8624000</v>
      </c>
      <c r="Y26" s="168">
        <v>8624000</v>
      </c>
      <c r="Z26" s="168">
        <v>8624000</v>
      </c>
      <c r="AA26" s="168">
        <v>8624000</v>
      </c>
      <c r="AB26" s="168">
        <v>8624000</v>
      </c>
      <c r="AC26" s="168">
        <v>8624000</v>
      </c>
      <c r="AD26" s="168">
        <v>8624000</v>
      </c>
      <c r="AE26" s="168">
        <v>8624000</v>
      </c>
      <c r="AF26" s="168">
        <v>8624000</v>
      </c>
      <c r="AG26" s="168">
        <v>8624000</v>
      </c>
      <c r="AH26" s="168">
        <v>8624000</v>
      </c>
      <c r="AI26" s="168">
        <v>8624000</v>
      </c>
      <c r="AJ26" s="168">
        <v>8624000</v>
      </c>
      <c r="AK26" s="168">
        <v>8624000</v>
      </c>
      <c r="AL26" s="168">
        <v>8624000</v>
      </c>
      <c r="AM26" s="168">
        <v>8624000</v>
      </c>
      <c r="AN26" s="168">
        <v>8624000</v>
      </c>
      <c r="AO26" s="168">
        <v>8624000</v>
      </c>
      <c r="AP26" s="168">
        <v>8624000</v>
      </c>
      <c r="AQ26" s="168">
        <v>8624000</v>
      </c>
      <c r="AR26" s="168">
        <v>8624000</v>
      </c>
      <c r="AS26" s="168">
        <v>8624000</v>
      </c>
      <c r="AT26" s="168">
        <v>8624000</v>
      </c>
      <c r="AU26" s="168">
        <v>8624000</v>
      </c>
      <c r="AV26" s="168">
        <v>8624000</v>
      </c>
      <c r="AW26" s="168">
        <v>8624000</v>
      </c>
      <c r="AX26" s="168">
        <v>8624000</v>
      </c>
      <c r="AY26" s="168">
        <v>8624000</v>
      </c>
      <c r="AZ26" s="168">
        <v>8624000</v>
      </c>
      <c r="BA26" s="168">
        <v>8624000</v>
      </c>
      <c r="BB26" s="168">
        <v>8624000</v>
      </c>
      <c r="BC26" s="168">
        <v>8624000</v>
      </c>
      <c r="BD26" s="168">
        <v>8624000</v>
      </c>
      <c r="BE26" s="168">
        <v>8624000</v>
      </c>
      <c r="BF26" s="168">
        <v>8624000</v>
      </c>
      <c r="BG26" s="168">
        <v>8624000</v>
      </c>
      <c r="BH26" s="168">
        <v>8624000</v>
      </c>
      <c r="BI26" s="168">
        <v>8624000</v>
      </c>
      <c r="BJ26" s="168">
        <v>8624000</v>
      </c>
      <c r="BK26" s="65">
        <v>8624000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330</v>
      </c>
      <c r="C28" s="187">
        <f t="shared" ref="C28:AH28" si="12">C17-C26</f>
        <v>0</v>
      </c>
      <c r="D28" s="187">
        <f t="shared" si="12"/>
        <v>0</v>
      </c>
      <c r="E28" s="187">
        <f t="shared" si="12"/>
        <v>0</v>
      </c>
      <c r="F28" s="99">
        <f t="shared" si="12"/>
        <v>0</v>
      </c>
      <c r="G28" s="99">
        <f t="shared" si="12"/>
        <v>0</v>
      </c>
      <c r="H28" s="99">
        <f t="shared" si="12"/>
        <v>0</v>
      </c>
      <c r="I28" s="99">
        <f t="shared" si="12"/>
        <v>0</v>
      </c>
      <c r="J28" s="99">
        <f t="shared" si="12"/>
        <v>0</v>
      </c>
      <c r="K28" s="99">
        <f t="shared" si="12"/>
        <v>0</v>
      </c>
      <c r="L28" s="99">
        <f t="shared" si="12"/>
        <v>0</v>
      </c>
      <c r="M28" s="99">
        <f t="shared" si="12"/>
        <v>0</v>
      </c>
      <c r="N28" s="99">
        <f t="shared" si="12"/>
        <v>0</v>
      </c>
      <c r="O28" s="99">
        <f t="shared" si="12"/>
        <v>0</v>
      </c>
      <c r="P28" s="99">
        <f t="shared" si="12"/>
        <v>0</v>
      </c>
      <c r="Q28" s="99">
        <f t="shared" si="12"/>
        <v>0</v>
      </c>
      <c r="R28" s="99">
        <f t="shared" si="12"/>
        <v>0</v>
      </c>
      <c r="S28" s="99">
        <f t="shared" si="12"/>
        <v>0</v>
      </c>
      <c r="T28" s="99">
        <f t="shared" si="12"/>
        <v>0</v>
      </c>
      <c r="U28" s="99">
        <f t="shared" si="12"/>
        <v>0</v>
      </c>
      <c r="V28" s="99">
        <f t="shared" si="12"/>
        <v>0</v>
      </c>
      <c r="W28" s="99">
        <f t="shared" si="12"/>
        <v>0</v>
      </c>
      <c r="X28" s="99">
        <f t="shared" si="12"/>
        <v>0</v>
      </c>
      <c r="Y28" s="99">
        <f t="shared" si="12"/>
        <v>0</v>
      </c>
      <c r="Z28" s="99">
        <f t="shared" si="12"/>
        <v>0</v>
      </c>
      <c r="AA28" s="99">
        <f t="shared" si="12"/>
        <v>0</v>
      </c>
      <c r="AB28" s="99">
        <f t="shared" si="12"/>
        <v>0</v>
      </c>
      <c r="AC28" s="99">
        <f t="shared" si="12"/>
        <v>0</v>
      </c>
      <c r="AD28" s="99">
        <f t="shared" si="12"/>
        <v>0</v>
      </c>
      <c r="AE28" s="99">
        <f t="shared" si="12"/>
        <v>0</v>
      </c>
      <c r="AF28" s="99">
        <f t="shared" si="12"/>
        <v>0</v>
      </c>
      <c r="AG28" s="99">
        <f t="shared" si="12"/>
        <v>0</v>
      </c>
      <c r="AH28" s="99">
        <f t="shared" si="12"/>
        <v>0</v>
      </c>
      <c r="AI28" s="99">
        <f t="shared" ref="AI28:BJ28" si="13">AI17-AI26</f>
        <v>0</v>
      </c>
      <c r="AJ28" s="99">
        <f t="shared" si="13"/>
        <v>0</v>
      </c>
      <c r="AK28" s="99">
        <f t="shared" si="13"/>
        <v>0</v>
      </c>
      <c r="AL28" s="99">
        <f t="shared" si="13"/>
        <v>0</v>
      </c>
      <c r="AM28" s="99">
        <f t="shared" si="13"/>
        <v>0</v>
      </c>
      <c r="AN28" s="99">
        <f t="shared" si="13"/>
        <v>0</v>
      </c>
      <c r="AO28" s="99">
        <f t="shared" si="13"/>
        <v>0</v>
      </c>
      <c r="AP28" s="99">
        <f t="shared" si="13"/>
        <v>0</v>
      </c>
      <c r="AQ28" s="99">
        <f t="shared" si="13"/>
        <v>0</v>
      </c>
      <c r="AR28" s="99">
        <f t="shared" si="13"/>
        <v>0</v>
      </c>
      <c r="AS28" s="99">
        <f t="shared" si="13"/>
        <v>0</v>
      </c>
      <c r="AT28" s="99">
        <f t="shared" si="13"/>
        <v>0</v>
      </c>
      <c r="AU28" s="99">
        <f t="shared" si="13"/>
        <v>0</v>
      </c>
      <c r="AV28" s="99">
        <f t="shared" si="13"/>
        <v>0</v>
      </c>
      <c r="AW28" s="99">
        <f t="shared" si="13"/>
        <v>0</v>
      </c>
      <c r="AX28" s="99">
        <f t="shared" si="13"/>
        <v>0</v>
      </c>
      <c r="AY28" s="99">
        <f t="shared" si="13"/>
        <v>0</v>
      </c>
      <c r="AZ28" s="99">
        <f t="shared" si="13"/>
        <v>0</v>
      </c>
      <c r="BA28" s="99">
        <f t="shared" si="13"/>
        <v>0</v>
      </c>
      <c r="BB28" s="99">
        <f t="shared" si="13"/>
        <v>0</v>
      </c>
      <c r="BC28" s="99">
        <f t="shared" si="13"/>
        <v>0</v>
      </c>
      <c r="BD28" s="99">
        <f t="shared" si="13"/>
        <v>0</v>
      </c>
      <c r="BE28" s="99">
        <f t="shared" si="13"/>
        <v>0</v>
      </c>
      <c r="BF28" s="99">
        <f t="shared" si="13"/>
        <v>0</v>
      </c>
      <c r="BG28" s="99">
        <f t="shared" si="13"/>
        <v>0</v>
      </c>
      <c r="BH28" s="99">
        <f t="shared" si="13"/>
        <v>0</v>
      </c>
      <c r="BI28" s="99">
        <f t="shared" si="13"/>
        <v>0</v>
      </c>
      <c r="BJ28" s="99">
        <f t="shared" si="13"/>
        <v>0</v>
      </c>
      <c r="BK28" s="118">
        <f>SUM(C28:BJ28)</f>
        <v>0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4">IF(D28&gt;0,(D28/D17),0)</f>
        <v>0</v>
      </c>
      <c r="E29" s="100">
        <f t="shared" si="14"/>
        <v>0</v>
      </c>
      <c r="F29" s="100">
        <f t="shared" si="14"/>
        <v>0</v>
      </c>
      <c r="G29" s="100">
        <f t="shared" si="14"/>
        <v>0</v>
      </c>
      <c r="H29" s="100">
        <f t="shared" si="14"/>
        <v>0</v>
      </c>
      <c r="I29" s="100">
        <f t="shared" si="14"/>
        <v>0</v>
      </c>
      <c r="J29" s="100">
        <f t="shared" si="14"/>
        <v>0</v>
      </c>
      <c r="K29" s="100">
        <f t="shared" si="14"/>
        <v>0</v>
      </c>
      <c r="L29" s="100">
        <f t="shared" si="14"/>
        <v>0</v>
      </c>
      <c r="M29" s="100">
        <f t="shared" si="14"/>
        <v>0</v>
      </c>
      <c r="N29" s="100">
        <f t="shared" si="14"/>
        <v>0</v>
      </c>
      <c r="O29" s="100">
        <f t="shared" si="14"/>
        <v>0</v>
      </c>
      <c r="P29" s="100">
        <f t="shared" si="14"/>
        <v>0</v>
      </c>
      <c r="Q29" s="100">
        <f t="shared" si="14"/>
        <v>0</v>
      </c>
      <c r="R29" s="100">
        <f t="shared" si="14"/>
        <v>0</v>
      </c>
      <c r="S29" s="100">
        <f t="shared" si="14"/>
        <v>0</v>
      </c>
      <c r="T29" s="100">
        <f t="shared" si="14"/>
        <v>0</v>
      </c>
      <c r="U29" s="100">
        <f t="shared" si="14"/>
        <v>0</v>
      </c>
      <c r="V29" s="100">
        <f t="shared" si="14"/>
        <v>0</v>
      </c>
      <c r="W29" s="100">
        <f t="shared" si="14"/>
        <v>0</v>
      </c>
      <c r="X29" s="100">
        <f t="shared" si="14"/>
        <v>0</v>
      </c>
      <c r="Y29" s="100">
        <f t="shared" si="14"/>
        <v>0</v>
      </c>
      <c r="Z29" s="100">
        <f t="shared" si="14"/>
        <v>0</v>
      </c>
      <c r="AA29" s="100">
        <f t="shared" si="14"/>
        <v>0</v>
      </c>
      <c r="AB29" s="100">
        <f t="shared" si="14"/>
        <v>0</v>
      </c>
      <c r="AC29" s="100">
        <f t="shared" si="14"/>
        <v>0</v>
      </c>
      <c r="AD29" s="100">
        <f t="shared" si="14"/>
        <v>0</v>
      </c>
      <c r="AE29" s="100">
        <f t="shared" si="14"/>
        <v>0</v>
      </c>
      <c r="AF29" s="100">
        <f t="shared" si="14"/>
        <v>0</v>
      </c>
      <c r="AG29" s="100">
        <f t="shared" si="14"/>
        <v>0</v>
      </c>
      <c r="AH29" s="100">
        <f t="shared" si="14"/>
        <v>0</v>
      </c>
      <c r="AI29" s="100">
        <f t="shared" si="14"/>
        <v>0</v>
      </c>
      <c r="AJ29" s="100">
        <f t="shared" si="14"/>
        <v>0</v>
      </c>
      <c r="AK29" s="100">
        <f t="shared" si="14"/>
        <v>0</v>
      </c>
      <c r="AL29" s="100">
        <f t="shared" si="14"/>
        <v>0</v>
      </c>
      <c r="AM29" s="100">
        <f t="shared" si="14"/>
        <v>0</v>
      </c>
      <c r="AN29" s="100">
        <f t="shared" si="14"/>
        <v>0</v>
      </c>
      <c r="AO29" s="100">
        <f t="shared" si="14"/>
        <v>0</v>
      </c>
      <c r="AP29" s="100">
        <f t="shared" si="14"/>
        <v>0</v>
      </c>
      <c r="AQ29" s="100">
        <f t="shared" si="14"/>
        <v>0</v>
      </c>
      <c r="AR29" s="100">
        <f t="shared" si="14"/>
        <v>0</v>
      </c>
      <c r="AS29" s="100">
        <f t="shared" si="14"/>
        <v>0</v>
      </c>
      <c r="AT29" s="100">
        <f t="shared" si="14"/>
        <v>0</v>
      </c>
      <c r="AU29" s="100">
        <f t="shared" si="14"/>
        <v>0</v>
      </c>
      <c r="AV29" s="100">
        <f t="shared" si="14"/>
        <v>0</v>
      </c>
      <c r="AW29" s="100">
        <f t="shared" si="14"/>
        <v>0</v>
      </c>
      <c r="AX29" s="100">
        <f t="shared" si="14"/>
        <v>0</v>
      </c>
      <c r="AY29" s="100">
        <f t="shared" si="14"/>
        <v>0</v>
      </c>
      <c r="AZ29" s="100">
        <f t="shared" si="14"/>
        <v>0</v>
      </c>
      <c r="BA29" s="100">
        <f t="shared" si="14"/>
        <v>0</v>
      </c>
      <c r="BB29" s="100">
        <f t="shared" si="14"/>
        <v>0</v>
      </c>
      <c r="BC29" s="100">
        <f t="shared" si="14"/>
        <v>0</v>
      </c>
      <c r="BD29" s="100">
        <f t="shared" si="14"/>
        <v>0</v>
      </c>
      <c r="BE29" s="100">
        <f t="shared" si="14"/>
        <v>0</v>
      </c>
      <c r="BF29" s="100">
        <f t="shared" si="14"/>
        <v>0</v>
      </c>
      <c r="BG29" s="100">
        <f t="shared" si="14"/>
        <v>0</v>
      </c>
      <c r="BH29" s="100">
        <f t="shared" si="14"/>
        <v>0</v>
      </c>
      <c r="BI29" s="100">
        <f t="shared" si="14"/>
        <v>0</v>
      </c>
      <c r="BJ29" s="100">
        <f t="shared" si="14"/>
        <v>0</v>
      </c>
      <c r="BK29" s="119"/>
    </row>
    <row r="30" spans="1:63" outlineLevel="1" x14ac:dyDescent="0.15"/>
    <row r="31" spans="1:63" outlineLevel="1" x14ac:dyDescent="0.15">
      <c r="A31" s="16" t="s">
        <v>1199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5">C13-C35</f>
        <v>0</v>
      </c>
      <c r="D34" s="169">
        <f t="shared" si="15"/>
        <v>0</v>
      </c>
      <c r="E34" s="169">
        <f t="shared" si="15"/>
        <v>0</v>
      </c>
      <c r="F34" s="169">
        <f t="shared" si="15"/>
        <v>462</v>
      </c>
      <c r="G34" s="169">
        <f t="shared" si="15"/>
        <v>544</v>
      </c>
      <c r="H34" s="169">
        <f t="shared" si="15"/>
        <v>565</v>
      </c>
      <c r="I34" s="169">
        <f t="shared" si="15"/>
        <v>565</v>
      </c>
      <c r="J34" s="169">
        <f t="shared" si="15"/>
        <v>565</v>
      </c>
      <c r="K34" s="169">
        <f t="shared" si="15"/>
        <v>565</v>
      </c>
      <c r="L34" s="169">
        <f t="shared" si="15"/>
        <v>565</v>
      </c>
      <c r="M34" s="169">
        <f t="shared" si="15"/>
        <v>565</v>
      </c>
      <c r="N34" s="169">
        <f t="shared" si="15"/>
        <v>538</v>
      </c>
      <c r="O34" s="169">
        <f t="shared" si="15"/>
        <v>517</v>
      </c>
      <c r="P34" s="169">
        <f t="shared" si="15"/>
        <v>828</v>
      </c>
      <c r="Q34" s="169">
        <f t="shared" si="15"/>
        <v>931</v>
      </c>
      <c r="R34" s="169">
        <f t="shared" si="15"/>
        <v>931</v>
      </c>
      <c r="S34" s="169">
        <f t="shared" si="15"/>
        <v>931</v>
      </c>
      <c r="T34" s="169">
        <f t="shared" si="15"/>
        <v>931</v>
      </c>
      <c r="U34" s="169">
        <f t="shared" si="15"/>
        <v>931</v>
      </c>
      <c r="V34" s="169">
        <f t="shared" si="15"/>
        <v>931</v>
      </c>
      <c r="W34" s="169">
        <f t="shared" si="15"/>
        <v>931</v>
      </c>
      <c r="X34" s="169">
        <f t="shared" si="15"/>
        <v>931</v>
      </c>
      <c r="Y34" s="169">
        <f t="shared" si="15"/>
        <v>931</v>
      </c>
      <c r="Z34" s="169">
        <f t="shared" si="15"/>
        <v>620</v>
      </c>
      <c r="AA34" s="102">
        <f t="shared" si="15"/>
        <v>625</v>
      </c>
      <c r="AB34" s="102">
        <f t="shared" si="15"/>
        <v>1001</v>
      </c>
      <c r="AC34" s="102">
        <f t="shared" si="15"/>
        <v>1126</v>
      </c>
      <c r="AD34" s="102">
        <f t="shared" si="15"/>
        <v>1126</v>
      </c>
      <c r="AE34" s="102">
        <f t="shared" si="15"/>
        <v>1126</v>
      </c>
      <c r="AF34" s="102">
        <f t="shared" si="15"/>
        <v>1126</v>
      </c>
      <c r="AG34" s="102">
        <f t="shared" si="15"/>
        <v>1126</v>
      </c>
      <c r="AH34" s="102">
        <f t="shared" si="15"/>
        <v>1126</v>
      </c>
      <c r="AI34" s="102">
        <f t="shared" ref="AI34:BJ34" si="16">AI13-AI35</f>
        <v>1126</v>
      </c>
      <c r="AJ34" s="102">
        <f t="shared" si="16"/>
        <v>1126</v>
      </c>
      <c r="AK34" s="102">
        <f t="shared" si="16"/>
        <v>1126</v>
      </c>
      <c r="AL34" s="102">
        <f t="shared" si="16"/>
        <v>751</v>
      </c>
      <c r="AM34" s="102">
        <f t="shared" si="16"/>
        <v>1308</v>
      </c>
      <c r="AN34" s="102">
        <f t="shared" si="16"/>
        <v>2093</v>
      </c>
      <c r="AO34" s="102">
        <f t="shared" si="16"/>
        <v>2355</v>
      </c>
      <c r="AP34" s="102">
        <f t="shared" si="16"/>
        <v>2355</v>
      </c>
      <c r="AQ34" s="102">
        <f t="shared" si="16"/>
        <v>2355</v>
      </c>
      <c r="AR34" s="102">
        <f t="shared" si="16"/>
        <v>2355</v>
      </c>
      <c r="AS34" s="102">
        <f t="shared" si="16"/>
        <v>2355</v>
      </c>
      <c r="AT34" s="102">
        <f t="shared" si="16"/>
        <v>2355</v>
      </c>
      <c r="AU34" s="102">
        <f t="shared" si="16"/>
        <v>2355</v>
      </c>
      <c r="AV34" s="102">
        <f t="shared" si="16"/>
        <v>2355</v>
      </c>
      <c r="AW34" s="102">
        <f t="shared" si="16"/>
        <v>2355</v>
      </c>
      <c r="AX34" s="102">
        <f t="shared" si="16"/>
        <v>1570</v>
      </c>
      <c r="AY34" s="102">
        <f t="shared" si="16"/>
        <v>1347</v>
      </c>
      <c r="AZ34" s="102">
        <f t="shared" si="16"/>
        <v>2156</v>
      </c>
      <c r="BA34" s="102">
        <f t="shared" si="16"/>
        <v>2426</v>
      </c>
      <c r="BB34" s="102">
        <f t="shared" si="16"/>
        <v>2426</v>
      </c>
      <c r="BC34" s="102">
        <f t="shared" si="16"/>
        <v>2426</v>
      </c>
      <c r="BD34" s="102">
        <f t="shared" si="16"/>
        <v>2426</v>
      </c>
      <c r="BE34" s="102">
        <f t="shared" si="16"/>
        <v>2426</v>
      </c>
      <c r="BF34" s="102">
        <f t="shared" si="16"/>
        <v>2426</v>
      </c>
      <c r="BG34" s="102">
        <f t="shared" si="16"/>
        <v>2426</v>
      </c>
      <c r="BH34" s="102">
        <f t="shared" si="16"/>
        <v>2426</v>
      </c>
      <c r="BI34" s="102">
        <f t="shared" si="16"/>
        <v>2426</v>
      </c>
      <c r="BJ34" s="102">
        <f t="shared" si="16"/>
        <v>1617</v>
      </c>
      <c r="BK34" s="103">
        <f>SUM(C34:BJ34)</f>
        <v>80909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17">ROUNDUP(+D13*D33,0)</f>
        <v>0</v>
      </c>
      <c r="E35" s="169">
        <f t="shared" si="17"/>
        <v>0</v>
      </c>
      <c r="F35" s="169">
        <f t="shared" si="17"/>
        <v>154</v>
      </c>
      <c r="G35" s="169">
        <f t="shared" si="17"/>
        <v>182</v>
      </c>
      <c r="H35" s="169">
        <f t="shared" si="17"/>
        <v>189</v>
      </c>
      <c r="I35" s="169">
        <f t="shared" si="17"/>
        <v>189</v>
      </c>
      <c r="J35" s="169">
        <f t="shared" si="17"/>
        <v>189</v>
      </c>
      <c r="K35" s="169">
        <f t="shared" si="17"/>
        <v>189</v>
      </c>
      <c r="L35" s="169">
        <f t="shared" si="17"/>
        <v>189</v>
      </c>
      <c r="M35" s="169">
        <f t="shared" si="17"/>
        <v>189</v>
      </c>
      <c r="N35" s="169">
        <f t="shared" si="17"/>
        <v>180</v>
      </c>
      <c r="O35" s="169">
        <f t="shared" ref="O35:BJ35" si="18">ROUNDUP(+O13*O33,0)</f>
        <v>192</v>
      </c>
      <c r="P35" s="169">
        <f t="shared" si="18"/>
        <v>307</v>
      </c>
      <c r="Q35" s="169">
        <f t="shared" si="18"/>
        <v>345</v>
      </c>
      <c r="R35" s="169">
        <f t="shared" si="18"/>
        <v>345</v>
      </c>
      <c r="S35" s="169">
        <f t="shared" si="18"/>
        <v>345</v>
      </c>
      <c r="T35" s="169">
        <f t="shared" si="18"/>
        <v>345</v>
      </c>
      <c r="U35" s="169">
        <f t="shared" si="18"/>
        <v>345</v>
      </c>
      <c r="V35" s="169">
        <f t="shared" si="18"/>
        <v>345</v>
      </c>
      <c r="W35" s="169">
        <f t="shared" si="18"/>
        <v>345</v>
      </c>
      <c r="X35" s="169">
        <f t="shared" si="18"/>
        <v>345</v>
      </c>
      <c r="Y35" s="169">
        <f t="shared" si="18"/>
        <v>345</v>
      </c>
      <c r="Z35" s="169">
        <f t="shared" si="18"/>
        <v>230</v>
      </c>
      <c r="AA35" s="102">
        <f t="shared" si="18"/>
        <v>282</v>
      </c>
      <c r="AB35" s="102">
        <f t="shared" si="18"/>
        <v>451</v>
      </c>
      <c r="AC35" s="102">
        <f t="shared" si="18"/>
        <v>507</v>
      </c>
      <c r="AD35" s="102">
        <f t="shared" si="18"/>
        <v>507</v>
      </c>
      <c r="AE35" s="102">
        <f t="shared" si="18"/>
        <v>507</v>
      </c>
      <c r="AF35" s="102">
        <f t="shared" si="18"/>
        <v>507</v>
      </c>
      <c r="AG35" s="102">
        <f t="shared" si="18"/>
        <v>507</v>
      </c>
      <c r="AH35" s="102">
        <f t="shared" si="18"/>
        <v>507</v>
      </c>
      <c r="AI35" s="102">
        <f t="shared" si="18"/>
        <v>507</v>
      </c>
      <c r="AJ35" s="102">
        <f t="shared" si="18"/>
        <v>507</v>
      </c>
      <c r="AK35" s="102">
        <f t="shared" si="18"/>
        <v>507</v>
      </c>
      <c r="AL35" s="102">
        <f t="shared" si="18"/>
        <v>338</v>
      </c>
      <c r="AM35" s="102">
        <f t="shared" si="18"/>
        <v>561</v>
      </c>
      <c r="AN35" s="102">
        <f t="shared" si="18"/>
        <v>898</v>
      </c>
      <c r="AO35" s="102">
        <f t="shared" si="18"/>
        <v>1010</v>
      </c>
      <c r="AP35" s="102">
        <f t="shared" si="18"/>
        <v>1010</v>
      </c>
      <c r="AQ35" s="102">
        <f t="shared" si="18"/>
        <v>1010</v>
      </c>
      <c r="AR35" s="102">
        <f t="shared" si="18"/>
        <v>1010</v>
      </c>
      <c r="AS35" s="102">
        <f t="shared" si="18"/>
        <v>1010</v>
      </c>
      <c r="AT35" s="102">
        <f t="shared" si="18"/>
        <v>1010</v>
      </c>
      <c r="AU35" s="102">
        <f t="shared" si="18"/>
        <v>1010</v>
      </c>
      <c r="AV35" s="102">
        <f t="shared" si="18"/>
        <v>1010</v>
      </c>
      <c r="AW35" s="102">
        <f t="shared" si="18"/>
        <v>1010</v>
      </c>
      <c r="AX35" s="102">
        <f t="shared" si="18"/>
        <v>673</v>
      </c>
      <c r="AY35" s="102">
        <f t="shared" si="18"/>
        <v>578</v>
      </c>
      <c r="AZ35" s="102">
        <f t="shared" si="18"/>
        <v>925</v>
      </c>
      <c r="BA35" s="102">
        <f t="shared" si="18"/>
        <v>1040</v>
      </c>
      <c r="BB35" s="102">
        <f t="shared" si="18"/>
        <v>1040</v>
      </c>
      <c r="BC35" s="102">
        <f t="shared" si="18"/>
        <v>1040</v>
      </c>
      <c r="BD35" s="102">
        <f t="shared" si="18"/>
        <v>1040</v>
      </c>
      <c r="BE35" s="102">
        <f t="shared" si="18"/>
        <v>1040</v>
      </c>
      <c r="BF35" s="102">
        <f t="shared" si="18"/>
        <v>1040</v>
      </c>
      <c r="BG35" s="102">
        <f t="shared" si="18"/>
        <v>1040</v>
      </c>
      <c r="BH35" s="102">
        <f t="shared" si="18"/>
        <v>1040</v>
      </c>
      <c r="BI35" s="102">
        <f t="shared" si="18"/>
        <v>1040</v>
      </c>
      <c r="BJ35" s="102">
        <f t="shared" si="18"/>
        <v>694</v>
      </c>
      <c r="BK35" s="103">
        <f>SUM(C35:BJ35)</f>
        <v>33897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332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9">C38*(1-C39)</f>
        <v>0</v>
      </c>
      <c r="D40" s="12">
        <f t="shared" si="19"/>
        <v>0</v>
      </c>
      <c r="E40" s="12">
        <f t="shared" si="19"/>
        <v>0</v>
      </c>
      <c r="F40" s="12">
        <f t="shared" si="19"/>
        <v>0</v>
      </c>
      <c r="G40" s="12">
        <f t="shared" si="19"/>
        <v>0</v>
      </c>
      <c r="H40" s="12">
        <f t="shared" si="19"/>
        <v>0</v>
      </c>
      <c r="I40" s="12">
        <f t="shared" si="19"/>
        <v>0</v>
      </c>
      <c r="J40" s="12">
        <f t="shared" si="19"/>
        <v>0</v>
      </c>
      <c r="K40" s="12">
        <f t="shared" si="19"/>
        <v>0</v>
      </c>
      <c r="L40" s="12">
        <f t="shared" si="19"/>
        <v>0</v>
      </c>
      <c r="M40" s="12">
        <f t="shared" si="19"/>
        <v>0</v>
      </c>
      <c r="N40" s="12">
        <f t="shared" si="19"/>
        <v>0</v>
      </c>
      <c r="O40" s="90">
        <f t="shared" si="19"/>
        <v>0</v>
      </c>
      <c r="P40" s="90">
        <f t="shared" si="19"/>
        <v>0</v>
      </c>
      <c r="Q40" s="90">
        <f t="shared" si="19"/>
        <v>0</v>
      </c>
      <c r="R40" s="90">
        <f t="shared" si="19"/>
        <v>0</v>
      </c>
      <c r="S40" s="90">
        <f t="shared" si="19"/>
        <v>0</v>
      </c>
      <c r="T40" s="90">
        <f t="shared" si="19"/>
        <v>0</v>
      </c>
      <c r="U40" s="90">
        <f t="shared" si="19"/>
        <v>0</v>
      </c>
      <c r="V40" s="90">
        <f t="shared" si="19"/>
        <v>0</v>
      </c>
      <c r="W40" s="90">
        <f t="shared" si="19"/>
        <v>0</v>
      </c>
      <c r="X40" s="90">
        <f t="shared" si="19"/>
        <v>0</v>
      </c>
      <c r="Y40" s="90">
        <f t="shared" si="19"/>
        <v>0</v>
      </c>
      <c r="Z40" s="90">
        <f t="shared" si="19"/>
        <v>0</v>
      </c>
      <c r="AA40" s="90">
        <f t="shared" si="19"/>
        <v>0</v>
      </c>
      <c r="AB40" s="90">
        <f t="shared" si="19"/>
        <v>0</v>
      </c>
      <c r="AC40" s="90">
        <f t="shared" si="19"/>
        <v>0</v>
      </c>
      <c r="AD40" s="90">
        <f t="shared" si="19"/>
        <v>0</v>
      </c>
      <c r="AE40" s="90">
        <f t="shared" si="19"/>
        <v>0</v>
      </c>
      <c r="AF40" s="90">
        <f t="shared" si="19"/>
        <v>0</v>
      </c>
      <c r="AG40" s="90">
        <f t="shared" si="19"/>
        <v>0</v>
      </c>
      <c r="AH40" s="90">
        <f t="shared" si="19"/>
        <v>0</v>
      </c>
      <c r="AI40" s="90">
        <f t="shared" ref="AI40:BJ40" si="20">AI38*(1-AI39)</f>
        <v>0</v>
      </c>
      <c r="AJ40" s="90">
        <f t="shared" si="20"/>
        <v>0</v>
      </c>
      <c r="AK40" s="90">
        <f t="shared" si="20"/>
        <v>0</v>
      </c>
      <c r="AL40" s="90">
        <f t="shared" si="20"/>
        <v>0</v>
      </c>
      <c r="AM40" s="90">
        <f t="shared" si="20"/>
        <v>0</v>
      </c>
      <c r="AN40" s="90">
        <f t="shared" si="20"/>
        <v>0</v>
      </c>
      <c r="AO40" s="90">
        <f t="shared" si="20"/>
        <v>0</v>
      </c>
      <c r="AP40" s="90">
        <f t="shared" si="20"/>
        <v>0</v>
      </c>
      <c r="AQ40" s="90">
        <f t="shared" si="20"/>
        <v>0</v>
      </c>
      <c r="AR40" s="90">
        <f t="shared" si="20"/>
        <v>0</v>
      </c>
      <c r="AS40" s="90">
        <f t="shared" si="20"/>
        <v>0</v>
      </c>
      <c r="AT40" s="90">
        <f t="shared" si="20"/>
        <v>0</v>
      </c>
      <c r="AU40" s="90">
        <f t="shared" si="20"/>
        <v>0</v>
      </c>
      <c r="AV40" s="90">
        <f t="shared" si="20"/>
        <v>0</v>
      </c>
      <c r="AW40" s="90">
        <f t="shared" si="20"/>
        <v>0</v>
      </c>
      <c r="AX40" s="90">
        <f t="shared" si="20"/>
        <v>0</v>
      </c>
      <c r="AY40" s="90">
        <f t="shared" si="20"/>
        <v>0</v>
      </c>
      <c r="AZ40" s="90">
        <f t="shared" si="20"/>
        <v>0</v>
      </c>
      <c r="BA40" s="90">
        <f t="shared" si="20"/>
        <v>0</v>
      </c>
      <c r="BB40" s="90">
        <f t="shared" si="20"/>
        <v>0</v>
      </c>
      <c r="BC40" s="90">
        <f t="shared" si="20"/>
        <v>0</v>
      </c>
      <c r="BD40" s="90">
        <f t="shared" si="20"/>
        <v>0</v>
      </c>
      <c r="BE40" s="90">
        <f t="shared" si="20"/>
        <v>0</v>
      </c>
      <c r="BF40" s="90">
        <f t="shared" si="20"/>
        <v>0</v>
      </c>
      <c r="BG40" s="90">
        <f t="shared" si="20"/>
        <v>0</v>
      </c>
      <c r="BH40" s="90">
        <f t="shared" si="20"/>
        <v>0</v>
      </c>
      <c r="BI40" s="90">
        <f t="shared" si="20"/>
        <v>0</v>
      </c>
      <c r="BJ40" s="90">
        <f t="shared" si="20"/>
        <v>0</v>
      </c>
      <c r="BK40" s="118">
        <f>SUM(C40:BJ40)</f>
        <v>0</v>
      </c>
    </row>
    <row r="41" spans="1:63" outlineLevel="1" x14ac:dyDescent="0.15">
      <c r="A41" s="47" t="s">
        <v>345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385000</v>
      </c>
      <c r="G44" s="90">
        <f>'COGS-PRICE-MARGIN_CWS'!$B20*G35</f>
        <v>455000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102747621.58392504</v>
      </c>
    </row>
    <row r="45" spans="1:63" outlineLevel="1" x14ac:dyDescent="0.15">
      <c r="A45" s="47" t="s">
        <v>344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1">D$9</f>
        <v>0</v>
      </c>
      <c r="E50" s="169">
        <f t="shared" si="21"/>
        <v>0</v>
      </c>
      <c r="F50" s="169">
        <f t="shared" si="21"/>
        <v>0</v>
      </c>
      <c r="G50" s="169">
        <f t="shared" si="21"/>
        <v>129</v>
      </c>
      <c r="H50" s="169">
        <f t="shared" si="21"/>
        <v>324</v>
      </c>
      <c r="I50" s="169">
        <f t="shared" si="21"/>
        <v>324</v>
      </c>
      <c r="J50" s="169">
        <f t="shared" si="21"/>
        <v>324</v>
      </c>
      <c r="K50" s="169">
        <f t="shared" si="21"/>
        <v>324</v>
      </c>
      <c r="L50" s="169">
        <f t="shared" si="21"/>
        <v>324</v>
      </c>
      <c r="M50" s="169">
        <f t="shared" si="21"/>
        <v>324</v>
      </c>
      <c r="N50" s="169">
        <f t="shared" si="21"/>
        <v>308</v>
      </c>
      <c r="O50" s="169">
        <f t="shared" si="21"/>
        <v>319</v>
      </c>
      <c r="P50" s="169">
        <f t="shared" si="21"/>
        <v>510</v>
      </c>
      <c r="Q50" s="169">
        <f t="shared" si="21"/>
        <v>574</v>
      </c>
      <c r="R50" s="169">
        <f t="shared" si="21"/>
        <v>574</v>
      </c>
      <c r="S50" s="169">
        <f t="shared" si="21"/>
        <v>574</v>
      </c>
      <c r="T50" s="169">
        <f t="shared" si="21"/>
        <v>574</v>
      </c>
      <c r="U50" s="169">
        <f t="shared" si="21"/>
        <v>574</v>
      </c>
      <c r="V50" s="169">
        <f t="shared" si="21"/>
        <v>574</v>
      </c>
      <c r="W50" s="169">
        <f t="shared" si="21"/>
        <v>574</v>
      </c>
      <c r="X50" s="169">
        <f t="shared" si="21"/>
        <v>574</v>
      </c>
      <c r="Y50" s="169">
        <f t="shared" si="21"/>
        <v>574</v>
      </c>
      <c r="Z50" s="169">
        <f t="shared" si="21"/>
        <v>383</v>
      </c>
      <c r="AA50" s="169">
        <f t="shared" si="21"/>
        <v>908</v>
      </c>
      <c r="AB50" s="169">
        <f t="shared" si="21"/>
        <v>1452</v>
      </c>
      <c r="AC50" s="169">
        <f t="shared" si="21"/>
        <v>1634</v>
      </c>
      <c r="AD50" s="169">
        <f t="shared" si="21"/>
        <v>1634</v>
      </c>
      <c r="AE50" s="169">
        <f t="shared" si="21"/>
        <v>1634</v>
      </c>
      <c r="AF50" s="169">
        <f t="shared" si="21"/>
        <v>1634</v>
      </c>
      <c r="AG50" s="169">
        <f t="shared" si="21"/>
        <v>1634</v>
      </c>
      <c r="AH50" s="169">
        <f t="shared" si="21"/>
        <v>1634</v>
      </c>
      <c r="AI50" s="169">
        <f t="shared" si="21"/>
        <v>1634</v>
      </c>
      <c r="AJ50" s="169">
        <f t="shared" si="21"/>
        <v>1634</v>
      </c>
      <c r="AK50" s="169">
        <f t="shared" si="21"/>
        <v>1634</v>
      </c>
      <c r="AL50" s="169">
        <f t="shared" si="21"/>
        <v>1089</v>
      </c>
      <c r="AM50" s="169">
        <f t="shared" si="21"/>
        <v>935</v>
      </c>
      <c r="AN50" s="169">
        <f t="shared" si="21"/>
        <v>1496</v>
      </c>
      <c r="AO50" s="169">
        <f t="shared" si="21"/>
        <v>1683</v>
      </c>
      <c r="AP50" s="169">
        <f t="shared" si="21"/>
        <v>1683</v>
      </c>
      <c r="AQ50" s="169">
        <f t="shared" si="21"/>
        <v>1683</v>
      </c>
      <c r="AR50" s="169">
        <f t="shared" si="21"/>
        <v>1683</v>
      </c>
      <c r="AS50" s="169">
        <f t="shared" si="21"/>
        <v>1683</v>
      </c>
      <c r="AT50" s="169">
        <f t="shared" si="21"/>
        <v>1683</v>
      </c>
      <c r="AU50" s="169">
        <f t="shared" si="21"/>
        <v>1683</v>
      </c>
      <c r="AV50" s="169">
        <f t="shared" si="21"/>
        <v>1683</v>
      </c>
      <c r="AW50" s="169">
        <f t="shared" si="21"/>
        <v>1683</v>
      </c>
      <c r="AX50" s="169">
        <f t="shared" si="21"/>
        <v>1122</v>
      </c>
      <c r="AY50" s="169">
        <f t="shared" si="21"/>
        <v>963</v>
      </c>
      <c r="AZ50" s="169">
        <f t="shared" si="21"/>
        <v>1541</v>
      </c>
      <c r="BA50" s="169">
        <f t="shared" si="21"/>
        <v>1733</v>
      </c>
      <c r="BB50" s="169">
        <f t="shared" si="21"/>
        <v>1733</v>
      </c>
      <c r="BC50" s="169">
        <f t="shared" si="21"/>
        <v>1733</v>
      </c>
      <c r="BD50" s="169">
        <f t="shared" si="21"/>
        <v>1733</v>
      </c>
      <c r="BE50" s="169">
        <f t="shared" si="21"/>
        <v>1733</v>
      </c>
      <c r="BF50" s="169">
        <f t="shared" si="21"/>
        <v>1733</v>
      </c>
      <c r="BG50" s="169">
        <f t="shared" si="21"/>
        <v>1733</v>
      </c>
      <c r="BH50" s="169">
        <f t="shared" si="21"/>
        <v>1733</v>
      </c>
      <c r="BI50" s="169">
        <f t="shared" si="21"/>
        <v>1733</v>
      </c>
      <c r="BJ50" s="169">
        <f t="shared" si="21"/>
        <v>1156</v>
      </c>
      <c r="BK50" s="316">
        <f>SUM(C50:BJ50)</f>
        <v>64871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0</v>
      </c>
      <c r="G51" s="97">
        <f>'COGS-PRICE-MARGIN_CWS'!$B29*G50</f>
        <v>2838000</v>
      </c>
      <c r="H51" s="97">
        <f>'COGS-PRICE-MARGIN_CWS'!$B29*H50</f>
        <v>7128000</v>
      </c>
      <c r="I51" s="97">
        <f>'COGS-PRICE-MARGIN_CWS'!$B29*I50</f>
        <v>7128000</v>
      </c>
      <c r="J51" s="97">
        <f>'COGS-PRICE-MARGIN_CWS'!$B29*J50</f>
        <v>7128000</v>
      </c>
      <c r="K51" s="97">
        <f>'COGS-PRICE-MARGIN_CWS'!$B29*K50</f>
        <v>7128000</v>
      </c>
      <c r="L51" s="97">
        <f>'COGS-PRICE-MARGIN_CWS'!$B29*L50</f>
        <v>7128000</v>
      </c>
      <c r="M51" s="97">
        <f>'COGS-PRICE-MARGIN_CWS'!$B29*M50</f>
        <v>7128000</v>
      </c>
      <c r="N51" s="97">
        <f>'COGS-PRICE-MARGIN_CWS'!$B29*N50</f>
        <v>6776000</v>
      </c>
      <c r="O51" s="97">
        <f>'COGS-PRICE-MARGIN_CWS'!$B79*O50</f>
        <v>7509260</v>
      </c>
      <c r="P51" s="97">
        <f>'COGS-PRICE-MARGIN_CWS'!$B79*P50</f>
        <v>12005400</v>
      </c>
      <c r="Q51" s="97">
        <f>'COGS-PRICE-MARGIN_CWS'!$B79*Q50</f>
        <v>13511960</v>
      </c>
      <c r="R51" s="97">
        <f>'COGS-PRICE-MARGIN_CWS'!$B79*R50</f>
        <v>13511960</v>
      </c>
      <c r="S51" s="97">
        <f>'COGS-PRICE-MARGIN_CWS'!$B79*S50</f>
        <v>13511960</v>
      </c>
      <c r="T51" s="97">
        <f>'COGS-PRICE-MARGIN_CWS'!$B79*T50</f>
        <v>13511960</v>
      </c>
      <c r="U51" s="97">
        <f>'COGS-PRICE-MARGIN_CWS'!$B79*U50</f>
        <v>13511960</v>
      </c>
      <c r="V51" s="97">
        <f>'COGS-PRICE-MARGIN_CWS'!$B79*V50</f>
        <v>13511960</v>
      </c>
      <c r="W51" s="97">
        <f>'COGS-PRICE-MARGIN_CWS'!$B79*W50</f>
        <v>13511960</v>
      </c>
      <c r="X51" s="97">
        <f>'COGS-PRICE-MARGIN_CWS'!$B79*X50</f>
        <v>13511960</v>
      </c>
      <c r="Y51" s="97">
        <f>'COGS-PRICE-MARGIN_CWS'!$B79*Y50</f>
        <v>13511960</v>
      </c>
      <c r="Z51" s="97">
        <f>'COGS-PRICE-MARGIN_CWS'!$B79*Z50</f>
        <v>9015820</v>
      </c>
      <c r="AA51" s="97">
        <f>'COGS-PRICE-MARGIN_CWS'!$B129*AA50</f>
        <v>22870522.400000002</v>
      </c>
      <c r="AB51" s="97">
        <f>'COGS-PRICE-MARGIN_CWS'!$B129*AB50</f>
        <v>36572685.600000001</v>
      </c>
      <c r="AC51" s="97">
        <f>'COGS-PRICE-MARGIN_CWS'!$B129*AC50</f>
        <v>41156865.200000003</v>
      </c>
      <c r="AD51" s="97">
        <f>'COGS-PRICE-MARGIN_CWS'!$B129*AD50</f>
        <v>41156865.200000003</v>
      </c>
      <c r="AE51" s="97">
        <f>'COGS-PRICE-MARGIN_CWS'!$B129*AE50</f>
        <v>41156865.200000003</v>
      </c>
      <c r="AF51" s="97">
        <f>'COGS-PRICE-MARGIN_CWS'!$B129*AF50</f>
        <v>41156865.200000003</v>
      </c>
      <c r="AG51" s="97">
        <f>'COGS-PRICE-MARGIN_CWS'!$B129*AG50</f>
        <v>41156865.200000003</v>
      </c>
      <c r="AH51" s="97">
        <f>'COGS-PRICE-MARGIN_CWS'!$B129*AH50</f>
        <v>41156865.200000003</v>
      </c>
      <c r="AI51" s="97">
        <f>'COGS-PRICE-MARGIN_CWS'!$B129*AI50</f>
        <v>41156865.200000003</v>
      </c>
      <c r="AJ51" s="97">
        <f>'COGS-PRICE-MARGIN_CWS'!$B129*AJ50</f>
        <v>41156865.200000003</v>
      </c>
      <c r="AK51" s="97">
        <f>'COGS-PRICE-MARGIN_CWS'!$B129*AK50</f>
        <v>41156865.200000003</v>
      </c>
      <c r="AL51" s="97">
        <f>'COGS-PRICE-MARGIN_CWS'!$B129*AL50</f>
        <v>27429514.200000003</v>
      </c>
      <c r="AM51" s="97">
        <f>'COGS-PRICE-MARGIN_CWS'!$B179*AM50</f>
        <v>25199134.510000002</v>
      </c>
      <c r="AN51" s="97">
        <f>'COGS-PRICE-MARGIN_CWS'!$B179*AN50</f>
        <v>40318615.216000006</v>
      </c>
      <c r="AO51" s="97">
        <f>'COGS-PRICE-MARGIN_CWS'!$B179*AO50</f>
        <v>45358442.118000008</v>
      </c>
      <c r="AP51" s="97">
        <f>'COGS-PRICE-MARGIN_CWS'!$B179*AP50</f>
        <v>45358442.118000008</v>
      </c>
      <c r="AQ51" s="97">
        <f>'COGS-PRICE-MARGIN_CWS'!$B179*AQ50</f>
        <v>45358442.118000008</v>
      </c>
      <c r="AR51" s="97">
        <f>'COGS-PRICE-MARGIN_CWS'!$B179*AR50</f>
        <v>45358442.118000008</v>
      </c>
      <c r="AS51" s="97">
        <f>'COGS-PRICE-MARGIN_CWS'!$B179*AS50</f>
        <v>45358442.118000008</v>
      </c>
      <c r="AT51" s="97">
        <f>'COGS-PRICE-MARGIN_CWS'!$B179*AT50</f>
        <v>45358442.118000008</v>
      </c>
      <c r="AU51" s="97">
        <f>'COGS-PRICE-MARGIN_CWS'!$B179*AU50</f>
        <v>45358442.118000008</v>
      </c>
      <c r="AV51" s="97">
        <f>'COGS-PRICE-MARGIN_CWS'!$B179*AV50</f>
        <v>45358442.118000008</v>
      </c>
      <c r="AW51" s="97">
        <f>'COGS-PRICE-MARGIN_CWS'!$B179*AW50</f>
        <v>45358442.118000008</v>
      </c>
      <c r="AX51" s="97">
        <f>'COGS-PRICE-MARGIN_CWS'!$B179*AX50</f>
        <v>30238961.412000004</v>
      </c>
      <c r="AY51" s="97">
        <f>'COGS-PRICE-MARGIN_CWS'!$B129*AY50</f>
        <v>24255851.400000002</v>
      </c>
      <c r="AZ51" s="97">
        <f>'COGS-PRICE-MARGIN_CWS'!$B129*AZ50</f>
        <v>38814399.800000004</v>
      </c>
      <c r="BA51" s="97">
        <f>'COGS-PRICE-MARGIN_CWS'!$B129*BA50</f>
        <v>43650457.400000006</v>
      </c>
      <c r="BB51" s="97">
        <f>'COGS-PRICE-MARGIN_CWS'!$B129*BB50</f>
        <v>43650457.400000006</v>
      </c>
      <c r="BC51" s="97">
        <f>'COGS-PRICE-MARGIN_CWS'!$B129*BC50</f>
        <v>43650457.400000006</v>
      </c>
      <c r="BD51" s="97">
        <f>'COGS-PRICE-MARGIN_CWS'!$B129*BD50</f>
        <v>43650457.400000006</v>
      </c>
      <c r="BE51" s="97">
        <f>'COGS-PRICE-MARGIN_CWS'!$B129*BE50</f>
        <v>43650457.400000006</v>
      </c>
      <c r="BF51" s="97">
        <f>'COGS-PRICE-MARGIN_CWS'!$B129*BF50</f>
        <v>43650457.400000006</v>
      </c>
      <c r="BG51" s="97">
        <f>'COGS-PRICE-MARGIN_CWS'!$B129*BG50</f>
        <v>43650457.400000006</v>
      </c>
      <c r="BH51" s="97">
        <f>'COGS-PRICE-MARGIN_CWS'!$B129*BH50</f>
        <v>43650457.400000006</v>
      </c>
      <c r="BI51" s="97">
        <f>'COGS-PRICE-MARGIN_CWS'!$B129*BI50</f>
        <v>43650457.400000006</v>
      </c>
      <c r="BJ51" s="97">
        <f>'COGS-PRICE-MARGIN_CWS'!$B129*BJ50</f>
        <v>29117096.800000004</v>
      </c>
      <c r="BK51" s="118">
        <f>SUM(C51:BJ51)</f>
        <v>1648828783.8000011</v>
      </c>
    </row>
    <row r="52" spans="1:63" outlineLevel="1" x14ac:dyDescent="0.15">
      <c r="A52" s="47" t="s">
        <v>334</v>
      </c>
      <c r="C52" s="98">
        <f>'COGS-PRICE-MARGIN_CWS'!$C$29</f>
        <v>0</v>
      </c>
      <c r="D52" s="98">
        <f>'COGS-PRICE-MARGIN_CWS'!$C29</f>
        <v>0</v>
      </c>
      <c r="E52" s="98">
        <f>'COGS-PRICE-MARGIN_CWS'!$C29</f>
        <v>0</v>
      </c>
      <c r="F52" s="98">
        <f>'COGS-PRICE-MARGIN_CWS'!$C29</f>
        <v>0</v>
      </c>
      <c r="G52" s="98">
        <f>'COGS-PRICE-MARGIN_CWS'!$C29</f>
        <v>0</v>
      </c>
      <c r="H52" s="98">
        <f>'COGS-PRICE-MARGIN_CWS'!$C29</f>
        <v>0</v>
      </c>
      <c r="I52" s="98">
        <f>'COGS-PRICE-MARGIN_CWS'!$C29</f>
        <v>0</v>
      </c>
      <c r="J52" s="98">
        <f>'COGS-PRICE-MARGIN_CWS'!$C29</f>
        <v>0</v>
      </c>
      <c r="K52" s="98">
        <f>'COGS-PRICE-MARGIN_CWS'!$C29</f>
        <v>0</v>
      </c>
      <c r="L52" s="98">
        <f>'COGS-PRICE-MARGIN_CWS'!$C29</f>
        <v>0</v>
      </c>
      <c r="M52" s="98">
        <f>'COGS-PRICE-MARGIN_CWS'!$C29</f>
        <v>0</v>
      </c>
      <c r="N52" s="98">
        <f>'COGS-PRICE-MARGIN_CWS'!$C29</f>
        <v>0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335</v>
      </c>
      <c r="C54" s="367">
        <f t="shared" ref="C54:BJ54" si="22">C51*(1-C52)</f>
        <v>0</v>
      </c>
      <c r="D54" s="367">
        <f t="shared" si="22"/>
        <v>0</v>
      </c>
      <c r="E54" s="367">
        <f t="shared" si="22"/>
        <v>0</v>
      </c>
      <c r="F54" s="99">
        <f t="shared" si="22"/>
        <v>0</v>
      </c>
      <c r="G54" s="99">
        <f t="shared" si="22"/>
        <v>2838000</v>
      </c>
      <c r="H54" s="99">
        <f t="shared" si="22"/>
        <v>7128000</v>
      </c>
      <c r="I54" s="99">
        <f t="shared" si="22"/>
        <v>7128000</v>
      </c>
      <c r="J54" s="99">
        <f t="shared" si="22"/>
        <v>7128000</v>
      </c>
      <c r="K54" s="99">
        <f t="shared" si="22"/>
        <v>7128000</v>
      </c>
      <c r="L54" s="99">
        <f t="shared" si="22"/>
        <v>7128000</v>
      </c>
      <c r="M54" s="99">
        <f t="shared" si="22"/>
        <v>7128000</v>
      </c>
      <c r="N54" s="99">
        <f t="shared" si="22"/>
        <v>6776000</v>
      </c>
      <c r="O54" s="99">
        <f t="shared" si="22"/>
        <v>7509260</v>
      </c>
      <c r="P54" s="99">
        <f t="shared" si="22"/>
        <v>12005400</v>
      </c>
      <c r="Q54" s="99">
        <f t="shared" si="22"/>
        <v>13511960</v>
      </c>
      <c r="R54" s="99">
        <f t="shared" si="22"/>
        <v>13511960</v>
      </c>
      <c r="S54" s="99">
        <f t="shared" si="22"/>
        <v>13511960</v>
      </c>
      <c r="T54" s="99">
        <f t="shared" si="22"/>
        <v>13511960</v>
      </c>
      <c r="U54" s="99">
        <f t="shared" si="22"/>
        <v>13511960</v>
      </c>
      <c r="V54" s="99">
        <f t="shared" si="22"/>
        <v>13511960</v>
      </c>
      <c r="W54" s="99">
        <f t="shared" si="22"/>
        <v>13511960</v>
      </c>
      <c r="X54" s="99">
        <f t="shared" si="22"/>
        <v>13511960</v>
      </c>
      <c r="Y54" s="99">
        <f t="shared" si="22"/>
        <v>13511960</v>
      </c>
      <c r="Z54" s="99">
        <f t="shared" si="22"/>
        <v>9015820</v>
      </c>
      <c r="AA54" s="99">
        <f t="shared" si="22"/>
        <v>22870522.400000002</v>
      </c>
      <c r="AB54" s="99">
        <f t="shared" si="22"/>
        <v>36572685.600000001</v>
      </c>
      <c r="AC54" s="99">
        <f t="shared" si="22"/>
        <v>41156865.200000003</v>
      </c>
      <c r="AD54" s="99">
        <f t="shared" si="22"/>
        <v>41156865.200000003</v>
      </c>
      <c r="AE54" s="99">
        <f t="shared" si="22"/>
        <v>41156865.200000003</v>
      </c>
      <c r="AF54" s="99">
        <f t="shared" si="22"/>
        <v>41156865.200000003</v>
      </c>
      <c r="AG54" s="99">
        <f t="shared" si="22"/>
        <v>41156865.200000003</v>
      </c>
      <c r="AH54" s="99">
        <f t="shared" si="22"/>
        <v>41156865.200000003</v>
      </c>
      <c r="AI54" s="99">
        <f t="shared" si="22"/>
        <v>41156865.200000003</v>
      </c>
      <c r="AJ54" s="99">
        <f t="shared" si="22"/>
        <v>41156865.200000003</v>
      </c>
      <c r="AK54" s="99">
        <f t="shared" si="22"/>
        <v>41156865.200000003</v>
      </c>
      <c r="AL54" s="99">
        <f t="shared" si="22"/>
        <v>27429514.200000003</v>
      </c>
      <c r="AM54" s="99">
        <f t="shared" si="22"/>
        <v>25199134.510000002</v>
      </c>
      <c r="AN54" s="99">
        <f t="shared" si="22"/>
        <v>40318615.216000006</v>
      </c>
      <c r="AO54" s="99">
        <f t="shared" si="22"/>
        <v>45358442.118000008</v>
      </c>
      <c r="AP54" s="99">
        <f t="shared" si="22"/>
        <v>45358442.118000008</v>
      </c>
      <c r="AQ54" s="99">
        <f t="shared" si="22"/>
        <v>45358442.118000008</v>
      </c>
      <c r="AR54" s="99">
        <f t="shared" si="22"/>
        <v>45358442.118000008</v>
      </c>
      <c r="AS54" s="99">
        <f t="shared" si="22"/>
        <v>45358442.118000008</v>
      </c>
      <c r="AT54" s="99">
        <f t="shared" si="22"/>
        <v>45358442.118000008</v>
      </c>
      <c r="AU54" s="99">
        <f t="shared" si="22"/>
        <v>45358442.118000008</v>
      </c>
      <c r="AV54" s="99">
        <f t="shared" si="22"/>
        <v>45358442.118000008</v>
      </c>
      <c r="AW54" s="99">
        <f t="shared" si="22"/>
        <v>45358442.118000008</v>
      </c>
      <c r="AX54" s="99">
        <f t="shared" si="22"/>
        <v>30238961.412000004</v>
      </c>
      <c r="AY54" s="99">
        <f t="shared" si="22"/>
        <v>24255851.400000002</v>
      </c>
      <c r="AZ54" s="99">
        <f t="shared" si="22"/>
        <v>38814399.800000004</v>
      </c>
      <c r="BA54" s="99">
        <f t="shared" si="22"/>
        <v>43650457.400000006</v>
      </c>
      <c r="BB54" s="99">
        <f t="shared" si="22"/>
        <v>43650457.400000006</v>
      </c>
      <c r="BC54" s="99">
        <f t="shared" si="22"/>
        <v>43650457.400000006</v>
      </c>
      <c r="BD54" s="99">
        <f t="shared" si="22"/>
        <v>43650457.400000006</v>
      </c>
      <c r="BE54" s="99">
        <f t="shared" si="22"/>
        <v>43650457.400000006</v>
      </c>
      <c r="BF54" s="99">
        <f t="shared" si="22"/>
        <v>43650457.400000006</v>
      </c>
      <c r="BG54" s="99">
        <f t="shared" si="22"/>
        <v>43650457.400000006</v>
      </c>
      <c r="BH54" s="99">
        <f t="shared" si="22"/>
        <v>43650457.400000006</v>
      </c>
      <c r="BI54" s="99">
        <f t="shared" si="22"/>
        <v>43650457.400000006</v>
      </c>
      <c r="BJ54" s="99">
        <f t="shared" si="22"/>
        <v>29117096.800000004</v>
      </c>
      <c r="BK54" s="118">
        <f>SUM(C54:BJ54)</f>
        <v>1648828783.8000011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0</v>
      </c>
      <c r="G58" s="97">
        <f>'COGS-PRICE-MARGIN_CWS'!$E29*G50</f>
        <v>1483500</v>
      </c>
      <c r="H58" s="97">
        <f>'COGS-PRICE-MARGIN_CWS'!$E29*H50</f>
        <v>3726000</v>
      </c>
      <c r="I58" s="97">
        <f>'COGS-PRICE-MARGIN_CWS'!$E29*I50</f>
        <v>3726000</v>
      </c>
      <c r="J58" s="97">
        <f>'COGS-PRICE-MARGIN_CWS'!$E29*J50</f>
        <v>3726000</v>
      </c>
      <c r="K58" s="97">
        <f>'COGS-PRICE-MARGIN_CWS'!$E29*K50</f>
        <v>3726000</v>
      </c>
      <c r="L58" s="97">
        <f>'COGS-PRICE-MARGIN_CWS'!$E29*L50</f>
        <v>3726000</v>
      </c>
      <c r="M58" s="97">
        <f>'COGS-PRICE-MARGIN_CWS'!$E29*M50</f>
        <v>3726000</v>
      </c>
      <c r="N58" s="97">
        <f>'COGS-PRICE-MARGIN_CWS'!$E29*N50</f>
        <v>3542000</v>
      </c>
      <c r="O58" s="97">
        <f>'COGS-PRICE-MARGIN_CWS'!$E79*O50</f>
        <v>3925295</v>
      </c>
      <c r="P58" s="97">
        <f>'COGS-PRICE-MARGIN_CWS'!$E79*P50</f>
        <v>6275550</v>
      </c>
      <c r="Q58" s="97">
        <f>'COGS-PRICE-MARGIN_CWS'!$E79*Q50</f>
        <v>7063070</v>
      </c>
      <c r="R58" s="97">
        <f>'COGS-PRICE-MARGIN_CWS'!$E79*R50</f>
        <v>7063070</v>
      </c>
      <c r="S58" s="97">
        <f>'COGS-PRICE-MARGIN_CWS'!$E79*S50</f>
        <v>7063070</v>
      </c>
      <c r="T58" s="97">
        <f>'COGS-PRICE-MARGIN_CWS'!$E79*T50</f>
        <v>7063070</v>
      </c>
      <c r="U58" s="97">
        <f>'COGS-PRICE-MARGIN_CWS'!$E79*U50</f>
        <v>7063070</v>
      </c>
      <c r="V58" s="97">
        <f>'COGS-PRICE-MARGIN_CWS'!$E79*V50</f>
        <v>7063070</v>
      </c>
      <c r="W58" s="97">
        <f>'COGS-PRICE-MARGIN_CWS'!$E79*W50</f>
        <v>7063070</v>
      </c>
      <c r="X58" s="97">
        <f>'COGS-PRICE-MARGIN_CWS'!$E79*X50</f>
        <v>7063070</v>
      </c>
      <c r="Y58" s="97">
        <f>'COGS-PRICE-MARGIN_CWS'!$E79*Y50</f>
        <v>7063070</v>
      </c>
      <c r="Z58" s="97">
        <f>'COGS-PRICE-MARGIN_CWS'!$E79*Z$50</f>
        <v>4712815</v>
      </c>
      <c r="AA58" s="97">
        <f>'COGS-PRICE-MARGIN_CWS'!$E129*AA$50</f>
        <v>11955045.800000001</v>
      </c>
      <c r="AB58" s="97">
        <f>'COGS-PRICE-MARGIN_CWS'!$E129*AB$50</f>
        <v>19117540.199999999</v>
      </c>
      <c r="AC58" s="97">
        <f>'COGS-PRICE-MARGIN_CWS'!$E129*AC$50</f>
        <v>21513815.900000002</v>
      </c>
      <c r="AD58" s="97">
        <f>'COGS-PRICE-MARGIN_CWS'!$E129*AD$50</f>
        <v>21513815.900000002</v>
      </c>
      <c r="AE58" s="97">
        <f>'COGS-PRICE-MARGIN_CWS'!$E129*AE$50</f>
        <v>21513815.900000002</v>
      </c>
      <c r="AF58" s="97">
        <f>'COGS-PRICE-MARGIN_CWS'!$E129*AF$50</f>
        <v>21513815.900000002</v>
      </c>
      <c r="AG58" s="97">
        <f>'COGS-PRICE-MARGIN_CWS'!$E129*AG$50</f>
        <v>21513815.900000002</v>
      </c>
      <c r="AH58" s="97">
        <f>'COGS-PRICE-MARGIN_CWS'!$E129*AH$50</f>
        <v>21513815.900000002</v>
      </c>
      <c r="AI58" s="97">
        <f>'COGS-PRICE-MARGIN_CWS'!$E129*AI$50</f>
        <v>21513815.900000002</v>
      </c>
      <c r="AJ58" s="97">
        <f>'COGS-PRICE-MARGIN_CWS'!$E129*AJ$50</f>
        <v>21513815.900000002</v>
      </c>
      <c r="AK58" s="97">
        <f>'COGS-PRICE-MARGIN_CWS'!$E129*AK$50</f>
        <v>21513815.900000002</v>
      </c>
      <c r="AL58" s="97">
        <f>'COGS-PRICE-MARGIN_CWS'!$E129*AL$50</f>
        <v>14338155.15</v>
      </c>
      <c r="AM58" s="97">
        <f>'COGS-PRICE-MARGIN_CWS'!$E129*AM$50</f>
        <v>12310537.25</v>
      </c>
      <c r="AN58" s="97">
        <f>'COGS-PRICE-MARGIN_CWS'!$E129*AN$50</f>
        <v>19696859.600000001</v>
      </c>
      <c r="AO58" s="97">
        <f>'COGS-PRICE-MARGIN_CWS'!$E129*AO$50</f>
        <v>22158967.050000001</v>
      </c>
      <c r="AP58" s="97">
        <f>'COGS-PRICE-MARGIN_CWS'!$E129*AP$50</f>
        <v>22158967.050000001</v>
      </c>
      <c r="AQ58" s="97">
        <f>'COGS-PRICE-MARGIN_CWS'!$E129*AQ$50</f>
        <v>22158967.050000001</v>
      </c>
      <c r="AR58" s="97">
        <f>'COGS-PRICE-MARGIN_CWS'!$E129*AR$50</f>
        <v>22158967.050000001</v>
      </c>
      <c r="AS58" s="97">
        <f>'COGS-PRICE-MARGIN_CWS'!$E129*AS$50</f>
        <v>22158967.050000001</v>
      </c>
      <c r="AT58" s="97">
        <f>'COGS-PRICE-MARGIN_CWS'!$E129*AT$50</f>
        <v>22158967.050000001</v>
      </c>
      <c r="AU58" s="97">
        <f>'COGS-PRICE-MARGIN_CWS'!$E129*AU$50</f>
        <v>22158967.050000001</v>
      </c>
      <c r="AV58" s="97">
        <f>'COGS-PRICE-MARGIN_CWS'!$E129*AV$50</f>
        <v>22158967.050000001</v>
      </c>
      <c r="AW58" s="97">
        <f>'COGS-PRICE-MARGIN_CWS'!$E129*AW$50</f>
        <v>22158967.050000001</v>
      </c>
      <c r="AX58" s="97">
        <f>'COGS-PRICE-MARGIN_CWS'!$E129*AX$50</f>
        <v>14772644.700000001</v>
      </c>
      <c r="AY58" s="97">
        <f>'COGS-PRICE-MARGIN_CWS'!$E179*AY$50</f>
        <v>13566738.703500001</v>
      </c>
      <c r="AZ58" s="97">
        <f>'COGS-PRICE-MARGIN_CWS'!$E179*AZ$50</f>
        <v>21709599.524500001</v>
      </c>
      <c r="BA58" s="97">
        <f>'COGS-PRICE-MARGIN_CWS'!$E179*BA$50</f>
        <v>24414494.468499999</v>
      </c>
      <c r="BB58" s="97">
        <f>'COGS-PRICE-MARGIN_CWS'!$E179*BB$50</f>
        <v>24414494.468499999</v>
      </c>
      <c r="BC58" s="97">
        <f>'COGS-PRICE-MARGIN_CWS'!$E179*BC$50</f>
        <v>24414494.468499999</v>
      </c>
      <c r="BD58" s="97">
        <f>'COGS-PRICE-MARGIN_CWS'!$E179*BD$50</f>
        <v>24414494.468499999</v>
      </c>
      <c r="BE58" s="97">
        <f>'COGS-PRICE-MARGIN_CWS'!$E179*BE$50</f>
        <v>24414494.468499999</v>
      </c>
      <c r="BF58" s="97">
        <f>'COGS-PRICE-MARGIN_CWS'!$E179*BF$50</f>
        <v>24414494.468499999</v>
      </c>
      <c r="BG58" s="97">
        <f>'COGS-PRICE-MARGIN_CWS'!$E179*BG$50</f>
        <v>24414494.468499999</v>
      </c>
      <c r="BH58" s="97">
        <f>'COGS-PRICE-MARGIN_CWS'!$E179*BH$50</f>
        <v>24414494.468499999</v>
      </c>
      <c r="BI58" s="97">
        <f>'COGS-PRICE-MARGIN_CWS'!$E179*BI$50</f>
        <v>24414494.468499999</v>
      </c>
      <c r="BJ58" s="97">
        <f>'COGS-PRICE-MARGIN_CWS'!$E179*BJ$50</f>
        <v>16285721.642000001</v>
      </c>
      <c r="BK58" s="118">
        <f>SUM(C58:BJ58)</f>
        <v>862401129.33650017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0</v>
      </c>
      <c r="G59" s="97">
        <f>'COGS-PRICE-MARGIN_CWS'!$E30*G50</f>
        <v>64500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37495701.275500014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333</v>
      </c>
      <c r="C63" s="367">
        <f>SUM(C58:C61)</f>
        <v>0</v>
      </c>
      <c r="D63" s="367">
        <f t="shared" ref="D63:N63" si="23">SUM(D58:D61)</f>
        <v>0</v>
      </c>
      <c r="E63" s="367">
        <f t="shared" si="23"/>
        <v>0</v>
      </c>
      <c r="F63" s="99">
        <f t="shared" si="23"/>
        <v>0</v>
      </c>
      <c r="G63" s="99">
        <f t="shared" si="23"/>
        <v>1548000</v>
      </c>
      <c r="H63" s="99">
        <f t="shared" si="23"/>
        <v>3888000</v>
      </c>
      <c r="I63" s="99">
        <f t="shared" si="23"/>
        <v>3888000</v>
      </c>
      <c r="J63" s="99">
        <f t="shared" si="23"/>
        <v>3888000</v>
      </c>
      <c r="K63" s="99">
        <f t="shared" si="23"/>
        <v>3888000</v>
      </c>
      <c r="L63" s="99">
        <f t="shared" si="23"/>
        <v>3888000</v>
      </c>
      <c r="M63" s="99">
        <f t="shared" si="23"/>
        <v>3888000</v>
      </c>
      <c r="N63" s="99">
        <f t="shared" si="23"/>
        <v>3696000</v>
      </c>
      <c r="O63" s="99">
        <f>SUM(O58:O61)</f>
        <v>4095960</v>
      </c>
      <c r="P63" s="99">
        <f t="shared" ref="P63:BJ63" si="24">SUM(P58:P61)</f>
        <v>6548400</v>
      </c>
      <c r="Q63" s="99">
        <f t="shared" si="24"/>
        <v>7370160</v>
      </c>
      <c r="R63" s="99">
        <f t="shared" si="24"/>
        <v>7370160</v>
      </c>
      <c r="S63" s="99">
        <f t="shared" si="24"/>
        <v>7370160</v>
      </c>
      <c r="T63" s="99">
        <f t="shared" si="24"/>
        <v>7370160</v>
      </c>
      <c r="U63" s="99">
        <f t="shared" si="24"/>
        <v>7370160</v>
      </c>
      <c r="V63" s="99">
        <f t="shared" si="24"/>
        <v>7370160</v>
      </c>
      <c r="W63" s="99">
        <f t="shared" si="24"/>
        <v>7370160</v>
      </c>
      <c r="X63" s="99">
        <f t="shared" si="24"/>
        <v>7370160</v>
      </c>
      <c r="Y63" s="99">
        <f t="shared" si="24"/>
        <v>7370160</v>
      </c>
      <c r="Z63" s="99">
        <f t="shared" si="24"/>
        <v>4917720</v>
      </c>
      <c r="AA63" s="99">
        <f t="shared" si="24"/>
        <v>12474830.4</v>
      </c>
      <c r="AB63" s="99">
        <f t="shared" si="24"/>
        <v>19948737.599999998</v>
      </c>
      <c r="AC63" s="99">
        <f t="shared" si="24"/>
        <v>22449199.200000003</v>
      </c>
      <c r="AD63" s="99">
        <f t="shared" si="24"/>
        <v>22449199.200000003</v>
      </c>
      <c r="AE63" s="99">
        <f t="shared" si="24"/>
        <v>22449199.200000003</v>
      </c>
      <c r="AF63" s="99">
        <f t="shared" si="24"/>
        <v>22449199.200000003</v>
      </c>
      <c r="AG63" s="99">
        <f t="shared" si="24"/>
        <v>22449199.200000003</v>
      </c>
      <c r="AH63" s="99">
        <f t="shared" si="24"/>
        <v>22449199.200000003</v>
      </c>
      <c r="AI63" s="99">
        <f t="shared" si="24"/>
        <v>22449199.200000003</v>
      </c>
      <c r="AJ63" s="99">
        <f t="shared" si="24"/>
        <v>22449199.200000003</v>
      </c>
      <c r="AK63" s="99">
        <f t="shared" si="24"/>
        <v>22449199.200000003</v>
      </c>
      <c r="AL63" s="99">
        <f t="shared" si="24"/>
        <v>14961553.200000001</v>
      </c>
      <c r="AM63" s="99">
        <f t="shared" si="24"/>
        <v>12845778</v>
      </c>
      <c r="AN63" s="99">
        <f t="shared" si="24"/>
        <v>20553244.800000001</v>
      </c>
      <c r="AO63" s="99">
        <f t="shared" si="24"/>
        <v>23122400.400000002</v>
      </c>
      <c r="AP63" s="99">
        <f t="shared" si="24"/>
        <v>23122400.400000002</v>
      </c>
      <c r="AQ63" s="99">
        <f t="shared" si="24"/>
        <v>23122400.400000002</v>
      </c>
      <c r="AR63" s="99">
        <f t="shared" si="24"/>
        <v>23122400.400000002</v>
      </c>
      <c r="AS63" s="99">
        <f t="shared" si="24"/>
        <v>23122400.400000002</v>
      </c>
      <c r="AT63" s="99">
        <f t="shared" si="24"/>
        <v>23122400.400000002</v>
      </c>
      <c r="AU63" s="99">
        <f t="shared" si="24"/>
        <v>23122400.400000002</v>
      </c>
      <c r="AV63" s="99">
        <f t="shared" si="24"/>
        <v>23122400.400000002</v>
      </c>
      <c r="AW63" s="99">
        <f t="shared" si="24"/>
        <v>23122400.400000002</v>
      </c>
      <c r="AX63" s="99">
        <f t="shared" si="24"/>
        <v>15414933.600000001</v>
      </c>
      <c r="AY63" s="99">
        <f t="shared" si="24"/>
        <v>14156596.908000002</v>
      </c>
      <c r="AZ63" s="99">
        <f t="shared" si="24"/>
        <v>22653495.156000003</v>
      </c>
      <c r="BA63" s="99">
        <f t="shared" si="24"/>
        <v>25475994.228</v>
      </c>
      <c r="BB63" s="99">
        <f t="shared" si="24"/>
        <v>25475994.228</v>
      </c>
      <c r="BC63" s="99">
        <f t="shared" si="24"/>
        <v>25475994.228</v>
      </c>
      <c r="BD63" s="99">
        <f t="shared" si="24"/>
        <v>25475994.228</v>
      </c>
      <c r="BE63" s="99">
        <f t="shared" si="24"/>
        <v>25475994.228</v>
      </c>
      <c r="BF63" s="99">
        <f t="shared" si="24"/>
        <v>25475994.228</v>
      </c>
      <c r="BG63" s="99">
        <f t="shared" si="24"/>
        <v>25475994.228</v>
      </c>
      <c r="BH63" s="99">
        <f t="shared" si="24"/>
        <v>25475994.228</v>
      </c>
      <c r="BI63" s="99">
        <f t="shared" si="24"/>
        <v>25475994.228</v>
      </c>
      <c r="BJ63" s="99">
        <f t="shared" si="24"/>
        <v>16993796.495999999</v>
      </c>
      <c r="BK63" s="118">
        <f>SUM(C63:BJ63)</f>
        <v>899896830.61200023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330</v>
      </c>
      <c r="C65" s="367">
        <f t="shared" ref="C65:BJ65" si="25">C54-C63</f>
        <v>0</v>
      </c>
      <c r="D65" s="367">
        <f t="shared" si="25"/>
        <v>0</v>
      </c>
      <c r="E65" s="367">
        <f t="shared" si="25"/>
        <v>0</v>
      </c>
      <c r="F65" s="99">
        <f t="shared" si="25"/>
        <v>0</v>
      </c>
      <c r="G65" s="99">
        <f t="shared" si="25"/>
        <v>1290000</v>
      </c>
      <c r="H65" s="99">
        <f t="shared" si="25"/>
        <v>3240000</v>
      </c>
      <c r="I65" s="99">
        <f t="shared" si="25"/>
        <v>3240000</v>
      </c>
      <c r="J65" s="99">
        <f t="shared" si="25"/>
        <v>3240000</v>
      </c>
      <c r="K65" s="99">
        <f t="shared" si="25"/>
        <v>3240000</v>
      </c>
      <c r="L65" s="99">
        <f t="shared" si="25"/>
        <v>3240000</v>
      </c>
      <c r="M65" s="99">
        <f t="shared" si="25"/>
        <v>3240000</v>
      </c>
      <c r="N65" s="99">
        <f t="shared" si="25"/>
        <v>3080000</v>
      </c>
      <c r="O65" s="99">
        <f t="shared" si="25"/>
        <v>3413300</v>
      </c>
      <c r="P65" s="99">
        <f t="shared" si="25"/>
        <v>5457000</v>
      </c>
      <c r="Q65" s="99">
        <f t="shared" si="25"/>
        <v>6141800</v>
      </c>
      <c r="R65" s="99">
        <f t="shared" si="25"/>
        <v>6141800</v>
      </c>
      <c r="S65" s="99">
        <f t="shared" si="25"/>
        <v>6141800</v>
      </c>
      <c r="T65" s="99">
        <f t="shared" si="25"/>
        <v>6141800</v>
      </c>
      <c r="U65" s="99">
        <f t="shared" si="25"/>
        <v>6141800</v>
      </c>
      <c r="V65" s="99">
        <f t="shared" si="25"/>
        <v>6141800</v>
      </c>
      <c r="W65" s="99">
        <f t="shared" si="25"/>
        <v>6141800</v>
      </c>
      <c r="X65" s="99">
        <f t="shared" si="25"/>
        <v>6141800</v>
      </c>
      <c r="Y65" s="99">
        <f t="shared" si="25"/>
        <v>6141800</v>
      </c>
      <c r="Z65" s="99">
        <f t="shared" si="25"/>
        <v>4098100</v>
      </c>
      <c r="AA65" s="99">
        <f t="shared" si="25"/>
        <v>10395692.000000002</v>
      </c>
      <c r="AB65" s="99">
        <f t="shared" si="25"/>
        <v>16623948.000000004</v>
      </c>
      <c r="AC65" s="99">
        <f t="shared" si="25"/>
        <v>18707666</v>
      </c>
      <c r="AD65" s="99">
        <f t="shared" si="25"/>
        <v>18707666</v>
      </c>
      <c r="AE65" s="99">
        <f t="shared" si="25"/>
        <v>18707666</v>
      </c>
      <c r="AF65" s="99">
        <f t="shared" si="25"/>
        <v>18707666</v>
      </c>
      <c r="AG65" s="99">
        <f t="shared" si="25"/>
        <v>18707666</v>
      </c>
      <c r="AH65" s="99">
        <f t="shared" si="25"/>
        <v>18707666</v>
      </c>
      <c r="AI65" s="99">
        <f t="shared" si="25"/>
        <v>18707666</v>
      </c>
      <c r="AJ65" s="99">
        <f t="shared" si="25"/>
        <v>18707666</v>
      </c>
      <c r="AK65" s="99">
        <f t="shared" si="25"/>
        <v>18707666</v>
      </c>
      <c r="AL65" s="99">
        <f t="shared" si="25"/>
        <v>12467961.000000002</v>
      </c>
      <c r="AM65" s="99">
        <f t="shared" si="25"/>
        <v>12353356.510000002</v>
      </c>
      <c r="AN65" s="99">
        <f t="shared" si="25"/>
        <v>19765370.416000005</v>
      </c>
      <c r="AO65" s="99">
        <f t="shared" si="25"/>
        <v>22236041.718000006</v>
      </c>
      <c r="AP65" s="99">
        <f t="shared" si="25"/>
        <v>22236041.718000006</v>
      </c>
      <c r="AQ65" s="99">
        <f t="shared" si="25"/>
        <v>22236041.718000006</v>
      </c>
      <c r="AR65" s="99">
        <f t="shared" si="25"/>
        <v>22236041.718000006</v>
      </c>
      <c r="AS65" s="99">
        <f t="shared" si="25"/>
        <v>22236041.718000006</v>
      </c>
      <c r="AT65" s="99">
        <f t="shared" si="25"/>
        <v>22236041.718000006</v>
      </c>
      <c r="AU65" s="99">
        <f t="shared" si="25"/>
        <v>22236041.718000006</v>
      </c>
      <c r="AV65" s="99">
        <f t="shared" si="25"/>
        <v>22236041.718000006</v>
      </c>
      <c r="AW65" s="99">
        <f t="shared" si="25"/>
        <v>22236041.718000006</v>
      </c>
      <c r="AX65" s="99">
        <f t="shared" si="25"/>
        <v>14824027.812000003</v>
      </c>
      <c r="AY65" s="99">
        <f t="shared" si="25"/>
        <v>10099254.492000001</v>
      </c>
      <c r="AZ65" s="99">
        <f t="shared" si="25"/>
        <v>16160904.644000001</v>
      </c>
      <c r="BA65" s="99">
        <f t="shared" si="25"/>
        <v>18174463.172000006</v>
      </c>
      <c r="BB65" s="99">
        <f t="shared" si="25"/>
        <v>18174463.172000006</v>
      </c>
      <c r="BC65" s="99">
        <f t="shared" si="25"/>
        <v>18174463.172000006</v>
      </c>
      <c r="BD65" s="99">
        <f t="shared" si="25"/>
        <v>18174463.172000006</v>
      </c>
      <c r="BE65" s="99">
        <f t="shared" si="25"/>
        <v>18174463.172000006</v>
      </c>
      <c r="BF65" s="99">
        <f t="shared" si="25"/>
        <v>18174463.172000006</v>
      </c>
      <c r="BG65" s="99">
        <f t="shared" si="25"/>
        <v>18174463.172000006</v>
      </c>
      <c r="BH65" s="99">
        <f t="shared" si="25"/>
        <v>18174463.172000006</v>
      </c>
      <c r="BI65" s="99">
        <f t="shared" si="25"/>
        <v>18174463.172000006</v>
      </c>
      <c r="BJ65" s="99">
        <f t="shared" si="25"/>
        <v>12123300.304000005</v>
      </c>
      <c r="BK65" s="118">
        <f>SUM(C65:BJ65)</f>
        <v>748931953.18800044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6">IF(D65&gt;0,(D65/D54),0)</f>
        <v>0</v>
      </c>
      <c r="E66" s="100">
        <f t="shared" si="26"/>
        <v>0</v>
      </c>
      <c r="F66" s="100">
        <f t="shared" si="26"/>
        <v>0</v>
      </c>
      <c r="G66" s="100">
        <f t="shared" si="26"/>
        <v>0.45454545454545453</v>
      </c>
      <c r="H66" s="100">
        <f t="shared" si="26"/>
        <v>0.45454545454545453</v>
      </c>
      <c r="I66" s="100">
        <f t="shared" si="26"/>
        <v>0.45454545454545453</v>
      </c>
      <c r="J66" s="100">
        <f t="shared" si="26"/>
        <v>0.45454545454545453</v>
      </c>
      <c r="K66" s="100">
        <f t="shared" si="26"/>
        <v>0.45454545454545453</v>
      </c>
      <c r="L66" s="100">
        <f t="shared" si="26"/>
        <v>0.45454545454545453</v>
      </c>
      <c r="M66" s="100">
        <f t="shared" si="26"/>
        <v>0.45454545454545453</v>
      </c>
      <c r="N66" s="100">
        <f t="shared" si="26"/>
        <v>0.45454545454545453</v>
      </c>
      <c r="O66" s="100">
        <f t="shared" si="26"/>
        <v>0.45454545454545453</v>
      </c>
      <c r="P66" s="100">
        <f t="shared" si="26"/>
        <v>0.45454545454545453</v>
      </c>
      <c r="Q66" s="100">
        <f t="shared" si="26"/>
        <v>0.45454545454545453</v>
      </c>
      <c r="R66" s="100">
        <f t="shared" si="26"/>
        <v>0.45454545454545453</v>
      </c>
      <c r="S66" s="100">
        <f t="shared" si="26"/>
        <v>0.45454545454545453</v>
      </c>
      <c r="T66" s="100">
        <f t="shared" si="26"/>
        <v>0.45454545454545453</v>
      </c>
      <c r="U66" s="100">
        <f t="shared" si="26"/>
        <v>0.45454545454545453</v>
      </c>
      <c r="V66" s="100">
        <f t="shared" si="26"/>
        <v>0.45454545454545453</v>
      </c>
      <c r="W66" s="100">
        <f t="shared" si="26"/>
        <v>0.45454545454545453</v>
      </c>
      <c r="X66" s="100">
        <f t="shared" si="26"/>
        <v>0.45454545454545453</v>
      </c>
      <c r="Y66" s="100">
        <f t="shared" si="26"/>
        <v>0.45454545454545453</v>
      </c>
      <c r="Z66" s="100">
        <f t="shared" si="26"/>
        <v>0.45454545454545453</v>
      </c>
      <c r="AA66" s="100">
        <f t="shared" si="26"/>
        <v>0.45454545454545459</v>
      </c>
      <c r="AB66" s="100">
        <f t="shared" si="26"/>
        <v>0.45454545454545464</v>
      </c>
      <c r="AC66" s="100">
        <f t="shared" si="26"/>
        <v>0.45454545454545453</v>
      </c>
      <c r="AD66" s="100">
        <f t="shared" si="26"/>
        <v>0.45454545454545453</v>
      </c>
      <c r="AE66" s="100">
        <f t="shared" si="26"/>
        <v>0.45454545454545453</v>
      </c>
      <c r="AF66" s="100">
        <f t="shared" si="26"/>
        <v>0.45454545454545453</v>
      </c>
      <c r="AG66" s="100">
        <f t="shared" si="26"/>
        <v>0.45454545454545453</v>
      </c>
      <c r="AH66" s="100">
        <f t="shared" si="26"/>
        <v>0.45454545454545453</v>
      </c>
      <c r="AI66" s="100">
        <f t="shared" si="26"/>
        <v>0.45454545454545453</v>
      </c>
      <c r="AJ66" s="100">
        <f t="shared" si="26"/>
        <v>0.45454545454545453</v>
      </c>
      <c r="AK66" s="100">
        <f t="shared" si="26"/>
        <v>0.45454545454545453</v>
      </c>
      <c r="AL66" s="100">
        <f t="shared" si="26"/>
        <v>0.45454545454545459</v>
      </c>
      <c r="AM66" s="100">
        <f t="shared" si="26"/>
        <v>0.49022939677145289</v>
      </c>
      <c r="AN66" s="100">
        <f t="shared" si="26"/>
        <v>0.49022939677145289</v>
      </c>
      <c r="AO66" s="100">
        <f t="shared" si="26"/>
        <v>0.49022939677145289</v>
      </c>
      <c r="AP66" s="100">
        <f t="shared" si="26"/>
        <v>0.49022939677145289</v>
      </c>
      <c r="AQ66" s="100">
        <f t="shared" si="26"/>
        <v>0.49022939677145289</v>
      </c>
      <c r="AR66" s="100">
        <f t="shared" si="26"/>
        <v>0.49022939677145289</v>
      </c>
      <c r="AS66" s="100">
        <f t="shared" si="26"/>
        <v>0.49022939677145289</v>
      </c>
      <c r="AT66" s="100">
        <f t="shared" si="26"/>
        <v>0.49022939677145289</v>
      </c>
      <c r="AU66" s="100">
        <f t="shared" si="26"/>
        <v>0.49022939677145289</v>
      </c>
      <c r="AV66" s="100">
        <f t="shared" si="26"/>
        <v>0.49022939677145289</v>
      </c>
      <c r="AW66" s="100">
        <f t="shared" si="26"/>
        <v>0.49022939677145289</v>
      </c>
      <c r="AX66" s="100">
        <f t="shared" si="26"/>
        <v>0.49022939677145289</v>
      </c>
      <c r="AY66" s="100">
        <f t="shared" si="26"/>
        <v>0.41636363636363632</v>
      </c>
      <c r="AZ66" s="100">
        <f t="shared" si="26"/>
        <v>0.41636363636363632</v>
      </c>
      <c r="BA66" s="100">
        <f t="shared" si="26"/>
        <v>0.41636363636363644</v>
      </c>
      <c r="BB66" s="100">
        <f t="shared" si="26"/>
        <v>0.41636363636363644</v>
      </c>
      <c r="BC66" s="100">
        <f t="shared" si="26"/>
        <v>0.41636363636363644</v>
      </c>
      <c r="BD66" s="100">
        <f t="shared" si="26"/>
        <v>0.41636363636363644</v>
      </c>
      <c r="BE66" s="100">
        <f t="shared" si="26"/>
        <v>0.41636363636363644</v>
      </c>
      <c r="BF66" s="100">
        <f t="shared" si="26"/>
        <v>0.41636363636363644</v>
      </c>
      <c r="BG66" s="100">
        <f t="shared" si="26"/>
        <v>0.41636363636363644</v>
      </c>
      <c r="BH66" s="100">
        <f t="shared" si="26"/>
        <v>0.41636363636363644</v>
      </c>
      <c r="BI66" s="100">
        <f t="shared" si="26"/>
        <v>0.41636363636363644</v>
      </c>
      <c r="BJ66" s="100">
        <f t="shared" si="26"/>
        <v>0.41636363636363649</v>
      </c>
      <c r="BK66" s="119"/>
    </row>
    <row r="67" spans="1:63" outlineLevel="1" x14ac:dyDescent="0.15"/>
    <row r="68" spans="1:63" outlineLevel="1" x14ac:dyDescent="0.15">
      <c r="A68" s="16" t="s">
        <v>1199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27">C50-C72</f>
        <v>0</v>
      </c>
      <c r="D71" s="169">
        <f t="shared" si="27"/>
        <v>0</v>
      </c>
      <c r="E71" s="169">
        <f t="shared" si="27"/>
        <v>0</v>
      </c>
      <c r="F71" s="169">
        <f t="shared" si="27"/>
        <v>0</v>
      </c>
      <c r="G71" s="169">
        <f t="shared" si="27"/>
        <v>95</v>
      </c>
      <c r="H71" s="169">
        <f t="shared" si="27"/>
        <v>239</v>
      </c>
      <c r="I71" s="169">
        <f t="shared" si="27"/>
        <v>239</v>
      </c>
      <c r="J71" s="169">
        <f t="shared" si="27"/>
        <v>239</v>
      </c>
      <c r="K71" s="169">
        <f t="shared" si="27"/>
        <v>239</v>
      </c>
      <c r="L71" s="169">
        <f t="shared" si="27"/>
        <v>239</v>
      </c>
      <c r="M71" s="169">
        <f t="shared" si="27"/>
        <v>239</v>
      </c>
      <c r="N71" s="169">
        <f t="shared" si="27"/>
        <v>227</v>
      </c>
      <c r="O71" s="102">
        <f t="shared" si="27"/>
        <v>239</v>
      </c>
      <c r="P71" s="102">
        <f t="shared" si="27"/>
        <v>382</v>
      </c>
      <c r="Q71" s="102">
        <f t="shared" si="27"/>
        <v>430</v>
      </c>
      <c r="R71" s="102">
        <f t="shared" si="27"/>
        <v>430</v>
      </c>
      <c r="S71" s="102">
        <f t="shared" si="27"/>
        <v>430</v>
      </c>
      <c r="T71" s="102">
        <f t="shared" si="27"/>
        <v>430</v>
      </c>
      <c r="U71" s="102">
        <f t="shared" si="27"/>
        <v>430</v>
      </c>
      <c r="V71" s="102">
        <f t="shared" si="27"/>
        <v>430</v>
      </c>
      <c r="W71" s="102">
        <f t="shared" si="27"/>
        <v>430</v>
      </c>
      <c r="X71" s="102">
        <f t="shared" si="27"/>
        <v>430</v>
      </c>
      <c r="Y71" s="102">
        <f t="shared" si="27"/>
        <v>430</v>
      </c>
      <c r="Z71" s="102">
        <f t="shared" si="27"/>
        <v>287</v>
      </c>
      <c r="AA71" s="102">
        <f t="shared" si="27"/>
        <v>635</v>
      </c>
      <c r="AB71" s="102">
        <f t="shared" si="27"/>
        <v>1016</v>
      </c>
      <c r="AC71" s="102">
        <f t="shared" si="27"/>
        <v>1143</v>
      </c>
      <c r="AD71" s="102">
        <f t="shared" si="27"/>
        <v>1143</v>
      </c>
      <c r="AE71" s="102">
        <f t="shared" si="27"/>
        <v>1143</v>
      </c>
      <c r="AF71" s="102">
        <f t="shared" si="27"/>
        <v>1143</v>
      </c>
      <c r="AG71" s="102">
        <f t="shared" si="27"/>
        <v>1143</v>
      </c>
      <c r="AH71" s="102">
        <f t="shared" si="27"/>
        <v>1143</v>
      </c>
      <c r="AI71" s="102">
        <f t="shared" si="27"/>
        <v>1143</v>
      </c>
      <c r="AJ71" s="102">
        <f t="shared" si="27"/>
        <v>1143</v>
      </c>
      <c r="AK71" s="102">
        <f t="shared" si="27"/>
        <v>1143</v>
      </c>
      <c r="AL71" s="102">
        <f t="shared" si="27"/>
        <v>762</v>
      </c>
      <c r="AM71" s="102">
        <f t="shared" si="27"/>
        <v>654</v>
      </c>
      <c r="AN71" s="102">
        <f t="shared" si="27"/>
        <v>1047</v>
      </c>
      <c r="AO71" s="102">
        <f t="shared" si="27"/>
        <v>1178</v>
      </c>
      <c r="AP71" s="102">
        <f t="shared" si="27"/>
        <v>1178</v>
      </c>
      <c r="AQ71" s="102">
        <f t="shared" si="27"/>
        <v>1178</v>
      </c>
      <c r="AR71" s="102">
        <f t="shared" si="27"/>
        <v>1178</v>
      </c>
      <c r="AS71" s="102">
        <f t="shared" si="27"/>
        <v>1178</v>
      </c>
      <c r="AT71" s="102">
        <f t="shared" si="27"/>
        <v>1178</v>
      </c>
      <c r="AU71" s="102">
        <f t="shared" si="27"/>
        <v>1178</v>
      </c>
      <c r="AV71" s="102">
        <f t="shared" si="27"/>
        <v>1178</v>
      </c>
      <c r="AW71" s="102">
        <f t="shared" si="27"/>
        <v>1178</v>
      </c>
      <c r="AX71" s="102">
        <f t="shared" si="27"/>
        <v>785</v>
      </c>
      <c r="AY71" s="102">
        <f t="shared" si="27"/>
        <v>674</v>
      </c>
      <c r="AZ71" s="102">
        <f t="shared" si="27"/>
        <v>1078</v>
      </c>
      <c r="BA71" s="102">
        <f t="shared" si="27"/>
        <v>1213</v>
      </c>
      <c r="BB71" s="102">
        <f t="shared" si="27"/>
        <v>1213</v>
      </c>
      <c r="BC71" s="102">
        <f t="shared" si="27"/>
        <v>1213</v>
      </c>
      <c r="BD71" s="102">
        <f t="shared" si="27"/>
        <v>1213</v>
      </c>
      <c r="BE71" s="102">
        <f t="shared" si="27"/>
        <v>1213</v>
      </c>
      <c r="BF71" s="102">
        <f t="shared" si="27"/>
        <v>1213</v>
      </c>
      <c r="BG71" s="102">
        <f t="shared" si="27"/>
        <v>1213</v>
      </c>
      <c r="BH71" s="102">
        <f t="shared" si="27"/>
        <v>1213</v>
      </c>
      <c r="BI71" s="102">
        <f t="shared" si="27"/>
        <v>1213</v>
      </c>
      <c r="BJ71" s="102">
        <f t="shared" si="27"/>
        <v>809</v>
      </c>
      <c r="BK71" s="103">
        <f>SUM(C71:BJ71)</f>
        <v>45800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28">ROUNDUP(+D50*D70,0)</f>
        <v>0</v>
      </c>
      <c r="E72" s="169">
        <f t="shared" si="28"/>
        <v>0</v>
      </c>
      <c r="F72" s="169">
        <f t="shared" si="28"/>
        <v>0</v>
      </c>
      <c r="G72" s="169">
        <f t="shared" si="28"/>
        <v>34</v>
      </c>
      <c r="H72" s="169">
        <f t="shared" si="28"/>
        <v>85</v>
      </c>
      <c r="I72" s="169">
        <f t="shared" si="28"/>
        <v>85</v>
      </c>
      <c r="J72" s="169">
        <f t="shared" si="28"/>
        <v>85</v>
      </c>
      <c r="K72" s="169">
        <f t="shared" si="28"/>
        <v>85</v>
      </c>
      <c r="L72" s="169">
        <f t="shared" si="28"/>
        <v>85</v>
      </c>
      <c r="M72" s="169">
        <f t="shared" si="28"/>
        <v>85</v>
      </c>
      <c r="N72" s="169">
        <f t="shared" si="28"/>
        <v>81</v>
      </c>
      <c r="O72" s="102">
        <f t="shared" ref="O72:BJ72" si="29">ROUNDUP(+O50*O70,0)</f>
        <v>80</v>
      </c>
      <c r="P72" s="102">
        <f t="shared" si="29"/>
        <v>128</v>
      </c>
      <c r="Q72" s="102">
        <f t="shared" si="29"/>
        <v>144</v>
      </c>
      <c r="R72" s="102">
        <f t="shared" si="29"/>
        <v>144</v>
      </c>
      <c r="S72" s="102">
        <f t="shared" si="29"/>
        <v>144</v>
      </c>
      <c r="T72" s="102">
        <f t="shared" si="29"/>
        <v>144</v>
      </c>
      <c r="U72" s="102">
        <f t="shared" si="29"/>
        <v>144</v>
      </c>
      <c r="V72" s="102">
        <f t="shared" si="29"/>
        <v>144</v>
      </c>
      <c r="W72" s="102">
        <f t="shared" si="29"/>
        <v>144</v>
      </c>
      <c r="X72" s="102">
        <f t="shared" si="29"/>
        <v>144</v>
      </c>
      <c r="Y72" s="102">
        <f t="shared" si="29"/>
        <v>144</v>
      </c>
      <c r="Z72" s="102">
        <f t="shared" si="29"/>
        <v>96</v>
      </c>
      <c r="AA72" s="102">
        <f t="shared" si="29"/>
        <v>273</v>
      </c>
      <c r="AB72" s="102">
        <f t="shared" si="29"/>
        <v>436</v>
      </c>
      <c r="AC72" s="102">
        <f t="shared" si="29"/>
        <v>491</v>
      </c>
      <c r="AD72" s="102">
        <f t="shared" si="29"/>
        <v>491</v>
      </c>
      <c r="AE72" s="102">
        <f t="shared" si="29"/>
        <v>491</v>
      </c>
      <c r="AF72" s="102">
        <f t="shared" si="29"/>
        <v>491</v>
      </c>
      <c r="AG72" s="102">
        <f t="shared" si="29"/>
        <v>491</v>
      </c>
      <c r="AH72" s="102">
        <f t="shared" si="29"/>
        <v>491</v>
      </c>
      <c r="AI72" s="102">
        <f t="shared" si="29"/>
        <v>491</v>
      </c>
      <c r="AJ72" s="102">
        <f t="shared" si="29"/>
        <v>491</v>
      </c>
      <c r="AK72" s="102">
        <f t="shared" si="29"/>
        <v>491</v>
      </c>
      <c r="AL72" s="102">
        <f t="shared" si="29"/>
        <v>327</v>
      </c>
      <c r="AM72" s="102">
        <f t="shared" si="29"/>
        <v>281</v>
      </c>
      <c r="AN72" s="102">
        <f t="shared" si="29"/>
        <v>449</v>
      </c>
      <c r="AO72" s="102">
        <f t="shared" si="29"/>
        <v>505</v>
      </c>
      <c r="AP72" s="102">
        <f t="shared" si="29"/>
        <v>505</v>
      </c>
      <c r="AQ72" s="102">
        <f t="shared" si="29"/>
        <v>505</v>
      </c>
      <c r="AR72" s="102">
        <f t="shared" si="29"/>
        <v>505</v>
      </c>
      <c r="AS72" s="102">
        <f t="shared" si="29"/>
        <v>505</v>
      </c>
      <c r="AT72" s="102">
        <f t="shared" si="29"/>
        <v>505</v>
      </c>
      <c r="AU72" s="102">
        <f t="shared" si="29"/>
        <v>505</v>
      </c>
      <c r="AV72" s="102">
        <f t="shared" si="29"/>
        <v>505</v>
      </c>
      <c r="AW72" s="102">
        <f t="shared" si="29"/>
        <v>505</v>
      </c>
      <c r="AX72" s="102">
        <f t="shared" si="29"/>
        <v>337</v>
      </c>
      <c r="AY72" s="102">
        <f t="shared" si="29"/>
        <v>289</v>
      </c>
      <c r="AZ72" s="102">
        <f t="shared" si="29"/>
        <v>463</v>
      </c>
      <c r="BA72" s="102">
        <f t="shared" si="29"/>
        <v>520</v>
      </c>
      <c r="BB72" s="102">
        <f t="shared" si="29"/>
        <v>520</v>
      </c>
      <c r="BC72" s="102">
        <f t="shared" si="29"/>
        <v>520</v>
      </c>
      <c r="BD72" s="102">
        <f t="shared" si="29"/>
        <v>520</v>
      </c>
      <c r="BE72" s="102">
        <f t="shared" si="29"/>
        <v>520</v>
      </c>
      <c r="BF72" s="102">
        <f t="shared" si="29"/>
        <v>520</v>
      </c>
      <c r="BG72" s="102">
        <f t="shared" si="29"/>
        <v>520</v>
      </c>
      <c r="BH72" s="102">
        <f t="shared" si="29"/>
        <v>520</v>
      </c>
      <c r="BI72" s="102">
        <f t="shared" si="29"/>
        <v>520</v>
      </c>
      <c r="BJ72" s="102">
        <f t="shared" si="29"/>
        <v>347</v>
      </c>
      <c r="BK72" s="103">
        <f>SUM(C72:BJ72)</f>
        <v>19071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332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0">C75*(1-C76)</f>
        <v>0</v>
      </c>
      <c r="D77" s="169">
        <f t="shared" si="30"/>
        <v>0</v>
      </c>
      <c r="E77" s="169">
        <f t="shared" si="30"/>
        <v>0</v>
      </c>
      <c r="F77" s="169">
        <f t="shared" si="30"/>
        <v>0</v>
      </c>
      <c r="G77" s="169">
        <f t="shared" si="30"/>
        <v>0</v>
      </c>
      <c r="H77" s="169">
        <f t="shared" si="30"/>
        <v>0</v>
      </c>
      <c r="I77" s="169">
        <f t="shared" si="30"/>
        <v>0</v>
      </c>
      <c r="J77" s="169">
        <f t="shared" si="30"/>
        <v>0</v>
      </c>
      <c r="K77" s="169">
        <f t="shared" si="30"/>
        <v>0</v>
      </c>
      <c r="L77" s="169">
        <f t="shared" si="30"/>
        <v>0</v>
      </c>
      <c r="M77" s="169">
        <f t="shared" si="30"/>
        <v>0</v>
      </c>
      <c r="N77" s="169">
        <f t="shared" si="30"/>
        <v>0</v>
      </c>
      <c r="O77" s="169">
        <f t="shared" si="30"/>
        <v>0</v>
      </c>
      <c r="P77" s="169">
        <f t="shared" si="30"/>
        <v>0</v>
      </c>
      <c r="Q77" s="169">
        <f t="shared" si="30"/>
        <v>0</v>
      </c>
      <c r="R77" s="169">
        <f t="shared" si="30"/>
        <v>0</v>
      </c>
      <c r="S77" s="169">
        <f t="shared" ref="S77:AH77" si="31">S75*(1-S76)</f>
        <v>0</v>
      </c>
      <c r="T77" s="169">
        <f t="shared" si="31"/>
        <v>0</v>
      </c>
      <c r="U77" s="169">
        <f t="shared" si="31"/>
        <v>0</v>
      </c>
      <c r="V77" s="169">
        <f t="shared" si="31"/>
        <v>0</v>
      </c>
      <c r="W77" s="169">
        <f t="shared" si="31"/>
        <v>0</v>
      </c>
      <c r="X77" s="169">
        <f t="shared" si="31"/>
        <v>0</v>
      </c>
      <c r="Y77" s="169">
        <f t="shared" si="31"/>
        <v>0</v>
      </c>
      <c r="Z77" s="169">
        <f t="shared" si="31"/>
        <v>0</v>
      </c>
      <c r="AA77" s="169">
        <f t="shared" si="31"/>
        <v>0</v>
      </c>
      <c r="AB77" s="169">
        <f t="shared" si="31"/>
        <v>0</v>
      </c>
      <c r="AC77" s="169">
        <f t="shared" si="31"/>
        <v>0</v>
      </c>
      <c r="AD77" s="169">
        <f t="shared" si="31"/>
        <v>0</v>
      </c>
      <c r="AE77" s="169">
        <f t="shared" si="31"/>
        <v>0</v>
      </c>
      <c r="AF77" s="169">
        <f t="shared" si="31"/>
        <v>0</v>
      </c>
      <c r="AG77" s="169">
        <f t="shared" si="31"/>
        <v>0</v>
      </c>
      <c r="AH77" s="169">
        <f t="shared" si="31"/>
        <v>0</v>
      </c>
      <c r="AI77" s="169">
        <f t="shared" ref="AI77:AL77" si="32">AI75*(1-AI76)</f>
        <v>0</v>
      </c>
      <c r="AJ77" s="169">
        <f t="shared" si="32"/>
        <v>0</v>
      </c>
      <c r="AK77" s="169">
        <f t="shared" si="32"/>
        <v>0</v>
      </c>
      <c r="AL77" s="169">
        <f t="shared" si="32"/>
        <v>0</v>
      </c>
      <c r="AM77" s="90">
        <f t="shared" si="30"/>
        <v>0</v>
      </c>
      <c r="AN77" s="90">
        <f t="shared" si="30"/>
        <v>0</v>
      </c>
      <c r="AO77" s="90">
        <f t="shared" si="30"/>
        <v>0</v>
      </c>
      <c r="AP77" s="90">
        <f t="shared" si="30"/>
        <v>0</v>
      </c>
      <c r="AQ77" s="90">
        <f t="shared" si="30"/>
        <v>0</v>
      </c>
      <c r="AR77" s="90">
        <f t="shared" si="30"/>
        <v>0</v>
      </c>
      <c r="AS77" s="90">
        <f t="shared" si="30"/>
        <v>0</v>
      </c>
      <c r="AT77" s="90">
        <f t="shared" si="30"/>
        <v>0</v>
      </c>
      <c r="AU77" s="90">
        <f t="shared" si="30"/>
        <v>0</v>
      </c>
      <c r="AV77" s="90">
        <f t="shared" si="30"/>
        <v>0</v>
      </c>
      <c r="AW77" s="90">
        <f t="shared" si="30"/>
        <v>0</v>
      </c>
      <c r="AX77" s="90">
        <f t="shared" si="30"/>
        <v>0</v>
      </c>
      <c r="AY77" s="90">
        <f t="shared" si="30"/>
        <v>0</v>
      </c>
      <c r="AZ77" s="90">
        <f t="shared" si="30"/>
        <v>0</v>
      </c>
      <c r="BA77" s="90">
        <f t="shared" si="30"/>
        <v>0</v>
      </c>
      <c r="BB77" s="90">
        <f t="shared" si="30"/>
        <v>0</v>
      </c>
      <c r="BC77" s="90">
        <f t="shared" si="30"/>
        <v>0</v>
      </c>
      <c r="BD77" s="90">
        <f t="shared" si="30"/>
        <v>0</v>
      </c>
      <c r="BE77" s="90">
        <f t="shared" si="30"/>
        <v>0</v>
      </c>
      <c r="BF77" s="90">
        <f t="shared" si="30"/>
        <v>0</v>
      </c>
      <c r="BG77" s="90">
        <f t="shared" si="30"/>
        <v>0</v>
      </c>
      <c r="BH77" s="90">
        <f t="shared" si="30"/>
        <v>0</v>
      </c>
      <c r="BI77" s="90">
        <f t="shared" si="30"/>
        <v>0</v>
      </c>
      <c r="BJ77" s="90">
        <f t="shared" si="30"/>
        <v>0</v>
      </c>
      <c r="BK77" s="118">
        <f>SUM(C77:BJ77)</f>
        <v>0</v>
      </c>
    </row>
    <row r="78" spans="1:63" outlineLevel="1" x14ac:dyDescent="0.15">
      <c r="A78" s="47" t="s">
        <v>345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'REV-REC-MAINT_CWS'!$I$104</f>
        <v>0</v>
      </c>
      <c r="G78" s="169">
        <f>'REV-REC-MAINT_CWS'!$I$104</f>
        <v>0</v>
      </c>
      <c r="H78" s="169">
        <f>'REV-REC-MAINT_CWS'!$I$104</f>
        <v>0</v>
      </c>
      <c r="I78" s="169">
        <f>'REV-REC-MAINT_CWS'!$I$104</f>
        <v>0</v>
      </c>
      <c r="J78" s="169">
        <f>'REV-REC-MAINT_CWS'!$I$104</f>
        <v>0</v>
      </c>
      <c r="K78" s="169">
        <f>'REV-REC-MAINT_CWS'!$I$104</f>
        <v>0</v>
      </c>
      <c r="L78" s="169">
        <f>'REV-REC-MAINT_CWS'!$I$104</f>
        <v>0</v>
      </c>
      <c r="M78" s="169">
        <f>'REV-REC-MAINT_CWS'!$I$104</f>
        <v>0</v>
      </c>
      <c r="N78" s="169">
        <f>'REV-REC-MAINT_CWS'!$I$104</f>
        <v>0</v>
      </c>
      <c r="O78" s="169">
        <f>'REV-REC-MAINT_CWS'!$I$104</f>
        <v>0</v>
      </c>
      <c r="P78" s="169">
        <f>'REV-REC-MAINT_CWS'!$I$104</f>
        <v>0</v>
      </c>
      <c r="Q78" s="169">
        <f>'REV-REC-MAINT_CWS'!$I$104</f>
        <v>0</v>
      </c>
      <c r="R78" s="169">
        <f>'REV-REC-MAINT_CWS'!$I$104</f>
        <v>0</v>
      </c>
      <c r="S78" s="169">
        <f>'REV-REC-MAINT_CWS'!$I$104</f>
        <v>0</v>
      </c>
      <c r="T78" s="169">
        <f>'REV-REC-MAINT_CWS'!$I$104</f>
        <v>0</v>
      </c>
      <c r="U78" s="169">
        <f>'REV-REC-MAINT_CWS'!$I$104</f>
        <v>0</v>
      </c>
      <c r="V78" s="169">
        <f>'REV-REC-MAINT_CWS'!$I$104</f>
        <v>0</v>
      </c>
      <c r="W78" s="169">
        <f>'REV-REC-MAINT_CWS'!$I$104</f>
        <v>0</v>
      </c>
      <c r="X78" s="169">
        <f>'REV-REC-MAINT_CWS'!$I$104</f>
        <v>0</v>
      </c>
      <c r="Y78" s="169">
        <f>'REV-REC-MAINT_CWS'!$I$104</f>
        <v>0</v>
      </c>
      <c r="Z78" s="169">
        <f>'REV-REC-MAINT_CWS'!$I$104</f>
        <v>0</v>
      </c>
      <c r="AA78" s="169">
        <f>'REV-REC-MAINT_CWS'!$I$104</f>
        <v>0</v>
      </c>
      <c r="AB78" s="169">
        <f>'REV-REC-MAINT_CWS'!$I$104</f>
        <v>0</v>
      </c>
      <c r="AC78" s="169">
        <f>'REV-REC-MAINT_CWS'!$I$104</f>
        <v>0</v>
      </c>
      <c r="AD78" s="169">
        <f>'REV-REC-MAINT_CWS'!$I$104</f>
        <v>0</v>
      </c>
      <c r="AE78" s="169">
        <f>'REV-REC-MAINT_CWS'!$I$104</f>
        <v>0</v>
      </c>
      <c r="AF78" s="169">
        <f>'REV-REC-MAINT_CWS'!$I$104</f>
        <v>0</v>
      </c>
      <c r="AG78" s="169">
        <f>'REV-REC-MAINT_CWS'!$I$104</f>
        <v>0</v>
      </c>
      <c r="AH78" s="169">
        <f>'REV-REC-MAINT_CWS'!$I$104</f>
        <v>0</v>
      </c>
      <c r="AI78" s="169">
        <f>'REV-REC-MAINT_CWS'!$I$104</f>
        <v>0</v>
      </c>
      <c r="AJ78" s="169">
        <f>'REV-REC-MAINT_CWS'!$I$104</f>
        <v>0</v>
      </c>
      <c r="AK78" s="169">
        <f>'REV-REC-MAINT_CWS'!$I$104</f>
        <v>0</v>
      </c>
      <c r="AL78" s="169">
        <f>'REV-REC-MAINT_CWS'!$I$104</f>
        <v>0</v>
      </c>
      <c r="AM78" s="169">
        <f>'REV-REC-MAINT_CWS'!$I$104</f>
        <v>0</v>
      </c>
      <c r="AN78" s="169">
        <f>'REV-REC-MAINT_CWS'!$I$104</f>
        <v>0</v>
      </c>
      <c r="AO78" s="169">
        <f>'REV-REC-MAINT_CWS'!$I$104</f>
        <v>0</v>
      </c>
      <c r="AP78" s="169">
        <f>'REV-REC-MAINT_CWS'!$I$104</f>
        <v>0</v>
      </c>
      <c r="AQ78" s="169">
        <f>'REV-REC-MAINT_CWS'!$I$104</f>
        <v>0</v>
      </c>
      <c r="AR78" s="169">
        <f>'REV-REC-MAINT_CWS'!$I$104</f>
        <v>0</v>
      </c>
      <c r="AS78" s="169">
        <f>'REV-REC-MAINT_CWS'!$I$104</f>
        <v>0</v>
      </c>
      <c r="AT78" s="169">
        <f>'REV-REC-MAINT_CWS'!$I$104</f>
        <v>0</v>
      </c>
      <c r="AU78" s="169">
        <f>'REV-REC-MAINT_CWS'!$I$104</f>
        <v>0</v>
      </c>
      <c r="AV78" s="169">
        <f>'REV-REC-MAINT_CWS'!$I$104</f>
        <v>0</v>
      </c>
      <c r="AW78" s="169">
        <f>'REV-REC-MAINT_CWS'!$I$104</f>
        <v>0</v>
      </c>
      <c r="AX78" s="169">
        <f>'REV-REC-MAINT_CWS'!$I$104</f>
        <v>0</v>
      </c>
      <c r="AY78" s="169">
        <f>'REV-REC-MAINT_CWS'!$I$104</f>
        <v>0</v>
      </c>
      <c r="AZ78" s="169">
        <f>'REV-REC-MAINT_CWS'!$I$104</f>
        <v>0</v>
      </c>
      <c r="BA78" s="169">
        <f>'REV-REC-MAINT_CWS'!$I$104</f>
        <v>0</v>
      </c>
      <c r="BB78" s="169">
        <f>'REV-REC-MAINT_CWS'!$I$104</f>
        <v>0</v>
      </c>
      <c r="BC78" s="169">
        <f>'REV-REC-MAINT_CWS'!$I$104</f>
        <v>0</v>
      </c>
      <c r="BD78" s="169">
        <f>'REV-REC-MAINT_CWS'!$I$104</f>
        <v>0</v>
      </c>
      <c r="BE78" s="169">
        <f>'REV-REC-MAINT_CWS'!$I$104</f>
        <v>0</v>
      </c>
      <c r="BF78" s="169">
        <f>'REV-REC-MAINT_CWS'!$I$104</f>
        <v>0</v>
      </c>
      <c r="BG78" s="169">
        <f>'REV-REC-MAINT_CWS'!$I$104</f>
        <v>0</v>
      </c>
      <c r="BH78" s="169">
        <f>'REV-REC-MAINT_CWS'!$I$104</f>
        <v>0</v>
      </c>
      <c r="BI78" s="169">
        <f>'REV-REC-MAINT_CWS'!$I$104</f>
        <v>0</v>
      </c>
      <c r="BJ78" s="169">
        <f>'REV-REC-MAINT_CWS'!$I$104</f>
        <v>0</v>
      </c>
      <c r="BK78" s="118">
        <f>SUM(C78:BJ78)</f>
        <v>0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0</v>
      </c>
      <c r="G81" s="90">
        <f>'COGS-PRICE-MARGIN_CWS'!$B49*G72</f>
        <v>85000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57581152.394475028</v>
      </c>
    </row>
    <row r="82" spans="1:64" outlineLevel="1" x14ac:dyDescent="0.15">
      <c r="A82" s="47" t="s">
        <v>344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1204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3">D$17+D$40+D$41+D$44+D$45</f>
        <v>0</v>
      </c>
      <c r="E86" s="97">
        <f t="shared" si="33"/>
        <v>0</v>
      </c>
      <c r="F86" s="97">
        <f t="shared" si="33"/>
        <v>9009000</v>
      </c>
      <c r="G86" s="97">
        <f t="shared" si="33"/>
        <v>9079000</v>
      </c>
      <c r="H86" s="97">
        <f t="shared" si="33"/>
        <v>9096500</v>
      </c>
      <c r="I86" s="97">
        <f t="shared" si="33"/>
        <v>9096500</v>
      </c>
      <c r="J86" s="97">
        <f t="shared" si="33"/>
        <v>9096500</v>
      </c>
      <c r="K86" s="97">
        <f t="shared" si="33"/>
        <v>9096500</v>
      </c>
      <c r="L86" s="97">
        <f t="shared" si="33"/>
        <v>9096500</v>
      </c>
      <c r="M86" s="97">
        <f t="shared" si="33"/>
        <v>9096500</v>
      </c>
      <c r="N86" s="97">
        <f t="shared" si="33"/>
        <v>9074000</v>
      </c>
      <c r="O86" s="97">
        <f t="shared" si="33"/>
        <v>9137600</v>
      </c>
      <c r="P86" s="97">
        <f t="shared" si="33"/>
        <v>9445225</v>
      </c>
      <c r="Q86" s="97">
        <f t="shared" si="33"/>
        <v>9546875</v>
      </c>
      <c r="R86" s="97">
        <f t="shared" si="33"/>
        <v>9546875</v>
      </c>
      <c r="S86" s="97">
        <f t="shared" si="33"/>
        <v>9546875</v>
      </c>
      <c r="T86" s="97">
        <f t="shared" si="33"/>
        <v>9546875</v>
      </c>
      <c r="U86" s="97">
        <f t="shared" si="33"/>
        <v>9546875</v>
      </c>
      <c r="V86" s="97">
        <f t="shared" si="33"/>
        <v>9546875</v>
      </c>
      <c r="W86" s="97">
        <f t="shared" si="33"/>
        <v>9546875</v>
      </c>
      <c r="X86" s="97">
        <f t="shared" si="33"/>
        <v>9546875</v>
      </c>
      <c r="Y86" s="97">
        <f t="shared" si="33"/>
        <v>9546875</v>
      </c>
      <c r="Z86" s="97">
        <f t="shared" si="33"/>
        <v>9239250</v>
      </c>
      <c r="AA86" s="97">
        <f t="shared" si="33"/>
        <v>9431154.5</v>
      </c>
      <c r="AB86" s="97">
        <f t="shared" si="33"/>
        <v>9914874.75</v>
      </c>
      <c r="AC86" s="97">
        <f t="shared" si="33"/>
        <v>10075160.75</v>
      </c>
      <c r="AD86" s="97">
        <f t="shared" si="33"/>
        <v>10075160.75</v>
      </c>
      <c r="AE86" s="97">
        <f t="shared" si="33"/>
        <v>10075160.75</v>
      </c>
      <c r="AF86" s="97">
        <f t="shared" si="33"/>
        <v>10075160.75</v>
      </c>
      <c r="AG86" s="97">
        <f t="shared" si="33"/>
        <v>10075160.75</v>
      </c>
      <c r="AH86" s="97">
        <f t="shared" si="33"/>
        <v>10075160.75</v>
      </c>
      <c r="AI86" s="97">
        <f t="shared" si="33"/>
        <v>10075160.75</v>
      </c>
      <c r="AJ86" s="97">
        <f t="shared" si="33"/>
        <v>10075160.75</v>
      </c>
      <c r="AK86" s="97">
        <f t="shared" si="33"/>
        <v>10075160.75</v>
      </c>
      <c r="AL86" s="97">
        <f t="shared" si="33"/>
        <v>9591440.5</v>
      </c>
      <c r="AM86" s="97">
        <f t="shared" si="33"/>
        <v>10342122.807500001</v>
      </c>
      <c r="AN86" s="97">
        <f t="shared" si="33"/>
        <v>11374221.535</v>
      </c>
      <c r="AO86" s="97">
        <f t="shared" si="33"/>
        <v>11717233.574999999</v>
      </c>
      <c r="AP86" s="97">
        <f t="shared" si="33"/>
        <v>11717233.574999999</v>
      </c>
      <c r="AQ86" s="97">
        <f t="shared" si="33"/>
        <v>11717233.574999999</v>
      </c>
      <c r="AR86" s="97">
        <f t="shared" si="33"/>
        <v>11717233.574999999</v>
      </c>
      <c r="AS86" s="97">
        <f t="shared" si="33"/>
        <v>11717233.574999999</v>
      </c>
      <c r="AT86" s="97">
        <f t="shared" si="33"/>
        <v>11717233.574999999</v>
      </c>
      <c r="AU86" s="97">
        <f t="shared" si="33"/>
        <v>11717233.574999999</v>
      </c>
      <c r="AV86" s="97">
        <f t="shared" si="33"/>
        <v>11717233.574999999</v>
      </c>
      <c r="AW86" s="97">
        <f t="shared" si="33"/>
        <v>11717233.574999999</v>
      </c>
      <c r="AX86" s="97">
        <f t="shared" si="33"/>
        <v>10685134.8475</v>
      </c>
      <c r="AY86" s="97">
        <f t="shared" si="33"/>
        <v>10518100.234449999</v>
      </c>
      <c r="AZ86" s="97">
        <f t="shared" si="33"/>
        <v>11655215.773125</v>
      </c>
      <c r="BA86" s="97">
        <f t="shared" si="33"/>
        <v>12032069.626</v>
      </c>
      <c r="BB86" s="97">
        <f t="shared" si="33"/>
        <v>12032069.626</v>
      </c>
      <c r="BC86" s="97">
        <f t="shared" si="33"/>
        <v>12032069.626</v>
      </c>
      <c r="BD86" s="97">
        <f t="shared" si="33"/>
        <v>12032069.626</v>
      </c>
      <c r="BE86" s="97">
        <f t="shared" si="33"/>
        <v>12032069.626</v>
      </c>
      <c r="BF86" s="97">
        <f t="shared" si="33"/>
        <v>12032069.626</v>
      </c>
      <c r="BG86" s="97">
        <f t="shared" si="33"/>
        <v>12032069.626</v>
      </c>
      <c r="BH86" s="97">
        <f t="shared" si="33"/>
        <v>12032069.626</v>
      </c>
      <c r="BI86" s="97">
        <f t="shared" si="33"/>
        <v>12032069.626</v>
      </c>
      <c r="BJ86" s="97">
        <f t="shared" si="33"/>
        <v>10898231.07735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4">D$28+D$40+D$41+D$44+D$45</f>
        <v>0</v>
      </c>
      <c r="E87" s="97">
        <f t="shared" si="34"/>
        <v>0</v>
      </c>
      <c r="F87" s="97">
        <f t="shared" si="34"/>
        <v>385000</v>
      </c>
      <c r="G87" s="97">
        <f t="shared" si="34"/>
        <v>455000</v>
      </c>
      <c r="H87" s="97">
        <f t="shared" si="34"/>
        <v>472500</v>
      </c>
      <c r="I87" s="97">
        <f t="shared" si="34"/>
        <v>472500</v>
      </c>
      <c r="J87" s="97">
        <f t="shared" si="34"/>
        <v>472500</v>
      </c>
      <c r="K87" s="97">
        <f t="shared" si="34"/>
        <v>472500</v>
      </c>
      <c r="L87" s="97">
        <f t="shared" si="34"/>
        <v>472500</v>
      </c>
      <c r="M87" s="97">
        <f t="shared" si="34"/>
        <v>472500</v>
      </c>
      <c r="N87" s="97">
        <f t="shared" si="34"/>
        <v>450000</v>
      </c>
      <c r="O87" s="97">
        <f t="shared" si="34"/>
        <v>513600</v>
      </c>
      <c r="P87" s="97">
        <f t="shared" si="34"/>
        <v>821225</v>
      </c>
      <c r="Q87" s="97">
        <f t="shared" si="34"/>
        <v>922875</v>
      </c>
      <c r="R87" s="97">
        <f t="shared" si="34"/>
        <v>922875</v>
      </c>
      <c r="S87" s="97">
        <f t="shared" si="34"/>
        <v>922875</v>
      </c>
      <c r="T87" s="97">
        <f t="shared" si="34"/>
        <v>922875</v>
      </c>
      <c r="U87" s="97">
        <f t="shared" si="34"/>
        <v>922875</v>
      </c>
      <c r="V87" s="97">
        <f t="shared" si="34"/>
        <v>922875</v>
      </c>
      <c r="W87" s="97">
        <f t="shared" si="34"/>
        <v>922875</v>
      </c>
      <c r="X87" s="97">
        <f t="shared" si="34"/>
        <v>922875</v>
      </c>
      <c r="Y87" s="97">
        <f t="shared" si="34"/>
        <v>922875</v>
      </c>
      <c r="Z87" s="97">
        <f t="shared" si="34"/>
        <v>615250</v>
      </c>
      <c r="AA87" s="97">
        <f t="shared" si="34"/>
        <v>807154.5</v>
      </c>
      <c r="AB87" s="97">
        <f t="shared" si="34"/>
        <v>1290874.75</v>
      </c>
      <c r="AC87" s="97">
        <f t="shared" si="34"/>
        <v>1451160.75</v>
      </c>
      <c r="AD87" s="97">
        <f t="shared" si="34"/>
        <v>1451160.75</v>
      </c>
      <c r="AE87" s="97">
        <f t="shared" si="34"/>
        <v>1451160.75</v>
      </c>
      <c r="AF87" s="97">
        <f t="shared" si="34"/>
        <v>1451160.75</v>
      </c>
      <c r="AG87" s="97">
        <f t="shared" si="34"/>
        <v>1451160.75</v>
      </c>
      <c r="AH87" s="97">
        <f t="shared" si="34"/>
        <v>1451160.75</v>
      </c>
      <c r="AI87" s="97">
        <f t="shared" si="34"/>
        <v>1451160.75</v>
      </c>
      <c r="AJ87" s="97">
        <f t="shared" si="34"/>
        <v>1451160.75</v>
      </c>
      <c r="AK87" s="97">
        <f t="shared" si="34"/>
        <v>1451160.75</v>
      </c>
      <c r="AL87" s="97">
        <f t="shared" si="34"/>
        <v>967440.5</v>
      </c>
      <c r="AM87" s="97">
        <f t="shared" si="34"/>
        <v>1718122.8075000001</v>
      </c>
      <c r="AN87" s="97">
        <f t="shared" si="34"/>
        <v>2750221.5350000001</v>
      </c>
      <c r="AO87" s="97">
        <f t="shared" si="34"/>
        <v>3093233.5750000002</v>
      </c>
      <c r="AP87" s="97">
        <f t="shared" si="34"/>
        <v>3093233.5750000002</v>
      </c>
      <c r="AQ87" s="97">
        <f t="shared" si="34"/>
        <v>3093233.5750000002</v>
      </c>
      <c r="AR87" s="97">
        <f t="shared" si="34"/>
        <v>3093233.5750000002</v>
      </c>
      <c r="AS87" s="97">
        <f t="shared" si="34"/>
        <v>3093233.5750000002</v>
      </c>
      <c r="AT87" s="97">
        <f t="shared" si="34"/>
        <v>3093233.5750000002</v>
      </c>
      <c r="AU87" s="97">
        <f t="shared" si="34"/>
        <v>3093233.5750000002</v>
      </c>
      <c r="AV87" s="97">
        <f t="shared" si="34"/>
        <v>3093233.5750000002</v>
      </c>
      <c r="AW87" s="97">
        <f t="shared" si="34"/>
        <v>3093233.5750000002</v>
      </c>
      <c r="AX87" s="97">
        <f t="shared" si="34"/>
        <v>2061134.8475000001</v>
      </c>
      <c r="AY87" s="97">
        <f t="shared" si="34"/>
        <v>1894100.2344500001</v>
      </c>
      <c r="AZ87" s="97">
        <f t="shared" si="34"/>
        <v>3031215.7731249998</v>
      </c>
      <c r="BA87" s="97">
        <f t="shared" si="34"/>
        <v>3408069.6260000002</v>
      </c>
      <c r="BB87" s="97">
        <f t="shared" si="34"/>
        <v>3408069.6260000002</v>
      </c>
      <c r="BC87" s="97">
        <f t="shared" si="34"/>
        <v>3408069.6260000002</v>
      </c>
      <c r="BD87" s="97">
        <f t="shared" si="34"/>
        <v>3408069.6260000002</v>
      </c>
      <c r="BE87" s="97">
        <f t="shared" si="34"/>
        <v>3408069.6260000002</v>
      </c>
      <c r="BF87" s="97">
        <f t="shared" si="34"/>
        <v>3408069.6260000002</v>
      </c>
      <c r="BG87" s="97">
        <f t="shared" si="34"/>
        <v>3408069.6260000002</v>
      </c>
      <c r="BH87" s="97">
        <f t="shared" si="34"/>
        <v>3408069.6260000002</v>
      </c>
      <c r="BI87" s="97">
        <f t="shared" si="34"/>
        <v>3408069.6260000002</v>
      </c>
      <c r="BJ87" s="97">
        <f t="shared" si="34"/>
        <v>2274231.0773499999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5">D$54+D$77+D$78+D$81+D$82</f>
        <v>0</v>
      </c>
      <c r="E88" s="97">
        <f t="shared" si="35"/>
        <v>0</v>
      </c>
      <c r="F88" s="97">
        <f>F$54+F$77+F$78+F$81+F$82</f>
        <v>0</v>
      </c>
      <c r="G88" s="97">
        <f t="shared" si="35"/>
        <v>2923000</v>
      </c>
      <c r="H88" s="97">
        <f t="shared" si="35"/>
        <v>7340500</v>
      </c>
      <c r="I88" s="97">
        <f t="shared" si="35"/>
        <v>7340500</v>
      </c>
      <c r="J88" s="97">
        <f t="shared" si="35"/>
        <v>7340500</v>
      </c>
      <c r="K88" s="97">
        <f t="shared" si="35"/>
        <v>7340500</v>
      </c>
      <c r="L88" s="97">
        <f t="shared" si="35"/>
        <v>7340500</v>
      </c>
      <c r="M88" s="97">
        <f t="shared" si="35"/>
        <v>7340500</v>
      </c>
      <c r="N88" s="97">
        <f t="shared" si="35"/>
        <v>6978500</v>
      </c>
      <c r="O88" s="97">
        <f t="shared" si="35"/>
        <v>7723260</v>
      </c>
      <c r="P88" s="97">
        <f t="shared" si="35"/>
        <v>12347800</v>
      </c>
      <c r="Q88" s="97">
        <f t="shared" si="35"/>
        <v>13897160</v>
      </c>
      <c r="R88" s="97">
        <f t="shared" si="35"/>
        <v>13897160</v>
      </c>
      <c r="S88" s="97">
        <f t="shared" si="35"/>
        <v>13897160</v>
      </c>
      <c r="T88" s="97">
        <f t="shared" si="35"/>
        <v>13897160</v>
      </c>
      <c r="U88" s="97">
        <f t="shared" si="35"/>
        <v>13897160</v>
      </c>
      <c r="V88" s="97">
        <f t="shared" si="35"/>
        <v>13897160</v>
      </c>
      <c r="W88" s="97">
        <f t="shared" si="35"/>
        <v>13897160</v>
      </c>
      <c r="X88" s="97">
        <f t="shared" si="35"/>
        <v>13897160</v>
      </c>
      <c r="Y88" s="97">
        <f t="shared" si="35"/>
        <v>13897160</v>
      </c>
      <c r="Z88" s="97">
        <f t="shared" si="35"/>
        <v>9272620</v>
      </c>
      <c r="AA88" s="97">
        <f t="shared" si="35"/>
        <v>23651916.650000002</v>
      </c>
      <c r="AB88" s="97">
        <f t="shared" si="35"/>
        <v>37820626.600000001</v>
      </c>
      <c r="AC88" s="97">
        <f t="shared" si="35"/>
        <v>42562229.950000003</v>
      </c>
      <c r="AD88" s="97">
        <f t="shared" si="35"/>
        <v>42562229.950000003</v>
      </c>
      <c r="AE88" s="97">
        <f t="shared" si="35"/>
        <v>42562229.950000003</v>
      </c>
      <c r="AF88" s="97">
        <f t="shared" si="35"/>
        <v>42562229.950000003</v>
      </c>
      <c r="AG88" s="97">
        <f t="shared" si="35"/>
        <v>42562229.950000003</v>
      </c>
      <c r="AH88" s="97">
        <f t="shared" si="35"/>
        <v>42562229.950000003</v>
      </c>
      <c r="AI88" s="97">
        <f t="shared" si="35"/>
        <v>42562229.950000003</v>
      </c>
      <c r="AJ88" s="97">
        <f t="shared" si="35"/>
        <v>42562229.950000003</v>
      </c>
      <c r="AK88" s="97">
        <f t="shared" si="35"/>
        <v>42562229.950000003</v>
      </c>
      <c r="AL88" s="97">
        <f t="shared" si="35"/>
        <v>28365469.950000003</v>
      </c>
      <c r="AM88" s="97">
        <f t="shared" si="35"/>
        <v>26059727.217500001</v>
      </c>
      <c r="AN88" s="97">
        <f t="shared" si="35"/>
        <v>41693725.983500004</v>
      </c>
      <c r="AO88" s="97">
        <f t="shared" si="35"/>
        <v>46905058.90550001</v>
      </c>
      <c r="AP88" s="97">
        <f t="shared" si="35"/>
        <v>46905058.90550001</v>
      </c>
      <c r="AQ88" s="97">
        <f t="shared" si="35"/>
        <v>46905058.90550001</v>
      </c>
      <c r="AR88" s="97">
        <f t="shared" si="35"/>
        <v>46905058.90550001</v>
      </c>
      <c r="AS88" s="97">
        <f t="shared" si="35"/>
        <v>46905058.90550001</v>
      </c>
      <c r="AT88" s="97">
        <f t="shared" si="35"/>
        <v>46905058.90550001</v>
      </c>
      <c r="AU88" s="97">
        <f t="shared" si="35"/>
        <v>46905058.90550001</v>
      </c>
      <c r="AV88" s="97">
        <f t="shared" si="35"/>
        <v>46905058.90550001</v>
      </c>
      <c r="AW88" s="97">
        <f t="shared" si="35"/>
        <v>46905058.90550001</v>
      </c>
      <c r="AX88" s="97">
        <f t="shared" si="35"/>
        <v>31271060.139500003</v>
      </c>
      <c r="AY88" s="97">
        <f t="shared" si="35"/>
        <v>25202901.517225001</v>
      </c>
      <c r="AZ88" s="97">
        <f t="shared" si="35"/>
        <v>40331646.181575008</v>
      </c>
      <c r="BA88" s="97">
        <f t="shared" si="35"/>
        <v>45354492.213000007</v>
      </c>
      <c r="BB88" s="97">
        <f t="shared" si="35"/>
        <v>45354492.213000007</v>
      </c>
      <c r="BC88" s="97">
        <f t="shared" si="35"/>
        <v>45354492.213000007</v>
      </c>
      <c r="BD88" s="97">
        <f t="shared" si="35"/>
        <v>45354492.213000007</v>
      </c>
      <c r="BE88" s="97">
        <f t="shared" si="35"/>
        <v>45354492.213000007</v>
      </c>
      <c r="BF88" s="97">
        <f t="shared" si="35"/>
        <v>45354492.213000007</v>
      </c>
      <c r="BG88" s="97">
        <f t="shared" si="35"/>
        <v>45354492.213000007</v>
      </c>
      <c r="BH88" s="97">
        <f t="shared" si="35"/>
        <v>45354492.213000007</v>
      </c>
      <c r="BI88" s="97">
        <f t="shared" si="35"/>
        <v>45354492.213000007</v>
      </c>
      <c r="BJ88" s="97">
        <f t="shared" si="35"/>
        <v>30254212.338675003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6">D$65+D$77+D$78+D$81+D$82</f>
        <v>0</v>
      </c>
      <c r="E89" s="97">
        <f t="shared" si="36"/>
        <v>0</v>
      </c>
      <c r="F89" s="97">
        <f t="shared" si="36"/>
        <v>0</v>
      </c>
      <c r="G89" s="97">
        <f t="shared" si="36"/>
        <v>1375000</v>
      </c>
      <c r="H89" s="97">
        <f t="shared" si="36"/>
        <v>3452500</v>
      </c>
      <c r="I89" s="97">
        <f t="shared" si="36"/>
        <v>3452500</v>
      </c>
      <c r="J89" s="97">
        <f t="shared" si="36"/>
        <v>3452500</v>
      </c>
      <c r="K89" s="97">
        <f t="shared" si="36"/>
        <v>3452500</v>
      </c>
      <c r="L89" s="97">
        <f t="shared" si="36"/>
        <v>3452500</v>
      </c>
      <c r="M89" s="97">
        <f t="shared" si="36"/>
        <v>3452500</v>
      </c>
      <c r="N89" s="97">
        <f t="shared" si="36"/>
        <v>3282500</v>
      </c>
      <c r="O89" s="97">
        <f t="shared" si="36"/>
        <v>3627300</v>
      </c>
      <c r="P89" s="97">
        <f t="shared" si="36"/>
        <v>5799400</v>
      </c>
      <c r="Q89" s="97">
        <f t="shared" si="36"/>
        <v>6527000</v>
      </c>
      <c r="R89" s="97">
        <f t="shared" si="36"/>
        <v>6527000</v>
      </c>
      <c r="S89" s="97">
        <f t="shared" si="36"/>
        <v>6527000</v>
      </c>
      <c r="T89" s="97">
        <f t="shared" si="36"/>
        <v>6527000</v>
      </c>
      <c r="U89" s="97">
        <f t="shared" si="36"/>
        <v>6527000</v>
      </c>
      <c r="V89" s="97">
        <f t="shared" si="36"/>
        <v>6527000</v>
      </c>
      <c r="W89" s="97">
        <f t="shared" si="36"/>
        <v>6527000</v>
      </c>
      <c r="X89" s="97">
        <f t="shared" si="36"/>
        <v>6527000</v>
      </c>
      <c r="Y89" s="97">
        <f t="shared" si="36"/>
        <v>6527000</v>
      </c>
      <c r="Z89" s="97">
        <f t="shared" si="36"/>
        <v>4354900</v>
      </c>
      <c r="AA89" s="97">
        <f t="shared" si="36"/>
        <v>11177086.250000002</v>
      </c>
      <c r="AB89" s="97">
        <f t="shared" si="36"/>
        <v>17871889.000000004</v>
      </c>
      <c r="AC89" s="97">
        <f t="shared" si="36"/>
        <v>20113030.75</v>
      </c>
      <c r="AD89" s="97">
        <f t="shared" si="36"/>
        <v>20113030.75</v>
      </c>
      <c r="AE89" s="97">
        <f t="shared" si="36"/>
        <v>20113030.75</v>
      </c>
      <c r="AF89" s="97">
        <f t="shared" si="36"/>
        <v>20113030.75</v>
      </c>
      <c r="AG89" s="97">
        <f t="shared" si="36"/>
        <v>20113030.75</v>
      </c>
      <c r="AH89" s="97">
        <f t="shared" si="36"/>
        <v>20113030.75</v>
      </c>
      <c r="AI89" s="97">
        <f t="shared" si="36"/>
        <v>20113030.75</v>
      </c>
      <c r="AJ89" s="97">
        <f t="shared" si="36"/>
        <v>20113030.75</v>
      </c>
      <c r="AK89" s="97">
        <f t="shared" si="36"/>
        <v>20113030.75</v>
      </c>
      <c r="AL89" s="97">
        <f t="shared" si="36"/>
        <v>13403916.750000002</v>
      </c>
      <c r="AM89" s="97">
        <f t="shared" si="36"/>
        <v>13213949.217500001</v>
      </c>
      <c r="AN89" s="97">
        <f t="shared" si="36"/>
        <v>21140481.183500007</v>
      </c>
      <c r="AO89" s="97">
        <f t="shared" si="36"/>
        <v>23782658.505500007</v>
      </c>
      <c r="AP89" s="97">
        <f t="shared" si="36"/>
        <v>23782658.505500007</v>
      </c>
      <c r="AQ89" s="97">
        <f t="shared" si="36"/>
        <v>23782658.505500007</v>
      </c>
      <c r="AR89" s="97">
        <f t="shared" si="36"/>
        <v>23782658.505500007</v>
      </c>
      <c r="AS89" s="97">
        <f t="shared" si="36"/>
        <v>23782658.505500007</v>
      </c>
      <c r="AT89" s="97">
        <f t="shared" si="36"/>
        <v>23782658.505500007</v>
      </c>
      <c r="AU89" s="97">
        <f t="shared" si="36"/>
        <v>23782658.505500007</v>
      </c>
      <c r="AV89" s="97">
        <f t="shared" si="36"/>
        <v>23782658.505500007</v>
      </c>
      <c r="AW89" s="97">
        <f t="shared" si="36"/>
        <v>23782658.505500007</v>
      </c>
      <c r="AX89" s="97">
        <f t="shared" si="36"/>
        <v>15856126.539500002</v>
      </c>
      <c r="AY89" s="97">
        <f t="shared" si="36"/>
        <v>11046304.609225001</v>
      </c>
      <c r="AZ89" s="97">
        <f t="shared" si="36"/>
        <v>17678151.025575001</v>
      </c>
      <c r="BA89" s="97">
        <f t="shared" si="36"/>
        <v>19878497.985000007</v>
      </c>
      <c r="BB89" s="97">
        <f t="shared" si="36"/>
        <v>19878497.985000007</v>
      </c>
      <c r="BC89" s="97">
        <f t="shared" si="36"/>
        <v>19878497.985000007</v>
      </c>
      <c r="BD89" s="97">
        <f t="shared" si="36"/>
        <v>19878497.985000007</v>
      </c>
      <c r="BE89" s="97">
        <f t="shared" si="36"/>
        <v>19878497.985000007</v>
      </c>
      <c r="BF89" s="97">
        <f t="shared" si="36"/>
        <v>19878497.985000007</v>
      </c>
      <c r="BG89" s="97">
        <f t="shared" si="36"/>
        <v>19878497.985000007</v>
      </c>
      <c r="BH89" s="97">
        <f t="shared" si="36"/>
        <v>19878497.985000007</v>
      </c>
      <c r="BI89" s="97">
        <f t="shared" si="36"/>
        <v>19878497.985000007</v>
      </c>
      <c r="BJ89" s="97">
        <f t="shared" si="36"/>
        <v>13260415.842675004</v>
      </c>
    </row>
    <row r="90" spans="1:64" x14ac:dyDescent="0.15">
      <c r="A90" s="33" t="s">
        <v>351</v>
      </c>
      <c r="C90" s="97">
        <f t="shared" ref="C90:Z90" si="37">C45+C44+C41+C40+C17+C54+C77+C78+C81+C82</f>
        <v>0</v>
      </c>
      <c r="D90" s="97">
        <f t="shared" si="37"/>
        <v>0</v>
      </c>
      <c r="E90" s="97">
        <f t="shared" si="37"/>
        <v>0</v>
      </c>
      <c r="F90" s="97">
        <f t="shared" si="37"/>
        <v>9009000</v>
      </c>
      <c r="G90" s="97">
        <f t="shared" si="37"/>
        <v>12002000</v>
      </c>
      <c r="H90" s="97">
        <f t="shared" si="37"/>
        <v>16437000</v>
      </c>
      <c r="I90" s="97">
        <f t="shared" si="37"/>
        <v>16437000</v>
      </c>
      <c r="J90" s="97">
        <f t="shared" si="37"/>
        <v>16437000</v>
      </c>
      <c r="K90" s="97">
        <f t="shared" si="37"/>
        <v>16437000</v>
      </c>
      <c r="L90" s="97">
        <f t="shared" si="37"/>
        <v>16437000</v>
      </c>
      <c r="M90" s="97">
        <f t="shared" si="37"/>
        <v>16437000</v>
      </c>
      <c r="N90" s="97">
        <f t="shared" si="37"/>
        <v>16052500</v>
      </c>
      <c r="O90" s="97">
        <f t="shared" si="37"/>
        <v>16860860</v>
      </c>
      <c r="P90" s="97">
        <f t="shared" si="37"/>
        <v>21793025</v>
      </c>
      <c r="Q90" s="97">
        <f t="shared" si="37"/>
        <v>23444035</v>
      </c>
      <c r="R90" s="97">
        <f t="shared" si="37"/>
        <v>23444035</v>
      </c>
      <c r="S90" s="97">
        <f t="shared" si="37"/>
        <v>23444035</v>
      </c>
      <c r="T90" s="97">
        <f t="shared" si="37"/>
        <v>23444035</v>
      </c>
      <c r="U90" s="97">
        <f t="shared" si="37"/>
        <v>23444035</v>
      </c>
      <c r="V90" s="97">
        <f t="shared" si="37"/>
        <v>23444035</v>
      </c>
      <c r="W90" s="97">
        <f t="shared" si="37"/>
        <v>23444035</v>
      </c>
      <c r="X90" s="97">
        <f t="shared" si="37"/>
        <v>23444035</v>
      </c>
      <c r="Y90" s="97">
        <f t="shared" si="37"/>
        <v>23444035</v>
      </c>
      <c r="Z90" s="97">
        <f t="shared" si="37"/>
        <v>18511870</v>
      </c>
      <c r="AA90" s="97">
        <f t="shared" ref="AA90:AL90" si="38">AA45+AA44+AA41+AA40+AA17+AA54+AA77+AA78+AA81+AA82</f>
        <v>33083071.150000002</v>
      </c>
      <c r="AB90" s="97">
        <f t="shared" si="38"/>
        <v>47735501.350000001</v>
      </c>
      <c r="AC90" s="97">
        <f t="shared" si="38"/>
        <v>52637390.700000003</v>
      </c>
      <c r="AD90" s="97">
        <f t="shared" si="38"/>
        <v>52637390.700000003</v>
      </c>
      <c r="AE90" s="97">
        <f t="shared" si="38"/>
        <v>52637390.700000003</v>
      </c>
      <c r="AF90" s="97">
        <f t="shared" si="38"/>
        <v>52637390.700000003</v>
      </c>
      <c r="AG90" s="97">
        <f t="shared" si="38"/>
        <v>52637390.700000003</v>
      </c>
      <c r="AH90" s="97">
        <f t="shared" si="38"/>
        <v>52637390.700000003</v>
      </c>
      <c r="AI90" s="97">
        <f t="shared" si="38"/>
        <v>52637390.700000003</v>
      </c>
      <c r="AJ90" s="97">
        <f t="shared" si="38"/>
        <v>52637390.700000003</v>
      </c>
      <c r="AK90" s="97">
        <f t="shared" si="38"/>
        <v>52637390.700000003</v>
      </c>
      <c r="AL90" s="97">
        <f t="shared" si="38"/>
        <v>37956910.450000003</v>
      </c>
      <c r="AM90" s="97">
        <f t="shared" ref="AM90:BJ90" si="39">AM45+AM44+AM41+AM40+AM17+AM54+AM77+AM78+AM81+AM82</f>
        <v>36401850.025000006</v>
      </c>
      <c r="AN90" s="97">
        <f t="shared" si="39"/>
        <v>53067947.5185</v>
      </c>
      <c r="AO90" s="97">
        <f t="shared" si="39"/>
        <v>58622292.480500005</v>
      </c>
      <c r="AP90" s="97">
        <f t="shared" si="39"/>
        <v>58622292.480500005</v>
      </c>
      <c r="AQ90" s="97">
        <f t="shared" si="39"/>
        <v>58622292.480500005</v>
      </c>
      <c r="AR90" s="97">
        <f t="shared" si="39"/>
        <v>58622292.480500005</v>
      </c>
      <c r="AS90" s="97">
        <f t="shared" si="39"/>
        <v>58622292.480500005</v>
      </c>
      <c r="AT90" s="97">
        <f t="shared" si="39"/>
        <v>58622292.480500005</v>
      </c>
      <c r="AU90" s="97">
        <f t="shared" si="39"/>
        <v>58622292.480500005</v>
      </c>
      <c r="AV90" s="97">
        <f t="shared" si="39"/>
        <v>58622292.480500005</v>
      </c>
      <c r="AW90" s="97">
        <f t="shared" si="39"/>
        <v>58622292.480500005</v>
      </c>
      <c r="AX90" s="97">
        <f t="shared" si="39"/>
        <v>41956194.987000003</v>
      </c>
      <c r="AY90" s="97">
        <f t="shared" si="39"/>
        <v>35721001.751675002</v>
      </c>
      <c r="AZ90" s="97">
        <f t="shared" si="39"/>
        <v>51986861.954700008</v>
      </c>
      <c r="BA90" s="97">
        <f t="shared" si="39"/>
        <v>57386561.839000009</v>
      </c>
      <c r="BB90" s="97">
        <f t="shared" si="39"/>
        <v>57386561.839000009</v>
      </c>
      <c r="BC90" s="97">
        <f t="shared" si="39"/>
        <v>57386561.839000009</v>
      </c>
      <c r="BD90" s="97">
        <f t="shared" si="39"/>
        <v>57386561.839000009</v>
      </c>
      <c r="BE90" s="97">
        <f t="shared" si="39"/>
        <v>57386561.839000009</v>
      </c>
      <c r="BF90" s="97">
        <f t="shared" si="39"/>
        <v>57386561.839000009</v>
      </c>
      <c r="BG90" s="97">
        <f t="shared" si="39"/>
        <v>57386561.839000009</v>
      </c>
      <c r="BH90" s="97">
        <f t="shared" si="39"/>
        <v>57386561.839000009</v>
      </c>
      <c r="BI90" s="97">
        <f t="shared" si="39"/>
        <v>57386561.839000009</v>
      </c>
      <c r="BJ90" s="97">
        <f t="shared" si="39"/>
        <v>41152443.416025005</v>
      </c>
      <c r="BK90" s="118">
        <f>SUM(C90:BJ90)</f>
        <v>2300725557.7784004</v>
      </c>
      <c r="BL90" s="97">
        <f>BK45+BK44+BK41+BK40+BK17</f>
        <v>111371621.58392504</v>
      </c>
    </row>
    <row r="91" spans="1:64" x14ac:dyDescent="0.15">
      <c r="A91" s="33" t="s">
        <v>356</v>
      </c>
      <c r="C91" s="97">
        <f t="shared" ref="C91:Z91" si="40">C28+C40+C41+C44+C45+C65+C77+C78+C81+C82</f>
        <v>0</v>
      </c>
      <c r="D91" s="97">
        <f t="shared" si="40"/>
        <v>0</v>
      </c>
      <c r="E91" s="97">
        <f t="shared" si="40"/>
        <v>0</v>
      </c>
      <c r="F91" s="97">
        <f t="shared" si="40"/>
        <v>385000</v>
      </c>
      <c r="G91" s="97">
        <f t="shared" si="40"/>
        <v>1830000</v>
      </c>
      <c r="H91" s="97">
        <f t="shared" si="40"/>
        <v>3925000</v>
      </c>
      <c r="I91" s="97">
        <f t="shared" si="40"/>
        <v>3925000</v>
      </c>
      <c r="J91" s="97">
        <f t="shared" si="40"/>
        <v>3925000</v>
      </c>
      <c r="K91" s="97">
        <f t="shared" si="40"/>
        <v>3925000</v>
      </c>
      <c r="L91" s="97">
        <f t="shared" si="40"/>
        <v>3925000</v>
      </c>
      <c r="M91" s="97">
        <f t="shared" si="40"/>
        <v>3925000</v>
      </c>
      <c r="N91" s="97">
        <f t="shared" si="40"/>
        <v>3732500</v>
      </c>
      <c r="O91" s="97">
        <f t="shared" si="40"/>
        <v>4140900</v>
      </c>
      <c r="P91" s="97">
        <f t="shared" si="40"/>
        <v>6620625</v>
      </c>
      <c r="Q91" s="97">
        <f t="shared" si="40"/>
        <v>7449875</v>
      </c>
      <c r="R91" s="97">
        <f t="shared" si="40"/>
        <v>7449875</v>
      </c>
      <c r="S91" s="97">
        <f t="shared" si="40"/>
        <v>7449875</v>
      </c>
      <c r="T91" s="97">
        <f t="shared" si="40"/>
        <v>7449875</v>
      </c>
      <c r="U91" s="97">
        <f t="shared" si="40"/>
        <v>7449875</v>
      </c>
      <c r="V91" s="97">
        <f t="shared" si="40"/>
        <v>7449875</v>
      </c>
      <c r="W91" s="97">
        <f t="shared" si="40"/>
        <v>7449875</v>
      </c>
      <c r="X91" s="97">
        <f t="shared" si="40"/>
        <v>7449875</v>
      </c>
      <c r="Y91" s="97">
        <f t="shared" si="40"/>
        <v>7449875</v>
      </c>
      <c r="Z91" s="97">
        <f t="shared" si="40"/>
        <v>4970150</v>
      </c>
      <c r="AA91" s="97">
        <f t="shared" ref="AA91:AL91" si="41">AA28+AA40+AA41+AA44+AA45+AA65+AA77+AA78+AA81+AA82</f>
        <v>11984240.750000002</v>
      </c>
      <c r="AB91" s="97">
        <f t="shared" si="41"/>
        <v>19162763.750000004</v>
      </c>
      <c r="AC91" s="97">
        <f t="shared" si="41"/>
        <v>21564191.5</v>
      </c>
      <c r="AD91" s="97">
        <f t="shared" si="41"/>
        <v>21564191.5</v>
      </c>
      <c r="AE91" s="97">
        <f t="shared" si="41"/>
        <v>21564191.5</v>
      </c>
      <c r="AF91" s="97">
        <f t="shared" si="41"/>
        <v>21564191.5</v>
      </c>
      <c r="AG91" s="97">
        <f t="shared" si="41"/>
        <v>21564191.5</v>
      </c>
      <c r="AH91" s="97">
        <f t="shared" si="41"/>
        <v>21564191.5</v>
      </c>
      <c r="AI91" s="97">
        <f t="shared" si="41"/>
        <v>21564191.5</v>
      </c>
      <c r="AJ91" s="97">
        <f t="shared" si="41"/>
        <v>21564191.5</v>
      </c>
      <c r="AK91" s="97">
        <f t="shared" si="41"/>
        <v>21564191.5</v>
      </c>
      <c r="AL91" s="97">
        <f t="shared" si="41"/>
        <v>14371357.250000002</v>
      </c>
      <c r="AM91" s="97">
        <f t="shared" ref="AM91:BJ91" si="42">AM28+AM40+AM41+AM44+AM45+AM65+AM77+AM78+AM81+AM82</f>
        <v>14932072.025000002</v>
      </c>
      <c r="AN91" s="97">
        <f t="shared" si="42"/>
        <v>23890702.718500003</v>
      </c>
      <c r="AO91" s="97">
        <f t="shared" si="42"/>
        <v>26875892.080500007</v>
      </c>
      <c r="AP91" s="97">
        <f t="shared" si="42"/>
        <v>26875892.080500007</v>
      </c>
      <c r="AQ91" s="97">
        <f t="shared" si="42"/>
        <v>26875892.080500007</v>
      </c>
      <c r="AR91" s="97">
        <f t="shared" si="42"/>
        <v>26875892.080500007</v>
      </c>
      <c r="AS91" s="97">
        <f t="shared" si="42"/>
        <v>26875892.080500007</v>
      </c>
      <c r="AT91" s="97">
        <f t="shared" si="42"/>
        <v>26875892.080500007</v>
      </c>
      <c r="AU91" s="97">
        <f t="shared" si="42"/>
        <v>26875892.080500007</v>
      </c>
      <c r="AV91" s="97">
        <f t="shared" si="42"/>
        <v>26875892.080500007</v>
      </c>
      <c r="AW91" s="97">
        <f t="shared" si="42"/>
        <v>26875892.080500007</v>
      </c>
      <c r="AX91" s="97">
        <f t="shared" si="42"/>
        <v>17917261.387000002</v>
      </c>
      <c r="AY91" s="97">
        <f t="shared" si="42"/>
        <v>12940404.843675001</v>
      </c>
      <c r="AZ91" s="97">
        <f t="shared" si="42"/>
        <v>20709366.798700001</v>
      </c>
      <c r="BA91" s="97">
        <f t="shared" si="42"/>
        <v>23286567.611000009</v>
      </c>
      <c r="BB91" s="97">
        <f t="shared" si="42"/>
        <v>23286567.611000009</v>
      </c>
      <c r="BC91" s="97">
        <f t="shared" si="42"/>
        <v>23286567.611000009</v>
      </c>
      <c r="BD91" s="97">
        <f t="shared" si="42"/>
        <v>23286567.611000009</v>
      </c>
      <c r="BE91" s="97">
        <f t="shared" si="42"/>
        <v>23286567.611000009</v>
      </c>
      <c r="BF91" s="97">
        <f t="shared" si="42"/>
        <v>23286567.611000009</v>
      </c>
      <c r="BG91" s="97">
        <f t="shared" si="42"/>
        <v>23286567.611000009</v>
      </c>
      <c r="BH91" s="97">
        <f t="shared" si="42"/>
        <v>23286567.611000009</v>
      </c>
      <c r="BI91" s="97">
        <f t="shared" si="42"/>
        <v>23286567.611000009</v>
      </c>
      <c r="BJ91" s="97">
        <f t="shared" si="42"/>
        <v>15534646.920025006</v>
      </c>
      <c r="BK91" s="118">
        <f>SUM(C91:BJ91)</f>
        <v>909260727.16640055</v>
      </c>
    </row>
    <row r="92" spans="1:64" x14ac:dyDescent="0.15">
      <c r="C92" s="103">
        <f t="shared" ref="C92:E93" si="43">C86+C88</f>
        <v>0</v>
      </c>
      <c r="D92" s="103">
        <f t="shared" si="43"/>
        <v>0</v>
      </c>
      <c r="E92" s="103">
        <f t="shared" si="43"/>
        <v>0</v>
      </c>
      <c r="F92" s="103">
        <f>F86+F88</f>
        <v>9009000</v>
      </c>
      <c r="G92" s="103">
        <f t="shared" ref="G92:M93" si="44">G86+G88</f>
        <v>12002000</v>
      </c>
      <c r="H92" s="103">
        <f t="shared" si="44"/>
        <v>16437000</v>
      </c>
      <c r="I92" s="103">
        <f t="shared" si="44"/>
        <v>16437000</v>
      </c>
      <c r="J92" s="103">
        <f t="shared" si="44"/>
        <v>16437000</v>
      </c>
      <c r="K92" s="103">
        <f t="shared" si="44"/>
        <v>16437000</v>
      </c>
      <c r="L92" s="103">
        <f t="shared" si="44"/>
        <v>16437000</v>
      </c>
      <c r="M92" s="103">
        <f t="shared" si="44"/>
        <v>16437000</v>
      </c>
      <c r="N92" s="103">
        <f>N$86+N$88</f>
        <v>16052500</v>
      </c>
      <c r="O92" s="103">
        <f>O$86+O$88</f>
        <v>16860860</v>
      </c>
      <c r="P92" s="103">
        <f t="shared" ref="P92:BJ92" si="45">P$86+P$88</f>
        <v>21793025</v>
      </c>
      <c r="Q92" s="103">
        <f t="shared" si="45"/>
        <v>23444035</v>
      </c>
      <c r="R92" s="103">
        <f t="shared" si="45"/>
        <v>23444035</v>
      </c>
      <c r="S92" s="103">
        <f t="shared" si="45"/>
        <v>23444035</v>
      </c>
      <c r="T92" s="103">
        <f t="shared" si="45"/>
        <v>23444035</v>
      </c>
      <c r="U92" s="103">
        <f t="shared" si="45"/>
        <v>23444035</v>
      </c>
      <c r="V92" s="103">
        <f t="shared" si="45"/>
        <v>23444035</v>
      </c>
      <c r="W92" s="103">
        <f t="shared" si="45"/>
        <v>23444035</v>
      </c>
      <c r="X92" s="103">
        <f t="shared" si="45"/>
        <v>23444035</v>
      </c>
      <c r="Y92" s="103">
        <f t="shared" si="45"/>
        <v>23444035</v>
      </c>
      <c r="Z92" s="103">
        <f t="shared" si="45"/>
        <v>18511870</v>
      </c>
      <c r="AA92" s="103">
        <f t="shared" si="45"/>
        <v>33083071.150000002</v>
      </c>
      <c r="AB92" s="103">
        <f t="shared" si="45"/>
        <v>47735501.350000001</v>
      </c>
      <c r="AC92" s="103">
        <f t="shared" si="45"/>
        <v>52637390.700000003</v>
      </c>
      <c r="AD92" s="103">
        <f t="shared" si="45"/>
        <v>52637390.700000003</v>
      </c>
      <c r="AE92" s="103">
        <f t="shared" si="45"/>
        <v>52637390.700000003</v>
      </c>
      <c r="AF92" s="103">
        <f t="shared" si="45"/>
        <v>52637390.700000003</v>
      </c>
      <c r="AG92" s="103">
        <f t="shared" si="45"/>
        <v>52637390.700000003</v>
      </c>
      <c r="AH92" s="103">
        <f t="shared" si="45"/>
        <v>52637390.700000003</v>
      </c>
      <c r="AI92" s="103">
        <f t="shared" si="45"/>
        <v>52637390.700000003</v>
      </c>
      <c r="AJ92" s="103">
        <f t="shared" si="45"/>
        <v>52637390.700000003</v>
      </c>
      <c r="AK92" s="103">
        <f t="shared" si="45"/>
        <v>52637390.700000003</v>
      </c>
      <c r="AL92" s="103">
        <f t="shared" si="45"/>
        <v>37956910.450000003</v>
      </c>
      <c r="AM92" s="103">
        <f t="shared" si="45"/>
        <v>36401850.025000006</v>
      </c>
      <c r="AN92" s="103">
        <f t="shared" si="45"/>
        <v>53067947.5185</v>
      </c>
      <c r="AO92" s="103">
        <f t="shared" si="45"/>
        <v>58622292.480500013</v>
      </c>
      <c r="AP92" s="103">
        <f t="shared" si="45"/>
        <v>58622292.480500013</v>
      </c>
      <c r="AQ92" s="103">
        <f t="shared" si="45"/>
        <v>58622292.480500013</v>
      </c>
      <c r="AR92" s="103">
        <f t="shared" si="45"/>
        <v>58622292.480500013</v>
      </c>
      <c r="AS92" s="103">
        <f t="shared" si="45"/>
        <v>58622292.480500013</v>
      </c>
      <c r="AT92" s="103">
        <f t="shared" si="45"/>
        <v>58622292.480500013</v>
      </c>
      <c r="AU92" s="103">
        <f t="shared" si="45"/>
        <v>58622292.480500013</v>
      </c>
      <c r="AV92" s="103">
        <f t="shared" si="45"/>
        <v>58622292.480500013</v>
      </c>
      <c r="AW92" s="103">
        <f t="shared" si="45"/>
        <v>58622292.480500013</v>
      </c>
      <c r="AX92" s="103">
        <f t="shared" si="45"/>
        <v>41956194.987000003</v>
      </c>
      <c r="AY92" s="103">
        <f t="shared" si="45"/>
        <v>35721001.751675002</v>
      </c>
      <c r="AZ92" s="103">
        <f t="shared" si="45"/>
        <v>51986861.954700008</v>
      </c>
      <c r="BA92" s="103">
        <f t="shared" si="45"/>
        <v>57386561.839000009</v>
      </c>
      <c r="BB92" s="103">
        <f t="shared" si="45"/>
        <v>57386561.839000009</v>
      </c>
      <c r="BC92" s="103">
        <f t="shared" si="45"/>
        <v>57386561.839000009</v>
      </c>
      <c r="BD92" s="103">
        <f t="shared" si="45"/>
        <v>57386561.839000009</v>
      </c>
      <c r="BE92" s="103">
        <f t="shared" si="45"/>
        <v>57386561.839000009</v>
      </c>
      <c r="BF92" s="103">
        <f t="shared" si="45"/>
        <v>57386561.839000009</v>
      </c>
      <c r="BG92" s="103">
        <f t="shared" si="45"/>
        <v>57386561.839000009</v>
      </c>
      <c r="BH92" s="103">
        <f t="shared" si="45"/>
        <v>57386561.839000009</v>
      </c>
      <c r="BI92" s="103">
        <f t="shared" si="45"/>
        <v>57386561.839000009</v>
      </c>
      <c r="BJ92" s="103">
        <f t="shared" si="45"/>
        <v>41152443.416025005</v>
      </c>
    </row>
    <row r="93" spans="1:64" x14ac:dyDescent="0.15">
      <c r="C93" s="103">
        <f t="shared" si="43"/>
        <v>0</v>
      </c>
      <c r="D93" s="103">
        <f t="shared" si="43"/>
        <v>0</v>
      </c>
      <c r="E93" s="103">
        <f t="shared" si="43"/>
        <v>0</v>
      </c>
      <c r="F93" s="103">
        <f>F87+F89</f>
        <v>385000</v>
      </c>
      <c r="G93" s="103">
        <f t="shared" si="44"/>
        <v>1830000</v>
      </c>
      <c r="H93" s="103">
        <f t="shared" si="44"/>
        <v>3925000</v>
      </c>
      <c r="I93" s="103">
        <f t="shared" si="44"/>
        <v>3925000</v>
      </c>
      <c r="J93" s="103">
        <f t="shared" si="44"/>
        <v>3925000</v>
      </c>
      <c r="K93" s="103">
        <f t="shared" si="44"/>
        <v>3925000</v>
      </c>
      <c r="L93" s="103">
        <f t="shared" si="44"/>
        <v>3925000</v>
      </c>
      <c r="M93" s="103">
        <f t="shared" si="44"/>
        <v>3925000</v>
      </c>
      <c r="N93" s="103">
        <f>N$87+N$89</f>
        <v>3732500</v>
      </c>
      <c r="O93" s="103">
        <f>O$87+O$89</f>
        <v>4140900</v>
      </c>
      <c r="P93" s="103">
        <f t="shared" ref="P93:BJ93" si="46">P$87+P$89</f>
        <v>6620625</v>
      </c>
      <c r="Q93" s="103">
        <f t="shared" si="46"/>
        <v>7449875</v>
      </c>
      <c r="R93" s="103">
        <f t="shared" si="46"/>
        <v>7449875</v>
      </c>
      <c r="S93" s="103">
        <f t="shared" si="46"/>
        <v>7449875</v>
      </c>
      <c r="T93" s="103">
        <f t="shared" si="46"/>
        <v>7449875</v>
      </c>
      <c r="U93" s="103">
        <f t="shared" si="46"/>
        <v>7449875</v>
      </c>
      <c r="V93" s="103">
        <f t="shared" si="46"/>
        <v>7449875</v>
      </c>
      <c r="W93" s="103">
        <f t="shared" si="46"/>
        <v>7449875</v>
      </c>
      <c r="X93" s="103">
        <f t="shared" si="46"/>
        <v>7449875</v>
      </c>
      <c r="Y93" s="103">
        <f t="shared" si="46"/>
        <v>7449875</v>
      </c>
      <c r="Z93" s="103">
        <f t="shared" si="46"/>
        <v>4970150</v>
      </c>
      <c r="AA93" s="103">
        <f t="shared" si="46"/>
        <v>11984240.750000002</v>
      </c>
      <c r="AB93" s="103">
        <f t="shared" si="46"/>
        <v>19162763.750000004</v>
      </c>
      <c r="AC93" s="103">
        <f t="shared" si="46"/>
        <v>21564191.5</v>
      </c>
      <c r="AD93" s="103">
        <f t="shared" si="46"/>
        <v>21564191.5</v>
      </c>
      <c r="AE93" s="103">
        <f t="shared" si="46"/>
        <v>21564191.5</v>
      </c>
      <c r="AF93" s="103">
        <f t="shared" si="46"/>
        <v>21564191.5</v>
      </c>
      <c r="AG93" s="103">
        <f t="shared" si="46"/>
        <v>21564191.5</v>
      </c>
      <c r="AH93" s="103">
        <f t="shared" si="46"/>
        <v>21564191.5</v>
      </c>
      <c r="AI93" s="103">
        <f t="shared" si="46"/>
        <v>21564191.5</v>
      </c>
      <c r="AJ93" s="103">
        <f t="shared" si="46"/>
        <v>21564191.5</v>
      </c>
      <c r="AK93" s="103">
        <f t="shared" si="46"/>
        <v>21564191.5</v>
      </c>
      <c r="AL93" s="103">
        <f t="shared" si="46"/>
        <v>14371357.250000002</v>
      </c>
      <c r="AM93" s="103">
        <f t="shared" si="46"/>
        <v>14932072.025000002</v>
      </c>
      <c r="AN93" s="103">
        <f t="shared" si="46"/>
        <v>23890702.718500007</v>
      </c>
      <c r="AO93" s="103">
        <f t="shared" si="46"/>
        <v>26875892.080500007</v>
      </c>
      <c r="AP93" s="103">
        <f t="shared" si="46"/>
        <v>26875892.080500007</v>
      </c>
      <c r="AQ93" s="103">
        <f t="shared" si="46"/>
        <v>26875892.080500007</v>
      </c>
      <c r="AR93" s="103">
        <f t="shared" si="46"/>
        <v>26875892.080500007</v>
      </c>
      <c r="AS93" s="103">
        <f t="shared" si="46"/>
        <v>26875892.080500007</v>
      </c>
      <c r="AT93" s="103">
        <f t="shared" si="46"/>
        <v>26875892.080500007</v>
      </c>
      <c r="AU93" s="103">
        <f t="shared" si="46"/>
        <v>26875892.080500007</v>
      </c>
      <c r="AV93" s="103">
        <f t="shared" si="46"/>
        <v>26875892.080500007</v>
      </c>
      <c r="AW93" s="103">
        <f t="shared" si="46"/>
        <v>26875892.080500007</v>
      </c>
      <c r="AX93" s="103">
        <f t="shared" si="46"/>
        <v>17917261.387000002</v>
      </c>
      <c r="AY93" s="103">
        <f t="shared" si="46"/>
        <v>12940404.843675001</v>
      </c>
      <c r="AZ93" s="103">
        <f t="shared" si="46"/>
        <v>20709366.798700001</v>
      </c>
      <c r="BA93" s="103">
        <f t="shared" si="46"/>
        <v>23286567.611000009</v>
      </c>
      <c r="BB93" s="103">
        <f t="shared" si="46"/>
        <v>23286567.611000009</v>
      </c>
      <c r="BC93" s="103">
        <f t="shared" si="46"/>
        <v>23286567.611000009</v>
      </c>
      <c r="BD93" s="103">
        <f t="shared" si="46"/>
        <v>23286567.611000009</v>
      </c>
      <c r="BE93" s="103">
        <f t="shared" si="46"/>
        <v>23286567.611000009</v>
      </c>
      <c r="BF93" s="103">
        <f t="shared" si="46"/>
        <v>23286567.611000009</v>
      </c>
      <c r="BG93" s="103">
        <f t="shared" si="46"/>
        <v>23286567.611000009</v>
      </c>
      <c r="BH93" s="103">
        <f t="shared" si="46"/>
        <v>23286567.611000009</v>
      </c>
      <c r="BI93" s="103">
        <f t="shared" si="46"/>
        <v>23286567.611000009</v>
      </c>
      <c r="BJ93" s="103">
        <f t="shared" si="46"/>
        <v>15534646.920025004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336</v>
      </c>
      <c r="I1" s="68"/>
      <c r="J1" s="68"/>
      <c r="K1" s="68"/>
      <c r="L1" s="68"/>
      <c r="M1" s="68"/>
      <c r="N1" s="68"/>
    </row>
    <row r="2" spans="1:66" ht="13" x14ac:dyDescent="0.15">
      <c r="F2" s="390" t="s">
        <v>35</v>
      </c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 t="s">
        <v>36</v>
      </c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 t="s">
        <v>37</v>
      </c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 t="s">
        <v>38</v>
      </c>
      <c r="AQ2" s="390"/>
      <c r="AR2" s="390"/>
      <c r="AS2" s="390"/>
      <c r="AT2" s="390"/>
      <c r="AU2" s="390"/>
      <c r="AV2" s="390"/>
      <c r="AW2" s="390"/>
      <c r="AX2" s="390"/>
      <c r="AY2" s="390"/>
      <c r="AZ2" s="390"/>
      <c r="BA2" s="390"/>
      <c r="BB2" s="390" t="s">
        <v>39</v>
      </c>
      <c r="BC2" s="390"/>
      <c r="BD2" s="390"/>
      <c r="BE2" s="390"/>
      <c r="BF2" s="390"/>
      <c r="BG2" s="390"/>
      <c r="BH2" s="390"/>
      <c r="BI2" s="390"/>
      <c r="BJ2" s="390"/>
      <c r="BK2" s="390"/>
      <c r="BL2" s="390"/>
      <c r="BM2" s="390"/>
    </row>
    <row r="3" spans="1:66" ht="14.25" customHeight="1" x14ac:dyDescent="0.15">
      <c r="B3" s="301" t="s">
        <v>629</v>
      </c>
      <c r="C3" s="10" t="s">
        <v>1049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346</v>
      </c>
    </row>
    <row r="4" spans="1:66" ht="14.25" customHeight="1" x14ac:dyDescent="0.15">
      <c r="A4" s="34" t="s">
        <v>270</v>
      </c>
      <c r="B4" s="180" t="s">
        <v>629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462</v>
      </c>
      <c r="E8" s="67"/>
      <c r="F8" s="102"/>
      <c r="G8" s="102"/>
      <c r="H8" s="45"/>
      <c r="I8" s="101">
        <f>$D8</f>
        <v>462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462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462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462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462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462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544</v>
      </c>
      <c r="E9" s="67"/>
      <c r="F9" s="102"/>
      <c r="G9" s="102"/>
      <c r="H9" s="102"/>
      <c r="I9" s="45"/>
      <c r="J9" s="101">
        <f>$D9</f>
        <v>544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544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544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544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544</v>
      </c>
      <c r="BG9" s="101"/>
      <c r="BH9" s="101"/>
      <c r="BI9" s="101"/>
      <c r="BJ9" s="101"/>
      <c r="BK9" s="101"/>
      <c r="BL9" s="101"/>
      <c r="BM9" s="101"/>
      <c r="BN9" s="105">
        <f t="shared" si="0"/>
        <v>544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6" t="s">
        <v>624</v>
      </c>
      <c r="B66" s="396"/>
      <c r="C66" s="396"/>
      <c r="D66" s="39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462</v>
      </c>
      <c r="J66" s="102">
        <f t="shared" si="1"/>
        <v>544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1393</v>
      </c>
      <c r="V66" s="102">
        <f t="shared" si="1"/>
        <v>1475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2519</v>
      </c>
      <c r="AH66" s="102">
        <f t="shared" si="1"/>
        <v>2601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4874</v>
      </c>
      <c r="AT66" s="102">
        <f t="shared" si="1"/>
        <v>4956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7300</v>
      </c>
      <c r="BF66" s="102">
        <f t="shared" si="1"/>
        <v>7382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80909</v>
      </c>
    </row>
    <row r="67" spans="1:66" ht="14.25" customHeight="1" x14ac:dyDescent="0.15">
      <c r="A67" s="396" t="s">
        <v>626</v>
      </c>
      <c r="B67" s="396"/>
      <c r="C67" s="396"/>
      <c r="D67" s="39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6" t="s">
        <v>625</v>
      </c>
      <c r="B68" s="396"/>
      <c r="C68" s="396"/>
      <c r="D68" s="39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4934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15278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27789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53955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80909</v>
      </c>
      <c r="BN69" s="105">
        <f>SUM(F69:BM69)</f>
        <v>182865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623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90" t="s">
        <v>35</v>
      </c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10"/>
      <c r="S74" s="390" t="s">
        <v>36</v>
      </c>
      <c r="T74" s="390"/>
      <c r="U74" s="390"/>
      <c r="V74" s="390"/>
      <c r="W74" s="390"/>
      <c r="X74" s="390"/>
      <c r="Y74" s="390"/>
      <c r="Z74" s="390"/>
      <c r="AA74" s="390"/>
      <c r="AB74" s="390"/>
      <c r="AC74" s="390"/>
      <c r="AD74" s="390"/>
      <c r="AE74" s="10"/>
      <c r="AF74" s="390" t="s">
        <v>37</v>
      </c>
      <c r="AG74" s="390"/>
      <c r="AH74" s="390"/>
      <c r="AI74" s="390"/>
      <c r="AJ74" s="390"/>
      <c r="AK74" s="390"/>
      <c r="AL74" s="390"/>
      <c r="AM74" s="390"/>
      <c r="AN74" s="390"/>
      <c r="AO74" s="390"/>
      <c r="AP74" s="390"/>
      <c r="AQ74" s="390"/>
      <c r="AR74" s="10"/>
      <c r="AS74" s="390" t="s">
        <v>38</v>
      </c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  <c r="BD74" s="390"/>
      <c r="BE74" s="10"/>
      <c r="BF74" s="390" t="s">
        <v>39</v>
      </c>
      <c r="BG74" s="390"/>
      <c r="BH74" s="390"/>
      <c r="BI74" s="390"/>
      <c r="BJ74" s="390"/>
      <c r="BK74" s="390"/>
      <c r="BL74" s="390"/>
      <c r="BM74" s="39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154</v>
      </c>
      <c r="E81" s="67"/>
      <c r="F81" s="102"/>
      <c r="G81" s="102"/>
      <c r="H81" s="45"/>
      <c r="I81" s="101">
        <f>$D81</f>
        <v>154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154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154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154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154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154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182</v>
      </c>
      <c r="E82" s="67"/>
      <c r="F82" s="102"/>
      <c r="G82" s="102"/>
      <c r="H82" s="102"/>
      <c r="I82" s="45"/>
      <c r="J82" s="101">
        <f>$D82</f>
        <v>182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6" t="s">
        <v>627</v>
      </c>
      <c r="B139" s="396"/>
      <c r="C139" s="396"/>
      <c r="D139" s="39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154</v>
      </c>
      <c r="J139" s="169">
        <f t="shared" si="5"/>
        <v>182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499</v>
      </c>
      <c r="V139" s="169">
        <f t="shared" si="5"/>
        <v>527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1006</v>
      </c>
      <c r="AH139" s="169">
        <f t="shared" si="5"/>
        <v>1034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2016</v>
      </c>
      <c r="AT139" s="169">
        <f t="shared" si="5"/>
        <v>2044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3056</v>
      </c>
      <c r="BF139" s="169">
        <f t="shared" si="5"/>
        <v>3084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33897</v>
      </c>
    </row>
    <row r="140" spans="1:72" ht="14.25" customHeight="1" x14ac:dyDescent="0.15">
      <c r="A140" s="396" t="s">
        <v>343</v>
      </c>
      <c r="B140" s="396"/>
      <c r="C140" s="396"/>
      <c r="D140" s="39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6" t="s">
        <v>628</v>
      </c>
      <c r="B141" s="396"/>
      <c r="C141" s="396"/>
      <c r="D141" s="39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337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1650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5484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11118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22340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33897</v>
      </c>
      <c r="BN142" s="105">
        <f>SUM(F142:BM142)</f>
        <v>74489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469</v>
      </c>
      <c r="C4" s="9">
        <f>SUM(C14)</f>
        <v>0</v>
      </c>
      <c r="D4" s="9">
        <f>SUM(D14:O14)</f>
        <v>135685500</v>
      </c>
      <c r="E4" s="9">
        <f>SUM(P14:AA14)</f>
        <v>268162070</v>
      </c>
      <c r="F4" s="9">
        <f>SUM(AB14:AM14)</f>
        <v>592511999.25</v>
      </c>
      <c r="G4" s="9">
        <f>SUM(AN14:AY14)</f>
        <v>659026624.85500002</v>
      </c>
      <c r="H4" s="9">
        <f>SUM(AZ14:BK14)</f>
        <v>645339363.67340004</v>
      </c>
      <c r="I4" s="9">
        <f>SUM(E4:H4)</f>
        <v>2165040057.7783999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470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471</v>
      </c>
      <c r="C7" s="9">
        <f>C17</f>
        <v>0</v>
      </c>
      <c r="D7" s="9">
        <f>SUM(D17:O17)</f>
        <v>135685500</v>
      </c>
      <c r="E7" s="9">
        <f>SUM(P17:AA17)</f>
        <v>268162070</v>
      </c>
      <c r="F7" s="9">
        <f>SUM(AB17:AM17)</f>
        <v>592511999.25</v>
      </c>
      <c r="G7" s="9">
        <f>SUM(AN17:AY17)</f>
        <v>659026624.85500002</v>
      </c>
      <c r="H7" s="9">
        <f>SUM(AZ17:BK17)</f>
        <v>645339363.67340004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472</v>
      </c>
      <c r="C8" s="9">
        <f>C18</f>
        <v>0</v>
      </c>
      <c r="D8" s="9">
        <f>SUM(D18:O18)</f>
        <v>135685500</v>
      </c>
      <c r="E8" s="9">
        <f>SUM(P18:AA18)</f>
        <v>268162070</v>
      </c>
      <c r="F8" s="9">
        <f>SUM(AB18:AM18)</f>
        <v>592511999.25</v>
      </c>
      <c r="G8" s="9">
        <f>SUM(AN18:AY18)</f>
        <v>659026624.85500002</v>
      </c>
      <c r="H8" s="9">
        <f>SUM(AZ18:BK18)</f>
        <v>645339363.67340004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473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474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90" t="s">
        <v>35</v>
      </c>
      <c r="E11" s="390"/>
      <c r="F11" s="390"/>
      <c r="G11" s="390"/>
      <c r="H11" s="390"/>
      <c r="I11" s="390"/>
      <c r="J11" s="390"/>
      <c r="K11" s="390"/>
      <c r="L11" s="390"/>
      <c r="M11" s="390"/>
      <c r="N11" s="390"/>
      <c r="O11" s="390"/>
      <c r="P11" s="390" t="s">
        <v>36</v>
      </c>
      <c r="Q11" s="390"/>
      <c r="R11" s="390"/>
      <c r="S11" s="390"/>
      <c r="T11" s="390"/>
      <c r="U11" s="390"/>
      <c r="V11" s="390"/>
      <c r="W11" s="390"/>
      <c r="X11" s="390"/>
      <c r="Y11" s="390"/>
      <c r="Z11" s="390"/>
      <c r="AA11" s="390"/>
      <c r="AB11" s="390" t="s">
        <v>37</v>
      </c>
      <c r="AC11" s="390"/>
      <c r="AD11" s="390"/>
      <c r="AE11" s="390"/>
      <c r="AF11" s="390"/>
      <c r="AG11" s="390"/>
      <c r="AH11" s="390"/>
      <c r="AI11" s="390"/>
      <c r="AJ11" s="390"/>
      <c r="AK11" s="390"/>
      <c r="AL11" s="390"/>
      <c r="AM11" s="390"/>
      <c r="AN11" s="390" t="s">
        <v>38</v>
      </c>
      <c r="AO11" s="390"/>
      <c r="AP11" s="390"/>
      <c r="AQ11" s="390"/>
      <c r="AR11" s="390"/>
      <c r="AS11" s="390"/>
      <c r="AT11" s="390"/>
      <c r="AU11" s="390"/>
      <c r="AV11" s="390"/>
      <c r="AW11" s="390"/>
      <c r="AX11" s="390"/>
      <c r="AY11" s="390"/>
      <c r="AZ11" s="390" t="s">
        <v>39</v>
      </c>
      <c r="BA11" s="390"/>
      <c r="BB11" s="390"/>
      <c r="BC11" s="390"/>
      <c r="BD11" s="390"/>
      <c r="BE11" s="390"/>
      <c r="BF11" s="390"/>
      <c r="BG11" s="390"/>
      <c r="BH11" s="390"/>
      <c r="BI11" s="390"/>
      <c r="BJ11" s="390"/>
      <c r="BK11" s="39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469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9009000</v>
      </c>
      <c r="H14" s="9">
        <f>'REV-REVCALC_CWS'!G90</f>
        <v>12002000</v>
      </c>
      <c r="I14" s="9">
        <f>'REV-REVCALC_CWS'!H90</f>
        <v>16437000</v>
      </c>
      <c r="J14" s="9">
        <f>'REV-REVCALC_CWS'!I90</f>
        <v>16437000</v>
      </c>
      <c r="K14" s="9">
        <f>'REV-REVCALC_CWS'!J90</f>
        <v>16437000</v>
      </c>
      <c r="L14" s="9">
        <f>'REV-REVCALC_CWS'!K90</f>
        <v>16437000</v>
      </c>
      <c r="M14" s="9">
        <f>'REV-REVCALC_CWS'!L90</f>
        <v>16437000</v>
      </c>
      <c r="N14" s="9">
        <f>'REV-REVCALC_CWS'!M90</f>
        <v>16437000</v>
      </c>
      <c r="O14" s="9">
        <f>'REV-REVCALC_CWS'!N90</f>
        <v>16052500</v>
      </c>
      <c r="P14" s="9">
        <f>'REV-REVCALC_CWS'!O90</f>
        <v>16860860</v>
      </c>
      <c r="Q14" s="9">
        <f>'REV-REVCALC_CWS'!P90</f>
        <v>21793025</v>
      </c>
      <c r="R14" s="9">
        <f>'REV-REVCALC_CWS'!Q90</f>
        <v>23444035</v>
      </c>
      <c r="S14" s="9">
        <f>'REV-REVCALC_CWS'!R90</f>
        <v>23444035</v>
      </c>
      <c r="T14" s="9">
        <f>'REV-REVCALC_CWS'!S90</f>
        <v>23444035</v>
      </c>
      <c r="U14" s="9">
        <f>'REV-REVCALC_CWS'!T90</f>
        <v>23444035</v>
      </c>
      <c r="V14" s="9">
        <f>'REV-REVCALC_CWS'!U90</f>
        <v>23444035</v>
      </c>
      <c r="W14" s="9">
        <f>'REV-REVCALC_CWS'!V90</f>
        <v>23444035</v>
      </c>
      <c r="X14" s="9">
        <f>'REV-REVCALC_CWS'!W90</f>
        <v>23444035</v>
      </c>
      <c r="Y14" s="9">
        <f>'REV-REVCALC_CWS'!X90</f>
        <v>23444035</v>
      </c>
      <c r="Z14" s="9">
        <f>'REV-REVCALC_CWS'!Y90</f>
        <v>23444035</v>
      </c>
      <c r="AA14" s="9">
        <f>'REV-REVCALC_CWS'!Z90</f>
        <v>18511870</v>
      </c>
      <c r="AB14" s="9">
        <f>'REV-REVCALC_CWS'!AA90</f>
        <v>33083071.150000002</v>
      </c>
      <c r="AC14" s="9">
        <f>'REV-REVCALC_CWS'!AB90</f>
        <v>47735501.350000001</v>
      </c>
      <c r="AD14" s="9">
        <f>'REV-REVCALC_CWS'!AC90</f>
        <v>52637390.700000003</v>
      </c>
      <c r="AE14" s="9">
        <f>'REV-REVCALC_CWS'!AD90</f>
        <v>52637390.700000003</v>
      </c>
      <c r="AF14" s="9">
        <f>'REV-REVCALC_CWS'!AE90</f>
        <v>52637390.700000003</v>
      </c>
      <c r="AG14" s="9">
        <f>'REV-REVCALC_CWS'!AF90</f>
        <v>52637390.700000003</v>
      </c>
      <c r="AH14" s="9">
        <f>'REV-REVCALC_CWS'!AG90</f>
        <v>52637390.700000003</v>
      </c>
      <c r="AI14" s="9">
        <f>'REV-REVCALC_CWS'!AH90</f>
        <v>52637390.700000003</v>
      </c>
      <c r="AJ14" s="9">
        <f>'REV-REVCALC_CWS'!AI90</f>
        <v>52637390.700000003</v>
      </c>
      <c r="AK14" s="9">
        <f>'REV-REVCALC_CWS'!AJ90</f>
        <v>52637390.700000003</v>
      </c>
      <c r="AL14" s="9">
        <f>'REV-REVCALC_CWS'!AK90</f>
        <v>52637390.700000003</v>
      </c>
      <c r="AM14" s="9">
        <f>'REV-REVCALC_CWS'!AL90</f>
        <v>37956910.450000003</v>
      </c>
      <c r="AN14" s="9">
        <f>'REV-REVCALC_CWS'!AM90</f>
        <v>36401850.025000006</v>
      </c>
      <c r="AO14" s="9">
        <f>'REV-REVCALC_CWS'!AN90</f>
        <v>53067947.5185</v>
      </c>
      <c r="AP14" s="9">
        <f>'REV-REVCALC_CWS'!AO90</f>
        <v>58622292.480500005</v>
      </c>
      <c r="AQ14" s="9">
        <f>'REV-REVCALC_CWS'!AP90</f>
        <v>58622292.480500005</v>
      </c>
      <c r="AR14" s="9">
        <f>'REV-REVCALC_CWS'!AQ90</f>
        <v>58622292.480500005</v>
      </c>
      <c r="AS14" s="9">
        <f>'REV-REVCALC_CWS'!AR90</f>
        <v>58622292.480500005</v>
      </c>
      <c r="AT14" s="9">
        <f>'REV-REVCALC_CWS'!AS90</f>
        <v>58622292.480500005</v>
      </c>
      <c r="AU14" s="9">
        <f>'REV-REVCALC_CWS'!AT90</f>
        <v>58622292.480500005</v>
      </c>
      <c r="AV14" s="9">
        <f>'REV-REVCALC_CWS'!AU90</f>
        <v>58622292.480500005</v>
      </c>
      <c r="AW14" s="9">
        <f>'REV-REVCALC_CWS'!AV90</f>
        <v>58622292.480500005</v>
      </c>
      <c r="AX14" s="9">
        <f>'REV-REVCALC_CWS'!AW90</f>
        <v>58622292.480500005</v>
      </c>
      <c r="AY14" s="9">
        <f>'REV-REVCALC_CWS'!AX90</f>
        <v>41956194.987000003</v>
      </c>
      <c r="AZ14" s="9">
        <f>'REV-REVCALC_CWS'!AY90</f>
        <v>35721001.751675002</v>
      </c>
      <c r="BA14" s="9">
        <f>'REV-REVCALC_CWS'!AZ90</f>
        <v>51986861.954700008</v>
      </c>
      <c r="BB14" s="9">
        <f>'REV-REVCALC_CWS'!BA90</f>
        <v>57386561.839000009</v>
      </c>
      <c r="BC14" s="9">
        <f>'REV-REVCALC_CWS'!BB90</f>
        <v>57386561.839000009</v>
      </c>
      <c r="BD14" s="9">
        <f>'REV-REVCALC_CWS'!BC90</f>
        <v>57386561.839000009</v>
      </c>
      <c r="BE14" s="9">
        <f>'REV-REVCALC_CWS'!BD90</f>
        <v>57386561.839000009</v>
      </c>
      <c r="BF14" s="9">
        <f>'REV-REVCALC_CWS'!BE90</f>
        <v>57386561.839000009</v>
      </c>
      <c r="BG14" s="9">
        <f>'REV-REVCALC_CWS'!BF90</f>
        <v>57386561.839000009</v>
      </c>
      <c r="BH14" s="9">
        <f>'REV-REVCALC_CWS'!BG90</f>
        <v>57386561.839000009</v>
      </c>
      <c r="BI14" s="9">
        <f>'REV-REVCALC_CWS'!BH90</f>
        <v>57386561.839000009</v>
      </c>
      <c r="BJ14" s="9">
        <f>'REV-REVCALC_CWS'!BI90</f>
        <v>57386561.839000009</v>
      </c>
      <c r="BK14" s="9">
        <f>'REV-REVCALC_CWS'!BJ90</f>
        <v>41152443.416025005</v>
      </c>
      <c r="BL14" s="38">
        <f>SUM(C14:BK14)</f>
        <v>2300725557.7784004</v>
      </c>
    </row>
    <row r="16" spans="2:64" x14ac:dyDescent="0.15">
      <c r="B16" t="s">
        <v>470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9009000</v>
      </c>
      <c r="H17" s="140">
        <f t="shared" si="2"/>
        <v>12002000</v>
      </c>
      <c r="I17" s="140">
        <f t="shared" si="2"/>
        <v>16437000</v>
      </c>
      <c r="J17" s="140">
        <f t="shared" si="2"/>
        <v>16437000</v>
      </c>
      <c r="K17" s="140">
        <f t="shared" si="2"/>
        <v>16437000</v>
      </c>
      <c r="L17" s="140">
        <f t="shared" si="2"/>
        <v>16437000</v>
      </c>
      <c r="M17" s="140">
        <f t="shared" si="2"/>
        <v>16437000</v>
      </c>
      <c r="N17" s="140">
        <f t="shared" si="2"/>
        <v>16437000</v>
      </c>
      <c r="O17" s="140">
        <f t="shared" si="2"/>
        <v>16052500</v>
      </c>
      <c r="P17" s="140">
        <f t="shared" si="2"/>
        <v>16860860</v>
      </c>
      <c r="Q17" s="140">
        <f t="shared" si="2"/>
        <v>21793025</v>
      </c>
      <c r="R17" s="140">
        <f t="shared" si="2"/>
        <v>23444035</v>
      </c>
      <c r="S17" s="140">
        <f t="shared" si="2"/>
        <v>23444035</v>
      </c>
      <c r="T17" s="140">
        <f t="shared" si="2"/>
        <v>23444035</v>
      </c>
      <c r="U17" s="140">
        <f t="shared" si="2"/>
        <v>23444035</v>
      </c>
      <c r="V17" s="140">
        <f t="shared" si="2"/>
        <v>23444035</v>
      </c>
      <c r="W17" s="140">
        <f t="shared" si="2"/>
        <v>23444035</v>
      </c>
      <c r="X17" s="140">
        <f t="shared" si="2"/>
        <v>23444035</v>
      </c>
      <c r="Y17" s="140">
        <f t="shared" si="2"/>
        <v>23444035</v>
      </c>
      <c r="Z17" s="140">
        <f t="shared" si="2"/>
        <v>23444035</v>
      </c>
      <c r="AA17" s="140">
        <f t="shared" si="2"/>
        <v>18511870</v>
      </c>
      <c r="AB17" s="140">
        <f t="shared" si="2"/>
        <v>33083071.150000002</v>
      </c>
      <c r="AC17" s="140">
        <f t="shared" si="2"/>
        <v>47735501.350000001</v>
      </c>
      <c r="AD17" s="140">
        <f t="shared" si="2"/>
        <v>52637390.700000003</v>
      </c>
      <c r="AE17" s="140">
        <f t="shared" si="2"/>
        <v>52637390.700000003</v>
      </c>
      <c r="AF17" s="140">
        <f t="shared" si="2"/>
        <v>52637390.700000003</v>
      </c>
      <c r="AG17" s="140">
        <f t="shared" si="2"/>
        <v>52637390.700000003</v>
      </c>
      <c r="AH17" s="140">
        <f t="shared" si="2"/>
        <v>52637390.700000003</v>
      </c>
      <c r="AI17" s="140">
        <f t="shared" ref="AI17:BK17" si="3">AI14</f>
        <v>52637390.700000003</v>
      </c>
      <c r="AJ17" s="140">
        <f t="shared" si="3"/>
        <v>52637390.700000003</v>
      </c>
      <c r="AK17" s="140">
        <f t="shared" si="3"/>
        <v>52637390.700000003</v>
      </c>
      <c r="AL17" s="140">
        <f t="shared" si="3"/>
        <v>52637390.700000003</v>
      </c>
      <c r="AM17" s="140">
        <f t="shared" si="3"/>
        <v>37956910.450000003</v>
      </c>
      <c r="AN17" s="140">
        <f t="shared" si="3"/>
        <v>36401850.025000006</v>
      </c>
      <c r="AO17" s="140">
        <f t="shared" si="3"/>
        <v>53067947.5185</v>
      </c>
      <c r="AP17" s="140">
        <f t="shared" si="3"/>
        <v>58622292.480500005</v>
      </c>
      <c r="AQ17" s="140">
        <f t="shared" si="3"/>
        <v>58622292.480500005</v>
      </c>
      <c r="AR17" s="140">
        <f t="shared" si="3"/>
        <v>58622292.480500005</v>
      </c>
      <c r="AS17" s="140">
        <f t="shared" si="3"/>
        <v>58622292.480500005</v>
      </c>
      <c r="AT17" s="140">
        <f t="shared" si="3"/>
        <v>58622292.480500005</v>
      </c>
      <c r="AU17" s="140">
        <f t="shared" si="3"/>
        <v>58622292.480500005</v>
      </c>
      <c r="AV17" s="140">
        <f t="shared" si="3"/>
        <v>58622292.480500005</v>
      </c>
      <c r="AW17" s="140">
        <f t="shared" si="3"/>
        <v>58622292.480500005</v>
      </c>
      <c r="AX17" s="140">
        <f t="shared" si="3"/>
        <v>58622292.480500005</v>
      </c>
      <c r="AY17" s="140">
        <f t="shared" si="3"/>
        <v>41956194.987000003</v>
      </c>
      <c r="AZ17" s="140">
        <f t="shared" si="3"/>
        <v>35721001.751675002</v>
      </c>
      <c r="BA17" s="140">
        <f t="shared" si="3"/>
        <v>51986861.954700008</v>
      </c>
      <c r="BB17" s="140">
        <f t="shared" si="3"/>
        <v>57386561.839000009</v>
      </c>
      <c r="BC17" s="140">
        <f t="shared" si="3"/>
        <v>57386561.839000009</v>
      </c>
      <c r="BD17" s="140">
        <f t="shared" si="3"/>
        <v>57386561.839000009</v>
      </c>
      <c r="BE17" s="140">
        <f t="shared" si="3"/>
        <v>57386561.839000009</v>
      </c>
      <c r="BF17" s="140">
        <f t="shared" si="3"/>
        <v>57386561.839000009</v>
      </c>
      <c r="BG17" s="140">
        <f t="shared" si="3"/>
        <v>57386561.839000009</v>
      </c>
      <c r="BH17" s="140">
        <f t="shared" si="3"/>
        <v>57386561.839000009</v>
      </c>
      <c r="BI17" s="140">
        <f t="shared" si="3"/>
        <v>57386561.839000009</v>
      </c>
      <c r="BJ17" s="140">
        <f t="shared" si="3"/>
        <v>57386561.839000009</v>
      </c>
      <c r="BK17" s="140">
        <f t="shared" si="3"/>
        <v>41152443.416025005</v>
      </c>
    </row>
    <row r="18" spans="2:63" x14ac:dyDescent="0.15">
      <c r="B18" s="139" t="s">
        <v>472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9009000</v>
      </c>
      <c r="H18" s="140">
        <f t="shared" ref="H18:BK18" si="5">H17</f>
        <v>12002000</v>
      </c>
      <c r="I18" s="140">
        <f t="shared" si="5"/>
        <v>16437000</v>
      </c>
      <c r="J18" s="140">
        <f t="shared" si="5"/>
        <v>16437000</v>
      </c>
      <c r="K18" s="140">
        <f t="shared" si="5"/>
        <v>16437000</v>
      </c>
      <c r="L18" s="140">
        <f t="shared" si="5"/>
        <v>16437000</v>
      </c>
      <c r="M18" s="140">
        <f t="shared" si="5"/>
        <v>16437000</v>
      </c>
      <c r="N18" s="140">
        <f t="shared" si="5"/>
        <v>16437000</v>
      </c>
      <c r="O18" s="140">
        <f t="shared" si="5"/>
        <v>16052500</v>
      </c>
      <c r="P18" s="140">
        <f t="shared" si="5"/>
        <v>16860860</v>
      </c>
      <c r="Q18" s="140">
        <f t="shared" si="5"/>
        <v>21793025</v>
      </c>
      <c r="R18" s="140">
        <f t="shared" si="5"/>
        <v>23444035</v>
      </c>
      <c r="S18" s="140">
        <f t="shared" si="5"/>
        <v>23444035</v>
      </c>
      <c r="T18" s="140">
        <f t="shared" si="5"/>
        <v>23444035</v>
      </c>
      <c r="U18" s="140">
        <f t="shared" si="5"/>
        <v>23444035</v>
      </c>
      <c r="V18" s="140">
        <f t="shared" si="5"/>
        <v>23444035</v>
      </c>
      <c r="W18" s="140">
        <f t="shared" si="5"/>
        <v>23444035</v>
      </c>
      <c r="X18" s="140">
        <f t="shared" si="5"/>
        <v>23444035</v>
      </c>
      <c r="Y18" s="140">
        <f t="shared" si="5"/>
        <v>23444035</v>
      </c>
      <c r="Z18" s="140">
        <f t="shared" si="5"/>
        <v>23444035</v>
      </c>
      <c r="AA18" s="140">
        <f t="shared" si="5"/>
        <v>18511870</v>
      </c>
      <c r="AB18" s="140">
        <f t="shared" si="5"/>
        <v>33083071.150000002</v>
      </c>
      <c r="AC18" s="140">
        <f t="shared" si="5"/>
        <v>47735501.350000001</v>
      </c>
      <c r="AD18" s="140">
        <f t="shared" si="5"/>
        <v>52637390.700000003</v>
      </c>
      <c r="AE18" s="140">
        <f t="shared" si="5"/>
        <v>52637390.700000003</v>
      </c>
      <c r="AF18" s="140">
        <f t="shared" si="5"/>
        <v>52637390.700000003</v>
      </c>
      <c r="AG18" s="140">
        <f t="shared" si="5"/>
        <v>52637390.700000003</v>
      </c>
      <c r="AH18" s="140">
        <f t="shared" si="5"/>
        <v>52637390.700000003</v>
      </c>
      <c r="AI18" s="140">
        <f t="shared" si="5"/>
        <v>52637390.700000003</v>
      </c>
      <c r="AJ18" s="140">
        <f t="shared" si="5"/>
        <v>52637390.700000003</v>
      </c>
      <c r="AK18" s="140">
        <f t="shared" si="5"/>
        <v>52637390.700000003</v>
      </c>
      <c r="AL18" s="140">
        <f t="shared" si="5"/>
        <v>52637390.700000003</v>
      </c>
      <c r="AM18" s="140">
        <f t="shared" si="5"/>
        <v>37956910.450000003</v>
      </c>
      <c r="AN18" s="140">
        <f t="shared" si="5"/>
        <v>36401850.025000006</v>
      </c>
      <c r="AO18" s="140">
        <f t="shared" si="5"/>
        <v>53067947.5185</v>
      </c>
      <c r="AP18" s="140">
        <f t="shared" si="5"/>
        <v>58622292.480500005</v>
      </c>
      <c r="AQ18" s="140">
        <f t="shared" si="5"/>
        <v>58622292.480500005</v>
      </c>
      <c r="AR18" s="140">
        <f t="shared" si="5"/>
        <v>58622292.480500005</v>
      </c>
      <c r="AS18" s="140">
        <f t="shared" si="5"/>
        <v>58622292.480500005</v>
      </c>
      <c r="AT18" s="140">
        <f t="shared" si="5"/>
        <v>58622292.480500005</v>
      </c>
      <c r="AU18" s="140">
        <f t="shared" si="5"/>
        <v>58622292.480500005</v>
      </c>
      <c r="AV18" s="140">
        <f t="shared" si="5"/>
        <v>58622292.480500005</v>
      </c>
      <c r="AW18" s="140">
        <f t="shared" si="5"/>
        <v>58622292.480500005</v>
      </c>
      <c r="AX18" s="140">
        <f t="shared" si="5"/>
        <v>58622292.480500005</v>
      </c>
      <c r="AY18" s="140">
        <f t="shared" si="5"/>
        <v>41956194.987000003</v>
      </c>
      <c r="AZ18" s="140">
        <f t="shared" si="5"/>
        <v>35721001.751675002</v>
      </c>
      <c r="BA18" s="140">
        <f t="shared" si="5"/>
        <v>51986861.954700008</v>
      </c>
      <c r="BB18" s="140">
        <f t="shared" si="5"/>
        <v>57386561.839000009</v>
      </c>
      <c r="BC18" s="140">
        <f t="shared" si="5"/>
        <v>57386561.839000009</v>
      </c>
      <c r="BD18" s="140">
        <f t="shared" si="5"/>
        <v>57386561.839000009</v>
      </c>
      <c r="BE18" s="140">
        <f t="shared" si="5"/>
        <v>57386561.839000009</v>
      </c>
      <c r="BF18" s="140">
        <f t="shared" si="5"/>
        <v>57386561.839000009</v>
      </c>
      <c r="BG18" s="140">
        <f t="shared" si="5"/>
        <v>57386561.839000009</v>
      </c>
      <c r="BH18" s="140">
        <f t="shared" si="5"/>
        <v>57386561.839000009</v>
      </c>
      <c r="BI18" s="140">
        <f t="shared" si="5"/>
        <v>57386561.839000009</v>
      </c>
      <c r="BJ18" s="140">
        <f t="shared" si="5"/>
        <v>57386561.839000009</v>
      </c>
      <c r="BK18" s="140">
        <f t="shared" si="5"/>
        <v>41152443.416025005</v>
      </c>
    </row>
    <row r="19" spans="2:63" x14ac:dyDescent="0.15">
      <c r="B19" t="s">
        <v>473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90" t="s">
        <v>35</v>
      </c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 t="s">
        <v>36</v>
      </c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 t="s">
        <v>37</v>
      </c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 t="s">
        <v>38</v>
      </c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 t="s">
        <v>39</v>
      </c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5"/>
    </row>
    <row r="2" spans="2:67" x14ac:dyDescent="0.15">
      <c r="B2" s="16" t="s">
        <v>1230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7" t="s">
        <v>284</v>
      </c>
      <c r="BO2" s="39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505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420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506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1179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414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415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400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 t="s">
        <v>36</v>
      </c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 t="s">
        <v>37</v>
      </c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 t="s">
        <v>38</v>
      </c>
      <c r="AM2" s="390"/>
      <c r="AN2" s="390"/>
      <c r="AO2" s="390"/>
      <c r="AP2" s="390"/>
      <c r="AQ2" s="390"/>
      <c r="AR2" s="390"/>
      <c r="AS2" s="390"/>
      <c r="AT2" s="390"/>
      <c r="AU2" s="390"/>
      <c r="AV2" s="390"/>
      <c r="AW2" s="390"/>
      <c r="AX2" s="390" t="s">
        <v>39</v>
      </c>
      <c r="AY2" s="390"/>
      <c r="AZ2" s="390"/>
      <c r="BA2" s="390"/>
      <c r="BB2" s="390"/>
      <c r="BC2" s="390"/>
      <c r="BD2" s="390"/>
      <c r="BE2" s="390"/>
      <c r="BF2" s="390"/>
      <c r="BG2" s="390"/>
      <c r="BH2" s="390"/>
      <c r="BI2" s="39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90" t="s">
        <v>35</v>
      </c>
      <c r="C14" s="390"/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 t="s">
        <v>36</v>
      </c>
      <c r="O14" s="390"/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 t="s">
        <v>37</v>
      </c>
      <c r="AA14" s="390"/>
      <c r="AB14" s="390"/>
      <c r="AC14" s="390"/>
      <c r="AD14" s="390"/>
      <c r="AE14" s="390"/>
      <c r="AF14" s="390"/>
      <c r="AG14" s="390"/>
      <c r="AH14" s="390"/>
      <c r="AI14" s="390"/>
      <c r="AJ14" s="390"/>
      <c r="AK14" s="390"/>
      <c r="AL14" s="390" t="s">
        <v>38</v>
      </c>
      <c r="AM14" s="390"/>
      <c r="AN14" s="390"/>
      <c r="AO14" s="390"/>
      <c r="AP14" s="390"/>
      <c r="AQ14" s="390"/>
      <c r="AR14" s="390"/>
      <c r="AS14" s="390"/>
      <c r="AT14" s="390"/>
      <c r="AU14" s="390"/>
      <c r="AV14" s="390"/>
      <c r="AW14" s="390"/>
      <c r="AX14" s="390" t="s">
        <v>39</v>
      </c>
      <c r="AY14" s="390"/>
      <c r="AZ14" s="390"/>
      <c r="BA14" s="390"/>
      <c r="BB14" s="390"/>
      <c r="BC14" s="390"/>
      <c r="BD14" s="390"/>
      <c r="BE14" s="390"/>
      <c r="BF14" s="390"/>
      <c r="BG14" s="390"/>
      <c r="BH14" s="390"/>
      <c r="BI14" s="39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1042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1043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505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420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506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414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415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400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8" t="s">
        <v>279</v>
      </c>
      <c r="I1" s="398"/>
      <c r="J1" s="398"/>
      <c r="K1" s="39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10"/>
      <c r="S3" s="390" t="s">
        <v>36</v>
      </c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10"/>
      <c r="AF3" s="390" t="s">
        <v>37</v>
      </c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10"/>
      <c r="AS3" s="390" t="s">
        <v>38</v>
      </c>
      <c r="AT3" s="390"/>
      <c r="AU3" s="390"/>
      <c r="AV3" s="390"/>
      <c r="AW3" s="390"/>
      <c r="AX3" s="390"/>
      <c r="AY3" s="390"/>
      <c r="AZ3" s="390"/>
      <c r="BA3" s="390"/>
      <c r="BB3" s="390"/>
      <c r="BC3" s="390"/>
      <c r="BD3" s="390"/>
      <c r="BE3" s="10"/>
      <c r="BF3" s="390" t="s">
        <v>39</v>
      </c>
      <c r="BG3" s="390"/>
      <c r="BH3" s="390"/>
      <c r="BI3" s="390"/>
      <c r="BJ3" s="390"/>
      <c r="BK3" s="390"/>
      <c r="BL3" s="390"/>
      <c r="BM3" s="39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1013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90" t="s">
        <v>310</v>
      </c>
      <c r="B2" s="39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90" t="s">
        <v>35</v>
      </c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 t="s">
        <v>36</v>
      </c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 t="s">
        <v>37</v>
      </c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 t="s">
        <v>38</v>
      </c>
      <c r="AN5" s="390"/>
      <c r="AO5" s="390"/>
      <c r="AP5" s="390"/>
      <c r="AQ5" s="390"/>
      <c r="AR5" s="390"/>
      <c r="AS5" s="390"/>
      <c r="AT5" s="390"/>
      <c r="AU5" s="390"/>
      <c r="AV5" s="390"/>
      <c r="AW5" s="390"/>
      <c r="AX5" s="390"/>
      <c r="AY5" s="390" t="s">
        <v>39</v>
      </c>
      <c r="AZ5" s="390"/>
      <c r="BA5" s="390"/>
      <c r="BB5" s="390"/>
      <c r="BC5" s="390"/>
      <c r="BD5" s="390"/>
      <c r="BE5" s="390"/>
      <c r="BF5" s="390"/>
      <c r="BG5" s="390"/>
      <c r="BH5" s="390"/>
      <c r="BI5" s="390"/>
      <c r="BJ5" s="39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90" t="s">
        <v>35</v>
      </c>
      <c r="D21" s="390"/>
      <c r="E21" s="390"/>
      <c r="F21" s="390"/>
      <c r="G21" s="390"/>
      <c r="H21" s="390"/>
      <c r="I21" s="390"/>
      <c r="J21" s="390"/>
      <c r="K21" s="390"/>
      <c r="L21" s="390"/>
      <c r="M21" s="390"/>
      <c r="N21" s="390"/>
      <c r="O21" s="390" t="s">
        <v>36</v>
      </c>
      <c r="P21" s="390"/>
      <c r="Q21" s="390"/>
      <c r="R21" s="390"/>
      <c r="S21" s="390"/>
      <c r="T21" s="390"/>
      <c r="U21" s="390"/>
      <c r="V21" s="390"/>
      <c r="W21" s="390"/>
      <c r="X21" s="390"/>
      <c r="Y21" s="390"/>
      <c r="Z21" s="390"/>
      <c r="AA21" s="390" t="s">
        <v>37</v>
      </c>
      <c r="AB21" s="390"/>
      <c r="AC21" s="390"/>
      <c r="AD21" s="390"/>
      <c r="AE21" s="390"/>
      <c r="AF21" s="390"/>
      <c r="AG21" s="390"/>
      <c r="AH21" s="390"/>
      <c r="AI21" s="390"/>
      <c r="AJ21" s="390"/>
      <c r="AK21" s="390"/>
      <c r="AL21" s="390"/>
      <c r="AM21" s="390" t="s">
        <v>38</v>
      </c>
      <c r="AN21" s="390"/>
      <c r="AO21" s="390"/>
      <c r="AP21" s="390"/>
      <c r="AQ21" s="390"/>
      <c r="AR21" s="390"/>
      <c r="AS21" s="390"/>
      <c r="AT21" s="390"/>
      <c r="AU21" s="390"/>
      <c r="AV21" s="390"/>
      <c r="AW21" s="390"/>
      <c r="AX21" s="390"/>
      <c r="AY21" s="390" t="s">
        <v>39</v>
      </c>
      <c r="AZ21" s="390"/>
      <c r="BA21" s="390"/>
      <c r="BB21" s="390"/>
      <c r="BC21" s="390"/>
      <c r="BD21" s="390"/>
      <c r="BE21" s="390"/>
      <c r="BF21" s="390"/>
      <c r="BG21" s="390"/>
      <c r="BH21" s="390"/>
      <c r="BI21" s="390"/>
      <c r="BJ21" s="39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1075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1076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90" t="s">
        <v>35</v>
      </c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 t="s">
        <v>36</v>
      </c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 t="s">
        <v>37</v>
      </c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 t="s">
        <v>38</v>
      </c>
      <c r="AQ1" s="390"/>
      <c r="AR1" s="390"/>
      <c r="AS1" s="390"/>
      <c r="AT1" s="390"/>
      <c r="AU1" s="390"/>
      <c r="AV1" s="390"/>
      <c r="AW1" s="390"/>
      <c r="AX1" s="390"/>
      <c r="AY1" s="390"/>
      <c r="AZ1" s="390"/>
      <c r="BA1" s="390"/>
      <c r="BB1" s="390" t="s">
        <v>39</v>
      </c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5"/>
    </row>
    <row r="2" spans="1:66" x14ac:dyDescent="0.15">
      <c r="B2" s="74" t="s">
        <v>1003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1006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1005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1005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1005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1006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1005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1005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1005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1227</v>
      </c>
      <c r="B19" s="34" t="s">
        <v>1005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1005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1005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1007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1005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1005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1005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1005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1005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1004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761</v>
      </c>
      <c r="D1" s="390" t="s">
        <v>35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36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37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38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39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1002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3" t="s">
        <v>1223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1224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1225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90" t="s">
        <v>35</v>
      </c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 t="s">
        <v>36</v>
      </c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 t="s">
        <v>37</v>
      </c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390" t="s">
        <v>38</v>
      </c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 t="s">
        <v>39</v>
      </c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5"/>
    </row>
    <row r="2" spans="1:79" s="14" customFormat="1" x14ac:dyDescent="0.15">
      <c r="A2" s="10" t="s">
        <v>1160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1163</v>
      </c>
      <c r="B3" s="10" t="s">
        <v>68</v>
      </c>
      <c r="C3" s="268" t="s">
        <v>1165</v>
      </c>
      <c r="D3" s="10" t="s">
        <v>65</v>
      </c>
      <c r="E3" s="10" t="s">
        <v>66</v>
      </c>
      <c r="F3" s="10" t="s">
        <v>67</v>
      </c>
      <c r="G3" s="10"/>
      <c r="BP3" s="36" t="s">
        <v>719</v>
      </c>
    </row>
    <row r="4" spans="1:79" x14ac:dyDescent="0.15">
      <c r="A4" s="10" t="s">
        <v>1164</v>
      </c>
      <c r="B4" s="10" t="s">
        <v>1166</v>
      </c>
      <c r="C4" s="268" t="s">
        <v>1165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1153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1161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1181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1173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1001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1167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1168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1169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1170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1171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1172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1261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1262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1263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1175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1174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1261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1262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1263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1179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1178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1176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1177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1261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1262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1263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715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715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715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715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715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715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715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715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715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715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715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715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715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715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715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715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715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715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715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715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715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715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715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715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717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1162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1008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1009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1010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5">
        <v>0.5</v>
      </c>
      <c r="C129" s="385">
        <v>0.5</v>
      </c>
      <c r="D129" s="385">
        <v>0.5</v>
      </c>
      <c r="E129" s="385">
        <v>1</v>
      </c>
      <c r="F129" s="385">
        <v>1</v>
      </c>
      <c r="G129" s="385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5">
        <v>0.5</v>
      </c>
      <c r="C133" s="385">
        <v>0.5</v>
      </c>
      <c r="D133" s="385">
        <v>0.5</v>
      </c>
      <c r="E133" s="385">
        <v>1</v>
      </c>
      <c r="F133" s="385">
        <v>1</v>
      </c>
      <c r="G133" s="385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5">
        <v>0.5</v>
      </c>
      <c r="C137" s="385">
        <v>0.5</v>
      </c>
      <c r="D137" s="385">
        <v>0.5</v>
      </c>
      <c r="E137" s="385">
        <v>1</v>
      </c>
      <c r="F137" s="385">
        <v>1</v>
      </c>
      <c r="G137" s="385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5">
        <v>0.5</v>
      </c>
      <c r="C141" s="385">
        <v>0.5</v>
      </c>
      <c r="D141" s="385">
        <v>0.5</v>
      </c>
      <c r="E141" s="385">
        <v>1</v>
      </c>
      <c r="F141" s="385">
        <v>1</v>
      </c>
      <c r="G141" s="385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5">
        <v>0.5</v>
      </c>
      <c r="C145" s="385">
        <v>0.5</v>
      </c>
      <c r="D145" s="385">
        <v>0.5</v>
      </c>
      <c r="E145" s="385">
        <v>1</v>
      </c>
      <c r="F145" s="385">
        <v>1</v>
      </c>
      <c r="G145" s="385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5">
        <v>0.5</v>
      </c>
      <c r="C149" s="385">
        <v>0.5</v>
      </c>
      <c r="D149" s="385">
        <v>0.5</v>
      </c>
      <c r="E149" s="385">
        <v>1</v>
      </c>
      <c r="F149" s="385">
        <v>1</v>
      </c>
      <c r="G149" s="385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5">
        <v>0.5</v>
      </c>
      <c r="C153" s="385">
        <v>0.5</v>
      </c>
      <c r="D153" s="385">
        <v>0.5</v>
      </c>
      <c r="E153" s="385">
        <v>1</v>
      </c>
      <c r="F153" s="385">
        <v>1</v>
      </c>
      <c r="G153" s="385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5">
        <v>0.5</v>
      </c>
      <c r="C157" s="385">
        <v>0.5</v>
      </c>
      <c r="D157" s="385">
        <v>0.5</v>
      </c>
      <c r="E157" s="385">
        <v>1</v>
      </c>
      <c r="F157" s="385">
        <v>1</v>
      </c>
      <c r="G157" s="385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5">
        <v>0.5</v>
      </c>
      <c r="C161" s="385">
        <v>0.5</v>
      </c>
      <c r="D161" s="385">
        <v>0.5</v>
      </c>
      <c r="E161" s="385">
        <v>1</v>
      </c>
      <c r="F161" s="385">
        <v>1</v>
      </c>
      <c r="G161" s="385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5">
        <v>0.5</v>
      </c>
      <c r="C165" s="385">
        <v>0.5</v>
      </c>
      <c r="D165" s="385">
        <v>0.5</v>
      </c>
      <c r="E165" s="385">
        <v>1</v>
      </c>
      <c r="F165" s="385">
        <v>1</v>
      </c>
      <c r="G165" s="385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5">
        <v>0.5</v>
      </c>
      <c r="C169" s="385">
        <v>0.5</v>
      </c>
      <c r="D169" s="385">
        <v>0.5</v>
      </c>
      <c r="E169" s="385">
        <v>1</v>
      </c>
      <c r="F169" s="385">
        <v>1</v>
      </c>
      <c r="G169" s="385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1182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1183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1180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1184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1155</v>
      </c>
      <c r="C1" s="10" t="s">
        <v>1156</v>
      </c>
      <c r="D1" s="10" t="s">
        <v>1157</v>
      </c>
      <c r="E1" s="10" t="s">
        <v>1158</v>
      </c>
      <c r="F1" s="10" t="s">
        <v>1159</v>
      </c>
    </row>
    <row r="2" spans="1:102" x14ac:dyDescent="0.15">
      <c r="A2" s="14" t="s">
        <v>1154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90" t="s">
        <v>35</v>
      </c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 t="s">
        <v>36</v>
      </c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 t="s">
        <v>37</v>
      </c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 t="s">
        <v>38</v>
      </c>
      <c r="AN1" s="390"/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 t="s">
        <v>39</v>
      </c>
      <c r="AZ1" s="390"/>
      <c r="BA1" s="390"/>
      <c r="BB1" s="390"/>
      <c r="BC1" s="390"/>
      <c r="BD1" s="390"/>
      <c r="BE1" s="390"/>
      <c r="BF1" s="390"/>
      <c r="BG1" s="390"/>
      <c r="BH1" s="390"/>
      <c r="BI1" s="390"/>
      <c r="BJ1" s="39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90" t="s">
        <v>151</v>
      </c>
      <c r="B5" s="390"/>
    </row>
    <row r="6" spans="1:63" x14ac:dyDescent="0.15">
      <c r="C6" s="390" t="s">
        <v>35</v>
      </c>
      <c r="D6" s="390"/>
      <c r="E6" s="390"/>
      <c r="F6" s="390"/>
      <c r="G6" s="390"/>
      <c r="H6" s="390"/>
      <c r="I6" s="390"/>
      <c r="J6" s="390"/>
      <c r="K6" s="390"/>
      <c r="L6" s="390"/>
      <c r="M6" s="390"/>
      <c r="N6" s="390"/>
      <c r="O6" s="390" t="s">
        <v>36</v>
      </c>
      <c r="P6" s="390"/>
      <c r="Q6" s="390"/>
      <c r="R6" s="390"/>
      <c r="S6" s="390"/>
      <c r="T6" s="390"/>
      <c r="U6" s="390"/>
      <c r="V6" s="390"/>
      <c r="W6" s="390"/>
      <c r="X6" s="390"/>
      <c r="Y6" s="390"/>
      <c r="Z6" s="390"/>
      <c r="AA6" s="390" t="s">
        <v>37</v>
      </c>
      <c r="AB6" s="390"/>
      <c r="AC6" s="390"/>
      <c r="AD6" s="390"/>
      <c r="AE6" s="390"/>
      <c r="AF6" s="390"/>
      <c r="AG6" s="390"/>
      <c r="AH6" s="390"/>
      <c r="AI6" s="390"/>
      <c r="AJ6" s="390"/>
      <c r="AK6" s="390"/>
      <c r="AL6" s="390"/>
      <c r="AM6" s="390" t="s">
        <v>38</v>
      </c>
      <c r="AN6" s="390"/>
      <c r="AO6" s="390"/>
      <c r="AP6" s="390"/>
      <c r="AQ6" s="390"/>
      <c r="AR6" s="390"/>
      <c r="AS6" s="390"/>
      <c r="AT6" s="390"/>
      <c r="AU6" s="390"/>
      <c r="AV6" s="390"/>
      <c r="AW6" s="390"/>
      <c r="AX6" s="390"/>
      <c r="AY6" s="390" t="s">
        <v>39</v>
      </c>
      <c r="AZ6" s="390"/>
      <c r="BA6" s="390"/>
      <c r="BB6" s="390"/>
      <c r="BC6" s="390"/>
      <c r="BD6" s="390"/>
      <c r="BE6" s="390"/>
      <c r="BF6" s="390"/>
      <c r="BG6" s="390"/>
      <c r="BH6" s="390"/>
      <c r="BI6" s="390"/>
      <c r="BJ6" s="39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1011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1012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90" t="s">
        <v>154</v>
      </c>
      <c r="B13" s="390"/>
    </row>
    <row r="14" spans="1:63" x14ac:dyDescent="0.15">
      <c r="C14" s="390" t="s">
        <v>35</v>
      </c>
      <c r="D14" s="390"/>
      <c r="E14" s="390"/>
      <c r="F14" s="390"/>
      <c r="G14" s="390"/>
      <c r="H14" s="390"/>
      <c r="I14" s="390"/>
      <c r="J14" s="390"/>
      <c r="K14" s="390"/>
      <c r="L14" s="390"/>
      <c r="M14" s="390"/>
      <c r="N14" s="390"/>
      <c r="O14" s="390" t="s">
        <v>36</v>
      </c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/>
      <c r="AA14" s="390" t="s">
        <v>37</v>
      </c>
      <c r="AB14" s="390"/>
      <c r="AC14" s="390"/>
      <c r="AD14" s="390"/>
      <c r="AE14" s="390"/>
      <c r="AF14" s="390"/>
      <c r="AG14" s="390"/>
      <c r="AH14" s="390"/>
      <c r="AI14" s="390"/>
      <c r="AJ14" s="390"/>
      <c r="AK14" s="390"/>
      <c r="AL14" s="390"/>
      <c r="AM14" s="390" t="s">
        <v>38</v>
      </c>
      <c r="AN14" s="390"/>
      <c r="AO14" s="390"/>
      <c r="AP14" s="390"/>
      <c r="AQ14" s="390"/>
      <c r="AR14" s="390"/>
      <c r="AS14" s="390"/>
      <c r="AT14" s="390"/>
      <c r="AU14" s="390"/>
      <c r="AV14" s="390"/>
      <c r="AW14" s="390"/>
      <c r="AX14" s="390"/>
      <c r="AY14" s="390" t="s">
        <v>39</v>
      </c>
      <c r="AZ14" s="390"/>
      <c r="BA14" s="390"/>
      <c r="BB14" s="390"/>
      <c r="BC14" s="390"/>
      <c r="BD14" s="390"/>
      <c r="BE14" s="390"/>
      <c r="BF14" s="390"/>
      <c r="BG14" s="390"/>
      <c r="BH14" s="390"/>
      <c r="BI14" s="390"/>
      <c r="BJ14" s="39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187</vt:i4>
      </vt:variant>
    </vt:vector>
  </HeadingPairs>
  <TitlesOfParts>
    <vt:vector size="25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2023-05-09T21:19:10Z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