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ld_0n_tight/Desktop/THIS SEMESTER/객지프/객지프 과제/팀 프로젝트/GMS/grade_csv/"/>
    </mc:Choice>
  </mc:AlternateContent>
  <xr:revisionPtr revIDLastSave="0" documentId="13_ncr:1_{9D37B6CD-0805-604B-807C-A8859A8DDFD0}" xr6:coauthVersionLast="47" xr6:coauthVersionMax="47" xr10:uidLastSave="{00000000-0000-0000-0000-000000000000}"/>
  <bookViews>
    <workbookView xWindow="0" yWindow="760" windowWidth="34200" windowHeight="21380" xr2:uid="{CB2DCFF3-D9AF-D04B-8638-9E7D505276A3}"/>
  </bookViews>
  <sheets>
    <sheet name="main" sheetId="1" r:id="rId1"/>
    <sheet name="Admin" sheetId="37" r:id="rId2"/>
    <sheet name="Professor" sheetId="35" r:id="rId3"/>
    <sheet name="Student" sheetId="34" r:id="rId4"/>
    <sheet name="&gt;Courses" sheetId="33" r:id="rId5"/>
    <sheet name="경영학원론_1" sheetId="41" r:id="rId6"/>
    <sheet name="경영학원론_2" sheetId="25" r:id="rId7"/>
    <sheet name="경영학원론_3" sheetId="26" r:id="rId8"/>
    <sheet name="경영학원론_4" sheetId="27" r:id="rId9"/>
    <sheet name="경제학원론_1" sheetId="38" r:id="rId10"/>
    <sheet name="경제학원론_2" sheetId="28" r:id="rId11"/>
    <sheet name="경제학원론_3" sheetId="29" r:id="rId12"/>
    <sheet name="경영통계학_1" sheetId="4" r:id="rId13"/>
    <sheet name="경영통계학_2" sheetId="39" r:id="rId14"/>
    <sheet name="경영통계학_3" sheetId="31" r:id="rId15"/>
    <sheet name="무역학개론_1" sheetId="5" r:id="rId16"/>
    <sheet name="회계학원론_1" sheetId="6" r:id="rId17"/>
    <sheet name="경영정보시스템_1" sheetId="7" r:id="rId18"/>
    <sheet name="관리회계_1" sheetId="8" r:id="rId19"/>
    <sheet name="관리회계_2" sheetId="24" r:id="rId20"/>
    <sheet name="마케팅_1" sheetId="9" r:id="rId21"/>
    <sheet name="마케팅리서치_1" sheetId="10" r:id="rId22"/>
    <sheet name="세법개론_1" sheetId="11" r:id="rId23"/>
    <sheet name="재무관리_1" sheetId="12" r:id="rId24"/>
    <sheet name="조직행동론_1" sheetId="13" r:id="rId25"/>
    <sheet name="조직행동론_2" sheetId="23" r:id="rId26"/>
    <sheet name="중급재무회계_1" sheetId="14" r:id="rId27"/>
    <sheet name="투자론_1" sheetId="15" r:id="rId28"/>
    <sheet name="경영과학_1" sheetId="16" r:id="rId29"/>
    <sheet name="세무회계_1" sheetId="17" r:id="rId30"/>
    <sheet name="스마트경영_1" sheetId="18" r:id="rId31"/>
    <sheet name="스마트경영_2" sheetId="32" r:id="rId32"/>
    <sheet name="인적자원관리_1" sheetId="19" r:id="rId33"/>
    <sheet name="서비스마케팅_1" sheetId="20" r:id="rId34"/>
    <sheet name="제품관리_1" sheetId="21" r:id="rId35"/>
  </sheets>
  <definedNames>
    <definedName name="_xlnm._FilterDatabase" localSheetId="0" hidden="1">main!$A$2:$I$404</definedName>
    <definedName name="_xlnm._FilterDatabase" localSheetId="3" hidden="1">Student!$A$1:$C$402</definedName>
    <definedName name="_xlnm.Print_Area" localSheetId="1">Admin!$A$1:$D$184</definedName>
    <definedName name="_xlnm.Print_Area" localSheetId="0">main!$A$1:$U$408</definedName>
    <definedName name="_xlnm.Print_Area" localSheetId="2">Professor!$A$1:$D$193</definedName>
    <definedName name="_xlnm.Print_Area" localSheetId="3">Student!$A$1:$C$402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3" i="1" l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408" i="1" s="1"/>
  <c r="H3" i="41"/>
  <c r="H3" i="39"/>
  <c r="H3" i="38"/>
  <c r="H3" i="21"/>
  <c r="H3" i="20"/>
  <c r="H3" i="19"/>
  <c r="H3" i="32"/>
  <c r="H3" i="18"/>
  <c r="H3" i="17"/>
  <c r="H3" i="16"/>
  <c r="H3" i="15"/>
  <c r="H3" i="14"/>
  <c r="H3" i="23"/>
  <c r="H3" i="13"/>
  <c r="H3" i="12"/>
  <c r="H3" i="11"/>
  <c r="H3" i="10"/>
  <c r="H3" i="9"/>
  <c r="H3" i="24"/>
  <c r="H3" i="8"/>
  <c r="H3" i="7"/>
  <c r="H3" i="6"/>
  <c r="H3" i="5"/>
  <c r="H3" i="31"/>
  <c r="H3" i="4"/>
  <c r="H3" i="29"/>
  <c r="H3" i="28"/>
  <c r="H3" i="27"/>
  <c r="H3" i="26"/>
  <c r="H3" i="25"/>
  <c r="N13" i="1"/>
  <c r="N12" i="1"/>
  <c r="N11" i="1"/>
  <c r="N10" i="1"/>
  <c r="N9" i="1"/>
  <c r="N8" i="1"/>
  <c r="N7" i="1"/>
  <c r="N6" i="1"/>
  <c r="N5" i="1"/>
  <c r="N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2" i="1"/>
  <c r="U13" i="1"/>
  <c r="U11" i="1"/>
  <c r="U4" i="1"/>
  <c r="U10" i="1"/>
  <c r="U9" i="1"/>
  <c r="U8" i="1"/>
  <c r="U7" i="1"/>
  <c r="U6" i="1"/>
  <c r="U5" i="1"/>
  <c r="U406" i="1"/>
  <c r="U404" i="1"/>
  <c r="U405" i="1"/>
  <c r="N14" i="1"/>
  <c r="U34" i="1"/>
  <c r="I407" i="1" l="1"/>
  <c r="I406" i="1"/>
  <c r="I404" i="1"/>
</calcChain>
</file>

<file path=xl/sharedStrings.xml><?xml version="1.0" encoding="utf-8"?>
<sst xmlns="http://schemas.openxmlformats.org/spreadsheetml/2006/main" count="3816" uniqueCount="520">
  <si>
    <t>학생001</t>
  </si>
  <si>
    <t>학생001</t>
    <phoneticPr fontId="2" type="noConversion"/>
  </si>
  <si>
    <t>학생002</t>
  </si>
  <si>
    <t>학생002</t>
    <phoneticPr fontId="2" type="noConversion"/>
  </si>
  <si>
    <t>학생003</t>
  </si>
  <si>
    <t>학생004</t>
  </si>
  <si>
    <t>학생005</t>
  </si>
  <si>
    <t>학생006</t>
  </si>
  <si>
    <t>학생007</t>
  </si>
  <si>
    <t>학생008</t>
  </si>
  <si>
    <t>학생009</t>
  </si>
  <si>
    <t>학생010</t>
  </si>
  <si>
    <t>학생011</t>
  </si>
  <si>
    <t>학생012</t>
  </si>
  <si>
    <t>학생013</t>
  </si>
  <si>
    <t>학생014</t>
  </si>
  <si>
    <t>학생015</t>
  </si>
  <si>
    <t>학생016</t>
  </si>
  <si>
    <t>학생017</t>
  </si>
  <si>
    <t>학생018</t>
  </si>
  <si>
    <t>학생019</t>
  </si>
  <si>
    <t>학생020</t>
  </si>
  <si>
    <t>학생021</t>
  </si>
  <si>
    <t>학생022</t>
  </si>
  <si>
    <t>학생023</t>
  </si>
  <si>
    <t>학생024</t>
  </si>
  <si>
    <t>학생025</t>
  </si>
  <si>
    <t>학생026</t>
  </si>
  <si>
    <t>학생027</t>
  </si>
  <si>
    <t>학생028</t>
  </si>
  <si>
    <t>학생029</t>
  </si>
  <si>
    <t>학생030</t>
  </si>
  <si>
    <t>학생031</t>
  </si>
  <si>
    <t>학생032</t>
  </si>
  <si>
    <t>학생033</t>
  </si>
  <si>
    <t>학생034</t>
  </si>
  <si>
    <t>학생035</t>
  </si>
  <si>
    <t>학생036</t>
  </si>
  <si>
    <t>학생037</t>
  </si>
  <si>
    <t>학생038</t>
  </si>
  <si>
    <t>학생039</t>
  </si>
  <si>
    <t>학생040</t>
  </si>
  <si>
    <t>학생041</t>
  </si>
  <si>
    <t>학생042</t>
  </si>
  <si>
    <t>학생043</t>
  </si>
  <si>
    <t>학생044</t>
  </si>
  <si>
    <t>학생045</t>
  </si>
  <si>
    <t>학생046</t>
  </si>
  <si>
    <t>학생047</t>
  </si>
  <si>
    <t>학생048</t>
  </si>
  <si>
    <t>학생049</t>
  </si>
  <si>
    <t>학생050</t>
  </si>
  <si>
    <t>학생051</t>
  </si>
  <si>
    <t>학생052</t>
  </si>
  <si>
    <t>학생053</t>
  </si>
  <si>
    <t>학생054</t>
  </si>
  <si>
    <t>학생055</t>
  </si>
  <si>
    <t>학생056</t>
  </si>
  <si>
    <t>학생057</t>
  </si>
  <si>
    <t>학생058</t>
  </si>
  <si>
    <t>학생059</t>
  </si>
  <si>
    <t>학생060</t>
  </si>
  <si>
    <t>학생061</t>
  </si>
  <si>
    <t>학생062</t>
  </si>
  <si>
    <t>학생063</t>
  </si>
  <si>
    <t>학생064</t>
  </si>
  <si>
    <t>학생065</t>
  </si>
  <si>
    <t>학생066</t>
  </si>
  <si>
    <t>학생067</t>
  </si>
  <si>
    <t>학생068</t>
  </si>
  <si>
    <t>학생069</t>
  </si>
  <si>
    <t>학생070</t>
  </si>
  <si>
    <t>학생071</t>
  </si>
  <si>
    <t>학생072</t>
  </si>
  <si>
    <t>학생073</t>
  </si>
  <si>
    <t>학생074</t>
  </si>
  <si>
    <t>학생075</t>
  </si>
  <si>
    <t>학생076</t>
  </si>
  <si>
    <t>학생077</t>
  </si>
  <si>
    <t>학생078</t>
  </si>
  <si>
    <t>학생079</t>
  </si>
  <si>
    <t>학생080</t>
  </si>
  <si>
    <t>학생081</t>
  </si>
  <si>
    <t>학생082</t>
  </si>
  <si>
    <t>학생083</t>
  </si>
  <si>
    <t>학생084</t>
  </si>
  <si>
    <t>학생085</t>
  </si>
  <si>
    <t>학생086</t>
  </si>
  <si>
    <t>학생087</t>
  </si>
  <si>
    <t>학생088</t>
  </si>
  <si>
    <t>학생089</t>
  </si>
  <si>
    <t>학생090</t>
  </si>
  <si>
    <t>학생091</t>
  </si>
  <si>
    <t>학생092</t>
  </si>
  <si>
    <t>학생093</t>
  </si>
  <si>
    <t>학생094</t>
  </si>
  <si>
    <t>학생095</t>
  </si>
  <si>
    <t>학생096</t>
  </si>
  <si>
    <t>학생097</t>
  </si>
  <si>
    <t>학생098</t>
  </si>
  <si>
    <t>학생099</t>
  </si>
  <si>
    <t>학생100</t>
  </si>
  <si>
    <t>학생101</t>
  </si>
  <si>
    <t>학생102</t>
  </si>
  <si>
    <t>학생103</t>
  </si>
  <si>
    <t>학생104</t>
  </si>
  <si>
    <t>학생105</t>
  </si>
  <si>
    <t>학생106</t>
  </si>
  <si>
    <t>학생107</t>
  </si>
  <si>
    <t>학생108</t>
  </si>
  <si>
    <t>학생109</t>
  </si>
  <si>
    <t>학생110</t>
  </si>
  <si>
    <t>학생111</t>
  </si>
  <si>
    <t>학생112</t>
  </si>
  <si>
    <t>학생113</t>
  </si>
  <si>
    <t>학생114</t>
  </si>
  <si>
    <t>학생115</t>
  </si>
  <si>
    <t>학생116</t>
  </si>
  <si>
    <t>학생117</t>
  </si>
  <si>
    <t>학생118</t>
  </si>
  <si>
    <t>학생119</t>
  </si>
  <si>
    <t>학생120</t>
  </si>
  <si>
    <t>학생121</t>
  </si>
  <si>
    <t>학생122</t>
  </si>
  <si>
    <t>학생123</t>
  </si>
  <si>
    <t>학생124</t>
  </si>
  <si>
    <t>학생125</t>
  </si>
  <si>
    <t>학생126</t>
  </si>
  <si>
    <t>학생127</t>
  </si>
  <si>
    <t>학생128</t>
  </si>
  <si>
    <t>학생129</t>
  </si>
  <si>
    <t>학생130</t>
  </si>
  <si>
    <t>학생131</t>
  </si>
  <si>
    <t>학생132</t>
  </si>
  <si>
    <t>학생133</t>
  </si>
  <si>
    <t>학생134</t>
  </si>
  <si>
    <t>학생135</t>
  </si>
  <si>
    <t>학생136</t>
  </si>
  <si>
    <t>학생137</t>
  </si>
  <si>
    <t>학생138</t>
  </si>
  <si>
    <t>학생139</t>
  </si>
  <si>
    <t>학생140</t>
  </si>
  <si>
    <t>학생141</t>
  </si>
  <si>
    <t>학생142</t>
  </si>
  <si>
    <t>학생143</t>
  </si>
  <si>
    <t>학생144</t>
  </si>
  <si>
    <t>학생145</t>
  </si>
  <si>
    <t>학생146</t>
  </si>
  <si>
    <t>학생147</t>
  </si>
  <si>
    <t>학생148</t>
  </si>
  <si>
    <t>학생149</t>
  </si>
  <si>
    <t>학생150</t>
  </si>
  <si>
    <t>학생151</t>
  </si>
  <si>
    <t>학생152</t>
  </si>
  <si>
    <t>학생153</t>
  </si>
  <si>
    <t>학생154</t>
  </si>
  <si>
    <t>학생155</t>
  </si>
  <si>
    <t>학생156</t>
  </si>
  <si>
    <t>학생157</t>
  </si>
  <si>
    <t>학생158</t>
  </si>
  <si>
    <t>학생159</t>
  </si>
  <si>
    <t>학생160</t>
  </si>
  <si>
    <t>학생161</t>
  </si>
  <si>
    <t>학생162</t>
  </si>
  <si>
    <t>학생163</t>
  </si>
  <si>
    <t>학생164</t>
  </si>
  <si>
    <t>학생165</t>
  </si>
  <si>
    <t>학생166</t>
  </si>
  <si>
    <t>학생167</t>
  </si>
  <si>
    <t>학생168</t>
  </si>
  <si>
    <t>학생169</t>
  </si>
  <si>
    <t>학생170</t>
  </si>
  <si>
    <t>학생171</t>
  </si>
  <si>
    <t>학생172</t>
  </si>
  <si>
    <t>학생173</t>
  </si>
  <si>
    <t>학생174</t>
  </si>
  <si>
    <t>학생175</t>
  </si>
  <si>
    <t>학생176</t>
  </si>
  <si>
    <t>학생177</t>
  </si>
  <si>
    <t>학생178</t>
  </si>
  <si>
    <t>학생179</t>
  </si>
  <si>
    <t>학생180</t>
  </si>
  <si>
    <t>학생181</t>
  </si>
  <si>
    <t>학생182</t>
  </si>
  <si>
    <t>학생183</t>
  </si>
  <si>
    <t>학생184</t>
  </si>
  <si>
    <t>학생185</t>
  </si>
  <si>
    <t>학생186</t>
  </si>
  <si>
    <t>학생187</t>
  </si>
  <si>
    <t>학생188</t>
  </si>
  <si>
    <t>학생189</t>
  </si>
  <si>
    <t>학생190</t>
  </si>
  <si>
    <t>학생191</t>
  </si>
  <si>
    <t>학생192</t>
  </si>
  <si>
    <t>학생193</t>
  </si>
  <si>
    <t>학생194</t>
  </si>
  <si>
    <t>학생195</t>
  </si>
  <si>
    <t>학생196</t>
  </si>
  <si>
    <t>학생197</t>
  </si>
  <si>
    <t>학생198</t>
  </si>
  <si>
    <t>학생199</t>
  </si>
  <si>
    <t>학생200</t>
  </si>
  <si>
    <t>학생201</t>
  </si>
  <si>
    <t>학생202</t>
  </si>
  <si>
    <t>학생203</t>
  </si>
  <si>
    <t>학생204</t>
  </si>
  <si>
    <t>학생205</t>
  </si>
  <si>
    <t>학생206</t>
  </si>
  <si>
    <t>학생207</t>
  </si>
  <si>
    <t>학생208</t>
  </si>
  <si>
    <t>학생209</t>
  </si>
  <si>
    <t>학생210</t>
  </si>
  <si>
    <t>학생211</t>
  </si>
  <si>
    <t>학생212</t>
  </si>
  <si>
    <t>학생213</t>
  </si>
  <si>
    <t>학생214</t>
  </si>
  <si>
    <t>학생215</t>
  </si>
  <si>
    <t>학생216</t>
  </si>
  <si>
    <t>학생217</t>
  </si>
  <si>
    <t>학생218</t>
  </si>
  <si>
    <t>학생219</t>
  </si>
  <si>
    <t>학생220</t>
  </si>
  <si>
    <t>학생221</t>
  </si>
  <si>
    <t>학생222</t>
  </si>
  <si>
    <t>학생223</t>
  </si>
  <si>
    <t>학생224</t>
  </si>
  <si>
    <t>학생225</t>
  </si>
  <si>
    <t>학생226</t>
  </si>
  <si>
    <t>학생227</t>
  </si>
  <si>
    <t>학생228</t>
  </si>
  <si>
    <t>학생229</t>
  </si>
  <si>
    <t>학생230</t>
  </si>
  <si>
    <t>학생231</t>
  </si>
  <si>
    <t>학생232</t>
  </si>
  <si>
    <t>학생233</t>
  </si>
  <si>
    <t>학생234</t>
  </si>
  <si>
    <t>학생235</t>
  </si>
  <si>
    <t>학생236</t>
  </si>
  <si>
    <t>학생237</t>
  </si>
  <si>
    <t>학생238</t>
  </si>
  <si>
    <t>학생239</t>
  </si>
  <si>
    <t>학생240</t>
  </si>
  <si>
    <t>학생241</t>
  </si>
  <si>
    <t>학생242</t>
  </si>
  <si>
    <t>학생243</t>
  </si>
  <si>
    <t>학생244</t>
  </si>
  <si>
    <t>학생245</t>
  </si>
  <si>
    <t>학생246</t>
  </si>
  <si>
    <t>학생247</t>
  </si>
  <si>
    <t>학생248</t>
  </si>
  <si>
    <t>학생249</t>
  </si>
  <si>
    <t>학생250</t>
  </si>
  <si>
    <t>학생251</t>
  </si>
  <si>
    <t>학생252</t>
  </si>
  <si>
    <t>학생253</t>
  </si>
  <si>
    <t>학생254</t>
  </si>
  <si>
    <t>학생255</t>
  </si>
  <si>
    <t>학생256</t>
  </si>
  <si>
    <t>학생257</t>
  </si>
  <si>
    <t>학생258</t>
  </si>
  <si>
    <t>학생259</t>
  </si>
  <si>
    <t>학생260</t>
  </si>
  <si>
    <t>학생261</t>
  </si>
  <si>
    <t>학생262</t>
  </si>
  <si>
    <t>학생263</t>
  </si>
  <si>
    <t>학생264</t>
  </si>
  <si>
    <t>학생265</t>
  </si>
  <si>
    <t>학생266</t>
  </si>
  <si>
    <t>학생267</t>
  </si>
  <si>
    <t>학생268</t>
  </si>
  <si>
    <t>학생269</t>
  </si>
  <si>
    <t>학생270</t>
  </si>
  <si>
    <t>학생271</t>
  </si>
  <si>
    <t>학생272</t>
  </si>
  <si>
    <t>학생273</t>
  </si>
  <si>
    <t>학생274</t>
  </si>
  <si>
    <t>학생275</t>
  </si>
  <si>
    <t>학생276</t>
  </si>
  <si>
    <t>학생277</t>
  </si>
  <si>
    <t>학생278</t>
  </si>
  <si>
    <t>학생279</t>
  </si>
  <si>
    <t>학생280</t>
  </si>
  <si>
    <t>학생281</t>
  </si>
  <si>
    <t>학생282</t>
  </si>
  <si>
    <t>학생283</t>
  </si>
  <si>
    <t>학생284</t>
  </si>
  <si>
    <t>학생285</t>
  </si>
  <si>
    <t>학생286</t>
  </si>
  <si>
    <t>학생287</t>
  </si>
  <si>
    <t>학생288</t>
  </si>
  <si>
    <t>학생289</t>
  </si>
  <si>
    <t>학생290</t>
  </si>
  <si>
    <t>학생291</t>
  </si>
  <si>
    <t>학생292</t>
  </si>
  <si>
    <t>학생293</t>
  </si>
  <si>
    <t>학생294</t>
  </si>
  <si>
    <t>학생295</t>
  </si>
  <si>
    <t>학생296</t>
  </si>
  <si>
    <t>학생297</t>
  </si>
  <si>
    <t>학생298</t>
  </si>
  <si>
    <t>학생299</t>
  </si>
  <si>
    <t>학생300</t>
  </si>
  <si>
    <t>학생301</t>
  </si>
  <si>
    <t>학생302</t>
  </si>
  <si>
    <t>학생303</t>
  </si>
  <si>
    <t>학생304</t>
  </si>
  <si>
    <t>학생305</t>
  </si>
  <si>
    <t>학생306</t>
  </si>
  <si>
    <t>학생307</t>
  </si>
  <si>
    <t>학생308</t>
  </si>
  <si>
    <t>학생309</t>
  </si>
  <si>
    <t>학생310</t>
  </si>
  <si>
    <t>학생311</t>
  </si>
  <si>
    <t>학생312</t>
  </si>
  <si>
    <t>학생313</t>
  </si>
  <si>
    <t>학생314</t>
  </si>
  <si>
    <t>학생315</t>
  </si>
  <si>
    <t>학생316</t>
  </si>
  <si>
    <t>학생317</t>
  </si>
  <si>
    <t>학생318</t>
  </si>
  <si>
    <t>학생319</t>
  </si>
  <si>
    <t>학생320</t>
  </si>
  <si>
    <t>학생321</t>
  </si>
  <si>
    <t>학생322</t>
  </si>
  <si>
    <t>학생323</t>
  </si>
  <si>
    <t>학생324</t>
  </si>
  <si>
    <t>학생325</t>
  </si>
  <si>
    <t>학생326</t>
  </si>
  <si>
    <t>학생327</t>
  </si>
  <si>
    <t>학생328</t>
  </si>
  <si>
    <t>학생329</t>
  </si>
  <si>
    <t>학생330</t>
  </si>
  <si>
    <t>학생331</t>
  </si>
  <si>
    <t>학생332</t>
  </si>
  <si>
    <t>학생333</t>
  </si>
  <si>
    <t>학생334</t>
  </si>
  <si>
    <t>학생335</t>
  </si>
  <si>
    <t>학생336</t>
  </si>
  <si>
    <t>학생337</t>
  </si>
  <si>
    <t>학생338</t>
  </si>
  <si>
    <t>학생339</t>
  </si>
  <si>
    <t>학생340</t>
  </si>
  <si>
    <t>학생341</t>
  </si>
  <si>
    <t>학생342</t>
  </si>
  <si>
    <t>학생343</t>
  </si>
  <si>
    <t>학생344</t>
  </si>
  <si>
    <t>학생345</t>
  </si>
  <si>
    <t>학생346</t>
  </si>
  <si>
    <t>학생347</t>
  </si>
  <si>
    <t>학생348</t>
  </si>
  <si>
    <t>학생349</t>
  </si>
  <si>
    <t>학생350</t>
  </si>
  <si>
    <t>학생351</t>
  </si>
  <si>
    <t>학생352</t>
  </si>
  <si>
    <t>학생353</t>
  </si>
  <si>
    <t>학생354</t>
  </si>
  <si>
    <t>학생355</t>
  </si>
  <si>
    <t>학생356</t>
  </si>
  <si>
    <t>학생357</t>
  </si>
  <si>
    <t>학생358</t>
  </si>
  <si>
    <t>학생359</t>
  </si>
  <si>
    <t>학생360</t>
  </si>
  <si>
    <t>학생361</t>
  </si>
  <si>
    <t>학생362</t>
  </si>
  <si>
    <t>학생363</t>
  </si>
  <si>
    <t>학생364</t>
  </si>
  <si>
    <t>학생365</t>
  </si>
  <si>
    <t>학생366</t>
  </si>
  <si>
    <t>학생367</t>
  </si>
  <si>
    <t>학생368</t>
  </si>
  <si>
    <t>학생369</t>
  </si>
  <si>
    <t>학생370</t>
  </si>
  <si>
    <t>학생371</t>
  </si>
  <si>
    <t>학생372</t>
  </si>
  <si>
    <t>학생373</t>
  </si>
  <si>
    <t>학생374</t>
  </si>
  <si>
    <t>학생375</t>
  </si>
  <si>
    <t>학생376</t>
  </si>
  <si>
    <t>학생377</t>
  </si>
  <si>
    <t>학생378</t>
  </si>
  <si>
    <t>학생379</t>
  </si>
  <si>
    <t>학생380</t>
  </si>
  <si>
    <t>학생381</t>
  </si>
  <si>
    <t>학생382</t>
  </si>
  <si>
    <t>학생383</t>
  </si>
  <si>
    <t>학생384</t>
  </si>
  <si>
    <t>학생385</t>
  </si>
  <si>
    <t>학생386</t>
  </si>
  <si>
    <t>학생387</t>
  </si>
  <si>
    <t>학생388</t>
  </si>
  <si>
    <t>학생389</t>
  </si>
  <si>
    <t>학생390</t>
  </si>
  <si>
    <t>학생391</t>
  </si>
  <si>
    <t>학생392</t>
  </si>
  <si>
    <t>학생393</t>
  </si>
  <si>
    <t>학생394</t>
  </si>
  <si>
    <t>학생395</t>
  </si>
  <si>
    <t>학생396</t>
  </si>
  <si>
    <t>학생397</t>
  </si>
  <si>
    <t>학생398</t>
  </si>
  <si>
    <t>학생399</t>
  </si>
  <si>
    <t>학생400</t>
  </si>
  <si>
    <t>교수001</t>
    <phoneticPr fontId="2" type="noConversion"/>
  </si>
  <si>
    <t>교수002</t>
    <phoneticPr fontId="2" type="noConversion"/>
  </si>
  <si>
    <t>교수004</t>
  </si>
  <si>
    <t>교수005</t>
  </si>
  <si>
    <t>교수006</t>
  </si>
  <si>
    <t>교수007</t>
  </si>
  <si>
    <t>교수008</t>
  </si>
  <si>
    <t>교수009</t>
  </si>
  <si>
    <t>교수010</t>
  </si>
  <si>
    <t>경영학원론_1</t>
    <phoneticPr fontId="2" type="noConversion"/>
  </si>
  <si>
    <t>경영학원론_2</t>
    <phoneticPr fontId="2" type="noConversion"/>
  </si>
  <si>
    <t>경영학원론_3</t>
    <phoneticPr fontId="2" type="noConversion"/>
  </si>
  <si>
    <t>경영학원론_4</t>
  </si>
  <si>
    <t>경제학원론_1</t>
    <phoneticPr fontId="2" type="noConversion"/>
  </si>
  <si>
    <t>경제학원론_2</t>
    <phoneticPr fontId="2" type="noConversion"/>
  </si>
  <si>
    <t>경제학원론_3</t>
    <phoneticPr fontId="2" type="noConversion"/>
  </si>
  <si>
    <t>경영통계학_1</t>
    <phoneticPr fontId="2" type="noConversion"/>
  </si>
  <si>
    <t>경영통계학_2</t>
    <phoneticPr fontId="2" type="noConversion"/>
  </si>
  <si>
    <t>경영통계학_3</t>
    <phoneticPr fontId="2" type="noConversion"/>
  </si>
  <si>
    <t>관리회계_1</t>
    <phoneticPr fontId="2" type="noConversion"/>
  </si>
  <si>
    <t>관리회계_2</t>
  </si>
  <si>
    <t>무역학개론_1</t>
    <phoneticPr fontId="2" type="noConversion"/>
  </si>
  <si>
    <t>회계학원론_1</t>
    <phoneticPr fontId="2" type="noConversion"/>
  </si>
  <si>
    <t>경영정보시스템_1</t>
    <phoneticPr fontId="2" type="noConversion"/>
  </si>
  <si>
    <t>마케팅_1</t>
    <phoneticPr fontId="2" type="noConversion"/>
  </si>
  <si>
    <t>세법개론_1</t>
    <phoneticPr fontId="2" type="noConversion"/>
  </si>
  <si>
    <t>재무관리_1</t>
    <phoneticPr fontId="2" type="noConversion"/>
  </si>
  <si>
    <t>조직행동론_1</t>
    <phoneticPr fontId="2" type="noConversion"/>
  </si>
  <si>
    <t>스마트경영_1</t>
    <phoneticPr fontId="2" type="noConversion"/>
  </si>
  <si>
    <t>스마트경영_2</t>
  </si>
  <si>
    <t>조직행동론_2</t>
  </si>
  <si>
    <t>투자론_1</t>
    <phoneticPr fontId="2" type="noConversion"/>
  </si>
  <si>
    <t>경영과학_1</t>
    <phoneticPr fontId="2" type="noConversion"/>
  </si>
  <si>
    <t>세무회계_1</t>
    <phoneticPr fontId="2" type="noConversion"/>
  </si>
  <si>
    <t>인적자원관리_1</t>
    <phoneticPr fontId="2" type="noConversion"/>
  </si>
  <si>
    <t>서비스마케팅_1</t>
    <phoneticPr fontId="2" type="noConversion"/>
  </si>
  <si>
    <t>제품관리_1</t>
    <phoneticPr fontId="2" type="noConversion"/>
  </si>
  <si>
    <t>교수003</t>
    <phoneticPr fontId="2" type="noConversion"/>
  </si>
  <si>
    <t>이름</t>
  </si>
  <si>
    <t>이름</t>
    <phoneticPr fontId="2" type="noConversion"/>
  </si>
  <si>
    <t>학번</t>
  </si>
  <si>
    <t>학번</t>
    <phoneticPr fontId="2" type="noConversion"/>
  </si>
  <si>
    <t>중간고사</t>
  </si>
  <si>
    <t>중간고사</t>
    <phoneticPr fontId="2" type="noConversion"/>
  </si>
  <si>
    <t>기말고사</t>
  </si>
  <si>
    <t>기말고사</t>
    <phoneticPr fontId="2" type="noConversion"/>
  </si>
  <si>
    <t>과제점수</t>
  </si>
  <si>
    <t>과제점수</t>
    <phoneticPr fontId="2" type="noConversion"/>
  </si>
  <si>
    <t>출석점수</t>
  </si>
  <si>
    <t>출석점수</t>
    <phoneticPr fontId="2" type="noConversion"/>
  </si>
  <si>
    <t>교수명</t>
    <phoneticPr fontId="2" type="noConversion"/>
  </si>
  <si>
    <t>교수ID</t>
    <phoneticPr fontId="2" type="noConversion"/>
  </si>
  <si>
    <t>과목명</t>
    <phoneticPr fontId="2" type="noConversion"/>
  </si>
  <si>
    <t>과목코드</t>
    <phoneticPr fontId="2" type="noConversion"/>
  </si>
  <si>
    <t>이의신청</t>
    <phoneticPr fontId="2" type="noConversion"/>
  </si>
  <si>
    <t>수강과목 수</t>
    <phoneticPr fontId="2" type="noConversion"/>
  </si>
  <si>
    <t>ID</t>
    <phoneticPr fontId="2" type="noConversion"/>
  </si>
  <si>
    <t>개설 과목 수</t>
    <phoneticPr fontId="2" type="noConversion"/>
  </si>
  <si>
    <t>수강 학생 수</t>
    <phoneticPr fontId="2" type="noConversion"/>
  </si>
  <si>
    <t>계</t>
    <phoneticPr fontId="2" type="noConversion"/>
  </si>
  <si>
    <t>average</t>
    <phoneticPr fontId="2" type="noConversion"/>
  </si>
  <si>
    <t>max</t>
    <phoneticPr fontId="2" type="noConversion"/>
  </si>
  <si>
    <t>min</t>
    <phoneticPr fontId="2" type="noConversion"/>
  </si>
  <si>
    <t>마케팅리서치_1</t>
    <phoneticPr fontId="2" type="noConversion"/>
  </si>
  <si>
    <t>중급재무회계_1</t>
    <phoneticPr fontId="2" type="noConversion"/>
  </si>
  <si>
    <t>학생023</t>
    <phoneticPr fontId="2" type="noConversion"/>
  </si>
  <si>
    <t>학생038</t>
    <phoneticPr fontId="2" type="noConversion"/>
  </si>
  <si>
    <r>
      <rPr>
        <sz val="11"/>
        <color rgb="FF000000"/>
        <rFont val="Malgun Gothic"/>
        <family val="2"/>
        <charset val="129"/>
      </rPr>
      <t>학생</t>
    </r>
    <r>
      <rPr>
        <sz val="11"/>
        <color rgb="FF000000"/>
        <rFont val="Menlo"/>
        <family val="2"/>
      </rPr>
      <t>200</t>
    </r>
    <phoneticPr fontId="2" type="noConversion"/>
  </si>
  <si>
    <t>학생200</t>
    <phoneticPr fontId="2" type="noConversion"/>
  </si>
  <si>
    <t>학생018</t>
    <phoneticPr fontId="2" type="noConversion"/>
  </si>
  <si>
    <t>학생006</t>
    <phoneticPr fontId="2" type="noConversion"/>
  </si>
  <si>
    <t>학생007</t>
    <phoneticPr fontId="2" type="noConversion"/>
  </si>
  <si>
    <t>학생017</t>
    <phoneticPr fontId="2" type="noConversion"/>
  </si>
  <si>
    <t>학생370</t>
    <phoneticPr fontId="2" type="noConversion"/>
  </si>
  <si>
    <t>학생385</t>
    <phoneticPr fontId="2" type="noConversion"/>
  </si>
  <si>
    <t>학생312</t>
    <phoneticPr fontId="2" type="noConversion"/>
  </si>
  <si>
    <t>학생283</t>
    <phoneticPr fontId="2" type="noConversion"/>
  </si>
  <si>
    <t>관리자</t>
    <phoneticPr fontId="2" type="noConversion"/>
  </si>
  <si>
    <t>이의신청 내용</t>
    <phoneticPr fontId="2" type="noConversion"/>
  </si>
  <si>
    <t>A 비율</t>
    <phoneticPr fontId="2" type="noConversion"/>
  </si>
  <si>
    <t>B 비율</t>
    <phoneticPr fontId="2" type="noConversion"/>
  </si>
  <si>
    <t>C 비율</t>
    <phoneticPr fontId="2" type="noConversion"/>
  </si>
  <si>
    <t>경영학원론</t>
    <phoneticPr fontId="2" type="noConversion"/>
  </si>
  <si>
    <t>분반</t>
    <phoneticPr fontId="2" type="noConversion"/>
  </si>
  <si>
    <t>과목</t>
    <phoneticPr fontId="2" type="noConversion"/>
  </si>
  <si>
    <t>교수</t>
    <phoneticPr fontId="2" type="noConversion"/>
  </si>
  <si>
    <t>중간_가중치</t>
    <phoneticPr fontId="2" type="noConversion"/>
  </si>
  <si>
    <t>기말_가중치</t>
    <phoneticPr fontId="2" type="noConversion"/>
  </si>
  <si>
    <t>과제_가중치</t>
    <phoneticPr fontId="2" type="noConversion"/>
  </si>
  <si>
    <t>출석_가중치</t>
    <phoneticPr fontId="2" type="noConversion"/>
  </si>
  <si>
    <t>경제학원론</t>
    <phoneticPr fontId="2" type="noConversion"/>
  </si>
  <si>
    <t>경영통계학</t>
    <phoneticPr fontId="2" type="noConversion"/>
  </si>
  <si>
    <t>무역학개론</t>
    <phoneticPr fontId="2" type="noConversion"/>
  </si>
  <si>
    <t>회계학원론</t>
    <phoneticPr fontId="2" type="noConversion"/>
  </si>
  <si>
    <t>경영정보시스템</t>
    <phoneticPr fontId="2" type="noConversion"/>
  </si>
  <si>
    <t>관리회계</t>
    <phoneticPr fontId="2" type="noConversion"/>
  </si>
  <si>
    <t>마케팅</t>
    <phoneticPr fontId="2" type="noConversion"/>
  </si>
  <si>
    <t>마케팅리서치</t>
    <phoneticPr fontId="2" type="noConversion"/>
  </si>
  <si>
    <t>세법개론</t>
    <phoneticPr fontId="2" type="noConversion"/>
  </si>
  <si>
    <t>재무관리</t>
    <phoneticPr fontId="2" type="noConversion"/>
  </si>
  <si>
    <t>조직행동론</t>
    <phoneticPr fontId="2" type="noConversion"/>
  </si>
  <si>
    <t>중급재무회계</t>
    <phoneticPr fontId="2" type="noConversion"/>
  </si>
  <si>
    <t>투자론</t>
    <phoneticPr fontId="2" type="noConversion"/>
  </si>
  <si>
    <t>경영과학</t>
    <phoneticPr fontId="2" type="noConversion"/>
  </si>
  <si>
    <t>세무회계</t>
    <phoneticPr fontId="2" type="noConversion"/>
  </si>
  <si>
    <t>스마트경영</t>
    <phoneticPr fontId="2" type="noConversion"/>
  </si>
  <si>
    <t>인적자원관리</t>
    <phoneticPr fontId="2" type="noConversion"/>
  </si>
  <si>
    <t>서비스마케팅</t>
    <phoneticPr fontId="2" type="noConversion"/>
  </si>
  <si>
    <t>제품관리</t>
    <phoneticPr fontId="2" type="noConversion"/>
  </si>
  <si>
    <t>교수004</t>
    <phoneticPr fontId="2" type="noConversion"/>
  </si>
  <si>
    <t>교수005</t>
    <phoneticPr fontId="2" type="noConversion"/>
  </si>
  <si>
    <t>교수006</t>
    <phoneticPr fontId="2" type="noConversion"/>
  </si>
  <si>
    <t>교수007</t>
    <phoneticPr fontId="2" type="noConversion"/>
  </si>
  <si>
    <t>교수008</t>
    <phoneticPr fontId="2" type="noConversion"/>
  </si>
  <si>
    <t>교수009</t>
    <phoneticPr fontId="2" type="noConversion"/>
  </si>
  <si>
    <t>교수010</t>
    <phoneticPr fontId="2" type="noConversion"/>
  </si>
  <si>
    <t>D 비율</t>
    <phoneticPr fontId="2" type="noConversion"/>
  </si>
  <si>
    <t>F 비율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</si>
</sst>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1"/>
      <color rgb="FF000000"/>
      <name val="Menlo"/>
      <family val="2"/>
    </font>
    <font>
      <sz val="11"/>
      <color rgb="FF000000"/>
      <name val="Malgun Gothic"/>
      <family val="2"/>
      <charset val="129"/>
    </font>
    <font>
      <sz val="11"/>
      <color rgb="FF000000"/>
      <name val="Menlo"/>
      <family val="2"/>
      <charset val="129"/>
    </font>
    <font>
      <b/>
      <sz val="12"/>
      <color theme="8" tint="-0.249977111117893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4" borderId="1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ill="1" applyAlignment="1"/>
    <xf numFmtId="0" fontId="0" fillId="4" borderId="1" xfId="0" applyFill="1" applyBorder="1" applyAlignment="1"/>
    <xf numFmtId="0" fontId="0" fillId="6" borderId="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5F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DC90-4AFC-DF42-8DF6-4BFA88A3923B}">
  <dimension ref="A2:U408"/>
  <sheetViews>
    <sheetView showGridLines="0" tabSelected="1" view="pageBreakPreview" zoomScale="75" zoomScaleNormal="68" zoomScaleSheetLayoutView="100" workbookViewId="0">
      <selection activeCell="Q426" sqref="Q426"/>
    </sheetView>
  </sheetViews>
  <sheetFormatPr baseColWidth="10" defaultRowHeight="18"/>
  <cols>
    <col min="1" max="1" width="4.140625" style="6" customWidth="1"/>
    <col min="4" max="7" width="0" hidden="1" customWidth="1"/>
    <col min="8" max="8" width="10.7109375" hidden="1" customWidth="1"/>
    <col min="9" max="9" width="10.7109375" style="6" customWidth="1"/>
    <col min="10" max="10" width="10.7109375" customWidth="1"/>
    <col min="11" max="11" width="4.140625" style="6" customWidth="1"/>
    <col min="12" max="12" width="15.42578125" customWidth="1"/>
    <col min="14" max="14" width="10.7109375" style="6"/>
    <col min="16" max="16" width="4.140625" style="6" customWidth="1"/>
    <col min="17" max="18" width="19" customWidth="1"/>
    <col min="19" max="20" width="10.7109375" customWidth="1"/>
    <col min="21" max="21" width="10.7109375" style="6"/>
  </cols>
  <sheetData>
    <row r="2" spans="1:21">
      <c r="A2" s="12"/>
      <c r="B2" s="13" t="s">
        <v>441</v>
      </c>
      <c r="C2" s="11" t="s">
        <v>443</v>
      </c>
      <c r="D2" s="11" t="s">
        <v>445</v>
      </c>
      <c r="E2" s="11" t="s">
        <v>447</v>
      </c>
      <c r="F2" s="11" t="s">
        <v>449</v>
      </c>
      <c r="G2" s="11" t="s">
        <v>451</v>
      </c>
      <c r="H2" s="11" t="s">
        <v>456</v>
      </c>
      <c r="I2" s="12" t="s">
        <v>457</v>
      </c>
      <c r="K2" s="10"/>
      <c r="L2" s="11" t="s">
        <v>441</v>
      </c>
      <c r="M2" s="11" t="s">
        <v>458</v>
      </c>
      <c r="N2" s="10" t="s">
        <v>459</v>
      </c>
      <c r="P2" s="10"/>
      <c r="Q2" s="11" t="s">
        <v>454</v>
      </c>
      <c r="R2" s="11" t="s">
        <v>455</v>
      </c>
      <c r="S2" s="11" t="s">
        <v>452</v>
      </c>
      <c r="T2" s="11" t="s">
        <v>453</v>
      </c>
      <c r="U2" s="10" t="s">
        <v>460</v>
      </c>
    </row>
    <row r="3" spans="1:21">
      <c r="A3" s="14"/>
      <c r="B3" s="16"/>
      <c r="C3" s="16"/>
      <c r="D3">
        <v>30</v>
      </c>
      <c r="E3">
        <v>40</v>
      </c>
      <c r="F3">
        <v>20</v>
      </c>
      <c r="G3">
        <v>10</v>
      </c>
      <c r="I3" s="23"/>
      <c r="K3" s="14"/>
      <c r="L3" s="18"/>
      <c r="M3" s="18"/>
      <c r="N3" s="23"/>
      <c r="P3" s="14"/>
      <c r="Q3" s="18"/>
      <c r="R3" s="18"/>
      <c r="S3" s="18"/>
      <c r="T3" s="18"/>
      <c r="U3" s="23"/>
    </row>
    <row r="4" spans="1:21">
      <c r="A4" s="15">
        <v>1</v>
      </c>
      <c r="B4" s="16" t="s">
        <v>1</v>
      </c>
      <c r="C4" s="16">
        <v>202400001</v>
      </c>
      <c r="I4" s="24">
        <f>COUNTIF(경영학원론_1!$B$3:$B$300,"학생001")+COUNTIF(경영학원론_2!$B$2:$B$301,"학생001")+COUNTIF(경영학원론_3!$B$2:$B$301,"학생001")+COUNTIF(경영학원론_4!$B$2:$B$300,"학생001")+COUNTIF(경제학원론_1!$B$2:$B$295,"학생001")+COUNTIF(경제학원론_2!$B$2:$B$298,"학생001")+COUNTIF(경제학원론_3!$B$2:$B$295,"학생001")+COUNTIF(경영통계학_1!$B$2:$B$299,"학생001")+COUNTIF(경영통계학_2!$B$2:$B$301,"학생001")+COUNTIF(경영통계학_3!$B$2:$B$298,"학생001")+COUNTIF(무역학개론_1!$B$2:$B$301,"학생001")+COUNTIF(회계학원론_1!$B$2:$B$293,"학생001")+COUNTIF(경영정보시스템_1!$B$2:$B$301,"학생001")+COUNTIF(관리회계_1!$B$2:$B$300,"학생001")+COUNTIF(관리회계_2!$B$2:$B$301,"학생001")+COUNTIF(마케팅_1!$B$2:$B$301,"학생001")+COUNTIF(마케팅리서치_1!$B$2:$B$301,"학생001")+COUNTIF(세법개론_1!$B$2:$B$300,"학생001")+COUNTIF(재무관리_1!$B$2:$B$301,"학생001")+COUNTIF(조직행동론_1!$B$2:$B$301,"학생001")+COUNTIF(조직행동론_2!$B$2:$B$301,"학생001")+COUNTIF(중급재무회계_1!$B$2:$B$301,"학생001")+COUNTIF(투자론_1!$B$2:$B$300,"학생001")+COUNTIF(경영과학_1!$B$2:$B$301,"학생001")+COUNTIF(세무회계_1!$B$2:$B$301,"학생001")+COUNTIF(스마트경영_1!$B$2:$B$301,"학생001")+COUNTIF(스마트경영_2!$B$2:$B$301,"학생001")+COUNTIF(인적자원관리_1!$B$2:$B$257,"학생001")+COUNTIF(서비스마케팅_1!$B$2:$B$276,"학생001")+COUNTIF(제품관리_1!$B$2:$B$301,"학생001")</f>
        <v>5</v>
      </c>
      <c r="K4" s="15">
        <v>1</v>
      </c>
      <c r="L4" s="16" t="s">
        <v>402</v>
      </c>
      <c r="M4" s="19">
        <v>202410000</v>
      </c>
      <c r="N4" s="26">
        <f>COUNTIF($S$4:$S$33,"교수001")</f>
        <v>3</v>
      </c>
      <c r="P4" s="15">
        <v>1</v>
      </c>
      <c r="Q4" s="16" t="s">
        <v>411</v>
      </c>
      <c r="R4" s="16"/>
      <c r="S4" s="16" t="s">
        <v>402</v>
      </c>
      <c r="T4" s="19">
        <v>202410000</v>
      </c>
      <c r="U4" s="26">
        <f>COUNTA(#REF!)</f>
        <v>1</v>
      </c>
    </row>
    <row r="5" spans="1:21">
      <c r="A5" s="15">
        <v>2</v>
      </c>
      <c r="B5" s="16" t="s">
        <v>3</v>
      </c>
      <c r="C5" s="16">
        <v>202400002</v>
      </c>
      <c r="I5" s="24">
        <f>COUNTIF(경영학원론_1!$B$3:$B$300,"학생002")+COUNTIF(경영학원론_2!$B$2:$B$301,"학생002")+COUNTIF(경영학원론_3!$B$2:$B$301,"학생002")+COUNTIF(경영학원론_4!$B$2:$B$300,"학생002")+COUNTIF(경제학원론_1!$B$2:$B$295,"학생002")+COUNTIF(경제학원론_2!$B$2:$B$298,"학생002")+COUNTIF(경제학원론_3!$B$2:$B$295,"학생002")+COUNTIF(경영통계학_1!$B$2:$B$299,"학생002")+COUNTIF(경영통계학_2!$B$2:$B$301,"학생002")+COUNTIF(경영통계학_3!$B$2:$B$298,"학생002")+COUNTIF(무역학개론_1!$B$2:$B$301,"학생002")+COUNTIF(회계학원론_1!$B$2:$B$293,"학생002")+COUNTIF(경영정보시스템_1!$B$2:$B$301,"학생002")+COUNTIF(관리회계_1!$B$2:$B$300,"학생002")+COUNTIF(관리회계_2!$B$2:$B$301,"학생002")+COUNTIF(마케팅_1!$B$2:$B$301,"학생002")+COUNTIF(마케팅리서치_1!$B$2:$B$301,"학생002")+COUNTIF(세법개론_1!$B$2:$B$300,"학생002")+COUNTIF(재무관리_1!$B$2:$B$301,"학생002")+COUNTIF(조직행동론_1!$B$2:$B$301,"학생002")+COUNTIF(조직행동론_2!$B$2:$B$301,"학생002")+COUNTIF(중급재무회계_1!$B$2:$B$301,"학생002")+COUNTIF(투자론_1!$B$2:$B$300,"학생002")+COUNTIF(경영과학_1!$B$2:$B$301,"학생002")+COUNTIF(세무회계_1!$B$2:$B$301,"학생002")+COUNTIF(스마트경영_1!$B$2:$B$301,"학생002")+COUNTIF(스마트경영_2!$B$2:$B$301,"학생002")+COUNTIF(인적자원관리_1!$B$2:$B$257,"학생002")+COUNTIF(서비스마케팅_1!$B$2:$B$276,"학생002")+COUNTIF(제품관리_1!$B$2:$B$301,"학생002")</f>
        <v>7</v>
      </c>
      <c r="K5" s="15">
        <v>2</v>
      </c>
      <c r="L5" s="16" t="s">
        <v>403</v>
      </c>
      <c r="M5" s="19">
        <v>202420000</v>
      </c>
      <c r="N5" s="26">
        <f>COUNTIF($S$4:$S$33,"교수002")</f>
        <v>3</v>
      </c>
      <c r="P5" s="15">
        <v>2</v>
      </c>
      <c r="Q5" s="16" t="s">
        <v>412</v>
      </c>
      <c r="R5" s="16"/>
      <c r="S5" s="16" t="s">
        <v>403</v>
      </c>
      <c r="T5" s="19">
        <v>202420000</v>
      </c>
      <c r="U5" s="26">
        <f>COUNTA(경영학원론_2!$B$4:$B$301)</f>
        <v>73</v>
      </c>
    </row>
    <row r="6" spans="1:21">
      <c r="A6" s="15">
        <v>3</v>
      </c>
      <c r="B6" s="16" t="s">
        <v>4</v>
      </c>
      <c r="C6" s="16">
        <v>202400003</v>
      </c>
      <c r="I6" s="24">
        <f>COUNTIF(경영학원론_1!$B$3:$B$300,"학생003")+COUNTIF(경영학원론_2!$B$2:$B$301,"학생003")+COUNTIF(경영학원론_3!$B$2:$B$301,"학생003")+COUNTIF(경영학원론_4!$B$2:$B$300,"학생003")+COUNTIF(경제학원론_1!$B$2:$B$295,"학생003")+COUNTIF(경제학원론_2!$B$2:$B$298,"학생003")+COUNTIF(경제학원론_3!$B$2:$B$295,"학생003")+COUNTIF(경영통계학_1!$B$2:$B$299,"학생003")+COUNTIF(경영통계학_2!$B$2:$B$301,"학생003")+COUNTIF(경영통계학_3!$B$2:$B$298,"학생003")+COUNTIF(무역학개론_1!$B$2:$B$301,"학생003")+COUNTIF(회계학원론_1!$B$2:$B$293,"학생003")+COUNTIF(경영정보시스템_1!$B$2:$B$301,"학생003")+COUNTIF(관리회계_1!$B$2:$B$300,"학생003")+COUNTIF(관리회계_2!$B$2:$B$301,"학생003")+COUNTIF(마케팅_1!$B$2:$B$301,"학생003")+COUNTIF(마케팅리서치_1!$B$2:$B$301,"학생003")+COUNTIF(세법개론_1!$B$2:$B$300,"학생003")+COUNTIF(재무관리_1!$B$2:$B$301,"학생003")+COUNTIF(조직행동론_1!$B$2:$B$301,"학생003")+COUNTIF(조직행동론_2!$B$2:$B$301,"학생003")+COUNTIF(중급재무회계_1!$B$2:$B$301,"학생003")+COUNTIF(투자론_1!$B$2:$B$300,"학생003")+COUNTIF(경영과학_1!$B$2:$B$301,"학생003")+COUNTIF(세무회계_1!$B$2:$B$301,"학생003")+COUNTIF(스마트경영_1!$B$2:$B$301,"학생003")+COUNTIF(스마트경영_2!$B$2:$B$301,"학생003")+COUNTIF(인적자원관리_1!$B$2:$B$257,"학생003")+COUNTIF(서비스마케팅_1!$B$2:$B$276,"학생003")+COUNTIF(제품관리_1!$B$2:$B$301,"학생003")</f>
        <v>4</v>
      </c>
      <c r="K6" s="15">
        <v>3</v>
      </c>
      <c r="L6" s="16" t="s">
        <v>439</v>
      </c>
      <c r="M6" s="19">
        <v>202430000</v>
      </c>
      <c r="N6" s="26">
        <f>COUNTIF($S$4:$S$33,"교수003")</f>
        <v>3</v>
      </c>
      <c r="P6" s="15">
        <v>3</v>
      </c>
      <c r="Q6" s="16" t="s">
        <v>413</v>
      </c>
      <c r="R6" s="16"/>
      <c r="S6" s="16" t="s">
        <v>439</v>
      </c>
      <c r="T6" s="19">
        <v>202430000</v>
      </c>
      <c r="U6" s="26">
        <f>COUNTA(경영학원론_3!$B$4:$B$301)</f>
        <v>75</v>
      </c>
    </row>
    <row r="7" spans="1:21">
      <c r="A7" s="15">
        <v>4</v>
      </c>
      <c r="B7" s="16" t="s">
        <v>5</v>
      </c>
      <c r="C7" s="16">
        <v>202400004</v>
      </c>
      <c r="I7" s="24">
        <f>COUNTIF(경영학원론_1!$B$3:$B$300,"학생004")+COUNTIF(경영학원론_2!$B$2:$B$301,"학생004")+COUNTIF(경영학원론_3!$B$2:$B$301,"학생004")+COUNTIF(경영학원론_4!$B$2:$B$300,"학생004")+COUNTIF(경제학원론_1!$B$2:$B$295,"학생004")+COUNTIF(경제학원론_2!$B$2:$B$298,"학생004")+COUNTIF(경제학원론_3!$B$2:$B$295,"학생004")+COUNTIF(경영통계학_1!$B$2:$B$299,"학생004")+COUNTIF(경영통계학_2!$B$2:$B$301,"학생004")+COUNTIF(경영통계학_3!$B$2:$B$298,"학생004")+COUNTIF(무역학개론_1!$B$2:$B$301,"학생004")+COUNTIF(회계학원론_1!$B$2:$B$293,"학생004")+COUNTIF(경영정보시스템_1!$B$2:$B$301,"학생004")+COUNTIF(관리회계_1!$B$2:$B$300,"학생004")+COUNTIF(관리회계_2!$B$2:$B$301,"학생004")+COUNTIF(마케팅_1!$B$2:$B$301,"학생004")+COUNTIF(마케팅리서치_1!$B$2:$B$301,"학생004")+COUNTIF(세법개론_1!$B$2:$B$300,"학생004")+COUNTIF(재무관리_1!$B$2:$B$301,"학생004")+COUNTIF(조직행동론_1!$B$2:$B$301,"학생004")+COUNTIF(조직행동론_2!$B$2:$B$301,"학생004")+COUNTIF(중급재무회계_1!$B$2:$B$301,"학생004")+COUNTIF(투자론_1!$B$2:$B$300,"학생004")+COUNTIF(경영과학_1!$B$2:$B$301,"학생004")+COUNTIF(세무회계_1!$B$2:$B$301,"학생004")+COUNTIF(스마트경영_1!$B$2:$B$301,"학생004")+COUNTIF(스마트경영_2!$B$2:$B$301,"학생004")+COUNTIF(인적자원관리_1!$B$2:$B$257,"학생004")+COUNTIF(서비스마케팅_1!$B$2:$B$276,"학생004")+COUNTIF(제품관리_1!$B$2:$B$301,"학생004")</f>
        <v>7</v>
      </c>
      <c r="K7" s="15">
        <v>4</v>
      </c>
      <c r="L7" s="16" t="s">
        <v>404</v>
      </c>
      <c r="M7" s="19">
        <v>202440000</v>
      </c>
      <c r="N7" s="26">
        <f>COUNTIF($S$4:$S$33,"교수004")</f>
        <v>3</v>
      </c>
      <c r="P7" s="15">
        <v>4</v>
      </c>
      <c r="Q7" s="16" t="s">
        <v>414</v>
      </c>
      <c r="R7" s="16"/>
      <c r="S7" s="16" t="s">
        <v>439</v>
      </c>
      <c r="T7" s="19">
        <v>202430000</v>
      </c>
      <c r="U7" s="26">
        <f>COUNTA(경영학원론_4!$B$4:$B$300)</f>
        <v>75</v>
      </c>
    </row>
    <row r="8" spans="1:21">
      <c r="A8" s="15">
        <v>5</v>
      </c>
      <c r="B8" s="16" t="s">
        <v>6</v>
      </c>
      <c r="C8" s="16">
        <v>202400005</v>
      </c>
      <c r="I8" s="24">
        <f>COUNTIF(경영학원론_1!$B$3:$B$300,"학생005")+COUNTIF(경영학원론_2!$B$2:$B$301,"학생005")+COUNTIF(경영학원론_3!$B$2:$B$301,"학생005")+COUNTIF(경영학원론_4!$B$2:$B$300,"학생005")+COUNTIF(경제학원론_1!$B$2:$B$295,"학생005")+COUNTIF(경제학원론_2!$B$2:$B$298,"학생005")+COUNTIF(경제학원론_3!$B$2:$B$295,"학생005")+COUNTIF(경영통계학_1!$B$2:$B$299,"학생005")+COUNTIF(경영통계학_2!$B$2:$B$301,"학생005")+COUNTIF(경영통계학_3!$B$2:$B$298,"학생005")+COUNTIF(무역학개론_1!$B$2:$B$301,"학생005")+COUNTIF(회계학원론_1!$B$2:$B$293,"학생005")+COUNTIF(경영정보시스템_1!$B$2:$B$301,"학생005")+COUNTIF(관리회계_1!$B$2:$B$300,"학생005")+COUNTIF(관리회계_2!$B$2:$B$301,"학생005")+COUNTIF(마케팅_1!$B$2:$B$301,"학생005")+COUNTIF(마케팅리서치_1!$B$2:$B$301,"학생005")+COUNTIF(세법개론_1!$B$2:$B$300,"학생005")+COUNTIF(재무관리_1!$B$2:$B$301,"학생005")+COUNTIF(조직행동론_1!$B$2:$B$301,"학생005")+COUNTIF(조직행동론_2!$B$2:$B$301,"학생005")+COUNTIF(중급재무회계_1!$B$2:$B$301,"학생005")+COUNTIF(투자론_1!$B$2:$B$300,"학생005")+COUNTIF(경영과학_1!$B$2:$B$301,"학생005")+COUNTIF(세무회계_1!$B$2:$B$301,"학생005")+COUNTIF(스마트경영_1!$B$2:$B$301,"학생005")+COUNTIF(스마트경영_2!$B$2:$B$301,"학생005")+COUNTIF(인적자원관리_1!$B$2:$B$257,"학생005")+COUNTIF(서비스마케팅_1!$B$2:$B$276,"학생005")+COUNTIF(제품관리_1!$B$2:$B$301,"학생005")</f>
        <v>5</v>
      </c>
      <c r="K8" s="15">
        <v>5</v>
      </c>
      <c r="L8" s="16" t="s">
        <v>405</v>
      </c>
      <c r="M8" s="19">
        <v>202450000</v>
      </c>
      <c r="N8" s="26">
        <f>COUNTIF($S$4:$S$33,"교수005")</f>
        <v>3</v>
      </c>
      <c r="P8" s="15">
        <v>5</v>
      </c>
      <c r="Q8" s="16" t="s">
        <v>415</v>
      </c>
      <c r="R8" s="16"/>
      <c r="S8" s="16" t="s">
        <v>402</v>
      </c>
      <c r="T8" s="19">
        <v>202410000</v>
      </c>
      <c r="U8" s="26">
        <f>COUNTA(#REF!)</f>
        <v>1</v>
      </c>
    </row>
    <row r="9" spans="1:21">
      <c r="A9" s="15">
        <v>6</v>
      </c>
      <c r="B9" s="16" t="s">
        <v>472</v>
      </c>
      <c r="C9" s="16">
        <v>202400006</v>
      </c>
      <c r="I9" s="24">
        <f>COUNTIF(경영학원론_1!$B$3:$B$300,"학생006")+COUNTIF(경영학원론_2!$B$2:$B$301,"학생006")+COUNTIF(경영학원론_3!$B$2:$B$301,"학생006")+COUNTIF(경영학원론_4!$B$2:$B$300,"학생006")+COUNTIF(경제학원론_1!$B$2:$B$295,"학생006")+COUNTIF(경제학원론_2!$B$2:$B$298,"학생006")+COUNTIF(경제학원론_3!$B$2:$B$295,"학생006")+COUNTIF(경영통계학_1!$B$2:$B$299,"학생006")+COUNTIF(경영통계학_2!$B$2:$B$301,"학생006")+COUNTIF(경영통계학_3!$B$2:$B$298,"학생006")+COUNTIF(무역학개론_1!$B$2:$B$301,"학생006")+COUNTIF(회계학원론_1!$B$2:$B$293,"학생006")+COUNTIF(경영정보시스템_1!$B$2:$B$301,"학생006")+COUNTIF(관리회계_1!$B$2:$B$300,"학생006")+COUNTIF(관리회계_2!$B$2:$B$301,"학생006")+COUNTIF(마케팅_1!$B$2:$B$301,"학생006")+COUNTIF(마케팅리서치_1!$B$2:$B$301,"학생006")+COUNTIF(세법개론_1!$B$2:$B$300,"학생006")+COUNTIF(재무관리_1!$B$2:$B$301,"학생006")+COUNTIF(조직행동론_1!$B$2:$B$301,"학생006")+COUNTIF(조직행동론_2!$B$2:$B$301,"학생006")+COUNTIF(중급재무회계_1!$B$2:$B$301,"학생006")+COUNTIF(투자론_1!$B$2:$B$300,"학생006")+COUNTIF(경영과학_1!$B$2:$B$301,"학생006")+COUNTIF(세무회계_1!$B$2:$B$301,"학생006")+COUNTIF(스마트경영_1!$B$2:$B$301,"학생006")+COUNTIF(스마트경영_2!$B$2:$B$301,"학생006")+COUNTIF(인적자원관리_1!$B$2:$B$257,"학생006")+COUNTIF(서비스마케팅_1!$B$2:$B$276,"학생006")+COUNTIF(제품관리_1!$B$2:$B$301,"학생006")</f>
        <v>6</v>
      </c>
      <c r="K9" s="15">
        <v>6</v>
      </c>
      <c r="L9" s="16" t="s">
        <v>406</v>
      </c>
      <c r="M9" s="19">
        <v>202460000</v>
      </c>
      <c r="N9" s="26">
        <f>COUNTIF($S$4:$S$33,"교수006")</f>
        <v>3</v>
      </c>
      <c r="P9" s="15">
        <v>6</v>
      </c>
      <c r="Q9" s="16" t="s">
        <v>416</v>
      </c>
      <c r="R9" s="16"/>
      <c r="S9" s="16" t="s">
        <v>403</v>
      </c>
      <c r="T9" s="19">
        <v>202420000</v>
      </c>
      <c r="U9" s="26">
        <f>COUNTA(경제학원론_2!$B$4:$B$298)</f>
        <v>97</v>
      </c>
    </row>
    <row r="10" spans="1:21">
      <c r="A10" s="15">
        <v>7</v>
      </c>
      <c r="B10" s="16" t="s">
        <v>8</v>
      </c>
      <c r="C10" s="16">
        <v>202400007</v>
      </c>
      <c r="I10" s="24">
        <f>COUNTIF(경영학원론_1!$B$3:$B$300,"학생007")+COUNTIF(경영학원론_2!$B$2:$B$301,"학생007")+COUNTIF(경영학원론_3!$B$2:$B$301,"학생007")+COUNTIF(경영학원론_4!$B$2:$B$300,"학생007")+COUNTIF(경제학원론_1!$B$2:$B$295,"학생007")+COUNTIF(경제학원론_2!$B$2:$B$298,"학생007")+COUNTIF(경제학원론_3!$B$2:$B$295,"학생007")+COUNTIF(경영통계학_1!$B$2:$B$299,"학생007")+COUNTIF(경영통계학_2!$B$2:$B$301,"학생007")+COUNTIF(경영통계학_3!$B$2:$B$298,"학생007")+COUNTIF(무역학개론_1!$B$2:$B$301,"학생007")+COUNTIF(회계학원론_1!$B$2:$B$293,"학생007")+COUNTIF(경영정보시스템_1!$B$2:$B$301,"학생007")+COUNTIF(관리회계_1!$B$2:$B$300,"학생007")+COUNTIF(관리회계_2!$B$2:$B$301,"학생007")+COUNTIF(마케팅_1!$B$2:$B$301,"학생007")+COUNTIF(마케팅리서치_1!$B$2:$B$301,"학생007")+COUNTIF(세법개론_1!$B$2:$B$300,"학생007")+COUNTIF(재무관리_1!$B$2:$B$301,"학생007")+COUNTIF(조직행동론_1!$B$2:$B$301,"학생007")+COUNTIF(조직행동론_2!$B$2:$B$301,"학생007")+COUNTIF(중급재무회계_1!$B$2:$B$301,"학생007")+COUNTIF(투자론_1!$B$2:$B$300,"학생007")+COUNTIF(경영과학_1!$B$2:$B$301,"학생007")+COUNTIF(세무회계_1!$B$2:$B$301,"학생007")+COUNTIF(스마트경영_1!$B$2:$B$301,"학생007")+COUNTIF(스마트경영_2!$B$2:$B$301,"학생007")+COUNTIF(인적자원관리_1!$B$2:$B$257,"학생007")+COUNTIF(서비스마케팅_1!$B$2:$B$276,"학생007")+COUNTIF(제품관리_1!$B$2:$B$301,"학생007")</f>
        <v>6</v>
      </c>
      <c r="K10" s="15">
        <v>7</v>
      </c>
      <c r="L10" s="16" t="s">
        <v>407</v>
      </c>
      <c r="M10" s="19">
        <v>202470000</v>
      </c>
      <c r="N10" s="26">
        <f>COUNTIF($S$4:$S$33,"교수007")</f>
        <v>3</v>
      </c>
      <c r="P10" s="15">
        <v>7</v>
      </c>
      <c r="Q10" s="16" t="s">
        <v>417</v>
      </c>
      <c r="R10" s="16"/>
      <c r="S10" s="16" t="s">
        <v>439</v>
      </c>
      <c r="T10" s="19">
        <v>202430000</v>
      </c>
      <c r="U10" s="26">
        <f>COUNTA(경제학원론_3!$B$4:$B$295)</f>
        <v>94</v>
      </c>
    </row>
    <row r="11" spans="1:21">
      <c r="A11" s="15">
        <v>8</v>
      </c>
      <c r="B11" s="16" t="s">
        <v>9</v>
      </c>
      <c r="C11" s="16">
        <v>202400008</v>
      </c>
      <c r="I11" s="24">
        <f>COUNTIF(경영학원론_1!$B$3:$B$300,"학생008")+COUNTIF(경영학원론_2!$B$2:$B$301,"학생008")+COUNTIF(경영학원론_3!$B$2:$B$301,"학생008")+COUNTIF(경영학원론_4!$B$2:$B$300,"학생008")+COUNTIF(경제학원론_1!$B$2:$B$295,"학생008")+COUNTIF(경제학원론_2!$B$2:$B$298,"학생008")+COUNTIF(경제학원론_3!$B$2:$B$295,"학생008")+COUNTIF(경영통계학_1!$B$2:$B$299,"학생008")+COUNTIF(경영통계학_2!$B$2:$B$301,"학생008")+COUNTIF(경영통계학_3!$B$2:$B$298,"학생008")+COUNTIF(무역학개론_1!$B$2:$B$301,"학생008")+COUNTIF(회계학원론_1!$B$2:$B$293,"학생008")+COUNTIF(경영정보시스템_1!$B$2:$B$301,"학생008")+COUNTIF(관리회계_1!$B$2:$B$300,"학생008")+COUNTIF(관리회계_2!$B$2:$B$301,"학생008")+COUNTIF(마케팅_1!$B$2:$B$301,"학생008")+COUNTIF(마케팅리서치_1!$B$2:$B$301,"학생008")+COUNTIF(세법개론_1!$B$2:$B$300,"학생008")+COUNTIF(재무관리_1!$B$2:$B$301,"학생008")+COUNTIF(조직행동론_1!$B$2:$B$301,"학생008")+COUNTIF(조직행동론_2!$B$2:$B$301,"학생008")+COUNTIF(중급재무회계_1!$B$2:$B$301,"학생008")+COUNTIF(투자론_1!$B$2:$B$300,"학생008")+COUNTIF(경영과학_1!$B$2:$B$301,"학생008")+COUNTIF(세무회계_1!$B$2:$B$301,"학생008")+COUNTIF(스마트경영_1!$B$2:$B$301,"학생008")+COUNTIF(스마트경영_2!$B$2:$B$301,"학생008")+COUNTIF(인적자원관리_1!$B$2:$B$257,"학생008")+COUNTIF(서비스마케팅_1!$B$2:$B$276,"학생008")+COUNTIF(제품관리_1!$B$2:$B$301,"학생008")</f>
        <v>7</v>
      </c>
      <c r="K11" s="15">
        <v>8</v>
      </c>
      <c r="L11" s="16" t="s">
        <v>408</v>
      </c>
      <c r="M11" s="19">
        <v>202480000</v>
      </c>
      <c r="N11" s="26">
        <f>COUNTIF($S$4:$S$33,"교수008")</f>
        <v>3</v>
      </c>
      <c r="P11" s="15">
        <v>8</v>
      </c>
      <c r="Q11" s="16" t="s">
        <v>418</v>
      </c>
      <c r="R11" s="16"/>
      <c r="S11" s="16" t="s">
        <v>402</v>
      </c>
      <c r="T11" s="19">
        <v>202410000</v>
      </c>
      <c r="U11" s="26">
        <f>COUNTA(경영통계학_1!$B$4:$B$299)</f>
        <v>98</v>
      </c>
    </row>
    <row r="12" spans="1:21">
      <c r="A12" s="15">
        <v>9</v>
      </c>
      <c r="B12" s="16" t="s">
        <v>10</v>
      </c>
      <c r="C12" s="16">
        <v>202400009</v>
      </c>
      <c r="I12" s="24">
        <f>COUNTIF(경영학원론_1!$B$3:$B$300,"학생009")+COUNTIF(경영학원론_2!$B$2:$B$301,"학생009")+COUNTIF(경영학원론_3!$B$2:$B$301,"학생009")+COUNTIF(경영학원론_4!$B$2:$B$300,"학생009")+COUNTIF(경제학원론_1!$B$2:$B$295,"학생009")+COUNTIF(경제학원론_2!$B$2:$B$298,"학생009")+COUNTIF(경제학원론_3!$B$2:$B$295,"학생009")+COUNTIF(경영통계학_1!$B$2:$B$299,"학생009")+COUNTIF(경영통계학_2!$B$2:$B$301,"학생009")+COUNTIF(경영통계학_3!$B$2:$B$298,"학생009")+COUNTIF(무역학개론_1!$B$2:$B$301,"학생009")+COUNTIF(회계학원론_1!$B$2:$B$293,"학생009")+COUNTIF(경영정보시스템_1!$B$2:$B$301,"학생009")+COUNTIF(관리회계_1!$B$2:$B$300,"학생009")+COUNTIF(관리회계_2!$B$2:$B$301,"학생009")+COUNTIF(마케팅_1!$B$2:$B$301,"학생009")+COUNTIF(마케팅리서치_1!$B$2:$B$301,"학생009")+COUNTIF(세법개론_1!$B$2:$B$300,"학생009")+COUNTIF(재무관리_1!$B$2:$B$301,"학생009")+COUNTIF(조직행동론_1!$B$2:$B$301,"학생009")+COUNTIF(조직행동론_2!$B$2:$B$301,"학생009")+COUNTIF(중급재무회계_1!$B$2:$B$301,"학생009")+COUNTIF(투자론_1!$B$2:$B$300,"학생009")+COUNTIF(경영과학_1!$B$2:$B$301,"학생009")+COUNTIF(세무회계_1!$B$2:$B$301,"학생009")+COUNTIF(스마트경영_1!$B$2:$B$301,"학생009")+COUNTIF(스마트경영_2!$B$2:$B$301,"학생009")+COUNTIF(인적자원관리_1!$B$2:$B$257,"학생009")+COUNTIF(서비스마케팅_1!$B$2:$B$276,"학생009")+COUNTIF(제품관리_1!$B$2:$B$301,"학생009")</f>
        <v>7</v>
      </c>
      <c r="K12" s="15">
        <v>9</v>
      </c>
      <c r="L12" s="16" t="s">
        <v>409</v>
      </c>
      <c r="M12" s="19">
        <v>202490000</v>
      </c>
      <c r="N12" s="26">
        <f>COUNTIF($S$4:$S$33,"교수009")</f>
        <v>3</v>
      </c>
      <c r="P12" s="15">
        <v>9</v>
      </c>
      <c r="Q12" s="16" t="s">
        <v>419</v>
      </c>
      <c r="R12" s="16"/>
      <c r="S12" s="16" t="s">
        <v>403</v>
      </c>
      <c r="T12" s="19">
        <v>202420000</v>
      </c>
      <c r="U12" s="26">
        <f>COUNTA(#REF!)</f>
        <v>1</v>
      </c>
    </row>
    <row r="13" spans="1:21">
      <c r="A13" s="15">
        <v>10</v>
      </c>
      <c r="B13" s="16" t="s">
        <v>11</v>
      </c>
      <c r="C13" s="16">
        <v>202400010</v>
      </c>
      <c r="I13" s="24">
        <f>COUNTIF(경영학원론_1!$B$3:$B$300,"학생010")+COUNTIF(경영학원론_2!$B$2:$B$301,"학생010")+COUNTIF(경영학원론_3!$B$2:$B$301,"학생010")+COUNTIF(경영학원론_4!$B$2:$B$300,"학생010")+COUNTIF(경제학원론_1!$B$2:$B$295,"학생010")+COUNTIF(경제학원론_2!$B$2:$B$298,"학생010")+COUNTIF(경제학원론_3!$B$2:$B$295,"학생010")+COUNTIF(경영통계학_1!$B$2:$B$299,"학생010")+COUNTIF(경영통계학_2!$B$2:$B$301,"학생010")+COUNTIF(경영통계학_3!$B$2:$B$298,"학생010")+COUNTIF(무역학개론_1!$B$2:$B$301,"학생010")+COUNTIF(회계학원론_1!$B$2:$B$293,"학생010")+COUNTIF(경영정보시스템_1!$B$2:$B$301,"학생010")+COUNTIF(관리회계_1!$B$2:$B$300,"학생010")+COUNTIF(관리회계_2!$B$2:$B$301,"학생010")+COUNTIF(마케팅_1!$B$2:$B$301,"학생010")+COUNTIF(마케팅리서치_1!$B$2:$B$301,"학생010")+COUNTIF(세법개론_1!$B$2:$B$300,"학생010")+COUNTIF(재무관리_1!$B$2:$B$301,"학생010")+COUNTIF(조직행동론_1!$B$2:$B$301,"학생010")+COUNTIF(조직행동론_2!$B$2:$B$301,"학생010")+COUNTIF(중급재무회계_1!$B$2:$B$301,"학생010")+COUNTIF(투자론_1!$B$2:$B$300,"학생010")+COUNTIF(경영과학_1!$B$2:$B$301,"학생010")+COUNTIF(세무회계_1!$B$2:$B$301,"학생010")+COUNTIF(스마트경영_1!$B$2:$B$301,"학생010")+COUNTIF(스마트경영_2!$B$2:$B$301,"학생010")+COUNTIF(인적자원관리_1!$B$2:$B$257,"학생010")+COUNTIF(서비스마케팅_1!$B$2:$B$276,"학생010")+COUNTIF(제품관리_1!$B$2:$B$301,"학생010")</f>
        <v>5</v>
      </c>
      <c r="K13" s="32">
        <v>10</v>
      </c>
      <c r="L13" s="17" t="s">
        <v>410</v>
      </c>
      <c r="M13" s="20">
        <v>202400000</v>
      </c>
      <c r="N13" s="27">
        <f>COUNTIF($S$4:$S$33,"교수010")</f>
        <v>3</v>
      </c>
      <c r="P13" s="15">
        <v>10</v>
      </c>
      <c r="Q13" s="16" t="s">
        <v>420</v>
      </c>
      <c r="R13" s="16"/>
      <c r="S13" s="16" t="s">
        <v>404</v>
      </c>
      <c r="T13" s="19">
        <v>202440000</v>
      </c>
      <c r="U13" s="26">
        <f>COUNTA(경영통계학_3!$B$4:$B$298)</f>
        <v>102</v>
      </c>
    </row>
    <row r="14" spans="1:21" ht="19" thickBot="1">
      <c r="A14" s="15">
        <v>11</v>
      </c>
      <c r="B14" s="16" t="s">
        <v>12</v>
      </c>
      <c r="C14" s="16">
        <v>202400011</v>
      </c>
      <c r="I14" s="24">
        <f>COUNTIF(경영학원론_1!$B$3:$B$300,"학생011")+COUNTIF(경영학원론_2!$B$2:$B$301,"학생011")+COUNTIF(경영학원론_3!$B$2:$B$301,"학생011")+COUNTIF(경영학원론_4!$B$2:$B$300,"학생011")+COUNTIF(경제학원론_1!$B$2:$B$295,"학생011")+COUNTIF(경제학원론_2!$B$2:$B$298,"학생011")+COUNTIF(경제학원론_3!$B$2:$B$295,"학생011")+COUNTIF(경영통계학_1!$B$2:$B$299,"학생011")+COUNTIF(경영통계학_2!$B$2:$B$301,"학생011")+COUNTIF(경영통계학_3!$B$2:$B$298,"학생011")+COUNTIF(무역학개론_1!$B$2:$B$301,"학생011")+COUNTIF(회계학원론_1!$B$2:$B$293,"학생011")+COUNTIF(경영정보시스템_1!$B$2:$B$301,"학생011")+COUNTIF(관리회계_1!$B$2:$B$300,"학생011")+COUNTIF(관리회계_2!$B$2:$B$301,"학생011")+COUNTIF(마케팅_1!$B$2:$B$301,"학생011")+COUNTIF(마케팅리서치_1!$B$2:$B$301,"학생011")+COUNTIF(세법개론_1!$B$2:$B$300,"학생011")+COUNTIF(재무관리_1!$B$2:$B$301,"학생011")+COUNTIF(조직행동론_1!$B$2:$B$301,"학생011")+COUNTIF(조직행동론_2!$B$2:$B$301,"학생011")+COUNTIF(중급재무회계_1!$B$2:$B$301,"학생011")+COUNTIF(투자론_1!$B$2:$B$300,"학생011")+COUNTIF(경영과학_1!$B$2:$B$301,"학생011")+COUNTIF(세무회계_1!$B$2:$B$301,"학생011")+COUNTIF(스마트경영_1!$B$2:$B$301,"학생011")+COUNTIF(스마트경영_2!$B$2:$B$301,"학생011")+COUNTIF(인적자원관리_1!$B$2:$B$257,"학생011")+COUNTIF(서비스마케팅_1!$B$2:$B$276,"학생011")+COUNTIF(제품관리_1!$B$2:$B$301,"학생011")</f>
        <v>5</v>
      </c>
      <c r="M14" s="28" t="s">
        <v>461</v>
      </c>
      <c r="N14" s="29">
        <f>SUM(N4:N13)</f>
        <v>30</v>
      </c>
      <c r="P14" s="15">
        <v>11</v>
      </c>
      <c r="Q14" s="21" t="s">
        <v>423</v>
      </c>
      <c r="R14" s="21"/>
      <c r="S14" s="16" t="s">
        <v>405</v>
      </c>
      <c r="T14" s="19">
        <v>202450000</v>
      </c>
      <c r="U14" s="26">
        <f>COUNTA(무역학개론_1!$B$4:$B$301)</f>
        <v>84</v>
      </c>
    </row>
    <row r="15" spans="1:21">
      <c r="A15" s="15">
        <v>12</v>
      </c>
      <c r="B15" s="16" t="s">
        <v>13</v>
      </c>
      <c r="C15" s="16">
        <v>202400012</v>
      </c>
      <c r="I15" s="24">
        <f>COUNTIF(경영학원론_1!$B$3:$B$300,"학생012")+COUNTIF(경영학원론_2!$B$2:$B$301,"학생012")+COUNTIF(경영학원론_3!$B$2:$B$301,"학생012")+COUNTIF(경영학원론_4!$B$2:$B$300,"학생012")+COUNTIF(경제학원론_1!$B$2:$B$295,"학생012")+COUNTIF(경제학원론_2!$B$2:$B$298,"학생012")+COUNTIF(경제학원론_3!$B$2:$B$295,"학생012")+COUNTIF(경영통계학_1!$B$2:$B$299,"학생012")+COUNTIF(경영통계학_2!$B$2:$B$301,"학생012")+COUNTIF(경영통계학_3!$B$2:$B$298,"학생012")+COUNTIF(무역학개론_1!$B$2:$B$301,"학생012")+COUNTIF(회계학원론_1!$B$2:$B$293,"학생012")+COUNTIF(경영정보시스템_1!$B$2:$B$301,"학생012")+COUNTIF(관리회계_1!$B$2:$B$300,"학생012")+COUNTIF(관리회계_2!$B$2:$B$301,"학생012")+COUNTIF(마케팅_1!$B$2:$B$301,"학생012")+COUNTIF(마케팅리서치_1!$B$2:$B$301,"학생012")+COUNTIF(세법개론_1!$B$2:$B$300,"학생012")+COUNTIF(재무관리_1!$B$2:$B$301,"학생012")+COUNTIF(조직행동론_1!$B$2:$B$301,"학생012")+COUNTIF(조직행동론_2!$B$2:$B$301,"학생012")+COUNTIF(중급재무회계_1!$B$2:$B$301,"학생012")+COUNTIF(투자론_1!$B$2:$B$300,"학생012")+COUNTIF(경영과학_1!$B$2:$B$301,"학생012")+COUNTIF(세무회계_1!$B$2:$B$301,"학생012")+COUNTIF(스마트경영_1!$B$2:$B$301,"학생012")+COUNTIF(스마트경영_2!$B$2:$B$301,"학생012")+COUNTIF(인적자원관리_1!$B$2:$B$257,"학생012")+COUNTIF(서비스마케팅_1!$B$2:$B$276,"학생012")+COUNTIF(제품관리_1!$B$2:$B$301,"학생012")</f>
        <v>6</v>
      </c>
      <c r="P15" s="15">
        <v>12</v>
      </c>
      <c r="Q15" s="21" t="s">
        <v>424</v>
      </c>
      <c r="R15" s="21"/>
      <c r="S15" s="16" t="s">
        <v>405</v>
      </c>
      <c r="T15" s="19">
        <v>202450000</v>
      </c>
      <c r="U15" s="26">
        <f>COUNTA(회계학원론_1!$B$4:$B$293)</f>
        <v>100</v>
      </c>
    </row>
    <row r="16" spans="1:21">
      <c r="A16" s="15">
        <v>13</v>
      </c>
      <c r="B16" s="16" t="s">
        <v>14</v>
      </c>
      <c r="C16" s="16">
        <v>202400013</v>
      </c>
      <c r="I16" s="24">
        <f>COUNTIF(경영학원론_1!$B$3:$B$300,"학생013")+COUNTIF(경영학원론_2!$B$2:$B$301,"학생013")+COUNTIF(경영학원론_3!$B$2:$B$301,"학생013")+COUNTIF(경영학원론_4!$B$2:$B$300,"학생013")+COUNTIF(경제학원론_1!$B$2:$B$295,"학생013")+COUNTIF(경제학원론_2!$B$2:$B$298,"학생013")+COUNTIF(경제학원론_3!$B$2:$B$295,"학생013")+COUNTIF(경영통계학_1!$B$2:$B$299,"학생013")+COUNTIF(경영통계학_2!$B$2:$B$301,"학생013")+COUNTIF(경영통계학_3!$B$2:$B$298,"학생013")+COUNTIF(무역학개론_1!$B$2:$B$301,"학생013")+COUNTIF(회계학원론_1!$B$2:$B$293,"학생013")+COUNTIF(경영정보시스템_1!$B$2:$B$301,"학생013")+COUNTIF(관리회계_1!$B$2:$B$300,"학생013")+COUNTIF(관리회계_2!$B$2:$B$301,"학생013")+COUNTIF(마케팅_1!$B$2:$B$301,"학생013")+COUNTIF(마케팅리서치_1!$B$2:$B$301,"학생013")+COUNTIF(세법개론_1!$B$2:$B$300,"학생013")+COUNTIF(재무관리_1!$B$2:$B$301,"학생013")+COUNTIF(조직행동론_1!$B$2:$B$301,"학생013")+COUNTIF(조직행동론_2!$B$2:$B$301,"학생013")+COUNTIF(중급재무회계_1!$B$2:$B$301,"학생013")+COUNTIF(투자론_1!$B$2:$B$300,"학생013")+COUNTIF(경영과학_1!$B$2:$B$301,"학생013")+COUNTIF(세무회계_1!$B$2:$B$301,"학생013")+COUNTIF(스마트경영_1!$B$2:$B$301,"학생013")+COUNTIF(스마트경영_2!$B$2:$B$301,"학생013")+COUNTIF(인적자원관리_1!$B$2:$B$257,"학생013")+COUNTIF(서비스마케팅_1!$B$2:$B$276,"학생013")+COUNTIF(제품관리_1!$B$2:$B$301,"학생013")</f>
        <v>4</v>
      </c>
      <c r="P16" s="15">
        <v>13</v>
      </c>
      <c r="Q16" s="21" t="s">
        <v>425</v>
      </c>
      <c r="R16" s="21"/>
      <c r="S16" s="16" t="s">
        <v>405</v>
      </c>
      <c r="T16" s="19">
        <v>202450000</v>
      </c>
      <c r="U16" s="26">
        <f>COUNTA(경영정보시스템_1!$B$4:$B$301)</f>
        <v>50</v>
      </c>
    </row>
    <row r="17" spans="1:21">
      <c r="A17" s="15">
        <v>14</v>
      </c>
      <c r="B17" s="16" t="s">
        <v>15</v>
      </c>
      <c r="C17" s="16">
        <v>202400014</v>
      </c>
      <c r="I17" s="24">
        <f>COUNTIF(경영학원론_1!$B$3:$B$300,"학생014")+COUNTIF(경영학원론_2!$B$2:$B$301,"학생014")+COUNTIF(경영학원론_3!$B$2:$B$301,"학생014")+COUNTIF(경영학원론_4!$B$2:$B$300,"학생014")+COUNTIF(경제학원론_1!$B$2:$B$295,"학생014")+COUNTIF(경제학원론_2!$B$2:$B$298,"학생014")+COUNTIF(경제학원론_3!$B$2:$B$295,"학생014")+COUNTIF(경영통계학_1!$B$2:$B$299,"학생014")+COUNTIF(경영통계학_2!$B$2:$B$301,"학생014")+COUNTIF(경영통계학_3!$B$2:$B$298,"학생014")+COUNTIF(무역학개론_1!$B$2:$B$301,"학생014")+COUNTIF(회계학원론_1!$B$2:$B$293,"학생014")+COUNTIF(경영정보시스템_1!$B$2:$B$301,"학생014")+COUNTIF(관리회계_1!$B$2:$B$300,"학생014")+COUNTIF(관리회계_2!$B$2:$B$301,"학생014")+COUNTIF(마케팅_1!$B$2:$B$301,"학생014")+COUNTIF(마케팅리서치_1!$B$2:$B$301,"학생014")+COUNTIF(세법개론_1!$B$2:$B$300,"학생014")+COUNTIF(재무관리_1!$B$2:$B$301,"학생014")+COUNTIF(조직행동론_1!$B$2:$B$301,"학생014")+COUNTIF(조직행동론_2!$B$2:$B$301,"학생014")+COUNTIF(중급재무회계_1!$B$2:$B$301,"학생014")+COUNTIF(투자론_1!$B$2:$B$300,"학생014")+COUNTIF(경영과학_1!$B$2:$B$301,"학생014")+COUNTIF(세무회계_1!$B$2:$B$301,"학생014")+COUNTIF(스마트경영_1!$B$2:$B$301,"학생014")+COUNTIF(스마트경영_2!$B$2:$B$301,"학생014")+COUNTIF(인적자원관리_1!$B$2:$B$257,"학생014")+COUNTIF(서비스마케팅_1!$B$2:$B$276,"학생014")+COUNTIF(제품관리_1!$B$2:$B$301,"학생014")</f>
        <v>5</v>
      </c>
      <c r="P17" s="15">
        <v>14</v>
      </c>
      <c r="Q17" s="21" t="s">
        <v>421</v>
      </c>
      <c r="R17" s="21"/>
      <c r="S17" s="16" t="s">
        <v>404</v>
      </c>
      <c r="T17" s="19">
        <v>202440000</v>
      </c>
      <c r="U17" s="26">
        <f>COUNTA(관리회계_1!$B$4:$B$300)</f>
        <v>91</v>
      </c>
    </row>
    <row r="18" spans="1:21">
      <c r="A18" s="15">
        <v>15</v>
      </c>
      <c r="B18" s="16" t="s">
        <v>16</v>
      </c>
      <c r="C18" s="16">
        <v>202400015</v>
      </c>
      <c r="I18" s="24">
        <f>COUNTIF(경영학원론_1!$B$3:$B$300,"학생015")+COUNTIF(경영학원론_2!$B$2:$B$301,"학생015")+COUNTIF(경영학원론_3!$B$2:$B$301,"학생015")+COUNTIF(경영학원론_4!$B$2:$B$300,"학생015")+COUNTIF(경제학원론_1!$B$2:$B$295,"학생015")+COUNTIF(경제학원론_2!$B$2:$B$298,"학생015")+COUNTIF(경제학원론_3!$B$2:$B$295,"학생015")+COUNTIF(경영통계학_1!$B$2:$B$299,"학생015")+COUNTIF(경영통계학_2!$B$2:$B$301,"학생015")+COUNTIF(경영통계학_3!$B$2:$B$298,"학생015")+COUNTIF(무역학개론_1!$B$2:$B$301,"학생015")+COUNTIF(회계학원론_1!$B$2:$B$293,"학생015")+COUNTIF(경영정보시스템_1!$B$2:$B$301,"학생015")+COUNTIF(관리회계_1!$B$2:$B$300,"학생015")+COUNTIF(관리회계_2!$B$2:$B$301,"학생015")+COUNTIF(마케팅_1!$B$2:$B$301,"학생015")+COUNTIF(마케팅리서치_1!$B$2:$B$301,"학생015")+COUNTIF(세법개론_1!$B$2:$B$300,"학생015")+COUNTIF(재무관리_1!$B$2:$B$301,"학생015")+COUNTIF(조직행동론_1!$B$2:$B$301,"학생015")+COUNTIF(조직행동론_2!$B$2:$B$301,"학생015")+COUNTIF(중급재무회계_1!$B$2:$B$301,"학생015")+COUNTIF(투자론_1!$B$2:$B$300,"학생015")+COUNTIF(경영과학_1!$B$2:$B$301,"학생015")+COUNTIF(세무회계_1!$B$2:$B$301,"학생015")+COUNTIF(스마트경영_1!$B$2:$B$301,"학생015")+COUNTIF(스마트경영_2!$B$2:$B$301,"학생015")+COUNTIF(인적자원관리_1!$B$2:$B$257,"학생015")+COUNTIF(서비스마케팅_1!$B$2:$B$276,"학생015")+COUNTIF(제품관리_1!$B$2:$B$301,"학생015")</f>
        <v>7</v>
      </c>
      <c r="P18" s="15">
        <v>15</v>
      </c>
      <c r="Q18" s="21" t="s">
        <v>422</v>
      </c>
      <c r="R18" s="21"/>
      <c r="S18" s="16" t="s">
        <v>406</v>
      </c>
      <c r="T18" s="19">
        <v>202460000</v>
      </c>
      <c r="U18" s="26">
        <f>COUNTA(관리회계_2!$B$4:$B$301)</f>
        <v>88</v>
      </c>
    </row>
    <row r="19" spans="1:21">
      <c r="A19" s="15">
        <v>16</v>
      </c>
      <c r="B19" s="16" t="s">
        <v>17</v>
      </c>
      <c r="C19" s="16">
        <v>202400016</v>
      </c>
      <c r="I19" s="24">
        <f>COUNTIF(경영학원론_1!$B$3:$B$300,"학생016")+COUNTIF(경영학원론_2!$B$2:$B$301,"학생016")+COUNTIF(경영학원론_3!$B$2:$B$301,"학생016")+COUNTIF(경영학원론_4!$B$2:$B$300,"학생016")+COUNTIF(경제학원론_1!$B$2:$B$295,"학생016")+COUNTIF(경제학원론_2!$B$2:$B$298,"학생016")+COUNTIF(경제학원론_3!$B$2:$B$295,"학생016")+COUNTIF(경영통계학_1!$B$2:$B$299,"학생016")+COUNTIF(경영통계학_2!$B$2:$B$301,"학생016")+COUNTIF(경영통계학_3!$B$2:$B$298,"학생016")+COUNTIF(무역학개론_1!$B$2:$B$301,"학생016")+COUNTIF(회계학원론_1!$B$2:$B$293,"학생016")+COUNTIF(경영정보시스템_1!$B$2:$B$301,"학생016")+COUNTIF(관리회계_1!$B$2:$B$300,"학생016")+COUNTIF(관리회계_2!$B$2:$B$301,"학생016")+COUNTIF(마케팅_1!$B$2:$B$301,"학생016")+COUNTIF(마케팅리서치_1!$B$2:$B$301,"학생016")+COUNTIF(세법개론_1!$B$2:$B$300,"학생016")+COUNTIF(재무관리_1!$B$2:$B$301,"학생016")+COUNTIF(조직행동론_1!$B$2:$B$301,"학생016")+COUNTIF(조직행동론_2!$B$2:$B$301,"학생016")+COUNTIF(중급재무회계_1!$B$2:$B$301,"학생016")+COUNTIF(투자론_1!$B$2:$B$300,"학생016")+COUNTIF(경영과학_1!$B$2:$B$301,"학생016")+COUNTIF(세무회계_1!$B$2:$B$301,"학생016")+COUNTIF(스마트경영_1!$B$2:$B$301,"학생016")+COUNTIF(스마트경영_2!$B$2:$B$301,"학생016")+COUNTIF(인적자원관리_1!$B$2:$B$257,"학생016")+COUNTIF(서비스마케팅_1!$B$2:$B$276,"학생016")+COUNTIF(제품관리_1!$B$2:$B$301,"학생016")</f>
        <v>4</v>
      </c>
      <c r="P19" s="15">
        <v>16</v>
      </c>
      <c r="Q19" s="21" t="s">
        <v>426</v>
      </c>
      <c r="R19" s="21"/>
      <c r="S19" s="16" t="s">
        <v>407</v>
      </c>
      <c r="T19" s="19">
        <v>202470000</v>
      </c>
      <c r="U19" s="26">
        <f>COUNTA(마케팅_1!$B$4:$B$301)</f>
        <v>30</v>
      </c>
    </row>
    <row r="20" spans="1:21">
      <c r="A20" s="15">
        <v>17</v>
      </c>
      <c r="B20" s="16" t="s">
        <v>18</v>
      </c>
      <c r="C20" s="16">
        <v>202400017</v>
      </c>
      <c r="I20" s="24">
        <f>COUNTIF(경영학원론_1!$B$3:$B$300,"학생017")+COUNTIF(경영학원론_2!$B$2:$B$301,"학생017")+COUNTIF(경영학원론_3!$B$2:$B$301,"학생017")+COUNTIF(경영학원론_4!$B$2:$B$300,"학생017")+COUNTIF(경제학원론_1!$B$2:$B$295,"학생017")+COUNTIF(경제학원론_2!$B$2:$B$298,"학생017")+COUNTIF(경제학원론_3!$B$2:$B$295,"학생017")+COUNTIF(경영통계학_1!$B$2:$B$299,"학생017")+COUNTIF(경영통계학_2!$B$2:$B$301,"학생017")+COUNTIF(경영통계학_3!$B$2:$B$298,"학생017")+COUNTIF(무역학개론_1!$B$2:$B$301,"학생017")+COUNTIF(회계학원론_1!$B$2:$B$293,"학생017")+COUNTIF(경영정보시스템_1!$B$2:$B$301,"학생017")+COUNTIF(관리회계_1!$B$2:$B$300,"학생017")+COUNTIF(관리회계_2!$B$2:$B$301,"학생017")+COUNTIF(마케팅_1!$B$2:$B$301,"학생017")+COUNTIF(마케팅리서치_1!$B$2:$B$301,"학생017")+COUNTIF(세법개론_1!$B$2:$B$300,"학생017")+COUNTIF(재무관리_1!$B$2:$B$301,"학생017")+COUNTIF(조직행동론_1!$B$2:$B$301,"학생017")+COUNTIF(조직행동론_2!$B$2:$B$301,"학생017")+COUNTIF(중급재무회계_1!$B$2:$B$301,"학생017")+COUNTIF(투자론_1!$B$2:$B$300,"학생017")+COUNTIF(경영과학_1!$B$2:$B$301,"학생017")+COUNTIF(세무회계_1!$B$2:$B$301,"학생017")+COUNTIF(스마트경영_1!$B$2:$B$301,"학생017")+COUNTIF(스마트경영_2!$B$2:$B$301,"학생017")+COUNTIF(인적자원관리_1!$B$2:$B$257,"학생017")+COUNTIF(서비스마케팅_1!$B$2:$B$276,"학생017")+COUNTIF(제품관리_1!$B$2:$B$301,"학생017")</f>
        <v>6</v>
      </c>
      <c r="P20" s="15">
        <v>17</v>
      </c>
      <c r="Q20" s="21" t="s">
        <v>465</v>
      </c>
      <c r="R20" s="21"/>
      <c r="S20" s="16" t="s">
        <v>407</v>
      </c>
      <c r="T20" s="19">
        <v>202470000</v>
      </c>
      <c r="U20" s="26">
        <f>COUNTA(마케팅리서치_1!$B$4:$B$301)</f>
        <v>47</v>
      </c>
    </row>
    <row r="21" spans="1:21">
      <c r="A21" s="15">
        <v>18</v>
      </c>
      <c r="B21" s="16" t="s">
        <v>19</v>
      </c>
      <c r="C21" s="16">
        <v>202400018</v>
      </c>
      <c r="I21" s="24">
        <f>COUNTIF(경영학원론_1!$B$3:$B$300,"학생018")+COUNTIF(경영학원론_2!$B$2:$B$301,"학생018")+COUNTIF(경영학원론_3!$B$2:$B$301,"학생018")+COUNTIF(경영학원론_4!$B$2:$B$300,"학생018")+COUNTIF(경제학원론_1!$B$2:$B$295,"학생018")+COUNTIF(경제학원론_2!$B$2:$B$298,"학생018")+COUNTIF(경제학원론_3!$B$2:$B$295,"학생018")+COUNTIF(경영통계학_1!$B$2:$B$299,"학생018")+COUNTIF(경영통계학_2!$B$2:$B$301,"학생018")+COUNTIF(경영통계학_3!$B$2:$B$298,"학생018")+COUNTIF(무역학개론_1!$B$2:$B$301,"학생018")+COUNTIF(회계학원론_1!$B$2:$B$293,"학생018")+COUNTIF(경영정보시스템_1!$B$2:$B$301,"학생018")+COUNTIF(관리회계_1!$B$2:$B$300,"학생018")+COUNTIF(관리회계_2!$B$2:$B$301,"학생018")+COUNTIF(마케팅_1!$B$2:$B$301,"학생018")+COUNTIF(마케팅리서치_1!$B$2:$B$301,"학생018")+COUNTIF(세법개론_1!$B$2:$B$300,"학생018")+COUNTIF(재무관리_1!$B$2:$B$301,"학생018")+COUNTIF(조직행동론_1!$B$2:$B$301,"학생018")+COUNTIF(조직행동론_2!$B$2:$B$301,"학생018")+COUNTIF(중급재무회계_1!$B$2:$B$301,"학생018")+COUNTIF(투자론_1!$B$2:$B$300,"학생018")+COUNTIF(경영과학_1!$B$2:$B$301,"학생018")+COUNTIF(세무회계_1!$B$2:$B$301,"학생018")+COUNTIF(스마트경영_1!$B$2:$B$301,"학생018")+COUNTIF(스마트경영_2!$B$2:$B$301,"학생018")+COUNTIF(인적자원관리_1!$B$2:$B$257,"학생018")+COUNTIF(서비스마케팅_1!$B$2:$B$276,"학생018")+COUNTIF(제품관리_1!$B$2:$B$301,"학생018")</f>
        <v>6</v>
      </c>
      <c r="P21" s="15">
        <v>18</v>
      </c>
      <c r="Q21" s="21" t="s">
        <v>427</v>
      </c>
      <c r="R21" s="21"/>
      <c r="S21" s="16" t="s">
        <v>408</v>
      </c>
      <c r="T21" s="19">
        <v>202480000</v>
      </c>
      <c r="U21" s="26">
        <f>COUNTA(세법개론_1!$B$4:$B$300)</f>
        <v>64</v>
      </c>
    </row>
    <row r="22" spans="1:21">
      <c r="A22" s="15">
        <v>19</v>
      </c>
      <c r="B22" s="16" t="s">
        <v>20</v>
      </c>
      <c r="C22" s="16">
        <v>202400019</v>
      </c>
      <c r="I22" s="24">
        <f>COUNTIF(경영학원론_1!$B$3:$B$300,"학생019")+COUNTIF(경영학원론_2!$B$2:$B$301,"학생019")+COUNTIF(경영학원론_3!$B$2:$B$301,"학생019")+COUNTIF(경영학원론_4!$B$2:$B$300,"학생019")+COUNTIF(경제학원론_1!$B$2:$B$295,"학생019")+COUNTIF(경제학원론_2!$B$2:$B$298,"학생019")+COUNTIF(경제학원론_3!$B$2:$B$295,"학생019")+COUNTIF(경영통계학_1!$B$2:$B$299,"학생019")+COUNTIF(경영통계학_2!$B$2:$B$301,"학생019")+COUNTIF(경영통계학_3!$B$2:$B$298,"학생019")+COUNTIF(무역학개론_1!$B$2:$B$301,"학생019")+COUNTIF(회계학원론_1!$B$2:$B$293,"학생019")+COUNTIF(경영정보시스템_1!$B$2:$B$301,"학생019")+COUNTIF(관리회계_1!$B$2:$B$300,"학생019")+COUNTIF(관리회계_2!$B$2:$B$301,"학생019")+COUNTIF(마케팅_1!$B$2:$B$301,"학생019")+COUNTIF(마케팅리서치_1!$B$2:$B$301,"학생019")+COUNTIF(세법개론_1!$B$2:$B$300,"학생019")+COUNTIF(재무관리_1!$B$2:$B$301,"학생019")+COUNTIF(조직행동론_1!$B$2:$B$301,"학생019")+COUNTIF(조직행동론_2!$B$2:$B$301,"학생019")+COUNTIF(중급재무회계_1!$B$2:$B$301,"학생019")+COUNTIF(투자론_1!$B$2:$B$300,"학생019")+COUNTIF(경영과학_1!$B$2:$B$301,"학생019")+COUNTIF(세무회계_1!$B$2:$B$301,"학생019")+COUNTIF(스마트경영_1!$B$2:$B$301,"학생019")+COUNTIF(스마트경영_2!$B$2:$B$301,"학생019")+COUNTIF(인적자원관리_1!$B$2:$B$257,"학생019")+COUNTIF(서비스마케팅_1!$B$2:$B$276,"학생019")+COUNTIF(제품관리_1!$B$2:$B$301,"학생019")</f>
        <v>4</v>
      </c>
      <c r="P22" s="15">
        <v>19</v>
      </c>
      <c r="Q22" s="21" t="s">
        <v>428</v>
      </c>
      <c r="R22" s="21"/>
      <c r="S22" s="16" t="s">
        <v>406</v>
      </c>
      <c r="T22" s="19">
        <v>202460000</v>
      </c>
      <c r="U22" s="26">
        <f>COUNTA(재무관리_1!$B$4:$B$301)</f>
        <v>59</v>
      </c>
    </row>
    <row r="23" spans="1:21">
      <c r="A23" s="15">
        <v>20</v>
      </c>
      <c r="B23" s="16" t="s">
        <v>21</v>
      </c>
      <c r="C23" s="16">
        <v>202400020</v>
      </c>
      <c r="I23" s="24">
        <f>COUNTIF(경영학원론_1!$B$3:$B$300,"학생020")+COUNTIF(경영학원론_2!$B$2:$B$301,"학생020")+COUNTIF(경영학원론_3!$B$2:$B$301,"학생020")+COUNTIF(경영학원론_4!$B$2:$B$300,"학생020")+COUNTIF(경제학원론_1!$B$2:$B$295,"학생020")+COUNTIF(경제학원론_2!$B$2:$B$298,"학생020")+COUNTIF(경제학원론_3!$B$2:$B$295,"학생020")+COUNTIF(경영통계학_1!$B$2:$B$299,"학생020")+COUNTIF(경영통계학_2!$B$2:$B$301,"학생020")+COUNTIF(경영통계학_3!$B$2:$B$298,"학생020")+COUNTIF(무역학개론_1!$B$2:$B$301,"학생020")+COUNTIF(회계학원론_1!$B$2:$B$293,"학생020")+COUNTIF(경영정보시스템_1!$B$2:$B$301,"학생020")+COUNTIF(관리회계_1!$B$2:$B$300,"학생020")+COUNTIF(관리회계_2!$B$2:$B$301,"학생020")+COUNTIF(마케팅_1!$B$2:$B$301,"학생020")+COUNTIF(마케팅리서치_1!$B$2:$B$301,"학생020")+COUNTIF(세법개론_1!$B$2:$B$300,"학생020")+COUNTIF(재무관리_1!$B$2:$B$301,"학생020")+COUNTIF(조직행동론_1!$B$2:$B$301,"학생020")+COUNTIF(조직행동론_2!$B$2:$B$301,"학생020")+COUNTIF(중급재무회계_1!$B$2:$B$301,"학생020")+COUNTIF(투자론_1!$B$2:$B$300,"학생020")+COUNTIF(경영과학_1!$B$2:$B$301,"학생020")+COUNTIF(세무회계_1!$B$2:$B$301,"학생020")+COUNTIF(스마트경영_1!$B$2:$B$301,"학생020")+COUNTIF(스마트경영_2!$B$2:$B$301,"학생020")+COUNTIF(인적자원관리_1!$B$2:$B$257,"학생020")+COUNTIF(서비스마케팅_1!$B$2:$B$276,"학생020")+COUNTIF(제품관리_1!$B$2:$B$301,"학생020")</f>
        <v>4</v>
      </c>
      <c r="P23" s="15">
        <v>20</v>
      </c>
      <c r="Q23" s="21" t="s">
        <v>429</v>
      </c>
      <c r="R23" s="21"/>
      <c r="S23" s="16" t="s">
        <v>404</v>
      </c>
      <c r="T23" s="19">
        <v>202440000</v>
      </c>
      <c r="U23" s="26">
        <f>COUNTA(조직행동론_1!$B$4:$B$301)</f>
        <v>70</v>
      </c>
    </row>
    <row r="24" spans="1:21">
      <c r="A24" s="15">
        <v>21</v>
      </c>
      <c r="B24" s="16" t="s">
        <v>22</v>
      </c>
      <c r="C24" s="16">
        <v>202400021</v>
      </c>
      <c r="I24" s="24">
        <f>COUNTIF(경영학원론_1!$B$3:$B$300,"학생021")+COUNTIF(경영학원론_2!$B$2:$B$301,"학생021")+COUNTIF(경영학원론_3!$B$2:$B$301,"학생021")+COUNTIF(경영학원론_4!$B$2:$B$300,"학생021")+COUNTIF(경제학원론_1!$B$2:$B$295,"학생021")+COUNTIF(경제학원론_2!$B$2:$B$298,"학생021")+COUNTIF(경제학원론_3!$B$2:$B$295,"학생021")+COUNTIF(경영통계학_1!$B$2:$B$299,"학생021")+COUNTIF(경영통계학_2!$B$2:$B$301,"학생021")+COUNTIF(경영통계학_3!$B$2:$B$298,"학생021")+COUNTIF(무역학개론_1!$B$2:$B$301,"학생021")+COUNTIF(회계학원론_1!$B$2:$B$293,"학생021")+COUNTIF(경영정보시스템_1!$B$2:$B$301,"학생021")+COUNTIF(관리회계_1!$B$2:$B$300,"학생021")+COUNTIF(관리회계_2!$B$2:$B$301,"학생021")+COUNTIF(마케팅_1!$B$2:$B$301,"학생021")+COUNTIF(마케팅리서치_1!$B$2:$B$301,"학생021")+COUNTIF(세법개론_1!$B$2:$B$300,"학생021")+COUNTIF(재무관리_1!$B$2:$B$301,"학생021")+COUNTIF(조직행동론_1!$B$2:$B$301,"학생021")+COUNTIF(조직행동론_2!$B$2:$B$301,"학생021")+COUNTIF(중급재무회계_1!$B$2:$B$301,"학생021")+COUNTIF(투자론_1!$B$2:$B$300,"학생021")+COUNTIF(경영과학_1!$B$2:$B$301,"학생021")+COUNTIF(세무회계_1!$B$2:$B$301,"학생021")+COUNTIF(스마트경영_1!$B$2:$B$301,"학생021")+COUNTIF(스마트경영_2!$B$2:$B$301,"학생021")+COUNTIF(인적자원관리_1!$B$2:$B$257,"학생021")+COUNTIF(서비스마케팅_1!$B$2:$B$276,"학생021")+COUNTIF(제품관리_1!$B$2:$B$301,"학생021")</f>
        <v>6</v>
      </c>
      <c r="P24" s="15">
        <v>21</v>
      </c>
      <c r="Q24" s="21" t="s">
        <v>432</v>
      </c>
      <c r="R24" s="21"/>
      <c r="S24" s="16" t="s">
        <v>406</v>
      </c>
      <c r="T24" s="19">
        <v>202460000</v>
      </c>
      <c r="U24" s="26">
        <f>COUNTA(조직행동론_2!$B$4:$B$301)</f>
        <v>58</v>
      </c>
    </row>
    <row r="25" spans="1:21">
      <c r="A25" s="15">
        <v>22</v>
      </c>
      <c r="B25" s="16" t="s">
        <v>23</v>
      </c>
      <c r="C25" s="16">
        <v>202400022</v>
      </c>
      <c r="I25" s="24">
        <f>COUNTIF(경영학원론_1!$B$3:$B$300,"학생022")+COUNTIF(경영학원론_2!$B$2:$B$301,"학생022")+COUNTIF(경영학원론_3!$B$2:$B$301,"학생022")+COUNTIF(경영학원론_4!$B$2:$B$300,"학생022")+COUNTIF(경제학원론_1!$B$2:$B$295,"학생022")+COUNTIF(경제학원론_2!$B$2:$B$298,"학생022")+COUNTIF(경제학원론_3!$B$2:$B$295,"학생022")+COUNTIF(경영통계학_1!$B$2:$B$299,"학생022")+COUNTIF(경영통계학_2!$B$2:$B$301,"학생022")+COUNTIF(경영통계학_3!$B$2:$B$298,"학생022")+COUNTIF(무역학개론_1!$B$2:$B$301,"학생022")+COUNTIF(회계학원론_1!$B$2:$B$293,"학생022")+COUNTIF(경영정보시스템_1!$B$2:$B$301,"학생022")+COUNTIF(관리회계_1!$B$2:$B$300,"학생022")+COUNTIF(관리회계_2!$B$2:$B$301,"학생022")+COUNTIF(마케팅_1!$B$2:$B$301,"학생022")+COUNTIF(마케팅리서치_1!$B$2:$B$301,"학생022")+COUNTIF(세법개론_1!$B$2:$B$300,"학생022")+COUNTIF(재무관리_1!$B$2:$B$301,"학생022")+COUNTIF(조직행동론_1!$B$2:$B$301,"학생022")+COUNTIF(조직행동론_2!$B$2:$B$301,"학생022")+COUNTIF(중급재무회계_1!$B$2:$B$301,"학생022")+COUNTIF(투자론_1!$B$2:$B$300,"학생022")+COUNTIF(경영과학_1!$B$2:$B$301,"학생022")+COUNTIF(세무회계_1!$B$2:$B$301,"학생022")+COUNTIF(스마트경영_1!$B$2:$B$301,"학생022")+COUNTIF(스마트경영_2!$B$2:$B$301,"학생022")+COUNTIF(인적자원관리_1!$B$2:$B$257,"학생022")+COUNTIF(서비스마케팅_1!$B$2:$B$276,"학생022")+COUNTIF(제품관리_1!$B$2:$B$301,"학생022")</f>
        <v>4</v>
      </c>
      <c r="P25" s="15">
        <v>22</v>
      </c>
      <c r="Q25" s="21" t="s">
        <v>466</v>
      </c>
      <c r="R25" s="21"/>
      <c r="S25" s="16" t="s">
        <v>408</v>
      </c>
      <c r="T25" s="19">
        <v>202480000</v>
      </c>
      <c r="U25" s="26">
        <f>COUNTA(중급재무회계_1!$B$4:$B$301)</f>
        <v>40</v>
      </c>
    </row>
    <row r="26" spans="1:21">
      <c r="A26" s="15">
        <v>23</v>
      </c>
      <c r="B26" s="16" t="s">
        <v>24</v>
      </c>
      <c r="C26" s="16">
        <v>202400023</v>
      </c>
      <c r="I26" s="24">
        <f>COUNTIF(경영학원론_1!$B$3:$B$300,"학생023")+COUNTIF(경영학원론_2!$B$2:$B$301,"학생023")+COUNTIF(경영학원론_3!$B$2:$B$301,"학생023")+COUNTIF(경영학원론_4!$B$2:$B$300,"학생023")+COUNTIF(경제학원론_1!$B$2:$B$295,"학생023")+COUNTIF(경제학원론_2!$B$2:$B$298,"학생023")+COUNTIF(경제학원론_3!$B$2:$B$295,"학생023")+COUNTIF(경영통계학_1!$B$2:$B$299,"학생023")+COUNTIF(경영통계학_2!$B$2:$B$301,"학생023")+COUNTIF(경영통계학_3!$B$2:$B$298,"학생023")+COUNTIF(무역학개론_1!$B$2:$B$301,"학생023")+COUNTIF(회계학원론_1!$B$2:$B$293,"학생023")+COUNTIF(경영정보시스템_1!$B$2:$B$301,"학생023")+COUNTIF(관리회계_1!$B$2:$B$300,"학생023")+COUNTIF(관리회계_2!$B$2:$B$301,"학생023")+COUNTIF(마케팅_1!$B$2:$B$301,"학생023")+COUNTIF(마케팅리서치_1!$B$2:$B$301,"학생023")+COUNTIF(세법개론_1!$B$2:$B$300,"학생023")+COUNTIF(재무관리_1!$B$2:$B$301,"학생023")+COUNTIF(조직행동론_1!$B$2:$B$301,"학생023")+COUNTIF(조직행동론_2!$B$2:$B$301,"학생023")+COUNTIF(중급재무회계_1!$B$2:$B$301,"학생023")+COUNTIF(투자론_1!$B$2:$B$300,"학생023")+COUNTIF(경영과학_1!$B$2:$B$301,"학생023")+COUNTIF(세무회계_1!$B$2:$B$301,"학생023")+COUNTIF(스마트경영_1!$B$2:$B$301,"학생023")+COUNTIF(스마트경영_2!$B$2:$B$301,"학생023")+COUNTIF(인적자원관리_1!$B$2:$B$257,"학생023")+COUNTIF(서비스마케팅_1!$B$2:$B$276,"학생023")+COUNTIF(제품관리_1!$B$2:$B$301,"학생023")</f>
        <v>6</v>
      </c>
      <c r="P26" s="15">
        <v>23</v>
      </c>
      <c r="Q26" s="21" t="s">
        <v>433</v>
      </c>
      <c r="R26" s="21"/>
      <c r="S26" s="16" t="s">
        <v>409</v>
      </c>
      <c r="T26" s="19">
        <v>202490000</v>
      </c>
      <c r="U26" s="26">
        <f>COUNTA(투자론_1!$B$4:$B$300)</f>
        <v>70</v>
      </c>
    </row>
    <row r="27" spans="1:21">
      <c r="A27" s="15">
        <v>24</v>
      </c>
      <c r="B27" s="16" t="s">
        <v>25</v>
      </c>
      <c r="C27" s="16">
        <v>202400024</v>
      </c>
      <c r="I27" s="24">
        <f>COUNTIF(경영학원론_1!$B$3:$B$300,"학생024")+COUNTIF(경영학원론_2!$B$2:$B$301,"학생024")+COUNTIF(경영학원론_3!$B$2:$B$301,"학생024")+COUNTIF(경영학원론_4!$B$2:$B$300,"학생024")+COUNTIF(경제학원론_1!$B$2:$B$295,"학생024")+COUNTIF(경제학원론_2!$B$2:$B$298,"학생024")+COUNTIF(경제학원론_3!$B$2:$B$295,"학생024")+COUNTIF(경영통계학_1!$B$2:$B$299,"학생024")+COUNTIF(경영통계학_2!$B$2:$B$301,"학생024")+COUNTIF(경영통계학_3!$B$2:$B$298,"학생024")+COUNTIF(무역학개론_1!$B$2:$B$301,"학생024")+COUNTIF(회계학원론_1!$B$2:$B$293,"학생024")+COUNTIF(경영정보시스템_1!$B$2:$B$301,"학생024")+COUNTIF(관리회계_1!$B$2:$B$300,"학생024")+COUNTIF(관리회계_2!$B$2:$B$301,"학생024")+COUNTIF(마케팅_1!$B$2:$B$301,"학생024")+COUNTIF(마케팅리서치_1!$B$2:$B$301,"학생024")+COUNTIF(세법개론_1!$B$2:$B$300,"학생024")+COUNTIF(재무관리_1!$B$2:$B$301,"학생024")+COUNTIF(조직행동론_1!$B$2:$B$301,"학생024")+COUNTIF(조직행동론_2!$B$2:$B$301,"학생024")+COUNTIF(중급재무회계_1!$B$2:$B$301,"학생024")+COUNTIF(투자론_1!$B$2:$B$300,"학생024")+COUNTIF(경영과학_1!$B$2:$B$301,"학생024")+COUNTIF(세무회계_1!$B$2:$B$301,"학생024")+COUNTIF(스마트경영_1!$B$2:$B$301,"학생024")+COUNTIF(스마트경영_2!$B$2:$B$301,"학생024")+COUNTIF(인적자원관리_1!$B$2:$B$257,"학생024")+COUNTIF(서비스마케팅_1!$B$2:$B$276,"학생024")+COUNTIF(제품관리_1!$B$2:$B$301,"학생024")</f>
        <v>6</v>
      </c>
      <c r="P27" s="15">
        <v>24</v>
      </c>
      <c r="Q27" s="21" t="s">
        <v>434</v>
      </c>
      <c r="R27" s="21"/>
      <c r="S27" s="16" t="s">
        <v>410</v>
      </c>
      <c r="T27" s="19">
        <v>202400000</v>
      </c>
      <c r="U27" s="26">
        <f>COUNTA(경영과학_1!$B$4:$B$301)</f>
        <v>66</v>
      </c>
    </row>
    <row r="28" spans="1:21">
      <c r="A28" s="15">
        <v>25</v>
      </c>
      <c r="B28" s="16" t="s">
        <v>26</v>
      </c>
      <c r="C28" s="16">
        <v>202400025</v>
      </c>
      <c r="I28" s="24">
        <f>COUNTIF(경영학원론_1!$B$3:$B$300,"학생025")+COUNTIF(경영학원론_2!$B$2:$B$301,"학생025")+COUNTIF(경영학원론_3!$B$2:$B$301,"학생025")+COUNTIF(경영학원론_4!$B$2:$B$300,"학생025")+COUNTIF(경제학원론_1!$B$2:$B$295,"학생025")+COUNTIF(경제학원론_2!$B$2:$B$298,"학생025")+COUNTIF(경제학원론_3!$B$2:$B$295,"학생025")+COUNTIF(경영통계학_1!$B$2:$B$299,"학생025")+COUNTIF(경영통계학_2!$B$2:$B$301,"학생025")+COUNTIF(경영통계학_3!$B$2:$B$298,"학생025")+COUNTIF(무역학개론_1!$B$2:$B$301,"학생025")+COUNTIF(회계학원론_1!$B$2:$B$293,"학생025")+COUNTIF(경영정보시스템_1!$B$2:$B$301,"학생025")+COUNTIF(관리회계_1!$B$2:$B$300,"학생025")+COUNTIF(관리회계_2!$B$2:$B$301,"학생025")+COUNTIF(마케팅_1!$B$2:$B$301,"학생025")+COUNTIF(마케팅리서치_1!$B$2:$B$301,"학생025")+COUNTIF(세법개론_1!$B$2:$B$300,"학생025")+COUNTIF(재무관리_1!$B$2:$B$301,"학생025")+COUNTIF(조직행동론_1!$B$2:$B$301,"학생025")+COUNTIF(조직행동론_2!$B$2:$B$301,"학생025")+COUNTIF(중급재무회계_1!$B$2:$B$301,"학생025")+COUNTIF(투자론_1!$B$2:$B$300,"학생025")+COUNTIF(경영과학_1!$B$2:$B$301,"학생025")+COUNTIF(세무회계_1!$B$2:$B$301,"학생025")+COUNTIF(스마트경영_1!$B$2:$B$301,"학생025")+COUNTIF(스마트경영_2!$B$2:$B$301,"학생025")+COUNTIF(인적자원관리_1!$B$2:$B$257,"학생025")+COUNTIF(서비스마케팅_1!$B$2:$B$276,"학생025")+COUNTIF(제품관리_1!$B$2:$B$301,"학생025")</f>
        <v>5</v>
      </c>
      <c r="P28" s="15">
        <v>25</v>
      </c>
      <c r="Q28" s="21" t="s">
        <v>435</v>
      </c>
      <c r="R28" s="21"/>
      <c r="S28" s="16" t="s">
        <v>408</v>
      </c>
      <c r="T28" s="19">
        <v>202480000</v>
      </c>
      <c r="U28" s="26">
        <f>COUNTA(세무회계_1!$B$4:$B$301)</f>
        <v>35</v>
      </c>
    </row>
    <row r="29" spans="1:21">
      <c r="A29" s="15">
        <v>26</v>
      </c>
      <c r="B29" s="16" t="s">
        <v>27</v>
      </c>
      <c r="C29" s="16">
        <v>202400026</v>
      </c>
      <c r="I29" s="24">
        <f>COUNTIF(경영학원론_1!$B$3:$B$300,"학생026")+COUNTIF(경영학원론_2!$B$2:$B$301,"학생026")+COUNTIF(경영학원론_3!$B$2:$B$301,"학생026")+COUNTIF(경영학원론_4!$B$2:$B$300,"학생026")+COUNTIF(경제학원론_1!$B$2:$B$295,"학생026")+COUNTIF(경제학원론_2!$B$2:$B$298,"학생026")+COUNTIF(경제학원론_3!$B$2:$B$295,"학생026")+COUNTIF(경영통계학_1!$B$2:$B$299,"학생026")+COUNTIF(경영통계학_2!$B$2:$B$301,"학생026")+COUNTIF(경영통계학_3!$B$2:$B$298,"학생026")+COUNTIF(무역학개론_1!$B$2:$B$301,"학생026")+COUNTIF(회계학원론_1!$B$2:$B$293,"학생026")+COUNTIF(경영정보시스템_1!$B$2:$B$301,"학생026")+COUNTIF(관리회계_1!$B$2:$B$300,"학생026")+COUNTIF(관리회계_2!$B$2:$B$301,"학생026")+COUNTIF(마케팅_1!$B$2:$B$301,"학생026")+COUNTIF(마케팅리서치_1!$B$2:$B$301,"학생026")+COUNTIF(세법개론_1!$B$2:$B$300,"학생026")+COUNTIF(재무관리_1!$B$2:$B$301,"학생026")+COUNTIF(조직행동론_1!$B$2:$B$301,"학생026")+COUNTIF(조직행동론_2!$B$2:$B$301,"학생026")+COUNTIF(중급재무회계_1!$B$2:$B$301,"학생026")+COUNTIF(투자론_1!$B$2:$B$300,"학생026")+COUNTIF(경영과학_1!$B$2:$B$301,"학생026")+COUNTIF(세무회계_1!$B$2:$B$301,"학생026")+COUNTIF(스마트경영_1!$B$2:$B$301,"학생026")+COUNTIF(스마트경영_2!$B$2:$B$301,"학생026")+COUNTIF(인적자원관리_1!$B$2:$B$257,"학생026")+COUNTIF(서비스마케팅_1!$B$2:$B$276,"학생026")+COUNTIF(제품관리_1!$B$2:$B$301,"학생026")</f>
        <v>6</v>
      </c>
      <c r="P29" s="15">
        <v>26</v>
      </c>
      <c r="Q29" s="21" t="s">
        <v>430</v>
      </c>
      <c r="R29" s="21"/>
      <c r="S29" s="16" t="s">
        <v>409</v>
      </c>
      <c r="T29" s="19">
        <v>202490000</v>
      </c>
      <c r="U29" s="26">
        <f>COUNTA(스마트경영_1!$B$4:$B$301)</f>
        <v>45</v>
      </c>
    </row>
    <row r="30" spans="1:21">
      <c r="A30" s="15">
        <v>27</v>
      </c>
      <c r="B30" s="16" t="s">
        <v>28</v>
      </c>
      <c r="C30" s="16">
        <v>202400027</v>
      </c>
      <c r="I30" s="24">
        <f>COUNTIF(경영학원론_1!$B$3:$B$300,"학생027")+COUNTIF(경영학원론_2!$B$2:$B$301,"학생027")+COUNTIF(경영학원론_3!$B$2:$B$301,"학생027")+COUNTIF(경영학원론_4!$B$2:$B$300,"학생027")+COUNTIF(경제학원론_1!$B$2:$B$295,"학생027")+COUNTIF(경제학원론_2!$B$2:$B$298,"학생027")+COUNTIF(경제학원론_3!$B$2:$B$295,"학생027")+COUNTIF(경영통계학_1!$B$2:$B$299,"학생027")+COUNTIF(경영통계학_2!$B$2:$B$301,"학생027")+COUNTIF(경영통계학_3!$B$2:$B$298,"학생027")+COUNTIF(무역학개론_1!$B$2:$B$301,"학생027")+COUNTIF(회계학원론_1!$B$2:$B$293,"학생027")+COUNTIF(경영정보시스템_1!$B$2:$B$301,"학생027")+COUNTIF(관리회계_1!$B$2:$B$300,"학생027")+COUNTIF(관리회계_2!$B$2:$B$301,"학생027")+COUNTIF(마케팅_1!$B$2:$B$301,"학생027")+COUNTIF(마케팅리서치_1!$B$2:$B$301,"학생027")+COUNTIF(세법개론_1!$B$2:$B$300,"학생027")+COUNTIF(재무관리_1!$B$2:$B$301,"학생027")+COUNTIF(조직행동론_1!$B$2:$B$301,"학생027")+COUNTIF(조직행동론_2!$B$2:$B$301,"학생027")+COUNTIF(중급재무회계_1!$B$2:$B$301,"학생027")+COUNTIF(투자론_1!$B$2:$B$300,"학생027")+COUNTIF(경영과학_1!$B$2:$B$301,"학생027")+COUNTIF(세무회계_1!$B$2:$B$301,"학생027")+COUNTIF(스마트경영_1!$B$2:$B$301,"학생027")+COUNTIF(스마트경영_2!$B$2:$B$301,"학생027")+COUNTIF(인적자원관리_1!$B$2:$B$257,"학생027")+COUNTIF(서비스마케팅_1!$B$2:$B$276,"학생027")+COUNTIF(제품관리_1!$B$2:$B$301,"학생027")</f>
        <v>7</v>
      </c>
      <c r="P30" s="15">
        <v>27</v>
      </c>
      <c r="Q30" s="21" t="s">
        <v>431</v>
      </c>
      <c r="R30" s="21"/>
      <c r="S30" s="16" t="s">
        <v>410</v>
      </c>
      <c r="T30" s="19">
        <v>202400000</v>
      </c>
      <c r="U30" s="26">
        <f>COUNTA(스마트경영_2!$B$4:$B$301)</f>
        <v>43</v>
      </c>
    </row>
    <row r="31" spans="1:21">
      <c r="A31" s="15">
        <v>28</v>
      </c>
      <c r="B31" s="16" t="s">
        <v>29</v>
      </c>
      <c r="C31" s="16">
        <v>202400028</v>
      </c>
      <c r="I31" s="24">
        <f>COUNTIF(경영학원론_1!$B$3:$B$300,"학생028")+COUNTIF(경영학원론_2!$B$2:$B$301,"학생028")+COUNTIF(경영학원론_3!$B$2:$B$301,"학생028")+COUNTIF(경영학원론_4!$B$2:$B$300,"학생028")+COUNTIF(경제학원론_1!$B$2:$B$295,"학생028")+COUNTIF(경제학원론_2!$B$2:$B$298,"학생028")+COUNTIF(경제학원론_3!$B$2:$B$295,"학생028")+COUNTIF(경영통계학_1!$B$2:$B$299,"학생028")+COUNTIF(경영통계학_2!$B$2:$B$301,"학생028")+COUNTIF(경영통계학_3!$B$2:$B$298,"학생028")+COUNTIF(무역학개론_1!$B$2:$B$301,"학생028")+COUNTIF(회계학원론_1!$B$2:$B$293,"학생028")+COUNTIF(경영정보시스템_1!$B$2:$B$301,"학생028")+COUNTIF(관리회계_1!$B$2:$B$300,"학생028")+COUNTIF(관리회계_2!$B$2:$B$301,"학생028")+COUNTIF(마케팅_1!$B$2:$B$301,"학생028")+COUNTIF(마케팅리서치_1!$B$2:$B$301,"학생028")+COUNTIF(세법개론_1!$B$2:$B$300,"학생028")+COUNTIF(재무관리_1!$B$2:$B$301,"학생028")+COUNTIF(조직행동론_1!$B$2:$B$301,"학생028")+COUNTIF(조직행동론_2!$B$2:$B$301,"학생028")+COUNTIF(중급재무회계_1!$B$2:$B$301,"학생028")+COUNTIF(투자론_1!$B$2:$B$300,"학생028")+COUNTIF(경영과학_1!$B$2:$B$301,"학생028")+COUNTIF(세무회계_1!$B$2:$B$301,"학생028")+COUNTIF(스마트경영_1!$B$2:$B$301,"학생028")+COUNTIF(스마트경영_2!$B$2:$B$301,"학생028")+COUNTIF(인적자원관리_1!$B$2:$B$257,"학생028")+COUNTIF(서비스마케팅_1!$B$2:$B$276,"학생028")+COUNTIF(제품관리_1!$B$2:$B$301,"학생028")</f>
        <v>4</v>
      </c>
      <c r="P31" s="15">
        <v>28</v>
      </c>
      <c r="Q31" s="21" t="s">
        <v>436</v>
      </c>
      <c r="R31" s="21"/>
      <c r="S31" s="16" t="s">
        <v>409</v>
      </c>
      <c r="T31" s="19">
        <v>202490000</v>
      </c>
      <c r="U31" s="26">
        <f>COUNTA(인적자원관리_1!$B$4:$B$257)</f>
        <v>156</v>
      </c>
    </row>
    <row r="32" spans="1:21">
      <c r="A32" s="15">
        <v>29</v>
      </c>
      <c r="B32" s="16" t="s">
        <v>30</v>
      </c>
      <c r="C32" s="16">
        <v>202400029</v>
      </c>
      <c r="I32" s="24">
        <f>COUNTIF(경영학원론_1!$B$3:$B$300,"학생029")+COUNTIF(경영학원론_2!$B$2:$B$301,"학생029")+COUNTIF(경영학원론_3!$B$2:$B$301,"학생029")+COUNTIF(경영학원론_4!$B$2:$B$300,"학생029")+COUNTIF(경제학원론_1!$B$2:$B$295,"학생029")+COUNTIF(경제학원론_2!$B$2:$B$298,"학생029")+COUNTIF(경제학원론_3!$B$2:$B$295,"학생029")+COUNTIF(경영통계학_1!$B$2:$B$299,"학생029")+COUNTIF(경영통계학_2!$B$2:$B$301,"학생029")+COUNTIF(경영통계학_3!$B$2:$B$298,"학생029")+COUNTIF(무역학개론_1!$B$2:$B$301,"학생029")+COUNTIF(회계학원론_1!$B$2:$B$293,"학생029")+COUNTIF(경영정보시스템_1!$B$2:$B$301,"학생029")+COUNTIF(관리회계_1!$B$2:$B$300,"학생029")+COUNTIF(관리회계_2!$B$2:$B$301,"학생029")+COUNTIF(마케팅_1!$B$2:$B$301,"학생029")+COUNTIF(마케팅리서치_1!$B$2:$B$301,"학생029")+COUNTIF(세법개론_1!$B$2:$B$300,"학생029")+COUNTIF(재무관리_1!$B$2:$B$301,"학생029")+COUNTIF(조직행동론_1!$B$2:$B$301,"학생029")+COUNTIF(조직행동론_2!$B$2:$B$301,"학생029")+COUNTIF(중급재무회계_1!$B$2:$B$301,"학생029")+COUNTIF(투자론_1!$B$2:$B$300,"학생029")+COUNTIF(경영과학_1!$B$2:$B$301,"학생029")+COUNTIF(세무회계_1!$B$2:$B$301,"학생029")+COUNTIF(스마트경영_1!$B$2:$B$301,"학생029")+COUNTIF(스마트경영_2!$B$2:$B$301,"학생029")+COUNTIF(인적자원관리_1!$B$2:$B$257,"학생029")+COUNTIF(서비스마케팅_1!$B$2:$B$276,"학생029")+COUNTIF(제품관리_1!$B$2:$B$301,"학생029")</f>
        <v>7</v>
      </c>
      <c r="P32" s="15">
        <v>29</v>
      </c>
      <c r="Q32" s="21" t="s">
        <v>437</v>
      </c>
      <c r="R32" s="21"/>
      <c r="S32" s="16" t="s">
        <v>407</v>
      </c>
      <c r="T32" s="19">
        <v>202470000</v>
      </c>
      <c r="U32" s="26">
        <f>COUNTA(서비스마케팅_1!$B$4:$B$276)</f>
        <v>150</v>
      </c>
    </row>
    <row r="33" spans="1:21">
      <c r="A33" s="15">
        <v>30</v>
      </c>
      <c r="B33" s="16" t="s">
        <v>31</v>
      </c>
      <c r="C33" s="16">
        <v>202400030</v>
      </c>
      <c r="I33" s="24">
        <f>COUNTIF(경영학원론_1!$B$3:$B$300,"학생030")+COUNTIF(경영학원론_2!$B$2:$B$301,"학생030")+COUNTIF(경영학원론_3!$B$2:$B$301,"학생030")+COUNTIF(경영학원론_4!$B$2:$B$300,"학생030")+COUNTIF(경제학원론_1!$B$2:$B$295,"학생030")+COUNTIF(경제학원론_2!$B$2:$B$298,"학생030")+COUNTIF(경제학원론_3!$B$2:$B$295,"학생030")+COUNTIF(경영통계학_1!$B$2:$B$299,"학생030")+COUNTIF(경영통계학_2!$B$2:$B$301,"학생030")+COUNTIF(경영통계학_3!$B$2:$B$298,"학생030")+COUNTIF(무역학개론_1!$B$2:$B$301,"학생030")+COUNTIF(회계학원론_1!$B$2:$B$293,"학생030")+COUNTIF(경영정보시스템_1!$B$2:$B$301,"학생030")+COUNTIF(관리회계_1!$B$2:$B$300,"학생030")+COUNTIF(관리회계_2!$B$2:$B$301,"학생030")+COUNTIF(마케팅_1!$B$2:$B$301,"학생030")+COUNTIF(마케팅리서치_1!$B$2:$B$301,"학생030")+COUNTIF(세법개론_1!$B$2:$B$300,"학생030")+COUNTIF(재무관리_1!$B$2:$B$301,"학생030")+COUNTIF(조직행동론_1!$B$2:$B$301,"학생030")+COUNTIF(조직행동론_2!$B$2:$B$301,"학생030")+COUNTIF(중급재무회계_1!$B$2:$B$301,"학생030")+COUNTIF(투자론_1!$B$2:$B$300,"학생030")+COUNTIF(경영과학_1!$B$2:$B$301,"학생030")+COUNTIF(세무회계_1!$B$2:$B$301,"학생030")+COUNTIF(스마트경영_1!$B$2:$B$301,"학생030")+COUNTIF(스마트경영_2!$B$2:$B$301,"학생030")+COUNTIF(인적자원관리_1!$B$2:$B$257,"학생030")+COUNTIF(서비스마케팅_1!$B$2:$B$276,"학생030")+COUNTIF(제품관리_1!$B$2:$B$301,"학생030")</f>
        <v>7</v>
      </c>
      <c r="P33" s="32">
        <v>30</v>
      </c>
      <c r="Q33" s="22" t="s">
        <v>438</v>
      </c>
      <c r="R33" s="22"/>
      <c r="S33" s="17" t="s">
        <v>410</v>
      </c>
      <c r="T33" s="20">
        <v>202400000</v>
      </c>
      <c r="U33" s="27">
        <f>COUNTA(제품관리_1!$B$4:$B$301)</f>
        <v>50</v>
      </c>
    </row>
    <row r="34" spans="1:21" ht="19" thickBot="1">
      <c r="A34" s="15">
        <v>31</v>
      </c>
      <c r="B34" s="16" t="s">
        <v>32</v>
      </c>
      <c r="C34" s="16">
        <v>202400031</v>
      </c>
      <c r="I34" s="24">
        <f>COUNTIF(경영학원론_1!$B$3:$B$300,"학생031")+COUNTIF(경영학원론_2!$B$2:$B$301,"학생031")+COUNTIF(경영학원론_3!$B$2:$B$301,"학생031")+COUNTIF(경영학원론_4!$B$2:$B$300,"학생031")+COUNTIF(경제학원론_1!$B$2:$B$295,"학생031")+COUNTIF(경제학원론_2!$B$2:$B$298,"학생031")+COUNTIF(경제학원론_3!$B$2:$B$295,"학생031")+COUNTIF(경영통계학_1!$B$2:$B$299,"학생031")+COUNTIF(경영통계학_2!$B$2:$B$301,"학생031")+COUNTIF(경영통계학_3!$B$2:$B$298,"학생031")+COUNTIF(무역학개론_1!$B$2:$B$301,"학생031")+COUNTIF(회계학원론_1!$B$2:$B$293,"학생031")+COUNTIF(경영정보시스템_1!$B$2:$B$301,"학생031")+COUNTIF(관리회계_1!$B$2:$B$300,"학생031")+COUNTIF(관리회계_2!$B$2:$B$301,"학생031")+COUNTIF(마케팅_1!$B$2:$B$301,"학생031")+COUNTIF(마케팅리서치_1!$B$2:$B$301,"학생031")+COUNTIF(세법개론_1!$B$2:$B$300,"학생031")+COUNTIF(재무관리_1!$B$2:$B$301,"학생031")+COUNTIF(조직행동론_1!$B$2:$B$301,"학생031")+COUNTIF(조직행동론_2!$B$2:$B$301,"학생031")+COUNTIF(중급재무회계_1!$B$2:$B$301,"학생031")+COUNTIF(투자론_1!$B$2:$B$300,"학생031")+COUNTIF(경영과학_1!$B$2:$B$301,"학생031")+COUNTIF(세무회계_1!$B$2:$B$301,"학생031")+COUNTIF(스마트경영_1!$B$2:$B$301,"학생031")+COUNTIF(스마트경영_2!$B$2:$B$301,"학생031")+COUNTIF(인적자원관리_1!$B$2:$B$257,"학생031")+COUNTIF(서비스마케팅_1!$B$2:$B$276,"학생031")+COUNTIF(제품관리_1!$B$2:$B$301,"학생031")</f>
        <v>6</v>
      </c>
      <c r="T34" s="28" t="s">
        <v>461</v>
      </c>
      <c r="U34" s="29">
        <f>SUM(U4:U33)</f>
        <v>2013</v>
      </c>
    </row>
    <row r="35" spans="1:21" hidden="1">
      <c r="A35" s="15">
        <v>32</v>
      </c>
      <c r="B35" s="16" t="s">
        <v>33</v>
      </c>
      <c r="C35" s="16">
        <v>202400032</v>
      </c>
      <c r="I35" s="24">
        <f>COUNTIF(경영학원론_1!$B$3:$B$300,"학생032")+COUNTIF(경영학원론_2!$B$2:$B$301,"학생032")+COUNTIF(경영학원론_3!$B$2:$B$301,"학생032")+COUNTIF(경영학원론_4!$B$2:$B$300,"학생032")+COUNTIF(경제학원론_1!$B$2:$B$295,"학생032")+COUNTIF(경제학원론_2!$B$2:$B$298,"학생032")+COUNTIF(경제학원론_3!$B$2:$B$295,"학생032")+COUNTIF(경영통계학_1!$B$2:$B$299,"학생032")+COUNTIF(경영통계학_2!$B$2:$B$301,"학생032")+COUNTIF(경영통계학_3!$B$2:$B$298,"학생032")+COUNTIF(무역학개론_1!$B$2:$B$301,"학생032")+COUNTIF(회계학원론_1!$B$2:$B$293,"학생032")+COUNTIF(경영정보시스템_1!$B$2:$B$301,"학생032")+COUNTIF(관리회계_1!$B$2:$B$300,"학생032")+COUNTIF(관리회계_2!$B$2:$B$301,"학생032")+COUNTIF(마케팅_1!$B$2:$B$301,"학생032")+COUNTIF(마케팅리서치_1!$B$2:$B$301,"학생032")+COUNTIF(세법개론_1!$B$2:$B$300,"학생032")+COUNTIF(재무관리_1!$B$2:$B$301,"학생032")+COUNTIF(조직행동론_1!$B$2:$B$301,"학생032")+COUNTIF(조직행동론_2!$B$2:$B$301,"학생032")+COUNTIF(중급재무회계_1!$B$2:$B$301,"학생032")+COUNTIF(투자론_1!$B$2:$B$300,"학생032")+COUNTIF(경영과학_1!$B$2:$B$301,"학생032")+COUNTIF(세무회계_1!$B$2:$B$301,"학생032")+COUNTIF(스마트경영_1!$B$2:$B$301,"학생032")+COUNTIF(스마트경영_2!$B$2:$B$301,"학생032")+COUNTIF(인적자원관리_1!$B$2:$B$257,"학생032")+COUNTIF(서비스마케팅_1!$B$2:$B$276,"학생032")+COUNTIF(제품관리_1!$B$2:$B$301,"학생032")</f>
        <v>6</v>
      </c>
    </row>
    <row r="36" spans="1:21" hidden="1">
      <c r="A36" s="15">
        <v>33</v>
      </c>
      <c r="B36" s="16" t="s">
        <v>34</v>
      </c>
      <c r="C36" s="16">
        <v>202400033</v>
      </c>
      <c r="I36" s="24">
        <f>COUNTIF(경영학원론_1!$B$3:$B$300,"학생033")+COUNTIF(경영학원론_2!$B$2:$B$301,"학생033")+COUNTIF(경영학원론_3!$B$2:$B$301,"학생033")+COUNTIF(경영학원론_4!$B$2:$B$300,"학생033")+COUNTIF(경제학원론_1!$B$2:$B$295,"학생033")+COUNTIF(경제학원론_2!$B$2:$B$298,"학생033")+COUNTIF(경제학원론_3!$B$2:$B$295,"학생033")+COUNTIF(경영통계학_1!$B$2:$B$299,"학생033")+COUNTIF(경영통계학_2!$B$2:$B$301,"학생033")+COUNTIF(경영통계학_3!$B$2:$B$298,"학생033")+COUNTIF(무역학개론_1!$B$2:$B$301,"학생033")+COUNTIF(회계학원론_1!$B$2:$B$293,"학생033")+COUNTIF(경영정보시스템_1!$B$2:$B$301,"학생033")+COUNTIF(관리회계_1!$B$2:$B$300,"학생033")+COUNTIF(관리회계_2!$B$2:$B$301,"학생033")+COUNTIF(마케팅_1!$B$2:$B$301,"학생033")+COUNTIF(마케팅리서치_1!$B$2:$B$301,"학생033")+COUNTIF(세법개론_1!$B$2:$B$300,"학생033")+COUNTIF(재무관리_1!$B$2:$B$301,"학생033")+COUNTIF(조직행동론_1!$B$2:$B$301,"학생033")+COUNTIF(조직행동론_2!$B$2:$B$301,"학생033")+COUNTIF(중급재무회계_1!$B$2:$B$301,"학생033")+COUNTIF(투자론_1!$B$2:$B$300,"학생033")+COUNTIF(경영과학_1!$B$2:$B$301,"학생033")+COUNTIF(세무회계_1!$B$2:$B$301,"학생033")+COUNTIF(스마트경영_1!$B$2:$B$301,"학생033")+COUNTIF(스마트경영_2!$B$2:$B$301,"학생033")+COUNTIF(인적자원관리_1!$B$2:$B$257,"학생033")+COUNTIF(서비스마케팅_1!$B$2:$B$276,"학생033")+COUNTIF(제품관리_1!$B$2:$B$301,"학생033")</f>
        <v>7</v>
      </c>
    </row>
    <row r="37" spans="1:21" hidden="1">
      <c r="A37" s="15">
        <v>34</v>
      </c>
      <c r="B37" s="16" t="s">
        <v>35</v>
      </c>
      <c r="C37" s="16">
        <v>202400034</v>
      </c>
      <c r="I37" s="24">
        <f>COUNTIF(경영학원론_1!$B$3:$B$300,"학생034")+COUNTIF(경영학원론_2!$B$2:$B$301,"학생034")+COUNTIF(경영학원론_3!$B$2:$B$301,"학생034")+COUNTIF(경영학원론_4!$B$2:$B$300,"학생034")+COUNTIF(경제학원론_1!$B$2:$B$295,"학생034")+COUNTIF(경제학원론_2!$B$2:$B$298,"학생034")+COUNTIF(경제학원론_3!$B$2:$B$295,"학생034")+COUNTIF(경영통계학_1!$B$2:$B$299,"학생034")+COUNTIF(경영통계학_2!$B$2:$B$301,"학생034")+COUNTIF(경영통계학_3!$B$2:$B$298,"학생034")+COUNTIF(무역학개론_1!$B$2:$B$301,"학생034")+COUNTIF(회계학원론_1!$B$2:$B$293,"학생034")+COUNTIF(경영정보시스템_1!$B$2:$B$301,"학생034")+COUNTIF(관리회계_1!$B$2:$B$300,"학생034")+COUNTIF(관리회계_2!$B$2:$B$301,"학생034")+COUNTIF(마케팅_1!$B$2:$B$301,"학생034")+COUNTIF(마케팅리서치_1!$B$2:$B$301,"학생034")+COUNTIF(세법개론_1!$B$2:$B$300,"학생034")+COUNTIF(재무관리_1!$B$2:$B$301,"학생034")+COUNTIF(조직행동론_1!$B$2:$B$301,"학생034")+COUNTIF(조직행동론_2!$B$2:$B$301,"학생034")+COUNTIF(중급재무회계_1!$B$2:$B$301,"학생034")+COUNTIF(투자론_1!$B$2:$B$300,"학생034")+COUNTIF(경영과학_1!$B$2:$B$301,"학생034")+COUNTIF(세무회계_1!$B$2:$B$301,"학생034")+COUNTIF(스마트경영_1!$B$2:$B$301,"학생034")+COUNTIF(스마트경영_2!$B$2:$B$301,"학생034")+COUNTIF(인적자원관리_1!$B$2:$B$257,"학생034")+COUNTIF(서비스마케팅_1!$B$2:$B$276,"학생034")+COUNTIF(제품관리_1!$B$2:$B$301,"학생034")</f>
        <v>7</v>
      </c>
    </row>
    <row r="38" spans="1:21" hidden="1">
      <c r="A38" s="15">
        <v>35</v>
      </c>
      <c r="B38" s="16" t="s">
        <v>36</v>
      </c>
      <c r="C38" s="16">
        <v>202400035</v>
      </c>
      <c r="I38" s="24">
        <f>COUNTIF(경영학원론_1!$B$3:$B$300,"학생035")+COUNTIF(경영학원론_2!$B$2:$B$301,"학생035")+COUNTIF(경영학원론_3!$B$2:$B$301,"학생035")+COUNTIF(경영학원론_4!$B$2:$B$300,"학생035")+COUNTIF(경제학원론_1!$B$2:$B$295,"학생035")+COUNTIF(경제학원론_2!$B$2:$B$298,"학생035")+COUNTIF(경제학원론_3!$B$2:$B$295,"학생035")+COUNTIF(경영통계학_1!$B$2:$B$299,"학생035")+COUNTIF(경영통계학_2!$B$2:$B$301,"학생035")+COUNTIF(경영통계학_3!$B$2:$B$298,"학생035")+COUNTIF(무역학개론_1!$B$2:$B$301,"학생035")+COUNTIF(회계학원론_1!$B$2:$B$293,"학생035")+COUNTIF(경영정보시스템_1!$B$2:$B$301,"학생035")+COUNTIF(관리회계_1!$B$2:$B$300,"학생035")+COUNTIF(관리회계_2!$B$2:$B$301,"학생035")+COUNTIF(마케팅_1!$B$2:$B$301,"학생035")+COUNTIF(마케팅리서치_1!$B$2:$B$301,"학생035")+COUNTIF(세법개론_1!$B$2:$B$300,"학생035")+COUNTIF(재무관리_1!$B$2:$B$301,"학생035")+COUNTIF(조직행동론_1!$B$2:$B$301,"학생035")+COUNTIF(조직행동론_2!$B$2:$B$301,"학생035")+COUNTIF(중급재무회계_1!$B$2:$B$301,"학생035")+COUNTIF(투자론_1!$B$2:$B$300,"학생035")+COUNTIF(경영과학_1!$B$2:$B$301,"학생035")+COUNTIF(세무회계_1!$B$2:$B$301,"학생035")+COUNTIF(스마트경영_1!$B$2:$B$301,"학생035")+COUNTIF(스마트경영_2!$B$2:$B$301,"학생035")+COUNTIF(인적자원관리_1!$B$2:$B$257,"학생035")+COUNTIF(서비스마케팅_1!$B$2:$B$276,"학생035")+COUNTIF(제품관리_1!$B$2:$B$301,"학생035")</f>
        <v>5</v>
      </c>
    </row>
    <row r="39" spans="1:21" hidden="1">
      <c r="A39" s="15">
        <v>36</v>
      </c>
      <c r="B39" s="16" t="s">
        <v>37</v>
      </c>
      <c r="C39" s="16">
        <v>202400036</v>
      </c>
      <c r="I39" s="24">
        <f>COUNTIF(경영학원론_1!$B$3:$B$300,"학생036")+COUNTIF(경영학원론_2!$B$2:$B$301,"학생036")+COUNTIF(경영학원론_3!$B$2:$B$301,"학생036")+COUNTIF(경영학원론_4!$B$2:$B$300,"학생036")+COUNTIF(경제학원론_1!$B$2:$B$295,"학생036")+COUNTIF(경제학원론_2!$B$2:$B$298,"학생036")+COUNTIF(경제학원론_3!$B$2:$B$295,"학생036")+COUNTIF(경영통계학_1!$B$2:$B$299,"학생036")+COUNTIF(경영통계학_2!$B$2:$B$301,"학생036")+COUNTIF(경영통계학_3!$B$2:$B$298,"학생036")+COUNTIF(무역학개론_1!$B$2:$B$301,"학생036")+COUNTIF(회계학원론_1!$B$2:$B$293,"학생036")+COUNTIF(경영정보시스템_1!$B$2:$B$301,"학생036")+COUNTIF(관리회계_1!$B$2:$B$300,"학생036")+COUNTIF(관리회계_2!$B$2:$B$301,"학생036")+COUNTIF(마케팅_1!$B$2:$B$301,"학생036")+COUNTIF(마케팅리서치_1!$B$2:$B$301,"학생036")+COUNTIF(세법개론_1!$B$2:$B$300,"학생036")+COUNTIF(재무관리_1!$B$2:$B$301,"학생036")+COUNTIF(조직행동론_1!$B$2:$B$301,"학생036")+COUNTIF(조직행동론_2!$B$2:$B$301,"학생036")+COUNTIF(중급재무회계_1!$B$2:$B$301,"학생036")+COUNTIF(투자론_1!$B$2:$B$300,"학생036")+COUNTIF(경영과학_1!$B$2:$B$301,"학생036")+COUNTIF(세무회계_1!$B$2:$B$301,"학생036")+COUNTIF(스마트경영_1!$B$2:$B$301,"학생036")+COUNTIF(스마트경영_2!$B$2:$B$301,"학생036")+COUNTIF(인적자원관리_1!$B$2:$B$257,"학생036")+COUNTIF(서비스마케팅_1!$B$2:$B$276,"학생036")+COUNTIF(제품관리_1!$B$2:$B$301,"학생036")</f>
        <v>7</v>
      </c>
    </row>
    <row r="40" spans="1:21" hidden="1">
      <c r="A40" s="15">
        <v>37</v>
      </c>
      <c r="B40" s="16" t="s">
        <v>38</v>
      </c>
      <c r="C40" s="16">
        <v>202400037</v>
      </c>
      <c r="I40" s="24">
        <f>COUNTIF(경영학원론_1!$B$3:$B$300,"학생037")+COUNTIF(경영학원론_2!$B$2:$B$301,"학생037")+COUNTIF(경영학원론_3!$B$2:$B$301,"학생037")+COUNTIF(경영학원론_4!$B$2:$B$300,"학생037")+COUNTIF(경제학원론_1!$B$2:$B$295,"학생037")+COUNTIF(경제학원론_2!$B$2:$B$298,"학생037")+COUNTIF(경제학원론_3!$B$2:$B$295,"학생037")+COUNTIF(경영통계학_1!$B$2:$B$299,"학생037")+COUNTIF(경영통계학_2!$B$2:$B$301,"학생037")+COUNTIF(경영통계학_3!$B$2:$B$298,"학생037")+COUNTIF(무역학개론_1!$B$2:$B$301,"학생037")+COUNTIF(회계학원론_1!$B$2:$B$293,"학생037")+COUNTIF(경영정보시스템_1!$B$2:$B$301,"학생037")+COUNTIF(관리회계_1!$B$2:$B$300,"학생037")+COUNTIF(관리회계_2!$B$2:$B$301,"학생037")+COUNTIF(마케팅_1!$B$2:$B$301,"학생037")+COUNTIF(마케팅리서치_1!$B$2:$B$301,"학생037")+COUNTIF(세법개론_1!$B$2:$B$300,"학생037")+COUNTIF(재무관리_1!$B$2:$B$301,"학생037")+COUNTIF(조직행동론_1!$B$2:$B$301,"학생037")+COUNTIF(조직행동론_2!$B$2:$B$301,"학생037")+COUNTIF(중급재무회계_1!$B$2:$B$301,"학생037")+COUNTIF(투자론_1!$B$2:$B$300,"학생037")+COUNTIF(경영과학_1!$B$2:$B$301,"학생037")+COUNTIF(세무회계_1!$B$2:$B$301,"학생037")+COUNTIF(스마트경영_1!$B$2:$B$301,"학생037")+COUNTIF(스마트경영_2!$B$2:$B$301,"학생037")+COUNTIF(인적자원관리_1!$B$2:$B$257,"학생037")+COUNTIF(서비스마케팅_1!$B$2:$B$276,"학생037")+COUNTIF(제품관리_1!$B$2:$B$301,"학생037")</f>
        <v>5</v>
      </c>
    </row>
    <row r="41" spans="1:21" hidden="1">
      <c r="A41" s="15">
        <v>38</v>
      </c>
      <c r="B41" s="16" t="s">
        <v>39</v>
      </c>
      <c r="C41" s="16">
        <v>202400038</v>
      </c>
      <c r="I41" s="24">
        <f>COUNTIF(경영학원론_1!$B$3:$B$300,"학생038")+COUNTIF(경영학원론_2!$B$2:$B$301,"학생038")+COUNTIF(경영학원론_3!$B$2:$B$301,"학생038")+COUNTIF(경영학원론_4!$B$2:$B$300,"학생038")+COUNTIF(경제학원론_1!$B$2:$B$295,"학생038")+COUNTIF(경제학원론_2!$B$2:$B$298,"학생038")+COUNTIF(경제학원론_3!$B$2:$B$295,"학생038")+COUNTIF(경영통계학_1!$B$2:$B$299,"학생038")+COUNTIF(경영통계학_2!$B$2:$B$301,"학생038")+COUNTIF(경영통계학_3!$B$2:$B$298,"학생038")+COUNTIF(무역학개론_1!$B$2:$B$301,"학생038")+COUNTIF(회계학원론_1!$B$2:$B$293,"학생038")+COUNTIF(경영정보시스템_1!$B$2:$B$301,"학생038")+COUNTIF(관리회계_1!$B$2:$B$300,"학생038")+COUNTIF(관리회계_2!$B$2:$B$301,"학생038")+COUNTIF(마케팅_1!$B$2:$B$301,"학생038")+COUNTIF(마케팅리서치_1!$B$2:$B$301,"학생038")+COUNTIF(세법개론_1!$B$2:$B$300,"학생038")+COUNTIF(재무관리_1!$B$2:$B$301,"학생038")+COUNTIF(조직행동론_1!$B$2:$B$301,"학생038")+COUNTIF(조직행동론_2!$B$2:$B$301,"학생038")+COUNTIF(중급재무회계_1!$B$2:$B$301,"학생038")+COUNTIF(투자론_1!$B$2:$B$300,"학생038")+COUNTIF(경영과학_1!$B$2:$B$301,"학생038")+COUNTIF(세무회계_1!$B$2:$B$301,"학생038")+COUNTIF(스마트경영_1!$B$2:$B$301,"학생038")+COUNTIF(스마트경영_2!$B$2:$B$301,"학생038")+COUNTIF(인적자원관리_1!$B$2:$B$257,"학생038")+COUNTIF(서비스마케팅_1!$B$2:$B$276,"학생038")+COUNTIF(제품관리_1!$B$2:$B$301,"학생038")</f>
        <v>6</v>
      </c>
    </row>
    <row r="42" spans="1:21" hidden="1">
      <c r="A42" s="15">
        <v>39</v>
      </c>
      <c r="B42" s="16" t="s">
        <v>40</v>
      </c>
      <c r="C42" s="16">
        <v>202400039</v>
      </c>
      <c r="I42" s="24">
        <f>COUNTIF(경영학원론_1!$B$3:$B$300,"학생039")+COUNTIF(경영학원론_2!$B$2:$B$301,"학생039")+COUNTIF(경영학원론_3!$B$2:$B$301,"학생039")+COUNTIF(경영학원론_4!$B$2:$B$300,"학생039")+COUNTIF(경제학원론_1!$B$2:$B$295,"학생039")+COUNTIF(경제학원론_2!$B$2:$B$298,"학생039")+COUNTIF(경제학원론_3!$B$2:$B$295,"학생039")+COUNTIF(경영통계학_1!$B$2:$B$299,"학생039")+COUNTIF(경영통계학_2!$B$2:$B$301,"학생039")+COUNTIF(경영통계학_3!$B$2:$B$298,"학생039")+COUNTIF(무역학개론_1!$B$2:$B$301,"학생039")+COUNTIF(회계학원론_1!$B$2:$B$293,"학생039")+COUNTIF(경영정보시스템_1!$B$2:$B$301,"학생039")+COUNTIF(관리회계_1!$B$2:$B$300,"학생039")+COUNTIF(관리회계_2!$B$2:$B$301,"학생039")+COUNTIF(마케팅_1!$B$2:$B$301,"학생039")+COUNTIF(마케팅리서치_1!$B$2:$B$301,"학생039")+COUNTIF(세법개론_1!$B$2:$B$300,"학생039")+COUNTIF(재무관리_1!$B$2:$B$301,"학생039")+COUNTIF(조직행동론_1!$B$2:$B$301,"학생039")+COUNTIF(조직행동론_2!$B$2:$B$301,"학생039")+COUNTIF(중급재무회계_1!$B$2:$B$301,"학생039")+COUNTIF(투자론_1!$B$2:$B$300,"학생039")+COUNTIF(경영과학_1!$B$2:$B$301,"학생039")+COUNTIF(세무회계_1!$B$2:$B$301,"학생039")+COUNTIF(스마트경영_1!$B$2:$B$301,"학생039")+COUNTIF(스마트경영_2!$B$2:$B$301,"학생039")+COUNTIF(인적자원관리_1!$B$2:$B$257,"학생039")+COUNTIF(서비스마케팅_1!$B$2:$B$276,"학생039")+COUNTIF(제품관리_1!$B$2:$B$301,"학생039")</f>
        <v>6</v>
      </c>
    </row>
    <row r="43" spans="1:21" hidden="1">
      <c r="A43" s="15">
        <v>40</v>
      </c>
      <c r="B43" s="16" t="s">
        <v>41</v>
      </c>
      <c r="C43" s="16">
        <v>202400040</v>
      </c>
      <c r="I43" s="24">
        <f>COUNTIF(경영학원론_1!$B$3:$B$300,"학생040")+COUNTIF(경영학원론_2!$B$2:$B$301,"학생040")+COUNTIF(경영학원론_3!$B$2:$B$301,"학생040")+COUNTIF(경영학원론_4!$B$2:$B$300,"학생040")+COUNTIF(경제학원론_1!$B$2:$B$295,"학생040")+COUNTIF(경제학원론_2!$B$2:$B$298,"학생040")+COUNTIF(경제학원론_3!$B$2:$B$295,"학생040")+COUNTIF(경영통계학_1!$B$2:$B$299,"학생040")+COUNTIF(경영통계학_2!$B$2:$B$301,"학생040")+COUNTIF(경영통계학_3!$B$2:$B$298,"학생040")+COUNTIF(무역학개론_1!$B$2:$B$301,"학생040")+COUNTIF(회계학원론_1!$B$2:$B$293,"학생040")+COUNTIF(경영정보시스템_1!$B$2:$B$301,"학생040")+COUNTIF(관리회계_1!$B$2:$B$300,"학생040")+COUNTIF(관리회계_2!$B$2:$B$301,"학생040")+COUNTIF(마케팅_1!$B$2:$B$301,"학생040")+COUNTIF(마케팅리서치_1!$B$2:$B$301,"학생040")+COUNTIF(세법개론_1!$B$2:$B$300,"학생040")+COUNTIF(재무관리_1!$B$2:$B$301,"학생040")+COUNTIF(조직행동론_1!$B$2:$B$301,"학생040")+COUNTIF(조직행동론_2!$B$2:$B$301,"학생040")+COUNTIF(중급재무회계_1!$B$2:$B$301,"학생040")+COUNTIF(투자론_1!$B$2:$B$300,"학생040")+COUNTIF(경영과학_1!$B$2:$B$301,"학생040")+COUNTIF(세무회계_1!$B$2:$B$301,"학생040")+COUNTIF(스마트경영_1!$B$2:$B$301,"학생040")+COUNTIF(스마트경영_2!$B$2:$B$301,"학생040")+COUNTIF(인적자원관리_1!$B$2:$B$257,"학생040")+COUNTIF(서비스마케팅_1!$B$2:$B$276,"학생040")+COUNTIF(제품관리_1!$B$2:$B$301,"학생040")</f>
        <v>7</v>
      </c>
    </row>
    <row r="44" spans="1:21" hidden="1">
      <c r="A44" s="15">
        <v>41</v>
      </c>
      <c r="B44" s="16" t="s">
        <v>42</v>
      </c>
      <c r="C44" s="16">
        <v>202400041</v>
      </c>
      <c r="I44" s="24">
        <f>COUNTIF(경영학원론_1!$B$3:$B$300,"학생041")+COUNTIF(경영학원론_2!$B$2:$B$301,"학생041")+COUNTIF(경영학원론_3!$B$2:$B$301,"학생041")+COUNTIF(경영학원론_4!$B$2:$B$300,"학생041")+COUNTIF(경제학원론_1!$B$2:$B$295,"학생041")+COUNTIF(경제학원론_2!$B$2:$B$298,"학생041")+COUNTIF(경제학원론_3!$B$2:$B$295,"학생041")+COUNTIF(경영통계학_1!$B$2:$B$299,"학생041")+COUNTIF(경영통계학_2!$B$2:$B$301,"학생041")+COUNTIF(경영통계학_3!$B$2:$B$298,"학생041")+COUNTIF(무역학개론_1!$B$2:$B$301,"학생041")+COUNTIF(회계학원론_1!$B$2:$B$293,"학생041")+COUNTIF(경영정보시스템_1!$B$2:$B$301,"학생041")+COUNTIF(관리회계_1!$B$2:$B$300,"학생041")+COUNTIF(관리회계_2!$B$2:$B$301,"학생041")+COUNTIF(마케팅_1!$B$2:$B$301,"학생041")+COUNTIF(마케팅리서치_1!$B$2:$B$301,"학생041")+COUNTIF(세법개론_1!$B$2:$B$300,"학생041")+COUNTIF(재무관리_1!$B$2:$B$301,"학생041")+COUNTIF(조직행동론_1!$B$2:$B$301,"학생041")+COUNTIF(조직행동론_2!$B$2:$B$301,"학생041")+COUNTIF(중급재무회계_1!$B$2:$B$301,"학생041")+COUNTIF(투자론_1!$B$2:$B$300,"학생041")+COUNTIF(경영과학_1!$B$2:$B$301,"학생041")+COUNTIF(세무회계_1!$B$2:$B$301,"학생041")+COUNTIF(스마트경영_1!$B$2:$B$301,"학생041")+COUNTIF(스마트경영_2!$B$2:$B$301,"학생041")+COUNTIF(인적자원관리_1!$B$2:$B$257,"학생041")+COUNTIF(서비스마케팅_1!$B$2:$B$276,"학생041")+COUNTIF(제품관리_1!$B$2:$B$301,"학생041")</f>
        <v>5</v>
      </c>
    </row>
    <row r="45" spans="1:21" hidden="1">
      <c r="A45" s="15">
        <v>42</v>
      </c>
      <c r="B45" s="16" t="s">
        <v>43</v>
      </c>
      <c r="C45" s="16">
        <v>202400042</v>
      </c>
      <c r="I45" s="24">
        <f>COUNTIF(경영학원론_1!$B$3:$B$300,"학생042")+COUNTIF(경영학원론_2!$B$2:$B$301,"학생042")+COUNTIF(경영학원론_3!$B$2:$B$301,"학생042")+COUNTIF(경영학원론_4!$B$2:$B$300,"학생042")+COUNTIF(경제학원론_1!$B$2:$B$295,"학생042")+COUNTIF(경제학원론_2!$B$2:$B$298,"학생042")+COUNTIF(경제학원론_3!$B$2:$B$295,"학생042")+COUNTIF(경영통계학_1!$B$2:$B$299,"학생042")+COUNTIF(경영통계학_2!$B$2:$B$301,"학생042")+COUNTIF(경영통계학_3!$B$2:$B$298,"학생042")+COUNTIF(무역학개론_1!$B$2:$B$301,"학생042")+COUNTIF(회계학원론_1!$B$2:$B$293,"학생042")+COUNTIF(경영정보시스템_1!$B$2:$B$301,"학생042")+COUNTIF(관리회계_1!$B$2:$B$300,"학생042")+COUNTIF(관리회계_2!$B$2:$B$301,"학생042")+COUNTIF(마케팅_1!$B$2:$B$301,"학생042")+COUNTIF(마케팅리서치_1!$B$2:$B$301,"학생042")+COUNTIF(세법개론_1!$B$2:$B$300,"학생042")+COUNTIF(재무관리_1!$B$2:$B$301,"학생042")+COUNTIF(조직행동론_1!$B$2:$B$301,"학생042")+COUNTIF(조직행동론_2!$B$2:$B$301,"학생042")+COUNTIF(중급재무회계_1!$B$2:$B$301,"학생042")+COUNTIF(투자론_1!$B$2:$B$300,"학생042")+COUNTIF(경영과학_1!$B$2:$B$301,"학생042")+COUNTIF(세무회계_1!$B$2:$B$301,"학생042")+COUNTIF(스마트경영_1!$B$2:$B$301,"학생042")+COUNTIF(스마트경영_2!$B$2:$B$301,"학생042")+COUNTIF(인적자원관리_1!$B$2:$B$257,"학생042")+COUNTIF(서비스마케팅_1!$B$2:$B$276,"학생042")+COUNTIF(제품관리_1!$B$2:$B$301,"학생042")</f>
        <v>4</v>
      </c>
    </row>
    <row r="46" spans="1:21" hidden="1">
      <c r="A46" s="15">
        <v>43</v>
      </c>
      <c r="B46" s="16" t="s">
        <v>44</v>
      </c>
      <c r="C46" s="16">
        <v>202400043</v>
      </c>
      <c r="I46" s="24">
        <f>COUNTIF(경영학원론_1!$B$3:$B$300,"학생043")+COUNTIF(경영학원론_2!$B$2:$B$301,"학생043")+COUNTIF(경영학원론_3!$B$2:$B$301,"학생043")+COUNTIF(경영학원론_4!$B$2:$B$300,"학생043")+COUNTIF(경제학원론_1!$B$2:$B$295,"학생043")+COUNTIF(경제학원론_2!$B$2:$B$298,"학생043")+COUNTIF(경제학원론_3!$B$2:$B$295,"학생043")+COUNTIF(경영통계학_1!$B$2:$B$299,"학생043")+COUNTIF(경영통계학_2!$B$2:$B$301,"학생043")+COUNTIF(경영통계학_3!$B$2:$B$298,"학생043")+COUNTIF(무역학개론_1!$B$2:$B$301,"학생043")+COUNTIF(회계학원론_1!$B$2:$B$293,"학생043")+COUNTIF(경영정보시스템_1!$B$2:$B$301,"학생043")+COUNTIF(관리회계_1!$B$2:$B$300,"학생043")+COUNTIF(관리회계_2!$B$2:$B$301,"학생043")+COUNTIF(마케팅_1!$B$2:$B$301,"학생043")+COUNTIF(마케팅리서치_1!$B$2:$B$301,"학생043")+COUNTIF(세법개론_1!$B$2:$B$300,"학생043")+COUNTIF(재무관리_1!$B$2:$B$301,"학생043")+COUNTIF(조직행동론_1!$B$2:$B$301,"학생043")+COUNTIF(조직행동론_2!$B$2:$B$301,"학생043")+COUNTIF(중급재무회계_1!$B$2:$B$301,"학생043")+COUNTIF(투자론_1!$B$2:$B$300,"학생043")+COUNTIF(경영과학_1!$B$2:$B$301,"학생043")+COUNTIF(세무회계_1!$B$2:$B$301,"학생043")+COUNTIF(스마트경영_1!$B$2:$B$301,"학생043")+COUNTIF(스마트경영_2!$B$2:$B$301,"학생043")+COUNTIF(인적자원관리_1!$B$2:$B$257,"학생043")+COUNTIF(서비스마케팅_1!$B$2:$B$276,"학생043")+COUNTIF(제품관리_1!$B$2:$B$301,"학생043")</f>
        <v>6</v>
      </c>
    </row>
    <row r="47" spans="1:21" hidden="1">
      <c r="A47" s="15">
        <v>44</v>
      </c>
      <c r="B47" s="16" t="s">
        <v>45</v>
      </c>
      <c r="C47" s="16">
        <v>202400044</v>
      </c>
      <c r="I47" s="24">
        <f>COUNTIF(경영학원론_1!$B$3:$B$300,"학생044")+COUNTIF(경영학원론_2!$B$2:$B$301,"학생044")+COUNTIF(경영학원론_3!$B$2:$B$301,"학생044")+COUNTIF(경영학원론_4!$B$2:$B$300,"학생044")+COUNTIF(경제학원론_1!$B$2:$B$295,"학생044")+COUNTIF(경제학원론_2!$B$2:$B$298,"학생044")+COUNTIF(경제학원론_3!$B$2:$B$295,"학생044")+COUNTIF(경영통계학_1!$B$2:$B$299,"학생044")+COUNTIF(경영통계학_2!$B$2:$B$301,"학생044")+COUNTIF(경영통계학_3!$B$2:$B$298,"학생044")+COUNTIF(무역학개론_1!$B$2:$B$301,"학생044")+COUNTIF(회계학원론_1!$B$2:$B$293,"학생044")+COUNTIF(경영정보시스템_1!$B$2:$B$301,"학생044")+COUNTIF(관리회계_1!$B$2:$B$300,"학생044")+COUNTIF(관리회계_2!$B$2:$B$301,"학생044")+COUNTIF(마케팅_1!$B$2:$B$301,"학생044")+COUNTIF(마케팅리서치_1!$B$2:$B$301,"학생044")+COUNTIF(세법개론_1!$B$2:$B$300,"학생044")+COUNTIF(재무관리_1!$B$2:$B$301,"학생044")+COUNTIF(조직행동론_1!$B$2:$B$301,"학생044")+COUNTIF(조직행동론_2!$B$2:$B$301,"학생044")+COUNTIF(중급재무회계_1!$B$2:$B$301,"학생044")+COUNTIF(투자론_1!$B$2:$B$300,"학생044")+COUNTIF(경영과학_1!$B$2:$B$301,"학생044")+COUNTIF(세무회계_1!$B$2:$B$301,"학생044")+COUNTIF(스마트경영_1!$B$2:$B$301,"학생044")+COUNTIF(스마트경영_2!$B$2:$B$301,"학생044")+COUNTIF(인적자원관리_1!$B$2:$B$257,"학생044")+COUNTIF(서비스마케팅_1!$B$2:$B$276,"학생044")+COUNTIF(제품관리_1!$B$2:$B$301,"학생044")</f>
        <v>4</v>
      </c>
    </row>
    <row r="48" spans="1:21" hidden="1">
      <c r="A48" s="15">
        <v>45</v>
      </c>
      <c r="B48" s="16" t="s">
        <v>46</v>
      </c>
      <c r="C48" s="16">
        <v>202400045</v>
      </c>
      <c r="I48" s="24">
        <f>COUNTIF(경영학원론_1!$B$3:$B$300,"학생045")+COUNTIF(경영학원론_2!$B$2:$B$301,"학생045")+COUNTIF(경영학원론_3!$B$2:$B$301,"학생045")+COUNTIF(경영학원론_4!$B$2:$B$300,"학생045")+COUNTIF(경제학원론_1!$B$2:$B$295,"학생045")+COUNTIF(경제학원론_2!$B$2:$B$298,"학생045")+COUNTIF(경제학원론_3!$B$2:$B$295,"학생045")+COUNTIF(경영통계학_1!$B$2:$B$299,"학생045")+COUNTIF(경영통계학_2!$B$2:$B$301,"학생045")+COUNTIF(경영통계학_3!$B$2:$B$298,"학생045")+COUNTIF(무역학개론_1!$B$2:$B$301,"학생045")+COUNTIF(회계학원론_1!$B$2:$B$293,"학생045")+COUNTIF(경영정보시스템_1!$B$2:$B$301,"학생045")+COUNTIF(관리회계_1!$B$2:$B$300,"학생045")+COUNTIF(관리회계_2!$B$2:$B$301,"학생045")+COUNTIF(마케팅_1!$B$2:$B$301,"학생045")+COUNTIF(마케팅리서치_1!$B$2:$B$301,"학생045")+COUNTIF(세법개론_1!$B$2:$B$300,"학생045")+COUNTIF(재무관리_1!$B$2:$B$301,"학생045")+COUNTIF(조직행동론_1!$B$2:$B$301,"학생045")+COUNTIF(조직행동론_2!$B$2:$B$301,"학생045")+COUNTIF(중급재무회계_1!$B$2:$B$301,"학생045")+COUNTIF(투자론_1!$B$2:$B$300,"학생045")+COUNTIF(경영과학_1!$B$2:$B$301,"학생045")+COUNTIF(세무회계_1!$B$2:$B$301,"학생045")+COUNTIF(스마트경영_1!$B$2:$B$301,"학생045")+COUNTIF(스마트경영_2!$B$2:$B$301,"학생045")+COUNTIF(인적자원관리_1!$B$2:$B$257,"학생045")+COUNTIF(서비스마케팅_1!$B$2:$B$276,"학생045")+COUNTIF(제품관리_1!$B$2:$B$301,"학생045")</f>
        <v>4</v>
      </c>
    </row>
    <row r="49" spans="1:9" hidden="1">
      <c r="A49" s="15">
        <v>46</v>
      </c>
      <c r="B49" s="16" t="s">
        <v>47</v>
      </c>
      <c r="C49" s="16">
        <v>202400046</v>
      </c>
      <c r="I49" s="24">
        <f>COUNTIF(경영학원론_1!$B$3:$B$300,"학생046")+COUNTIF(경영학원론_2!$B$2:$B$301,"학생046")+COUNTIF(경영학원론_3!$B$2:$B$301,"학생046")+COUNTIF(경영학원론_4!$B$2:$B$300,"학생046")+COUNTIF(경제학원론_1!$B$2:$B$295,"학생046")+COUNTIF(경제학원론_2!$B$2:$B$298,"학생046")+COUNTIF(경제학원론_3!$B$2:$B$295,"학생046")+COUNTIF(경영통계학_1!$B$2:$B$299,"학생046")+COUNTIF(경영통계학_2!$B$2:$B$301,"학생046")+COUNTIF(경영통계학_3!$B$2:$B$298,"학생046")+COUNTIF(무역학개론_1!$B$2:$B$301,"학생046")+COUNTIF(회계학원론_1!$B$2:$B$293,"학생046")+COUNTIF(경영정보시스템_1!$B$2:$B$301,"학생046")+COUNTIF(관리회계_1!$B$2:$B$300,"학생046")+COUNTIF(관리회계_2!$B$2:$B$301,"학생046")+COUNTIF(마케팅_1!$B$2:$B$301,"학생046")+COUNTIF(마케팅리서치_1!$B$2:$B$301,"학생046")+COUNTIF(세법개론_1!$B$2:$B$300,"학생046")+COUNTIF(재무관리_1!$B$2:$B$301,"학생046")+COUNTIF(조직행동론_1!$B$2:$B$301,"학생046")+COUNTIF(조직행동론_2!$B$2:$B$301,"학생046")+COUNTIF(중급재무회계_1!$B$2:$B$301,"학생046")+COUNTIF(투자론_1!$B$2:$B$300,"학생046")+COUNTIF(경영과학_1!$B$2:$B$301,"학생046")+COUNTIF(세무회계_1!$B$2:$B$301,"학생046")+COUNTIF(스마트경영_1!$B$2:$B$301,"학생046")+COUNTIF(스마트경영_2!$B$2:$B$301,"학생046")+COUNTIF(인적자원관리_1!$B$2:$B$257,"학생046")+COUNTIF(서비스마케팅_1!$B$2:$B$276,"학생046")+COUNTIF(제품관리_1!$B$2:$B$301,"학생046")</f>
        <v>7</v>
      </c>
    </row>
    <row r="50" spans="1:9" hidden="1">
      <c r="A50" s="15">
        <v>47</v>
      </c>
      <c r="B50" s="16" t="s">
        <v>48</v>
      </c>
      <c r="C50" s="16">
        <v>202400047</v>
      </c>
      <c r="I50" s="24">
        <f>COUNTIF(경영학원론_1!$B$3:$B$300,"학생047")+COUNTIF(경영학원론_2!$B$2:$B$301,"학생047")+COUNTIF(경영학원론_3!$B$2:$B$301,"학생047")+COUNTIF(경영학원론_4!$B$2:$B$300,"학생047")+COUNTIF(경제학원론_1!$B$2:$B$295,"학생047")+COUNTIF(경제학원론_2!$B$2:$B$298,"학생047")+COUNTIF(경제학원론_3!$B$2:$B$295,"학생047")+COUNTIF(경영통계학_1!$B$2:$B$299,"학생047")+COUNTIF(경영통계학_2!$B$2:$B$301,"학생047")+COUNTIF(경영통계학_3!$B$2:$B$298,"학생047")+COUNTIF(무역학개론_1!$B$2:$B$301,"학생047")+COUNTIF(회계학원론_1!$B$2:$B$293,"학생047")+COUNTIF(경영정보시스템_1!$B$2:$B$301,"학생047")+COUNTIF(관리회계_1!$B$2:$B$300,"학생047")+COUNTIF(관리회계_2!$B$2:$B$301,"학생047")+COUNTIF(마케팅_1!$B$2:$B$301,"학생047")+COUNTIF(마케팅리서치_1!$B$2:$B$301,"학생047")+COUNTIF(세법개론_1!$B$2:$B$300,"학생047")+COUNTIF(재무관리_1!$B$2:$B$301,"학생047")+COUNTIF(조직행동론_1!$B$2:$B$301,"학생047")+COUNTIF(조직행동론_2!$B$2:$B$301,"학생047")+COUNTIF(중급재무회계_1!$B$2:$B$301,"학생047")+COUNTIF(투자론_1!$B$2:$B$300,"학생047")+COUNTIF(경영과학_1!$B$2:$B$301,"학생047")+COUNTIF(세무회계_1!$B$2:$B$301,"학생047")+COUNTIF(스마트경영_1!$B$2:$B$301,"학생047")+COUNTIF(스마트경영_2!$B$2:$B$301,"학생047")+COUNTIF(인적자원관리_1!$B$2:$B$257,"학생047")+COUNTIF(서비스마케팅_1!$B$2:$B$276,"학생047")+COUNTIF(제품관리_1!$B$2:$B$301,"학생047")</f>
        <v>5</v>
      </c>
    </row>
    <row r="51" spans="1:9" hidden="1">
      <c r="A51" s="15">
        <v>48</v>
      </c>
      <c r="B51" s="16" t="s">
        <v>49</v>
      </c>
      <c r="C51" s="16">
        <v>202400048</v>
      </c>
      <c r="I51" s="24">
        <f>COUNTIF(경영학원론_1!$B$3:$B$300,"학생048")+COUNTIF(경영학원론_2!$B$2:$B$301,"학생048")+COUNTIF(경영학원론_3!$B$2:$B$301,"학생048")+COUNTIF(경영학원론_4!$B$2:$B$300,"학생048")+COUNTIF(경제학원론_1!$B$2:$B$295,"학생048")+COUNTIF(경제학원론_2!$B$2:$B$298,"학생048")+COUNTIF(경제학원론_3!$B$2:$B$295,"학생048")+COUNTIF(경영통계학_1!$B$2:$B$299,"학생048")+COUNTIF(경영통계학_2!$B$2:$B$301,"학생048")+COUNTIF(경영통계학_3!$B$2:$B$298,"학생048")+COUNTIF(무역학개론_1!$B$2:$B$301,"학생048")+COUNTIF(회계학원론_1!$B$2:$B$293,"학생048")+COUNTIF(경영정보시스템_1!$B$2:$B$301,"학생048")+COUNTIF(관리회계_1!$B$2:$B$300,"학생048")+COUNTIF(관리회계_2!$B$2:$B$301,"학생048")+COUNTIF(마케팅_1!$B$2:$B$301,"학생048")+COUNTIF(마케팅리서치_1!$B$2:$B$301,"학생048")+COUNTIF(세법개론_1!$B$2:$B$300,"학생048")+COUNTIF(재무관리_1!$B$2:$B$301,"학생048")+COUNTIF(조직행동론_1!$B$2:$B$301,"학생048")+COUNTIF(조직행동론_2!$B$2:$B$301,"학생048")+COUNTIF(중급재무회계_1!$B$2:$B$301,"학생048")+COUNTIF(투자론_1!$B$2:$B$300,"학생048")+COUNTIF(경영과학_1!$B$2:$B$301,"학생048")+COUNTIF(세무회계_1!$B$2:$B$301,"학생048")+COUNTIF(스마트경영_1!$B$2:$B$301,"학생048")+COUNTIF(스마트경영_2!$B$2:$B$301,"학생048")+COUNTIF(인적자원관리_1!$B$2:$B$257,"학생048")+COUNTIF(서비스마케팅_1!$B$2:$B$276,"학생048")+COUNTIF(제품관리_1!$B$2:$B$301,"학생048")</f>
        <v>5</v>
      </c>
    </row>
    <row r="52" spans="1:9" hidden="1">
      <c r="A52" s="15">
        <v>49</v>
      </c>
      <c r="B52" s="16" t="s">
        <v>50</v>
      </c>
      <c r="C52" s="16">
        <v>202400049</v>
      </c>
      <c r="I52" s="24">
        <f>COUNTIF(경영학원론_1!$B$3:$B$300,"학생049")+COUNTIF(경영학원론_2!$B$2:$B$301,"학생049")+COUNTIF(경영학원론_3!$B$2:$B$301,"학생049")+COUNTIF(경영학원론_4!$B$2:$B$300,"학생049")+COUNTIF(경제학원론_1!$B$2:$B$295,"학생049")+COUNTIF(경제학원론_2!$B$2:$B$298,"학생049")+COUNTIF(경제학원론_3!$B$2:$B$295,"학생049")+COUNTIF(경영통계학_1!$B$2:$B$299,"학생049")+COUNTIF(경영통계학_2!$B$2:$B$301,"학생049")+COUNTIF(경영통계학_3!$B$2:$B$298,"학생049")+COUNTIF(무역학개론_1!$B$2:$B$301,"학생049")+COUNTIF(회계학원론_1!$B$2:$B$293,"학생049")+COUNTIF(경영정보시스템_1!$B$2:$B$301,"학생049")+COUNTIF(관리회계_1!$B$2:$B$300,"학생049")+COUNTIF(관리회계_2!$B$2:$B$301,"학생049")+COUNTIF(마케팅_1!$B$2:$B$301,"학생049")+COUNTIF(마케팅리서치_1!$B$2:$B$301,"학생049")+COUNTIF(세법개론_1!$B$2:$B$300,"학생049")+COUNTIF(재무관리_1!$B$2:$B$301,"학생049")+COUNTIF(조직행동론_1!$B$2:$B$301,"학생049")+COUNTIF(조직행동론_2!$B$2:$B$301,"학생049")+COUNTIF(중급재무회계_1!$B$2:$B$301,"학생049")+COUNTIF(투자론_1!$B$2:$B$300,"학생049")+COUNTIF(경영과학_1!$B$2:$B$301,"학생049")+COUNTIF(세무회계_1!$B$2:$B$301,"학생049")+COUNTIF(스마트경영_1!$B$2:$B$301,"학생049")+COUNTIF(스마트경영_2!$B$2:$B$301,"학생049")+COUNTIF(인적자원관리_1!$B$2:$B$257,"학생049")+COUNTIF(서비스마케팅_1!$B$2:$B$276,"학생049")+COUNTIF(제품관리_1!$B$2:$B$301,"학생049")</f>
        <v>7</v>
      </c>
    </row>
    <row r="53" spans="1:9" hidden="1">
      <c r="A53" s="15">
        <v>50</v>
      </c>
      <c r="B53" s="16" t="s">
        <v>51</v>
      </c>
      <c r="C53" s="16">
        <v>202400050</v>
      </c>
      <c r="I53" s="24">
        <f>COUNTIF(경영학원론_1!$B$3:$B$300,"학생050")+COUNTIF(경영학원론_2!$B$2:$B$301,"학생050")+COUNTIF(경영학원론_3!$B$2:$B$301,"학생050")+COUNTIF(경영학원론_4!$B$2:$B$300,"학생050")+COUNTIF(경제학원론_1!$B$2:$B$295,"학생050")+COUNTIF(경제학원론_2!$B$2:$B$298,"학생050")+COUNTIF(경제학원론_3!$B$2:$B$295,"학생050")+COUNTIF(경영통계학_1!$B$2:$B$299,"학생050")+COUNTIF(경영통계학_2!$B$2:$B$301,"학생050")+COUNTIF(경영통계학_3!$B$2:$B$298,"학생050")+COUNTIF(무역학개론_1!$B$2:$B$301,"학생050")+COUNTIF(회계학원론_1!$B$2:$B$293,"학생050")+COUNTIF(경영정보시스템_1!$B$2:$B$301,"학생050")+COUNTIF(관리회계_1!$B$2:$B$300,"학생050")+COUNTIF(관리회계_2!$B$2:$B$301,"학생050")+COUNTIF(마케팅_1!$B$2:$B$301,"학생050")+COUNTIF(마케팅리서치_1!$B$2:$B$301,"학생050")+COUNTIF(세법개론_1!$B$2:$B$300,"학생050")+COUNTIF(재무관리_1!$B$2:$B$301,"학생050")+COUNTIF(조직행동론_1!$B$2:$B$301,"학생050")+COUNTIF(조직행동론_2!$B$2:$B$301,"학생050")+COUNTIF(중급재무회계_1!$B$2:$B$301,"학생050")+COUNTIF(투자론_1!$B$2:$B$300,"학생050")+COUNTIF(경영과학_1!$B$2:$B$301,"학생050")+COUNTIF(세무회계_1!$B$2:$B$301,"학생050")+COUNTIF(스마트경영_1!$B$2:$B$301,"학생050")+COUNTIF(스마트경영_2!$B$2:$B$301,"학생050")+COUNTIF(인적자원관리_1!$B$2:$B$257,"학생050")+COUNTIF(서비스마케팅_1!$B$2:$B$276,"학생050")+COUNTIF(제품관리_1!$B$2:$B$301,"학생050")</f>
        <v>5</v>
      </c>
    </row>
    <row r="54" spans="1:9" hidden="1">
      <c r="A54" s="15">
        <v>51</v>
      </c>
      <c r="B54" s="16" t="s">
        <v>52</v>
      </c>
      <c r="C54" s="16">
        <v>202400051</v>
      </c>
      <c r="I54" s="24">
        <f>COUNTIF(경영학원론_1!$B$3:$B$300,"학생051")+COUNTIF(경영학원론_2!$B$2:$B$301,"학생051")+COUNTIF(경영학원론_3!$B$2:$B$301,"학생051")+COUNTIF(경영학원론_4!$B$2:$B$300,"학생051")+COUNTIF(경제학원론_1!$B$2:$B$295,"학생051")+COUNTIF(경제학원론_2!$B$2:$B$298,"학생051")+COUNTIF(경제학원론_3!$B$2:$B$295,"학생051")+COUNTIF(경영통계학_1!$B$2:$B$299,"학생051")+COUNTIF(경영통계학_2!$B$2:$B$301,"학생051")+COUNTIF(경영통계학_3!$B$2:$B$298,"학생051")+COUNTIF(무역학개론_1!$B$2:$B$301,"학생051")+COUNTIF(회계학원론_1!$B$2:$B$293,"학생051")+COUNTIF(경영정보시스템_1!$B$2:$B$301,"학생051")+COUNTIF(관리회계_1!$B$2:$B$300,"학생051")+COUNTIF(관리회계_2!$B$2:$B$301,"학생051")+COUNTIF(마케팅_1!$B$2:$B$301,"학생051")+COUNTIF(마케팅리서치_1!$B$2:$B$301,"학생051")+COUNTIF(세법개론_1!$B$2:$B$300,"학생051")+COUNTIF(재무관리_1!$B$2:$B$301,"학생051")+COUNTIF(조직행동론_1!$B$2:$B$301,"학생051")+COUNTIF(조직행동론_2!$B$2:$B$301,"학생051")+COUNTIF(중급재무회계_1!$B$2:$B$301,"학생051")+COUNTIF(투자론_1!$B$2:$B$300,"학생051")+COUNTIF(경영과학_1!$B$2:$B$301,"학생051")+COUNTIF(세무회계_1!$B$2:$B$301,"학생051")+COUNTIF(스마트경영_1!$B$2:$B$301,"학생051")+COUNTIF(스마트경영_2!$B$2:$B$301,"학생051")+COUNTIF(인적자원관리_1!$B$2:$B$257,"학생051")+COUNTIF(서비스마케팅_1!$B$2:$B$276,"학생051")+COUNTIF(제품관리_1!$B$2:$B$301,"학생051")</f>
        <v>7</v>
      </c>
    </row>
    <row r="55" spans="1:9" hidden="1">
      <c r="A55" s="15">
        <v>52</v>
      </c>
      <c r="B55" s="16" t="s">
        <v>53</v>
      </c>
      <c r="C55" s="16">
        <v>202400052</v>
      </c>
      <c r="I55" s="24">
        <f>COUNTIF(경영학원론_1!$B$3:$B$300,"학생052")+COUNTIF(경영학원론_2!$B$2:$B$301,"학생052")+COUNTIF(경영학원론_3!$B$2:$B$301,"학생052")+COUNTIF(경영학원론_4!$B$2:$B$300,"학생052")+COUNTIF(경제학원론_1!$B$2:$B$295,"학생052")+COUNTIF(경제학원론_2!$B$2:$B$298,"학생052")+COUNTIF(경제학원론_3!$B$2:$B$295,"학생052")+COUNTIF(경영통계학_1!$B$2:$B$299,"학생052")+COUNTIF(경영통계학_2!$B$2:$B$301,"학생052")+COUNTIF(경영통계학_3!$B$2:$B$298,"학생052")+COUNTIF(무역학개론_1!$B$2:$B$301,"학생052")+COUNTIF(회계학원론_1!$B$2:$B$293,"학생052")+COUNTIF(경영정보시스템_1!$B$2:$B$301,"학생052")+COUNTIF(관리회계_1!$B$2:$B$300,"학생052")+COUNTIF(관리회계_2!$B$2:$B$301,"학생052")+COUNTIF(마케팅_1!$B$2:$B$301,"학생052")+COUNTIF(마케팅리서치_1!$B$2:$B$301,"학생052")+COUNTIF(세법개론_1!$B$2:$B$300,"학생052")+COUNTIF(재무관리_1!$B$2:$B$301,"학생052")+COUNTIF(조직행동론_1!$B$2:$B$301,"학생052")+COUNTIF(조직행동론_2!$B$2:$B$301,"학생052")+COUNTIF(중급재무회계_1!$B$2:$B$301,"학생052")+COUNTIF(투자론_1!$B$2:$B$300,"학생052")+COUNTIF(경영과학_1!$B$2:$B$301,"학생052")+COUNTIF(세무회계_1!$B$2:$B$301,"학생052")+COUNTIF(스마트경영_1!$B$2:$B$301,"학생052")+COUNTIF(스마트경영_2!$B$2:$B$301,"학생052")+COUNTIF(인적자원관리_1!$B$2:$B$257,"학생052")+COUNTIF(서비스마케팅_1!$B$2:$B$276,"학생052")+COUNTIF(제품관리_1!$B$2:$B$301,"학생052")</f>
        <v>3</v>
      </c>
    </row>
    <row r="56" spans="1:9" hidden="1">
      <c r="A56" s="15">
        <v>53</v>
      </c>
      <c r="B56" s="16" t="s">
        <v>54</v>
      </c>
      <c r="C56" s="16">
        <v>202400053</v>
      </c>
      <c r="I56" s="24">
        <f>COUNTIF(경영학원론_1!$B$3:$B$300,"학생053")+COUNTIF(경영학원론_2!$B$2:$B$301,"학생053")+COUNTIF(경영학원론_3!$B$2:$B$301,"학생053")+COUNTIF(경영학원론_4!$B$2:$B$300,"학생053")+COUNTIF(경제학원론_1!$B$2:$B$295,"학생053")+COUNTIF(경제학원론_2!$B$2:$B$298,"학생053")+COUNTIF(경제학원론_3!$B$2:$B$295,"학생053")+COUNTIF(경영통계학_1!$B$2:$B$299,"학생053")+COUNTIF(경영통계학_2!$B$2:$B$301,"학생053")+COUNTIF(경영통계학_3!$B$2:$B$298,"학생053")+COUNTIF(무역학개론_1!$B$2:$B$301,"학생053")+COUNTIF(회계학원론_1!$B$2:$B$293,"학생053")+COUNTIF(경영정보시스템_1!$B$2:$B$301,"학생053")+COUNTIF(관리회계_1!$B$2:$B$300,"학생053")+COUNTIF(관리회계_2!$B$2:$B$301,"학생053")+COUNTIF(마케팅_1!$B$2:$B$301,"학생053")+COUNTIF(마케팅리서치_1!$B$2:$B$301,"학생053")+COUNTIF(세법개론_1!$B$2:$B$300,"학생053")+COUNTIF(재무관리_1!$B$2:$B$301,"학생053")+COUNTIF(조직행동론_1!$B$2:$B$301,"학생053")+COUNTIF(조직행동론_2!$B$2:$B$301,"학생053")+COUNTIF(중급재무회계_1!$B$2:$B$301,"학생053")+COUNTIF(투자론_1!$B$2:$B$300,"학생053")+COUNTIF(경영과학_1!$B$2:$B$301,"학생053")+COUNTIF(세무회계_1!$B$2:$B$301,"학생053")+COUNTIF(스마트경영_1!$B$2:$B$301,"학생053")+COUNTIF(스마트경영_2!$B$2:$B$301,"학생053")+COUNTIF(인적자원관리_1!$B$2:$B$257,"학생053")+COUNTIF(서비스마케팅_1!$B$2:$B$276,"학생053")+COUNTIF(제품관리_1!$B$2:$B$301,"학생053")</f>
        <v>6</v>
      </c>
    </row>
    <row r="57" spans="1:9" hidden="1">
      <c r="A57" s="15">
        <v>54</v>
      </c>
      <c r="B57" s="16" t="s">
        <v>55</v>
      </c>
      <c r="C57" s="16">
        <v>202400054</v>
      </c>
      <c r="I57" s="24">
        <f>COUNTIF(경영학원론_1!$B$3:$B$300,"학생054")+COUNTIF(경영학원론_2!$B$2:$B$301,"학생054")+COUNTIF(경영학원론_3!$B$2:$B$301,"학생054")+COUNTIF(경영학원론_4!$B$2:$B$300,"학생054")+COUNTIF(경제학원론_1!$B$2:$B$295,"학생054")+COUNTIF(경제학원론_2!$B$2:$B$298,"학생054")+COUNTIF(경제학원론_3!$B$2:$B$295,"학생054")+COUNTIF(경영통계학_1!$B$2:$B$299,"학생054")+COUNTIF(경영통계학_2!$B$2:$B$301,"학생054")+COUNTIF(경영통계학_3!$B$2:$B$298,"학생054")+COUNTIF(무역학개론_1!$B$2:$B$301,"학생054")+COUNTIF(회계학원론_1!$B$2:$B$293,"학생054")+COUNTIF(경영정보시스템_1!$B$2:$B$301,"학생054")+COUNTIF(관리회계_1!$B$2:$B$300,"학생054")+COUNTIF(관리회계_2!$B$2:$B$301,"학생054")+COUNTIF(마케팅_1!$B$2:$B$301,"학생054")+COUNTIF(마케팅리서치_1!$B$2:$B$301,"학생054")+COUNTIF(세법개론_1!$B$2:$B$300,"학생054")+COUNTIF(재무관리_1!$B$2:$B$301,"학생054")+COUNTIF(조직행동론_1!$B$2:$B$301,"학생054")+COUNTIF(조직행동론_2!$B$2:$B$301,"학생054")+COUNTIF(중급재무회계_1!$B$2:$B$301,"학생054")+COUNTIF(투자론_1!$B$2:$B$300,"학생054")+COUNTIF(경영과학_1!$B$2:$B$301,"학생054")+COUNTIF(세무회계_1!$B$2:$B$301,"학생054")+COUNTIF(스마트경영_1!$B$2:$B$301,"학생054")+COUNTIF(스마트경영_2!$B$2:$B$301,"학생054")+COUNTIF(인적자원관리_1!$B$2:$B$257,"학생054")+COUNTIF(서비스마케팅_1!$B$2:$B$276,"학생054")+COUNTIF(제품관리_1!$B$2:$B$301,"학생054")</f>
        <v>5</v>
      </c>
    </row>
    <row r="58" spans="1:9" hidden="1">
      <c r="A58" s="15">
        <v>55</v>
      </c>
      <c r="B58" s="16" t="s">
        <v>56</v>
      </c>
      <c r="C58" s="16">
        <v>202400055</v>
      </c>
      <c r="I58" s="24">
        <f>COUNTIF(경영학원론_1!$B$3:$B$300,"학생055")+COUNTIF(경영학원론_2!$B$2:$B$301,"학생055")+COUNTIF(경영학원론_3!$B$2:$B$301,"학생055")+COUNTIF(경영학원론_4!$B$2:$B$300,"학생055")+COUNTIF(경제학원론_1!$B$2:$B$295,"학생055")+COUNTIF(경제학원론_2!$B$2:$B$298,"학생055")+COUNTIF(경제학원론_3!$B$2:$B$295,"학생055")+COUNTIF(경영통계학_1!$B$2:$B$299,"학생055")+COUNTIF(경영통계학_2!$B$2:$B$301,"학생055")+COUNTIF(경영통계학_3!$B$2:$B$298,"학생055")+COUNTIF(무역학개론_1!$B$2:$B$301,"학생055")+COUNTIF(회계학원론_1!$B$2:$B$293,"학생055")+COUNTIF(경영정보시스템_1!$B$2:$B$301,"학생055")+COUNTIF(관리회계_1!$B$2:$B$300,"학생055")+COUNTIF(관리회계_2!$B$2:$B$301,"학생055")+COUNTIF(마케팅_1!$B$2:$B$301,"학생055")+COUNTIF(마케팅리서치_1!$B$2:$B$301,"학생055")+COUNTIF(세법개론_1!$B$2:$B$300,"학생055")+COUNTIF(재무관리_1!$B$2:$B$301,"학생055")+COUNTIF(조직행동론_1!$B$2:$B$301,"학생055")+COUNTIF(조직행동론_2!$B$2:$B$301,"학생055")+COUNTIF(중급재무회계_1!$B$2:$B$301,"학생055")+COUNTIF(투자론_1!$B$2:$B$300,"학생055")+COUNTIF(경영과학_1!$B$2:$B$301,"학생055")+COUNTIF(세무회계_1!$B$2:$B$301,"학생055")+COUNTIF(스마트경영_1!$B$2:$B$301,"학생055")+COUNTIF(스마트경영_2!$B$2:$B$301,"학생055")+COUNTIF(인적자원관리_1!$B$2:$B$257,"학생055")+COUNTIF(서비스마케팅_1!$B$2:$B$276,"학생055")+COUNTIF(제품관리_1!$B$2:$B$301,"학생055")</f>
        <v>7</v>
      </c>
    </row>
    <row r="59" spans="1:9" hidden="1">
      <c r="A59" s="15">
        <v>56</v>
      </c>
      <c r="B59" s="16" t="s">
        <v>57</v>
      </c>
      <c r="C59" s="16">
        <v>202400056</v>
      </c>
      <c r="I59" s="24">
        <f>COUNTIF(경영학원론_1!$B$3:$B$300,"학생056")+COUNTIF(경영학원론_2!$B$2:$B$301,"학생056")+COUNTIF(경영학원론_3!$B$2:$B$301,"학생056")+COUNTIF(경영학원론_4!$B$2:$B$300,"학생056")+COUNTIF(경제학원론_1!$B$2:$B$295,"학생056")+COUNTIF(경제학원론_2!$B$2:$B$298,"학생056")+COUNTIF(경제학원론_3!$B$2:$B$295,"학생056")+COUNTIF(경영통계학_1!$B$2:$B$299,"학생056")+COUNTIF(경영통계학_2!$B$2:$B$301,"학생056")+COUNTIF(경영통계학_3!$B$2:$B$298,"학생056")+COUNTIF(무역학개론_1!$B$2:$B$301,"학생056")+COUNTIF(회계학원론_1!$B$2:$B$293,"학생056")+COUNTIF(경영정보시스템_1!$B$2:$B$301,"학생056")+COUNTIF(관리회계_1!$B$2:$B$300,"학생056")+COUNTIF(관리회계_2!$B$2:$B$301,"학생056")+COUNTIF(마케팅_1!$B$2:$B$301,"학생056")+COUNTIF(마케팅리서치_1!$B$2:$B$301,"학생056")+COUNTIF(세법개론_1!$B$2:$B$300,"학생056")+COUNTIF(재무관리_1!$B$2:$B$301,"학생056")+COUNTIF(조직행동론_1!$B$2:$B$301,"학생056")+COUNTIF(조직행동론_2!$B$2:$B$301,"학생056")+COUNTIF(중급재무회계_1!$B$2:$B$301,"학생056")+COUNTIF(투자론_1!$B$2:$B$300,"학생056")+COUNTIF(경영과학_1!$B$2:$B$301,"학생056")+COUNTIF(세무회계_1!$B$2:$B$301,"학생056")+COUNTIF(스마트경영_1!$B$2:$B$301,"학생056")+COUNTIF(스마트경영_2!$B$2:$B$301,"학생056")+COUNTIF(인적자원관리_1!$B$2:$B$257,"학생056")+COUNTIF(서비스마케팅_1!$B$2:$B$276,"학생056")+COUNTIF(제품관리_1!$B$2:$B$301,"학생056")</f>
        <v>3</v>
      </c>
    </row>
    <row r="60" spans="1:9" hidden="1">
      <c r="A60" s="15">
        <v>57</v>
      </c>
      <c r="B60" s="16" t="s">
        <v>58</v>
      </c>
      <c r="C60" s="16">
        <v>202400057</v>
      </c>
      <c r="I60" s="24">
        <f>COUNTIF(경영학원론_1!$B$3:$B$300,"학생057")+COUNTIF(경영학원론_2!$B$2:$B$301,"학생057")+COUNTIF(경영학원론_3!$B$2:$B$301,"학생057")+COUNTIF(경영학원론_4!$B$2:$B$300,"학생057")+COUNTIF(경제학원론_1!$B$2:$B$295,"학생057")+COUNTIF(경제학원론_2!$B$2:$B$298,"학생057")+COUNTIF(경제학원론_3!$B$2:$B$295,"학생057")+COUNTIF(경영통계학_1!$B$2:$B$299,"학생057")+COUNTIF(경영통계학_2!$B$2:$B$301,"학생057")+COUNTIF(경영통계학_3!$B$2:$B$298,"학생057")+COUNTIF(무역학개론_1!$B$2:$B$301,"학생057")+COUNTIF(회계학원론_1!$B$2:$B$293,"학생057")+COUNTIF(경영정보시스템_1!$B$2:$B$301,"학생057")+COUNTIF(관리회계_1!$B$2:$B$300,"학생057")+COUNTIF(관리회계_2!$B$2:$B$301,"학생057")+COUNTIF(마케팅_1!$B$2:$B$301,"학생057")+COUNTIF(마케팅리서치_1!$B$2:$B$301,"학생057")+COUNTIF(세법개론_1!$B$2:$B$300,"학생057")+COUNTIF(재무관리_1!$B$2:$B$301,"학생057")+COUNTIF(조직행동론_1!$B$2:$B$301,"학생057")+COUNTIF(조직행동론_2!$B$2:$B$301,"학생057")+COUNTIF(중급재무회계_1!$B$2:$B$301,"학생057")+COUNTIF(투자론_1!$B$2:$B$300,"학생057")+COUNTIF(경영과학_1!$B$2:$B$301,"학생057")+COUNTIF(세무회계_1!$B$2:$B$301,"학생057")+COUNTIF(스마트경영_1!$B$2:$B$301,"학생057")+COUNTIF(스마트경영_2!$B$2:$B$301,"학생057")+COUNTIF(인적자원관리_1!$B$2:$B$257,"학생057")+COUNTIF(서비스마케팅_1!$B$2:$B$276,"학생057")+COUNTIF(제품관리_1!$B$2:$B$301,"학생057")</f>
        <v>5</v>
      </c>
    </row>
    <row r="61" spans="1:9" hidden="1">
      <c r="A61" s="15">
        <v>58</v>
      </c>
      <c r="B61" s="16" t="s">
        <v>59</v>
      </c>
      <c r="C61" s="16">
        <v>202400058</v>
      </c>
      <c r="I61" s="24">
        <f>COUNTIF(경영학원론_1!$B$3:$B$300,"학생058")+COUNTIF(경영학원론_2!$B$2:$B$301,"학생058")+COUNTIF(경영학원론_3!$B$2:$B$301,"학생058")+COUNTIF(경영학원론_4!$B$2:$B$300,"학생058")+COUNTIF(경제학원론_1!$B$2:$B$295,"학생058")+COUNTIF(경제학원론_2!$B$2:$B$298,"학생058")+COUNTIF(경제학원론_3!$B$2:$B$295,"학생058")+COUNTIF(경영통계학_1!$B$2:$B$299,"학생058")+COUNTIF(경영통계학_2!$B$2:$B$301,"학생058")+COUNTIF(경영통계학_3!$B$2:$B$298,"학생058")+COUNTIF(무역학개론_1!$B$2:$B$301,"학생058")+COUNTIF(회계학원론_1!$B$2:$B$293,"학생058")+COUNTIF(경영정보시스템_1!$B$2:$B$301,"학생058")+COUNTIF(관리회계_1!$B$2:$B$300,"학생058")+COUNTIF(관리회계_2!$B$2:$B$301,"학생058")+COUNTIF(마케팅_1!$B$2:$B$301,"학생058")+COUNTIF(마케팅리서치_1!$B$2:$B$301,"학생058")+COUNTIF(세법개론_1!$B$2:$B$300,"학생058")+COUNTIF(재무관리_1!$B$2:$B$301,"학생058")+COUNTIF(조직행동론_1!$B$2:$B$301,"학생058")+COUNTIF(조직행동론_2!$B$2:$B$301,"학생058")+COUNTIF(중급재무회계_1!$B$2:$B$301,"학생058")+COUNTIF(투자론_1!$B$2:$B$300,"학생058")+COUNTIF(경영과학_1!$B$2:$B$301,"학생058")+COUNTIF(세무회계_1!$B$2:$B$301,"학생058")+COUNTIF(스마트경영_1!$B$2:$B$301,"학생058")+COUNTIF(스마트경영_2!$B$2:$B$301,"학생058")+COUNTIF(인적자원관리_1!$B$2:$B$257,"학생058")+COUNTIF(서비스마케팅_1!$B$2:$B$276,"학생058")+COUNTIF(제품관리_1!$B$2:$B$301,"학생058")</f>
        <v>7</v>
      </c>
    </row>
    <row r="62" spans="1:9" hidden="1">
      <c r="A62" s="15">
        <v>59</v>
      </c>
      <c r="B62" s="16" t="s">
        <v>60</v>
      </c>
      <c r="C62" s="16">
        <v>202400059</v>
      </c>
      <c r="I62" s="24">
        <f>COUNTIF(경영학원론_1!$B$3:$B$300,"학생059")+COUNTIF(경영학원론_2!$B$2:$B$301,"학생059")+COUNTIF(경영학원론_3!$B$2:$B$301,"학생059")+COUNTIF(경영학원론_4!$B$2:$B$300,"학생059")+COUNTIF(경제학원론_1!$B$2:$B$295,"학생059")+COUNTIF(경제학원론_2!$B$2:$B$298,"학생059")+COUNTIF(경제학원론_3!$B$2:$B$295,"학생059")+COUNTIF(경영통계학_1!$B$2:$B$299,"학생059")+COUNTIF(경영통계학_2!$B$2:$B$301,"학생059")+COUNTIF(경영통계학_3!$B$2:$B$298,"학생059")+COUNTIF(무역학개론_1!$B$2:$B$301,"학생059")+COUNTIF(회계학원론_1!$B$2:$B$293,"학생059")+COUNTIF(경영정보시스템_1!$B$2:$B$301,"학생059")+COUNTIF(관리회계_1!$B$2:$B$300,"학생059")+COUNTIF(관리회계_2!$B$2:$B$301,"학생059")+COUNTIF(마케팅_1!$B$2:$B$301,"학생059")+COUNTIF(마케팅리서치_1!$B$2:$B$301,"학생059")+COUNTIF(세법개론_1!$B$2:$B$300,"학생059")+COUNTIF(재무관리_1!$B$2:$B$301,"학생059")+COUNTIF(조직행동론_1!$B$2:$B$301,"학생059")+COUNTIF(조직행동론_2!$B$2:$B$301,"학생059")+COUNTIF(중급재무회계_1!$B$2:$B$301,"학생059")+COUNTIF(투자론_1!$B$2:$B$300,"학생059")+COUNTIF(경영과학_1!$B$2:$B$301,"학생059")+COUNTIF(세무회계_1!$B$2:$B$301,"학생059")+COUNTIF(스마트경영_1!$B$2:$B$301,"학생059")+COUNTIF(스마트경영_2!$B$2:$B$301,"학생059")+COUNTIF(인적자원관리_1!$B$2:$B$257,"학생059")+COUNTIF(서비스마케팅_1!$B$2:$B$276,"학생059")+COUNTIF(제품관리_1!$B$2:$B$301,"학생059")</f>
        <v>5</v>
      </c>
    </row>
    <row r="63" spans="1:9" hidden="1">
      <c r="A63" s="15">
        <v>60</v>
      </c>
      <c r="B63" s="16" t="s">
        <v>61</v>
      </c>
      <c r="C63" s="16">
        <v>202400060</v>
      </c>
      <c r="I63" s="24">
        <f>COUNTIF(경영학원론_1!$B$3:$B$300,"학생060")+COUNTIF(경영학원론_2!$B$2:$B$301,"학생060")+COUNTIF(경영학원론_3!$B$2:$B$301,"학생060")+COUNTIF(경영학원론_4!$B$2:$B$300,"학생060")+COUNTIF(경제학원론_1!$B$2:$B$295,"학생060")+COUNTIF(경제학원론_2!$B$2:$B$298,"학생060")+COUNTIF(경제학원론_3!$B$2:$B$295,"학생060")+COUNTIF(경영통계학_1!$B$2:$B$299,"학생060")+COUNTIF(경영통계학_2!$B$2:$B$301,"학생060")+COUNTIF(경영통계학_3!$B$2:$B$298,"학생060")+COUNTIF(무역학개론_1!$B$2:$B$301,"학생060")+COUNTIF(회계학원론_1!$B$2:$B$293,"학생060")+COUNTIF(경영정보시스템_1!$B$2:$B$301,"학생060")+COUNTIF(관리회계_1!$B$2:$B$300,"학생060")+COUNTIF(관리회계_2!$B$2:$B$301,"학생060")+COUNTIF(마케팅_1!$B$2:$B$301,"학생060")+COUNTIF(마케팅리서치_1!$B$2:$B$301,"학생060")+COUNTIF(세법개론_1!$B$2:$B$300,"학생060")+COUNTIF(재무관리_1!$B$2:$B$301,"학생060")+COUNTIF(조직행동론_1!$B$2:$B$301,"학생060")+COUNTIF(조직행동론_2!$B$2:$B$301,"학생060")+COUNTIF(중급재무회계_1!$B$2:$B$301,"학생060")+COUNTIF(투자론_1!$B$2:$B$300,"학생060")+COUNTIF(경영과학_1!$B$2:$B$301,"학생060")+COUNTIF(세무회계_1!$B$2:$B$301,"학생060")+COUNTIF(스마트경영_1!$B$2:$B$301,"학생060")+COUNTIF(스마트경영_2!$B$2:$B$301,"학생060")+COUNTIF(인적자원관리_1!$B$2:$B$257,"학생060")+COUNTIF(서비스마케팅_1!$B$2:$B$276,"학생060")+COUNTIF(제품관리_1!$B$2:$B$301,"학생060")</f>
        <v>6</v>
      </c>
    </row>
    <row r="64" spans="1:9" hidden="1">
      <c r="A64" s="15">
        <v>61</v>
      </c>
      <c r="B64" s="16" t="s">
        <v>62</v>
      </c>
      <c r="C64" s="16">
        <v>202400061</v>
      </c>
      <c r="I64" s="24">
        <f>COUNTIF(경영학원론_1!$B$3:$B$300,"학생061")+COUNTIF(경영학원론_2!$B$2:$B$301,"학생061")+COUNTIF(경영학원론_3!$B$2:$B$301,"학생061")+COUNTIF(경영학원론_4!$B$2:$B$300,"학생061")+COUNTIF(경제학원론_1!$B$2:$B$295,"학생061")+COUNTIF(경제학원론_2!$B$2:$B$298,"학생061")+COUNTIF(경제학원론_3!$B$2:$B$295,"학생061")+COUNTIF(경영통계학_1!$B$2:$B$299,"학생061")+COUNTIF(경영통계학_2!$B$2:$B$301,"학생061")+COUNTIF(경영통계학_3!$B$2:$B$298,"학생061")+COUNTIF(무역학개론_1!$B$2:$B$301,"학생061")+COUNTIF(회계학원론_1!$B$2:$B$293,"학생061")+COUNTIF(경영정보시스템_1!$B$2:$B$301,"학생061")+COUNTIF(관리회계_1!$B$2:$B$300,"학생061")+COUNTIF(관리회계_2!$B$2:$B$301,"학생061")+COUNTIF(마케팅_1!$B$2:$B$301,"학생061")+COUNTIF(마케팅리서치_1!$B$2:$B$301,"학생061")+COUNTIF(세법개론_1!$B$2:$B$300,"학생061")+COUNTIF(재무관리_1!$B$2:$B$301,"학생061")+COUNTIF(조직행동론_1!$B$2:$B$301,"학생061")+COUNTIF(조직행동론_2!$B$2:$B$301,"학생061")+COUNTIF(중급재무회계_1!$B$2:$B$301,"학생061")+COUNTIF(투자론_1!$B$2:$B$300,"학생061")+COUNTIF(경영과학_1!$B$2:$B$301,"학생061")+COUNTIF(세무회계_1!$B$2:$B$301,"학생061")+COUNTIF(스마트경영_1!$B$2:$B$301,"학생061")+COUNTIF(스마트경영_2!$B$2:$B$301,"학생061")+COUNTIF(인적자원관리_1!$B$2:$B$257,"학생061")+COUNTIF(서비스마케팅_1!$B$2:$B$276,"학생061")+COUNTIF(제품관리_1!$B$2:$B$301,"학생061")</f>
        <v>4</v>
      </c>
    </row>
    <row r="65" spans="1:9" hidden="1">
      <c r="A65" s="15">
        <v>62</v>
      </c>
      <c r="B65" s="16" t="s">
        <v>63</v>
      </c>
      <c r="C65" s="16">
        <v>202400062</v>
      </c>
      <c r="I65" s="24">
        <f>COUNTIF(경영학원론_1!$B$3:$B$300,"학생062")+COUNTIF(경영학원론_2!$B$2:$B$301,"학생062")+COUNTIF(경영학원론_3!$B$2:$B$301,"학생062")+COUNTIF(경영학원론_4!$B$2:$B$300,"학생062")+COUNTIF(경제학원론_1!$B$2:$B$295,"학생062")+COUNTIF(경제학원론_2!$B$2:$B$298,"학생062")+COUNTIF(경제학원론_3!$B$2:$B$295,"학생062")+COUNTIF(경영통계학_1!$B$2:$B$299,"학생062")+COUNTIF(경영통계학_2!$B$2:$B$301,"학생062")+COUNTIF(경영통계학_3!$B$2:$B$298,"학생062")+COUNTIF(무역학개론_1!$B$2:$B$301,"학생062")+COUNTIF(회계학원론_1!$B$2:$B$293,"학생062")+COUNTIF(경영정보시스템_1!$B$2:$B$301,"학생062")+COUNTIF(관리회계_1!$B$2:$B$300,"학생062")+COUNTIF(관리회계_2!$B$2:$B$301,"학생062")+COUNTIF(마케팅_1!$B$2:$B$301,"학생062")+COUNTIF(마케팅리서치_1!$B$2:$B$301,"학생062")+COUNTIF(세법개론_1!$B$2:$B$300,"학생062")+COUNTIF(재무관리_1!$B$2:$B$301,"학생062")+COUNTIF(조직행동론_1!$B$2:$B$301,"학생062")+COUNTIF(조직행동론_2!$B$2:$B$301,"학생062")+COUNTIF(중급재무회계_1!$B$2:$B$301,"학생062")+COUNTIF(투자론_1!$B$2:$B$300,"학생062")+COUNTIF(경영과학_1!$B$2:$B$301,"학생062")+COUNTIF(세무회계_1!$B$2:$B$301,"학생062")+COUNTIF(스마트경영_1!$B$2:$B$301,"학생062")+COUNTIF(스마트경영_2!$B$2:$B$301,"학생062")+COUNTIF(인적자원관리_1!$B$2:$B$257,"학생062")+COUNTIF(서비스마케팅_1!$B$2:$B$276,"학생062")+COUNTIF(제품관리_1!$B$2:$B$301,"학생062")</f>
        <v>6</v>
      </c>
    </row>
    <row r="66" spans="1:9" hidden="1">
      <c r="A66" s="15">
        <v>63</v>
      </c>
      <c r="B66" s="16" t="s">
        <v>64</v>
      </c>
      <c r="C66" s="16">
        <v>202400063</v>
      </c>
      <c r="I66" s="24">
        <f>COUNTIF(경영학원론_1!$B$3:$B$300,"학생063")+COUNTIF(경영학원론_2!$B$2:$B$301,"학생063")+COUNTIF(경영학원론_3!$B$2:$B$301,"학생063")+COUNTIF(경영학원론_4!$B$2:$B$300,"학생063")+COUNTIF(경제학원론_1!$B$2:$B$295,"학생063")+COUNTIF(경제학원론_2!$B$2:$B$298,"학생063")+COUNTIF(경제학원론_3!$B$2:$B$295,"학생063")+COUNTIF(경영통계학_1!$B$2:$B$299,"학생063")+COUNTIF(경영통계학_2!$B$2:$B$301,"학생063")+COUNTIF(경영통계학_3!$B$2:$B$298,"학생063")+COUNTIF(무역학개론_1!$B$2:$B$301,"학생063")+COUNTIF(회계학원론_1!$B$2:$B$293,"학생063")+COUNTIF(경영정보시스템_1!$B$2:$B$301,"학생063")+COUNTIF(관리회계_1!$B$2:$B$300,"학생063")+COUNTIF(관리회계_2!$B$2:$B$301,"학생063")+COUNTIF(마케팅_1!$B$2:$B$301,"학생063")+COUNTIF(마케팅리서치_1!$B$2:$B$301,"학생063")+COUNTIF(세법개론_1!$B$2:$B$300,"학생063")+COUNTIF(재무관리_1!$B$2:$B$301,"학생063")+COUNTIF(조직행동론_1!$B$2:$B$301,"학생063")+COUNTIF(조직행동론_2!$B$2:$B$301,"학생063")+COUNTIF(중급재무회계_1!$B$2:$B$301,"학생063")+COUNTIF(투자론_1!$B$2:$B$300,"학생063")+COUNTIF(경영과학_1!$B$2:$B$301,"학생063")+COUNTIF(세무회계_1!$B$2:$B$301,"학생063")+COUNTIF(스마트경영_1!$B$2:$B$301,"학생063")+COUNTIF(스마트경영_2!$B$2:$B$301,"학생063")+COUNTIF(인적자원관리_1!$B$2:$B$257,"학생063")+COUNTIF(서비스마케팅_1!$B$2:$B$276,"학생063")+COUNTIF(제품관리_1!$B$2:$B$301,"학생063")</f>
        <v>6</v>
      </c>
    </row>
    <row r="67" spans="1:9" hidden="1">
      <c r="A67" s="15">
        <v>64</v>
      </c>
      <c r="B67" s="16" t="s">
        <v>65</v>
      </c>
      <c r="C67" s="16">
        <v>202400064</v>
      </c>
      <c r="I67" s="24">
        <f>COUNTIF(경영학원론_1!$B$3:$B$300,"학생064")+COUNTIF(경영학원론_2!$B$2:$B$301,"학생064")+COUNTIF(경영학원론_3!$B$2:$B$301,"학생064")+COUNTIF(경영학원론_4!$B$2:$B$300,"학생064")+COUNTIF(경제학원론_1!$B$2:$B$295,"학생064")+COUNTIF(경제학원론_2!$B$2:$B$298,"학생064")+COUNTIF(경제학원론_3!$B$2:$B$295,"학생064")+COUNTIF(경영통계학_1!$B$2:$B$299,"학생064")+COUNTIF(경영통계학_2!$B$2:$B$301,"학생064")+COUNTIF(경영통계학_3!$B$2:$B$298,"학생064")+COUNTIF(무역학개론_1!$B$2:$B$301,"학생064")+COUNTIF(회계학원론_1!$B$2:$B$293,"학생064")+COUNTIF(경영정보시스템_1!$B$2:$B$301,"학생064")+COUNTIF(관리회계_1!$B$2:$B$300,"학생064")+COUNTIF(관리회계_2!$B$2:$B$301,"학생064")+COUNTIF(마케팅_1!$B$2:$B$301,"학생064")+COUNTIF(마케팅리서치_1!$B$2:$B$301,"학생064")+COUNTIF(세법개론_1!$B$2:$B$300,"학생064")+COUNTIF(재무관리_1!$B$2:$B$301,"학생064")+COUNTIF(조직행동론_1!$B$2:$B$301,"학생064")+COUNTIF(조직행동론_2!$B$2:$B$301,"학생064")+COUNTIF(중급재무회계_1!$B$2:$B$301,"학생064")+COUNTIF(투자론_1!$B$2:$B$300,"학생064")+COUNTIF(경영과학_1!$B$2:$B$301,"학생064")+COUNTIF(세무회계_1!$B$2:$B$301,"학생064")+COUNTIF(스마트경영_1!$B$2:$B$301,"학생064")+COUNTIF(스마트경영_2!$B$2:$B$301,"학생064")+COUNTIF(인적자원관리_1!$B$2:$B$257,"학생064")+COUNTIF(서비스마케팅_1!$B$2:$B$276,"학생064")+COUNTIF(제품관리_1!$B$2:$B$301,"학생064")</f>
        <v>4</v>
      </c>
    </row>
    <row r="68" spans="1:9" hidden="1">
      <c r="A68" s="15">
        <v>65</v>
      </c>
      <c r="B68" s="16" t="s">
        <v>66</v>
      </c>
      <c r="C68" s="16">
        <v>202400065</v>
      </c>
      <c r="I68" s="24">
        <f>COUNTIF(경영학원론_1!$B$3:$B$300,"학생065")+COUNTIF(경영학원론_2!$B$2:$B$301,"학생065")+COUNTIF(경영학원론_3!$B$2:$B$301,"학생065")+COUNTIF(경영학원론_4!$B$2:$B$300,"학생065")+COUNTIF(경제학원론_1!$B$2:$B$295,"학생065")+COUNTIF(경제학원론_2!$B$2:$B$298,"학생065")+COUNTIF(경제학원론_3!$B$2:$B$295,"학생065")+COUNTIF(경영통계학_1!$B$2:$B$299,"학생065")+COUNTIF(경영통계학_2!$B$2:$B$301,"학생065")+COUNTIF(경영통계학_3!$B$2:$B$298,"학생065")+COUNTIF(무역학개론_1!$B$2:$B$301,"학생065")+COUNTIF(회계학원론_1!$B$2:$B$293,"학생065")+COUNTIF(경영정보시스템_1!$B$2:$B$301,"학생065")+COUNTIF(관리회계_1!$B$2:$B$300,"학생065")+COUNTIF(관리회계_2!$B$2:$B$301,"학생065")+COUNTIF(마케팅_1!$B$2:$B$301,"학생065")+COUNTIF(마케팅리서치_1!$B$2:$B$301,"학생065")+COUNTIF(세법개론_1!$B$2:$B$300,"학생065")+COUNTIF(재무관리_1!$B$2:$B$301,"학생065")+COUNTIF(조직행동론_1!$B$2:$B$301,"학생065")+COUNTIF(조직행동론_2!$B$2:$B$301,"학생065")+COUNTIF(중급재무회계_1!$B$2:$B$301,"학생065")+COUNTIF(투자론_1!$B$2:$B$300,"학생065")+COUNTIF(경영과학_1!$B$2:$B$301,"학생065")+COUNTIF(세무회계_1!$B$2:$B$301,"학생065")+COUNTIF(스마트경영_1!$B$2:$B$301,"학생065")+COUNTIF(스마트경영_2!$B$2:$B$301,"학생065")+COUNTIF(인적자원관리_1!$B$2:$B$257,"학생065")+COUNTIF(서비스마케팅_1!$B$2:$B$276,"학생065")+COUNTIF(제품관리_1!$B$2:$B$301,"학생065")</f>
        <v>5</v>
      </c>
    </row>
    <row r="69" spans="1:9" hidden="1">
      <c r="A69" s="15">
        <v>66</v>
      </c>
      <c r="B69" s="16" t="s">
        <v>67</v>
      </c>
      <c r="C69" s="16">
        <v>202400066</v>
      </c>
      <c r="I69" s="24">
        <f>COUNTIF(경영학원론_1!$B$3:$B$300,"학생066")+COUNTIF(경영학원론_2!$B$2:$B$301,"학생066")+COUNTIF(경영학원론_3!$B$2:$B$301,"학생066")+COUNTIF(경영학원론_4!$B$2:$B$300,"학생066")+COUNTIF(경제학원론_1!$B$2:$B$295,"학생066")+COUNTIF(경제학원론_2!$B$2:$B$298,"학생066")+COUNTIF(경제학원론_3!$B$2:$B$295,"학생066")+COUNTIF(경영통계학_1!$B$2:$B$299,"학생066")+COUNTIF(경영통계학_2!$B$2:$B$301,"학생066")+COUNTIF(경영통계학_3!$B$2:$B$298,"학생066")+COUNTIF(무역학개론_1!$B$2:$B$301,"학생066")+COUNTIF(회계학원론_1!$B$2:$B$293,"학생066")+COUNTIF(경영정보시스템_1!$B$2:$B$301,"학생066")+COUNTIF(관리회계_1!$B$2:$B$300,"학생066")+COUNTIF(관리회계_2!$B$2:$B$301,"학생066")+COUNTIF(마케팅_1!$B$2:$B$301,"학생066")+COUNTIF(마케팅리서치_1!$B$2:$B$301,"학생066")+COUNTIF(세법개론_1!$B$2:$B$300,"학생066")+COUNTIF(재무관리_1!$B$2:$B$301,"학생066")+COUNTIF(조직행동론_1!$B$2:$B$301,"학생066")+COUNTIF(조직행동론_2!$B$2:$B$301,"학생066")+COUNTIF(중급재무회계_1!$B$2:$B$301,"학생066")+COUNTIF(투자론_1!$B$2:$B$300,"학생066")+COUNTIF(경영과학_1!$B$2:$B$301,"학생066")+COUNTIF(세무회계_1!$B$2:$B$301,"학생066")+COUNTIF(스마트경영_1!$B$2:$B$301,"학생066")+COUNTIF(스마트경영_2!$B$2:$B$301,"학생066")+COUNTIF(인적자원관리_1!$B$2:$B$257,"학생066")+COUNTIF(서비스마케팅_1!$B$2:$B$276,"학생066")+COUNTIF(제품관리_1!$B$2:$B$301,"학생066")</f>
        <v>6</v>
      </c>
    </row>
    <row r="70" spans="1:9" hidden="1">
      <c r="A70" s="15">
        <v>67</v>
      </c>
      <c r="B70" s="16" t="s">
        <v>68</v>
      </c>
      <c r="C70" s="16">
        <v>202400067</v>
      </c>
      <c r="I70" s="24">
        <f>COUNTIF(경영학원론_1!$B$3:$B$300,"학생067")+COUNTIF(경영학원론_2!$B$2:$B$301,"학생067")+COUNTIF(경영학원론_3!$B$2:$B$301,"학생067")+COUNTIF(경영학원론_4!$B$2:$B$300,"학생067")+COUNTIF(경제학원론_1!$B$2:$B$295,"학생067")+COUNTIF(경제학원론_2!$B$2:$B$298,"학생067")+COUNTIF(경제학원론_3!$B$2:$B$295,"학생067")+COUNTIF(경영통계학_1!$B$2:$B$299,"학생067")+COUNTIF(경영통계학_2!$B$2:$B$301,"학생067")+COUNTIF(경영통계학_3!$B$2:$B$298,"학생067")+COUNTIF(무역학개론_1!$B$2:$B$301,"학생067")+COUNTIF(회계학원론_1!$B$2:$B$293,"학생067")+COUNTIF(경영정보시스템_1!$B$2:$B$301,"학생067")+COUNTIF(관리회계_1!$B$2:$B$300,"학생067")+COUNTIF(관리회계_2!$B$2:$B$301,"학생067")+COUNTIF(마케팅_1!$B$2:$B$301,"학생067")+COUNTIF(마케팅리서치_1!$B$2:$B$301,"학생067")+COUNTIF(세법개론_1!$B$2:$B$300,"학생067")+COUNTIF(재무관리_1!$B$2:$B$301,"학생067")+COUNTIF(조직행동론_1!$B$2:$B$301,"학생067")+COUNTIF(조직행동론_2!$B$2:$B$301,"학생067")+COUNTIF(중급재무회계_1!$B$2:$B$301,"학생067")+COUNTIF(투자론_1!$B$2:$B$300,"학생067")+COUNTIF(경영과학_1!$B$2:$B$301,"학생067")+COUNTIF(세무회계_1!$B$2:$B$301,"학생067")+COUNTIF(스마트경영_1!$B$2:$B$301,"학생067")+COUNTIF(스마트경영_2!$B$2:$B$301,"학생067")+COUNTIF(인적자원관리_1!$B$2:$B$257,"학생067")+COUNTIF(서비스마케팅_1!$B$2:$B$276,"학생067")+COUNTIF(제품관리_1!$B$2:$B$301,"학생067")</f>
        <v>5</v>
      </c>
    </row>
    <row r="71" spans="1:9" hidden="1">
      <c r="A71" s="15">
        <v>68</v>
      </c>
      <c r="B71" s="16" t="s">
        <v>69</v>
      </c>
      <c r="C71" s="16">
        <v>202400068</v>
      </c>
      <c r="I71" s="24">
        <f>COUNTIF(경영학원론_1!$B$3:$B$300,"학생068")+COUNTIF(경영학원론_2!$B$2:$B$301,"학생068")+COUNTIF(경영학원론_3!$B$2:$B$301,"학생068")+COUNTIF(경영학원론_4!$B$2:$B$300,"학생068")+COUNTIF(경제학원론_1!$B$2:$B$295,"학생068")+COUNTIF(경제학원론_2!$B$2:$B$298,"학생068")+COUNTIF(경제학원론_3!$B$2:$B$295,"학생068")+COUNTIF(경영통계학_1!$B$2:$B$299,"학생068")+COUNTIF(경영통계학_2!$B$2:$B$301,"학생068")+COUNTIF(경영통계학_3!$B$2:$B$298,"학생068")+COUNTIF(무역학개론_1!$B$2:$B$301,"학생068")+COUNTIF(회계학원론_1!$B$2:$B$293,"학생068")+COUNTIF(경영정보시스템_1!$B$2:$B$301,"학생068")+COUNTIF(관리회계_1!$B$2:$B$300,"학생068")+COUNTIF(관리회계_2!$B$2:$B$301,"학생068")+COUNTIF(마케팅_1!$B$2:$B$301,"학생068")+COUNTIF(마케팅리서치_1!$B$2:$B$301,"학생068")+COUNTIF(세법개론_1!$B$2:$B$300,"학생068")+COUNTIF(재무관리_1!$B$2:$B$301,"학생068")+COUNTIF(조직행동론_1!$B$2:$B$301,"학생068")+COUNTIF(조직행동론_2!$B$2:$B$301,"학생068")+COUNTIF(중급재무회계_1!$B$2:$B$301,"학생068")+COUNTIF(투자론_1!$B$2:$B$300,"학생068")+COUNTIF(경영과학_1!$B$2:$B$301,"학생068")+COUNTIF(세무회계_1!$B$2:$B$301,"학생068")+COUNTIF(스마트경영_1!$B$2:$B$301,"학생068")+COUNTIF(스마트경영_2!$B$2:$B$301,"학생068")+COUNTIF(인적자원관리_1!$B$2:$B$257,"학생068")+COUNTIF(서비스마케팅_1!$B$2:$B$276,"학생068")+COUNTIF(제품관리_1!$B$2:$B$301,"학생068")</f>
        <v>6</v>
      </c>
    </row>
    <row r="72" spans="1:9" hidden="1">
      <c r="A72" s="15">
        <v>69</v>
      </c>
      <c r="B72" s="16" t="s">
        <v>70</v>
      </c>
      <c r="C72" s="16">
        <v>202400069</v>
      </c>
      <c r="I72" s="24">
        <f>COUNTIF(경영학원론_1!$B$3:$B$300,"학생069")+COUNTIF(경영학원론_2!$B$2:$B$301,"학생069")+COUNTIF(경영학원론_3!$B$2:$B$301,"학생069")+COUNTIF(경영학원론_4!$B$2:$B$300,"학생069")+COUNTIF(경제학원론_1!$B$2:$B$295,"학생069")+COUNTIF(경제학원론_2!$B$2:$B$298,"학생069")+COUNTIF(경제학원론_3!$B$2:$B$295,"학생069")+COUNTIF(경영통계학_1!$B$2:$B$299,"학생069")+COUNTIF(경영통계학_2!$B$2:$B$301,"학생069")+COUNTIF(경영통계학_3!$B$2:$B$298,"학생069")+COUNTIF(무역학개론_1!$B$2:$B$301,"학생069")+COUNTIF(회계학원론_1!$B$2:$B$293,"학생069")+COUNTIF(경영정보시스템_1!$B$2:$B$301,"학생069")+COUNTIF(관리회계_1!$B$2:$B$300,"학생069")+COUNTIF(관리회계_2!$B$2:$B$301,"학생069")+COUNTIF(마케팅_1!$B$2:$B$301,"학생069")+COUNTIF(마케팅리서치_1!$B$2:$B$301,"학생069")+COUNTIF(세법개론_1!$B$2:$B$300,"학생069")+COUNTIF(재무관리_1!$B$2:$B$301,"학생069")+COUNTIF(조직행동론_1!$B$2:$B$301,"학생069")+COUNTIF(조직행동론_2!$B$2:$B$301,"학생069")+COUNTIF(중급재무회계_1!$B$2:$B$301,"학생069")+COUNTIF(투자론_1!$B$2:$B$300,"학생069")+COUNTIF(경영과학_1!$B$2:$B$301,"학생069")+COUNTIF(세무회계_1!$B$2:$B$301,"학생069")+COUNTIF(스마트경영_1!$B$2:$B$301,"학생069")+COUNTIF(스마트경영_2!$B$2:$B$301,"학생069")+COUNTIF(인적자원관리_1!$B$2:$B$257,"학생069")+COUNTIF(서비스마케팅_1!$B$2:$B$276,"학생069")+COUNTIF(제품관리_1!$B$2:$B$301,"학생069")</f>
        <v>4</v>
      </c>
    </row>
    <row r="73" spans="1:9" hidden="1">
      <c r="A73" s="15">
        <v>70</v>
      </c>
      <c r="B73" s="16" t="s">
        <v>71</v>
      </c>
      <c r="C73" s="16">
        <v>202400070</v>
      </c>
      <c r="I73" s="24">
        <f>COUNTIF(경영학원론_1!$B$3:$B$300,"학생070")+COUNTIF(경영학원론_2!$B$2:$B$301,"학생070")+COUNTIF(경영학원론_3!$B$2:$B$301,"학생070")+COUNTIF(경영학원론_4!$B$2:$B$300,"학생070")+COUNTIF(경제학원론_1!$B$2:$B$295,"학생070")+COUNTIF(경제학원론_2!$B$2:$B$298,"학생070")+COUNTIF(경제학원론_3!$B$2:$B$295,"학생070")+COUNTIF(경영통계학_1!$B$2:$B$299,"학생070")+COUNTIF(경영통계학_2!$B$2:$B$301,"학생070")+COUNTIF(경영통계학_3!$B$2:$B$298,"학생070")+COUNTIF(무역학개론_1!$B$2:$B$301,"학생070")+COUNTIF(회계학원론_1!$B$2:$B$293,"학생070")+COUNTIF(경영정보시스템_1!$B$2:$B$301,"학생070")+COUNTIF(관리회계_1!$B$2:$B$300,"학생070")+COUNTIF(관리회계_2!$B$2:$B$301,"학생070")+COUNTIF(마케팅_1!$B$2:$B$301,"학생070")+COUNTIF(마케팅리서치_1!$B$2:$B$301,"학생070")+COUNTIF(세법개론_1!$B$2:$B$300,"학생070")+COUNTIF(재무관리_1!$B$2:$B$301,"학생070")+COUNTIF(조직행동론_1!$B$2:$B$301,"학생070")+COUNTIF(조직행동론_2!$B$2:$B$301,"학생070")+COUNTIF(중급재무회계_1!$B$2:$B$301,"학생070")+COUNTIF(투자론_1!$B$2:$B$300,"학생070")+COUNTIF(경영과학_1!$B$2:$B$301,"학생070")+COUNTIF(세무회계_1!$B$2:$B$301,"학생070")+COUNTIF(스마트경영_1!$B$2:$B$301,"학생070")+COUNTIF(스마트경영_2!$B$2:$B$301,"학생070")+COUNTIF(인적자원관리_1!$B$2:$B$257,"학생070")+COUNTIF(서비스마케팅_1!$B$2:$B$276,"학생070")+COUNTIF(제품관리_1!$B$2:$B$301,"학생070")</f>
        <v>5</v>
      </c>
    </row>
    <row r="74" spans="1:9" hidden="1">
      <c r="A74" s="15">
        <v>71</v>
      </c>
      <c r="B74" s="16" t="s">
        <v>72</v>
      </c>
      <c r="C74" s="16">
        <v>202400071</v>
      </c>
      <c r="I74" s="24">
        <f>COUNTIF(경영학원론_1!$B$3:$B$300,"학생071")+COUNTIF(경영학원론_2!$B$2:$B$301,"학생071")+COUNTIF(경영학원론_3!$B$2:$B$301,"학생071")+COUNTIF(경영학원론_4!$B$2:$B$300,"학생071")+COUNTIF(경제학원론_1!$B$2:$B$295,"학생071")+COUNTIF(경제학원론_2!$B$2:$B$298,"학생071")+COUNTIF(경제학원론_3!$B$2:$B$295,"학생071")+COUNTIF(경영통계학_1!$B$2:$B$299,"학생071")+COUNTIF(경영통계학_2!$B$2:$B$301,"학생071")+COUNTIF(경영통계학_3!$B$2:$B$298,"학생071")+COUNTIF(무역학개론_1!$B$2:$B$301,"학생071")+COUNTIF(회계학원론_1!$B$2:$B$293,"학생071")+COUNTIF(경영정보시스템_1!$B$2:$B$301,"학생071")+COUNTIF(관리회계_1!$B$2:$B$300,"학생071")+COUNTIF(관리회계_2!$B$2:$B$301,"학생071")+COUNTIF(마케팅_1!$B$2:$B$301,"학생071")+COUNTIF(마케팅리서치_1!$B$2:$B$301,"학생071")+COUNTIF(세법개론_1!$B$2:$B$300,"학생071")+COUNTIF(재무관리_1!$B$2:$B$301,"학생071")+COUNTIF(조직행동론_1!$B$2:$B$301,"학생071")+COUNTIF(조직행동론_2!$B$2:$B$301,"학생071")+COUNTIF(중급재무회계_1!$B$2:$B$301,"학생071")+COUNTIF(투자론_1!$B$2:$B$300,"학생071")+COUNTIF(경영과학_1!$B$2:$B$301,"학생071")+COUNTIF(세무회계_1!$B$2:$B$301,"학생071")+COUNTIF(스마트경영_1!$B$2:$B$301,"학생071")+COUNTIF(스마트경영_2!$B$2:$B$301,"학생071")+COUNTIF(인적자원관리_1!$B$2:$B$257,"학생071")+COUNTIF(서비스마케팅_1!$B$2:$B$276,"학생071")+COUNTIF(제품관리_1!$B$2:$B$301,"학생071")</f>
        <v>4</v>
      </c>
    </row>
    <row r="75" spans="1:9" hidden="1">
      <c r="A75" s="15">
        <v>72</v>
      </c>
      <c r="B75" s="16" t="s">
        <v>73</v>
      </c>
      <c r="C75" s="16">
        <v>202400072</v>
      </c>
      <c r="I75" s="24">
        <f>COUNTIF(경영학원론_1!$B$3:$B$300,"학생072")+COUNTIF(경영학원론_2!$B$2:$B$301,"학생072")+COUNTIF(경영학원론_3!$B$2:$B$301,"학생072")+COUNTIF(경영학원론_4!$B$2:$B$300,"학생072")+COUNTIF(경제학원론_1!$B$2:$B$295,"학생072")+COUNTIF(경제학원론_2!$B$2:$B$298,"학생072")+COUNTIF(경제학원론_3!$B$2:$B$295,"학생072")+COUNTIF(경영통계학_1!$B$2:$B$299,"학생072")+COUNTIF(경영통계학_2!$B$2:$B$301,"학생072")+COUNTIF(경영통계학_3!$B$2:$B$298,"학생072")+COUNTIF(무역학개론_1!$B$2:$B$301,"학생072")+COUNTIF(회계학원론_1!$B$2:$B$293,"학생072")+COUNTIF(경영정보시스템_1!$B$2:$B$301,"학생072")+COUNTIF(관리회계_1!$B$2:$B$300,"학생072")+COUNTIF(관리회계_2!$B$2:$B$301,"학생072")+COUNTIF(마케팅_1!$B$2:$B$301,"학생072")+COUNTIF(마케팅리서치_1!$B$2:$B$301,"학생072")+COUNTIF(세법개론_1!$B$2:$B$300,"학생072")+COUNTIF(재무관리_1!$B$2:$B$301,"학생072")+COUNTIF(조직행동론_1!$B$2:$B$301,"학생072")+COUNTIF(조직행동론_2!$B$2:$B$301,"학생072")+COUNTIF(중급재무회계_1!$B$2:$B$301,"학생072")+COUNTIF(투자론_1!$B$2:$B$300,"학생072")+COUNTIF(경영과학_1!$B$2:$B$301,"학생072")+COUNTIF(세무회계_1!$B$2:$B$301,"학생072")+COUNTIF(스마트경영_1!$B$2:$B$301,"학생072")+COUNTIF(스마트경영_2!$B$2:$B$301,"학생072")+COUNTIF(인적자원관리_1!$B$2:$B$257,"학생072")+COUNTIF(서비스마케팅_1!$B$2:$B$276,"학생072")+COUNTIF(제품관리_1!$B$2:$B$301,"학생072")</f>
        <v>7</v>
      </c>
    </row>
    <row r="76" spans="1:9" hidden="1">
      <c r="A76" s="15">
        <v>73</v>
      </c>
      <c r="B76" s="16" t="s">
        <v>74</v>
      </c>
      <c r="C76" s="16">
        <v>202400073</v>
      </c>
      <c r="I76" s="24">
        <f>COUNTIF(경영학원론_1!$B$3:$B$300,"학생073")+COUNTIF(경영학원론_2!$B$2:$B$301,"학생073")+COUNTIF(경영학원론_3!$B$2:$B$301,"학생073")+COUNTIF(경영학원론_4!$B$2:$B$300,"학생073")+COUNTIF(경제학원론_1!$B$2:$B$295,"학생073")+COUNTIF(경제학원론_2!$B$2:$B$298,"학생073")+COUNTIF(경제학원론_3!$B$2:$B$295,"학생073")+COUNTIF(경영통계학_1!$B$2:$B$299,"학생073")+COUNTIF(경영통계학_2!$B$2:$B$301,"학생073")+COUNTIF(경영통계학_3!$B$2:$B$298,"학생073")+COUNTIF(무역학개론_1!$B$2:$B$301,"학생073")+COUNTIF(회계학원론_1!$B$2:$B$293,"학생073")+COUNTIF(경영정보시스템_1!$B$2:$B$301,"학생073")+COUNTIF(관리회계_1!$B$2:$B$300,"학생073")+COUNTIF(관리회계_2!$B$2:$B$301,"학생073")+COUNTIF(마케팅_1!$B$2:$B$301,"학생073")+COUNTIF(마케팅리서치_1!$B$2:$B$301,"학생073")+COUNTIF(세법개론_1!$B$2:$B$300,"학생073")+COUNTIF(재무관리_1!$B$2:$B$301,"학생073")+COUNTIF(조직행동론_1!$B$2:$B$301,"학생073")+COUNTIF(조직행동론_2!$B$2:$B$301,"학생073")+COUNTIF(중급재무회계_1!$B$2:$B$301,"학생073")+COUNTIF(투자론_1!$B$2:$B$300,"학생073")+COUNTIF(경영과학_1!$B$2:$B$301,"학생073")+COUNTIF(세무회계_1!$B$2:$B$301,"학생073")+COUNTIF(스마트경영_1!$B$2:$B$301,"학생073")+COUNTIF(스마트경영_2!$B$2:$B$301,"학생073")+COUNTIF(인적자원관리_1!$B$2:$B$257,"학생073")+COUNTIF(서비스마케팅_1!$B$2:$B$276,"학생073")+COUNTIF(제품관리_1!$B$2:$B$301,"학생073")</f>
        <v>7</v>
      </c>
    </row>
    <row r="77" spans="1:9" hidden="1">
      <c r="A77" s="15">
        <v>74</v>
      </c>
      <c r="B77" s="16" t="s">
        <v>75</v>
      </c>
      <c r="C77" s="16">
        <v>202400074</v>
      </c>
      <c r="I77" s="24">
        <f>COUNTIF(경영학원론_1!$B$3:$B$300,"학생074")+COUNTIF(경영학원론_2!$B$2:$B$301,"학생074")+COUNTIF(경영학원론_3!$B$2:$B$301,"학생074")+COUNTIF(경영학원론_4!$B$2:$B$300,"학생074")+COUNTIF(경제학원론_1!$B$2:$B$295,"학생074")+COUNTIF(경제학원론_2!$B$2:$B$298,"학생074")+COUNTIF(경제학원론_3!$B$2:$B$295,"학생074")+COUNTIF(경영통계학_1!$B$2:$B$299,"학생074")+COUNTIF(경영통계학_2!$B$2:$B$301,"학생074")+COUNTIF(경영통계학_3!$B$2:$B$298,"학생074")+COUNTIF(무역학개론_1!$B$2:$B$301,"학생074")+COUNTIF(회계학원론_1!$B$2:$B$293,"학생074")+COUNTIF(경영정보시스템_1!$B$2:$B$301,"학생074")+COUNTIF(관리회계_1!$B$2:$B$300,"학생074")+COUNTIF(관리회계_2!$B$2:$B$301,"학생074")+COUNTIF(마케팅_1!$B$2:$B$301,"학생074")+COUNTIF(마케팅리서치_1!$B$2:$B$301,"학생074")+COUNTIF(세법개론_1!$B$2:$B$300,"학생074")+COUNTIF(재무관리_1!$B$2:$B$301,"학생074")+COUNTIF(조직행동론_1!$B$2:$B$301,"학생074")+COUNTIF(조직행동론_2!$B$2:$B$301,"학생074")+COUNTIF(중급재무회계_1!$B$2:$B$301,"학생074")+COUNTIF(투자론_1!$B$2:$B$300,"학생074")+COUNTIF(경영과학_1!$B$2:$B$301,"학생074")+COUNTIF(세무회계_1!$B$2:$B$301,"학생074")+COUNTIF(스마트경영_1!$B$2:$B$301,"학생074")+COUNTIF(스마트경영_2!$B$2:$B$301,"학생074")+COUNTIF(인적자원관리_1!$B$2:$B$257,"학생074")+COUNTIF(서비스마케팅_1!$B$2:$B$276,"학생074")+COUNTIF(제품관리_1!$B$2:$B$301,"학생074")</f>
        <v>4</v>
      </c>
    </row>
    <row r="78" spans="1:9" hidden="1">
      <c r="A78" s="15">
        <v>75</v>
      </c>
      <c r="B78" s="16" t="s">
        <v>76</v>
      </c>
      <c r="C78" s="16">
        <v>202400075</v>
      </c>
      <c r="I78" s="24">
        <f>COUNTIF(경영학원론_1!$B$3:$B$300,"학생075")+COUNTIF(경영학원론_2!$B$2:$B$301,"학생075")+COUNTIF(경영학원론_3!$B$2:$B$301,"학생075")+COUNTIF(경영학원론_4!$B$2:$B$300,"학생075")+COUNTIF(경제학원론_1!$B$2:$B$295,"학생075")+COUNTIF(경제학원론_2!$B$2:$B$298,"학생075")+COUNTIF(경제학원론_3!$B$2:$B$295,"학생075")+COUNTIF(경영통계학_1!$B$2:$B$299,"학생075")+COUNTIF(경영통계학_2!$B$2:$B$301,"학생075")+COUNTIF(경영통계학_3!$B$2:$B$298,"학생075")+COUNTIF(무역학개론_1!$B$2:$B$301,"학생075")+COUNTIF(회계학원론_1!$B$2:$B$293,"학생075")+COUNTIF(경영정보시스템_1!$B$2:$B$301,"학생075")+COUNTIF(관리회계_1!$B$2:$B$300,"학생075")+COUNTIF(관리회계_2!$B$2:$B$301,"학생075")+COUNTIF(마케팅_1!$B$2:$B$301,"학생075")+COUNTIF(마케팅리서치_1!$B$2:$B$301,"학생075")+COUNTIF(세법개론_1!$B$2:$B$300,"학생075")+COUNTIF(재무관리_1!$B$2:$B$301,"학생075")+COUNTIF(조직행동론_1!$B$2:$B$301,"학생075")+COUNTIF(조직행동론_2!$B$2:$B$301,"학생075")+COUNTIF(중급재무회계_1!$B$2:$B$301,"학생075")+COUNTIF(투자론_1!$B$2:$B$300,"학생075")+COUNTIF(경영과학_1!$B$2:$B$301,"학생075")+COUNTIF(세무회계_1!$B$2:$B$301,"학생075")+COUNTIF(스마트경영_1!$B$2:$B$301,"학생075")+COUNTIF(스마트경영_2!$B$2:$B$301,"학생075")+COUNTIF(인적자원관리_1!$B$2:$B$257,"학생075")+COUNTIF(서비스마케팅_1!$B$2:$B$276,"학생075")+COUNTIF(제품관리_1!$B$2:$B$301,"학생075")</f>
        <v>5</v>
      </c>
    </row>
    <row r="79" spans="1:9" hidden="1">
      <c r="A79" s="15">
        <v>76</v>
      </c>
      <c r="B79" s="16" t="s">
        <v>77</v>
      </c>
      <c r="C79" s="16">
        <v>202400076</v>
      </c>
      <c r="I79" s="24">
        <f>COUNTIF(경영학원론_1!$B$3:$B$300,"학생076")+COUNTIF(경영학원론_2!$B$2:$B$301,"학생076")+COUNTIF(경영학원론_3!$B$2:$B$301,"학생076")+COUNTIF(경영학원론_4!$B$2:$B$300,"학생076")+COUNTIF(경제학원론_1!$B$2:$B$295,"학생076")+COUNTIF(경제학원론_2!$B$2:$B$298,"학생076")+COUNTIF(경제학원론_3!$B$2:$B$295,"학생076")+COUNTIF(경영통계학_1!$B$2:$B$299,"학생076")+COUNTIF(경영통계학_2!$B$2:$B$301,"학생076")+COUNTIF(경영통계학_3!$B$2:$B$298,"학생076")+COUNTIF(무역학개론_1!$B$2:$B$301,"학생076")+COUNTIF(회계학원론_1!$B$2:$B$293,"학생076")+COUNTIF(경영정보시스템_1!$B$2:$B$301,"학생076")+COUNTIF(관리회계_1!$B$2:$B$300,"학생076")+COUNTIF(관리회계_2!$B$2:$B$301,"학생076")+COUNTIF(마케팅_1!$B$2:$B$301,"학생076")+COUNTIF(마케팅리서치_1!$B$2:$B$301,"학생076")+COUNTIF(세법개론_1!$B$2:$B$300,"학생076")+COUNTIF(재무관리_1!$B$2:$B$301,"학생076")+COUNTIF(조직행동론_1!$B$2:$B$301,"학생076")+COUNTIF(조직행동론_2!$B$2:$B$301,"학생076")+COUNTIF(중급재무회계_1!$B$2:$B$301,"학생076")+COUNTIF(투자론_1!$B$2:$B$300,"학생076")+COUNTIF(경영과학_1!$B$2:$B$301,"학생076")+COUNTIF(세무회계_1!$B$2:$B$301,"학생076")+COUNTIF(스마트경영_1!$B$2:$B$301,"학생076")+COUNTIF(스마트경영_2!$B$2:$B$301,"학생076")+COUNTIF(인적자원관리_1!$B$2:$B$257,"학생076")+COUNTIF(서비스마케팅_1!$B$2:$B$276,"학생076")+COUNTIF(제품관리_1!$B$2:$B$301,"학생076")</f>
        <v>7</v>
      </c>
    </row>
    <row r="80" spans="1:9" hidden="1">
      <c r="A80" s="15">
        <v>77</v>
      </c>
      <c r="B80" s="16" t="s">
        <v>78</v>
      </c>
      <c r="C80" s="16">
        <v>202400077</v>
      </c>
      <c r="I80" s="24">
        <f>COUNTIF(경영학원론_1!$B$3:$B$300,"학생077")+COUNTIF(경영학원론_2!$B$2:$B$301,"학생077")+COUNTIF(경영학원론_3!$B$2:$B$301,"학생077")+COUNTIF(경영학원론_4!$B$2:$B$300,"학생077")+COUNTIF(경제학원론_1!$B$2:$B$295,"학생077")+COUNTIF(경제학원론_2!$B$2:$B$298,"학생077")+COUNTIF(경제학원론_3!$B$2:$B$295,"학생077")+COUNTIF(경영통계학_1!$B$2:$B$299,"학생077")+COUNTIF(경영통계학_2!$B$2:$B$301,"학생077")+COUNTIF(경영통계학_3!$B$2:$B$298,"학생077")+COUNTIF(무역학개론_1!$B$2:$B$301,"학생077")+COUNTIF(회계학원론_1!$B$2:$B$293,"학생077")+COUNTIF(경영정보시스템_1!$B$2:$B$301,"학생077")+COUNTIF(관리회계_1!$B$2:$B$300,"학생077")+COUNTIF(관리회계_2!$B$2:$B$301,"학생077")+COUNTIF(마케팅_1!$B$2:$B$301,"학생077")+COUNTIF(마케팅리서치_1!$B$2:$B$301,"학생077")+COUNTIF(세법개론_1!$B$2:$B$300,"학생077")+COUNTIF(재무관리_1!$B$2:$B$301,"학생077")+COUNTIF(조직행동론_1!$B$2:$B$301,"학생077")+COUNTIF(조직행동론_2!$B$2:$B$301,"학생077")+COUNTIF(중급재무회계_1!$B$2:$B$301,"학생077")+COUNTIF(투자론_1!$B$2:$B$300,"학생077")+COUNTIF(경영과학_1!$B$2:$B$301,"학생077")+COUNTIF(세무회계_1!$B$2:$B$301,"학생077")+COUNTIF(스마트경영_1!$B$2:$B$301,"학생077")+COUNTIF(스마트경영_2!$B$2:$B$301,"학생077")+COUNTIF(인적자원관리_1!$B$2:$B$257,"학생077")+COUNTIF(서비스마케팅_1!$B$2:$B$276,"학생077")+COUNTIF(제품관리_1!$B$2:$B$301,"학생077")</f>
        <v>6</v>
      </c>
    </row>
    <row r="81" spans="1:9" hidden="1">
      <c r="A81" s="15">
        <v>78</v>
      </c>
      <c r="B81" s="16" t="s">
        <v>79</v>
      </c>
      <c r="C81" s="16">
        <v>202400078</v>
      </c>
      <c r="I81" s="24">
        <f>COUNTIF(경영학원론_1!$B$3:$B$300,"학생078")+COUNTIF(경영학원론_2!$B$2:$B$301,"학생078")+COUNTIF(경영학원론_3!$B$2:$B$301,"학생078")+COUNTIF(경영학원론_4!$B$2:$B$300,"학생078")+COUNTIF(경제학원론_1!$B$2:$B$295,"학생078")+COUNTIF(경제학원론_2!$B$2:$B$298,"학생078")+COUNTIF(경제학원론_3!$B$2:$B$295,"학생078")+COUNTIF(경영통계학_1!$B$2:$B$299,"학생078")+COUNTIF(경영통계학_2!$B$2:$B$301,"학생078")+COUNTIF(경영통계학_3!$B$2:$B$298,"학생078")+COUNTIF(무역학개론_1!$B$2:$B$301,"학생078")+COUNTIF(회계학원론_1!$B$2:$B$293,"학생078")+COUNTIF(경영정보시스템_1!$B$2:$B$301,"학생078")+COUNTIF(관리회계_1!$B$2:$B$300,"학생078")+COUNTIF(관리회계_2!$B$2:$B$301,"학생078")+COUNTIF(마케팅_1!$B$2:$B$301,"학생078")+COUNTIF(마케팅리서치_1!$B$2:$B$301,"학생078")+COUNTIF(세법개론_1!$B$2:$B$300,"학생078")+COUNTIF(재무관리_1!$B$2:$B$301,"학생078")+COUNTIF(조직행동론_1!$B$2:$B$301,"학생078")+COUNTIF(조직행동론_2!$B$2:$B$301,"학생078")+COUNTIF(중급재무회계_1!$B$2:$B$301,"학생078")+COUNTIF(투자론_1!$B$2:$B$300,"학생078")+COUNTIF(경영과학_1!$B$2:$B$301,"학생078")+COUNTIF(세무회계_1!$B$2:$B$301,"학생078")+COUNTIF(스마트경영_1!$B$2:$B$301,"학생078")+COUNTIF(스마트경영_2!$B$2:$B$301,"학생078")+COUNTIF(인적자원관리_1!$B$2:$B$257,"학생078")+COUNTIF(서비스마케팅_1!$B$2:$B$276,"학생078")+COUNTIF(제품관리_1!$B$2:$B$301,"학생078")</f>
        <v>5</v>
      </c>
    </row>
    <row r="82" spans="1:9" hidden="1">
      <c r="A82" s="15">
        <v>79</v>
      </c>
      <c r="B82" s="16" t="s">
        <v>80</v>
      </c>
      <c r="C82" s="16">
        <v>202400079</v>
      </c>
      <c r="I82" s="24">
        <f>COUNTIF(경영학원론_1!$B$3:$B$300,"학생079")+COUNTIF(경영학원론_2!$B$2:$B$301,"학생079")+COUNTIF(경영학원론_3!$B$2:$B$301,"학생079")+COUNTIF(경영학원론_4!$B$2:$B$300,"학생079")+COUNTIF(경제학원론_1!$B$2:$B$295,"학생079")+COUNTIF(경제학원론_2!$B$2:$B$298,"학생079")+COUNTIF(경제학원론_3!$B$2:$B$295,"학생079")+COUNTIF(경영통계학_1!$B$2:$B$299,"학생079")+COUNTIF(경영통계학_2!$B$2:$B$301,"학생079")+COUNTIF(경영통계학_3!$B$2:$B$298,"학생079")+COUNTIF(무역학개론_1!$B$2:$B$301,"학생079")+COUNTIF(회계학원론_1!$B$2:$B$293,"학생079")+COUNTIF(경영정보시스템_1!$B$2:$B$301,"학생079")+COUNTIF(관리회계_1!$B$2:$B$300,"학생079")+COUNTIF(관리회계_2!$B$2:$B$301,"학생079")+COUNTIF(마케팅_1!$B$2:$B$301,"학생079")+COUNTIF(마케팅리서치_1!$B$2:$B$301,"학생079")+COUNTIF(세법개론_1!$B$2:$B$300,"학생079")+COUNTIF(재무관리_1!$B$2:$B$301,"학생079")+COUNTIF(조직행동론_1!$B$2:$B$301,"학생079")+COUNTIF(조직행동론_2!$B$2:$B$301,"학생079")+COUNTIF(중급재무회계_1!$B$2:$B$301,"학생079")+COUNTIF(투자론_1!$B$2:$B$300,"학생079")+COUNTIF(경영과학_1!$B$2:$B$301,"학생079")+COUNTIF(세무회계_1!$B$2:$B$301,"학생079")+COUNTIF(스마트경영_1!$B$2:$B$301,"학생079")+COUNTIF(스마트경영_2!$B$2:$B$301,"학생079")+COUNTIF(인적자원관리_1!$B$2:$B$257,"학생079")+COUNTIF(서비스마케팅_1!$B$2:$B$276,"학생079")+COUNTIF(제품관리_1!$B$2:$B$301,"학생079")</f>
        <v>7</v>
      </c>
    </row>
    <row r="83" spans="1:9" hidden="1">
      <c r="A83" s="15">
        <v>80</v>
      </c>
      <c r="B83" s="16" t="s">
        <v>81</v>
      </c>
      <c r="C83" s="16">
        <v>202400080</v>
      </c>
      <c r="I83" s="24">
        <f>COUNTIF(경영학원론_1!$B$3:$B$300,"학생080")+COUNTIF(경영학원론_2!$B$2:$B$301,"학생080")+COUNTIF(경영학원론_3!$B$2:$B$301,"학생080")+COUNTIF(경영학원론_4!$B$2:$B$300,"학생080")+COUNTIF(경제학원론_1!$B$2:$B$295,"학생080")+COUNTIF(경제학원론_2!$B$2:$B$298,"학생080")+COUNTIF(경제학원론_3!$B$2:$B$295,"학생080")+COUNTIF(경영통계학_1!$B$2:$B$299,"학생080")+COUNTIF(경영통계학_2!$B$2:$B$301,"학생080")+COUNTIF(경영통계학_3!$B$2:$B$298,"학생080")+COUNTIF(무역학개론_1!$B$2:$B$301,"학생080")+COUNTIF(회계학원론_1!$B$2:$B$293,"학생080")+COUNTIF(경영정보시스템_1!$B$2:$B$301,"학생080")+COUNTIF(관리회계_1!$B$2:$B$300,"학생080")+COUNTIF(관리회계_2!$B$2:$B$301,"학생080")+COUNTIF(마케팅_1!$B$2:$B$301,"학생080")+COUNTIF(마케팅리서치_1!$B$2:$B$301,"학생080")+COUNTIF(세법개론_1!$B$2:$B$300,"학생080")+COUNTIF(재무관리_1!$B$2:$B$301,"학생080")+COUNTIF(조직행동론_1!$B$2:$B$301,"학생080")+COUNTIF(조직행동론_2!$B$2:$B$301,"학생080")+COUNTIF(중급재무회계_1!$B$2:$B$301,"학생080")+COUNTIF(투자론_1!$B$2:$B$300,"학생080")+COUNTIF(경영과학_1!$B$2:$B$301,"학생080")+COUNTIF(세무회계_1!$B$2:$B$301,"학생080")+COUNTIF(스마트경영_1!$B$2:$B$301,"학생080")+COUNTIF(스마트경영_2!$B$2:$B$301,"학생080")+COUNTIF(인적자원관리_1!$B$2:$B$257,"학생080")+COUNTIF(서비스마케팅_1!$B$2:$B$276,"학생080")+COUNTIF(제품관리_1!$B$2:$B$301,"학생080")</f>
        <v>4</v>
      </c>
    </row>
    <row r="84" spans="1:9" hidden="1">
      <c r="A84" s="15">
        <v>81</v>
      </c>
      <c r="B84" s="16" t="s">
        <v>82</v>
      </c>
      <c r="C84" s="16">
        <v>202400081</v>
      </c>
      <c r="I84" s="24">
        <f>COUNTIF(경영학원론_1!$B$3:$B$300,"학생081")+COUNTIF(경영학원론_2!$B$2:$B$301,"학생081")+COUNTIF(경영학원론_3!$B$2:$B$301,"학생081")+COUNTIF(경영학원론_4!$B$2:$B$300,"학생081")+COUNTIF(경제학원론_1!$B$2:$B$295,"학생081")+COUNTIF(경제학원론_2!$B$2:$B$298,"학생081")+COUNTIF(경제학원론_3!$B$2:$B$295,"학생081")+COUNTIF(경영통계학_1!$B$2:$B$299,"학생081")+COUNTIF(경영통계학_2!$B$2:$B$301,"학생081")+COUNTIF(경영통계학_3!$B$2:$B$298,"학생081")+COUNTIF(무역학개론_1!$B$2:$B$301,"학생081")+COUNTIF(회계학원론_1!$B$2:$B$293,"학생081")+COUNTIF(경영정보시스템_1!$B$2:$B$301,"학생081")+COUNTIF(관리회계_1!$B$2:$B$300,"학생081")+COUNTIF(관리회계_2!$B$2:$B$301,"학생081")+COUNTIF(마케팅_1!$B$2:$B$301,"학생081")+COUNTIF(마케팅리서치_1!$B$2:$B$301,"학생081")+COUNTIF(세법개론_1!$B$2:$B$300,"학생081")+COUNTIF(재무관리_1!$B$2:$B$301,"학생081")+COUNTIF(조직행동론_1!$B$2:$B$301,"학생081")+COUNTIF(조직행동론_2!$B$2:$B$301,"학생081")+COUNTIF(중급재무회계_1!$B$2:$B$301,"학생081")+COUNTIF(투자론_1!$B$2:$B$300,"학생081")+COUNTIF(경영과학_1!$B$2:$B$301,"학생081")+COUNTIF(세무회계_1!$B$2:$B$301,"학생081")+COUNTIF(스마트경영_1!$B$2:$B$301,"학생081")+COUNTIF(스마트경영_2!$B$2:$B$301,"학생081")+COUNTIF(인적자원관리_1!$B$2:$B$257,"학생081")+COUNTIF(서비스마케팅_1!$B$2:$B$276,"학생081")+COUNTIF(제품관리_1!$B$2:$B$301,"학생081")</f>
        <v>3</v>
      </c>
    </row>
    <row r="85" spans="1:9" hidden="1">
      <c r="A85" s="15">
        <v>82</v>
      </c>
      <c r="B85" s="16" t="s">
        <v>83</v>
      </c>
      <c r="C85" s="16">
        <v>202400082</v>
      </c>
      <c r="I85" s="24">
        <f>COUNTIF(경영학원론_1!$B$3:$B$300,"학생082")+COUNTIF(경영학원론_2!$B$2:$B$301,"학생082")+COUNTIF(경영학원론_3!$B$2:$B$301,"학생082")+COUNTIF(경영학원론_4!$B$2:$B$300,"학생082")+COUNTIF(경제학원론_1!$B$2:$B$295,"학생082")+COUNTIF(경제학원론_2!$B$2:$B$298,"학생082")+COUNTIF(경제학원론_3!$B$2:$B$295,"학생082")+COUNTIF(경영통계학_1!$B$2:$B$299,"학생082")+COUNTIF(경영통계학_2!$B$2:$B$301,"학생082")+COUNTIF(경영통계학_3!$B$2:$B$298,"학생082")+COUNTIF(무역학개론_1!$B$2:$B$301,"학생082")+COUNTIF(회계학원론_1!$B$2:$B$293,"학생082")+COUNTIF(경영정보시스템_1!$B$2:$B$301,"학생082")+COUNTIF(관리회계_1!$B$2:$B$300,"학생082")+COUNTIF(관리회계_2!$B$2:$B$301,"학생082")+COUNTIF(마케팅_1!$B$2:$B$301,"학생082")+COUNTIF(마케팅리서치_1!$B$2:$B$301,"학생082")+COUNTIF(세법개론_1!$B$2:$B$300,"학생082")+COUNTIF(재무관리_1!$B$2:$B$301,"학생082")+COUNTIF(조직행동론_1!$B$2:$B$301,"학생082")+COUNTIF(조직행동론_2!$B$2:$B$301,"학생082")+COUNTIF(중급재무회계_1!$B$2:$B$301,"학생082")+COUNTIF(투자론_1!$B$2:$B$300,"학생082")+COUNTIF(경영과학_1!$B$2:$B$301,"학생082")+COUNTIF(세무회계_1!$B$2:$B$301,"학생082")+COUNTIF(스마트경영_1!$B$2:$B$301,"학생082")+COUNTIF(스마트경영_2!$B$2:$B$301,"학생082")+COUNTIF(인적자원관리_1!$B$2:$B$257,"학생082")+COUNTIF(서비스마케팅_1!$B$2:$B$276,"학생082")+COUNTIF(제품관리_1!$B$2:$B$301,"학생082")</f>
        <v>6</v>
      </c>
    </row>
    <row r="86" spans="1:9" hidden="1">
      <c r="A86" s="15">
        <v>83</v>
      </c>
      <c r="B86" s="16" t="s">
        <v>84</v>
      </c>
      <c r="C86" s="16">
        <v>202400083</v>
      </c>
      <c r="I86" s="24">
        <f>COUNTIF(경영학원론_1!$B$3:$B$300,"학생083")+COUNTIF(경영학원론_2!$B$2:$B$301,"학생083")+COUNTIF(경영학원론_3!$B$2:$B$301,"학생083")+COUNTIF(경영학원론_4!$B$2:$B$300,"학생083")+COUNTIF(경제학원론_1!$B$2:$B$295,"학생083")+COUNTIF(경제학원론_2!$B$2:$B$298,"학생083")+COUNTIF(경제학원론_3!$B$2:$B$295,"학생083")+COUNTIF(경영통계학_1!$B$2:$B$299,"학생083")+COUNTIF(경영통계학_2!$B$2:$B$301,"학생083")+COUNTIF(경영통계학_3!$B$2:$B$298,"학생083")+COUNTIF(무역학개론_1!$B$2:$B$301,"학생083")+COUNTIF(회계학원론_1!$B$2:$B$293,"학생083")+COUNTIF(경영정보시스템_1!$B$2:$B$301,"학생083")+COUNTIF(관리회계_1!$B$2:$B$300,"학생083")+COUNTIF(관리회계_2!$B$2:$B$301,"학생083")+COUNTIF(마케팅_1!$B$2:$B$301,"학생083")+COUNTIF(마케팅리서치_1!$B$2:$B$301,"학생083")+COUNTIF(세법개론_1!$B$2:$B$300,"학생083")+COUNTIF(재무관리_1!$B$2:$B$301,"학생083")+COUNTIF(조직행동론_1!$B$2:$B$301,"학생083")+COUNTIF(조직행동론_2!$B$2:$B$301,"학생083")+COUNTIF(중급재무회계_1!$B$2:$B$301,"학생083")+COUNTIF(투자론_1!$B$2:$B$300,"학생083")+COUNTIF(경영과학_1!$B$2:$B$301,"학생083")+COUNTIF(세무회계_1!$B$2:$B$301,"학생083")+COUNTIF(스마트경영_1!$B$2:$B$301,"학생083")+COUNTIF(스마트경영_2!$B$2:$B$301,"학생083")+COUNTIF(인적자원관리_1!$B$2:$B$257,"학생083")+COUNTIF(서비스마케팅_1!$B$2:$B$276,"학생083")+COUNTIF(제품관리_1!$B$2:$B$301,"학생083")</f>
        <v>4</v>
      </c>
    </row>
    <row r="87" spans="1:9" hidden="1">
      <c r="A87" s="15">
        <v>84</v>
      </c>
      <c r="B87" s="16" t="s">
        <v>85</v>
      </c>
      <c r="C87" s="16">
        <v>202400084</v>
      </c>
      <c r="I87" s="24">
        <f>COUNTIF(경영학원론_1!$B$3:$B$300,"학생084")+COUNTIF(경영학원론_2!$B$2:$B$301,"학생084")+COUNTIF(경영학원론_3!$B$2:$B$301,"학생084")+COUNTIF(경영학원론_4!$B$2:$B$300,"학생084")+COUNTIF(경제학원론_1!$B$2:$B$295,"학생084")+COUNTIF(경제학원론_2!$B$2:$B$298,"학생084")+COUNTIF(경제학원론_3!$B$2:$B$295,"학생084")+COUNTIF(경영통계학_1!$B$2:$B$299,"학생084")+COUNTIF(경영통계학_2!$B$2:$B$301,"학생084")+COUNTIF(경영통계학_3!$B$2:$B$298,"학생084")+COUNTIF(무역학개론_1!$B$2:$B$301,"학생084")+COUNTIF(회계학원론_1!$B$2:$B$293,"학생084")+COUNTIF(경영정보시스템_1!$B$2:$B$301,"학생084")+COUNTIF(관리회계_1!$B$2:$B$300,"학생084")+COUNTIF(관리회계_2!$B$2:$B$301,"학생084")+COUNTIF(마케팅_1!$B$2:$B$301,"학생084")+COUNTIF(마케팅리서치_1!$B$2:$B$301,"학생084")+COUNTIF(세법개론_1!$B$2:$B$300,"학생084")+COUNTIF(재무관리_1!$B$2:$B$301,"학생084")+COUNTIF(조직행동론_1!$B$2:$B$301,"학생084")+COUNTIF(조직행동론_2!$B$2:$B$301,"학생084")+COUNTIF(중급재무회계_1!$B$2:$B$301,"학생084")+COUNTIF(투자론_1!$B$2:$B$300,"학생084")+COUNTIF(경영과학_1!$B$2:$B$301,"학생084")+COUNTIF(세무회계_1!$B$2:$B$301,"학생084")+COUNTIF(스마트경영_1!$B$2:$B$301,"학생084")+COUNTIF(스마트경영_2!$B$2:$B$301,"학생084")+COUNTIF(인적자원관리_1!$B$2:$B$257,"학생084")+COUNTIF(서비스마케팅_1!$B$2:$B$276,"학생084")+COUNTIF(제품관리_1!$B$2:$B$301,"학생084")</f>
        <v>6</v>
      </c>
    </row>
    <row r="88" spans="1:9" hidden="1">
      <c r="A88" s="15">
        <v>85</v>
      </c>
      <c r="B88" s="16" t="s">
        <v>86</v>
      </c>
      <c r="C88" s="16">
        <v>202400085</v>
      </c>
      <c r="I88" s="24">
        <f>COUNTIF(경영학원론_1!$B$3:$B$300,"학생085")+COUNTIF(경영학원론_2!$B$2:$B$301,"학생085")+COUNTIF(경영학원론_3!$B$2:$B$301,"학생085")+COUNTIF(경영학원론_4!$B$2:$B$300,"학생085")+COUNTIF(경제학원론_1!$B$2:$B$295,"학생085")+COUNTIF(경제학원론_2!$B$2:$B$298,"학생085")+COUNTIF(경제학원론_3!$B$2:$B$295,"학생085")+COUNTIF(경영통계학_1!$B$2:$B$299,"학생085")+COUNTIF(경영통계학_2!$B$2:$B$301,"학생085")+COUNTIF(경영통계학_3!$B$2:$B$298,"학생085")+COUNTIF(무역학개론_1!$B$2:$B$301,"학생085")+COUNTIF(회계학원론_1!$B$2:$B$293,"학생085")+COUNTIF(경영정보시스템_1!$B$2:$B$301,"학생085")+COUNTIF(관리회계_1!$B$2:$B$300,"학생085")+COUNTIF(관리회계_2!$B$2:$B$301,"학생085")+COUNTIF(마케팅_1!$B$2:$B$301,"학생085")+COUNTIF(마케팅리서치_1!$B$2:$B$301,"학생085")+COUNTIF(세법개론_1!$B$2:$B$300,"학생085")+COUNTIF(재무관리_1!$B$2:$B$301,"학생085")+COUNTIF(조직행동론_1!$B$2:$B$301,"학생085")+COUNTIF(조직행동론_2!$B$2:$B$301,"학생085")+COUNTIF(중급재무회계_1!$B$2:$B$301,"학생085")+COUNTIF(투자론_1!$B$2:$B$300,"학생085")+COUNTIF(경영과학_1!$B$2:$B$301,"학생085")+COUNTIF(세무회계_1!$B$2:$B$301,"학생085")+COUNTIF(스마트경영_1!$B$2:$B$301,"학생085")+COUNTIF(스마트경영_2!$B$2:$B$301,"학생085")+COUNTIF(인적자원관리_1!$B$2:$B$257,"학생085")+COUNTIF(서비스마케팅_1!$B$2:$B$276,"학생085")+COUNTIF(제품관리_1!$B$2:$B$301,"학생085")</f>
        <v>3</v>
      </c>
    </row>
    <row r="89" spans="1:9" hidden="1">
      <c r="A89" s="15">
        <v>86</v>
      </c>
      <c r="B89" s="16" t="s">
        <v>87</v>
      </c>
      <c r="C89" s="16">
        <v>202400086</v>
      </c>
      <c r="I89" s="24">
        <f>COUNTIF(경영학원론_1!$B$3:$B$300,"학생086")+COUNTIF(경영학원론_2!$B$2:$B$301,"학생086")+COUNTIF(경영학원론_3!$B$2:$B$301,"학생086")+COUNTIF(경영학원론_4!$B$2:$B$300,"학생086")+COUNTIF(경제학원론_1!$B$2:$B$295,"학생086")+COUNTIF(경제학원론_2!$B$2:$B$298,"학생086")+COUNTIF(경제학원론_3!$B$2:$B$295,"학생086")+COUNTIF(경영통계학_1!$B$2:$B$299,"학생086")+COUNTIF(경영통계학_2!$B$2:$B$301,"학생086")+COUNTIF(경영통계학_3!$B$2:$B$298,"학생086")+COUNTIF(무역학개론_1!$B$2:$B$301,"학생086")+COUNTIF(회계학원론_1!$B$2:$B$293,"학생086")+COUNTIF(경영정보시스템_1!$B$2:$B$301,"학생086")+COUNTIF(관리회계_1!$B$2:$B$300,"학생086")+COUNTIF(관리회계_2!$B$2:$B$301,"학생086")+COUNTIF(마케팅_1!$B$2:$B$301,"학생086")+COUNTIF(마케팅리서치_1!$B$2:$B$301,"학생086")+COUNTIF(세법개론_1!$B$2:$B$300,"학생086")+COUNTIF(재무관리_1!$B$2:$B$301,"학생086")+COUNTIF(조직행동론_1!$B$2:$B$301,"학생086")+COUNTIF(조직행동론_2!$B$2:$B$301,"학생086")+COUNTIF(중급재무회계_1!$B$2:$B$301,"학생086")+COUNTIF(투자론_1!$B$2:$B$300,"학생086")+COUNTIF(경영과학_1!$B$2:$B$301,"학생086")+COUNTIF(세무회계_1!$B$2:$B$301,"학생086")+COUNTIF(스마트경영_1!$B$2:$B$301,"학생086")+COUNTIF(스마트경영_2!$B$2:$B$301,"학생086")+COUNTIF(인적자원관리_1!$B$2:$B$257,"학생086")+COUNTIF(서비스마케팅_1!$B$2:$B$276,"학생086")+COUNTIF(제품관리_1!$B$2:$B$301,"학생086")</f>
        <v>5</v>
      </c>
    </row>
    <row r="90" spans="1:9" hidden="1">
      <c r="A90" s="15">
        <v>87</v>
      </c>
      <c r="B90" s="16" t="s">
        <v>88</v>
      </c>
      <c r="C90" s="16">
        <v>202400087</v>
      </c>
      <c r="I90" s="24">
        <f>COUNTIF(경영학원론_1!$B$3:$B$300,"학생087")+COUNTIF(경영학원론_2!$B$2:$B$301,"학생087")+COUNTIF(경영학원론_3!$B$2:$B$301,"학생087")+COUNTIF(경영학원론_4!$B$2:$B$300,"학생087")+COUNTIF(경제학원론_1!$B$2:$B$295,"학생087")+COUNTIF(경제학원론_2!$B$2:$B$298,"학생087")+COUNTIF(경제학원론_3!$B$2:$B$295,"학생087")+COUNTIF(경영통계학_1!$B$2:$B$299,"학생087")+COUNTIF(경영통계학_2!$B$2:$B$301,"학생087")+COUNTIF(경영통계학_3!$B$2:$B$298,"학생087")+COUNTIF(무역학개론_1!$B$2:$B$301,"학생087")+COUNTIF(회계학원론_1!$B$2:$B$293,"학생087")+COUNTIF(경영정보시스템_1!$B$2:$B$301,"학생087")+COUNTIF(관리회계_1!$B$2:$B$300,"학생087")+COUNTIF(관리회계_2!$B$2:$B$301,"학생087")+COUNTIF(마케팅_1!$B$2:$B$301,"학생087")+COUNTIF(마케팅리서치_1!$B$2:$B$301,"학생087")+COUNTIF(세법개론_1!$B$2:$B$300,"학생087")+COUNTIF(재무관리_1!$B$2:$B$301,"학생087")+COUNTIF(조직행동론_1!$B$2:$B$301,"학생087")+COUNTIF(조직행동론_2!$B$2:$B$301,"학생087")+COUNTIF(중급재무회계_1!$B$2:$B$301,"학생087")+COUNTIF(투자론_1!$B$2:$B$300,"학생087")+COUNTIF(경영과학_1!$B$2:$B$301,"학생087")+COUNTIF(세무회계_1!$B$2:$B$301,"학생087")+COUNTIF(스마트경영_1!$B$2:$B$301,"학생087")+COUNTIF(스마트경영_2!$B$2:$B$301,"학생087")+COUNTIF(인적자원관리_1!$B$2:$B$257,"학생087")+COUNTIF(서비스마케팅_1!$B$2:$B$276,"학생087")+COUNTIF(제품관리_1!$B$2:$B$301,"학생087")</f>
        <v>7</v>
      </c>
    </row>
    <row r="91" spans="1:9" hidden="1">
      <c r="A91" s="15">
        <v>88</v>
      </c>
      <c r="B91" s="16" t="s">
        <v>89</v>
      </c>
      <c r="C91" s="16">
        <v>202400088</v>
      </c>
      <c r="I91" s="24">
        <f>COUNTIF(경영학원론_1!$B$3:$B$300,"학생088")+COUNTIF(경영학원론_2!$B$2:$B$301,"학생088")+COUNTIF(경영학원론_3!$B$2:$B$301,"학생088")+COUNTIF(경영학원론_4!$B$2:$B$300,"학생088")+COUNTIF(경제학원론_1!$B$2:$B$295,"학생088")+COUNTIF(경제학원론_2!$B$2:$B$298,"학생088")+COUNTIF(경제학원론_3!$B$2:$B$295,"학생088")+COUNTIF(경영통계학_1!$B$2:$B$299,"학생088")+COUNTIF(경영통계학_2!$B$2:$B$301,"학생088")+COUNTIF(경영통계학_3!$B$2:$B$298,"학생088")+COUNTIF(무역학개론_1!$B$2:$B$301,"학생088")+COUNTIF(회계학원론_1!$B$2:$B$293,"학생088")+COUNTIF(경영정보시스템_1!$B$2:$B$301,"학생088")+COUNTIF(관리회계_1!$B$2:$B$300,"학생088")+COUNTIF(관리회계_2!$B$2:$B$301,"학생088")+COUNTIF(마케팅_1!$B$2:$B$301,"학생088")+COUNTIF(마케팅리서치_1!$B$2:$B$301,"학생088")+COUNTIF(세법개론_1!$B$2:$B$300,"학생088")+COUNTIF(재무관리_1!$B$2:$B$301,"학생088")+COUNTIF(조직행동론_1!$B$2:$B$301,"학생088")+COUNTIF(조직행동론_2!$B$2:$B$301,"학생088")+COUNTIF(중급재무회계_1!$B$2:$B$301,"학생088")+COUNTIF(투자론_1!$B$2:$B$300,"학생088")+COUNTIF(경영과학_1!$B$2:$B$301,"학생088")+COUNTIF(세무회계_1!$B$2:$B$301,"학생088")+COUNTIF(스마트경영_1!$B$2:$B$301,"학생088")+COUNTIF(스마트경영_2!$B$2:$B$301,"학생088")+COUNTIF(인적자원관리_1!$B$2:$B$257,"학생088")+COUNTIF(서비스마케팅_1!$B$2:$B$276,"학생088")+COUNTIF(제품관리_1!$B$2:$B$301,"학생088")</f>
        <v>6</v>
      </c>
    </row>
    <row r="92" spans="1:9" hidden="1">
      <c r="A92" s="15">
        <v>89</v>
      </c>
      <c r="B92" s="16" t="s">
        <v>90</v>
      </c>
      <c r="C92" s="16">
        <v>202400089</v>
      </c>
      <c r="I92" s="24">
        <f>COUNTIF(경영학원론_1!$B$3:$B$300,"학생089")+COUNTIF(경영학원론_2!$B$2:$B$301,"학생089")+COUNTIF(경영학원론_3!$B$2:$B$301,"학생089")+COUNTIF(경영학원론_4!$B$2:$B$300,"학생089")+COUNTIF(경제학원론_1!$B$2:$B$295,"학생089")+COUNTIF(경제학원론_2!$B$2:$B$298,"학생089")+COUNTIF(경제학원론_3!$B$2:$B$295,"학생089")+COUNTIF(경영통계학_1!$B$2:$B$299,"학생089")+COUNTIF(경영통계학_2!$B$2:$B$301,"학생089")+COUNTIF(경영통계학_3!$B$2:$B$298,"학생089")+COUNTIF(무역학개론_1!$B$2:$B$301,"학생089")+COUNTIF(회계학원론_1!$B$2:$B$293,"학생089")+COUNTIF(경영정보시스템_1!$B$2:$B$301,"학생089")+COUNTIF(관리회계_1!$B$2:$B$300,"학생089")+COUNTIF(관리회계_2!$B$2:$B$301,"학생089")+COUNTIF(마케팅_1!$B$2:$B$301,"학생089")+COUNTIF(마케팅리서치_1!$B$2:$B$301,"학생089")+COUNTIF(세법개론_1!$B$2:$B$300,"학생089")+COUNTIF(재무관리_1!$B$2:$B$301,"학생089")+COUNTIF(조직행동론_1!$B$2:$B$301,"학생089")+COUNTIF(조직행동론_2!$B$2:$B$301,"학생089")+COUNTIF(중급재무회계_1!$B$2:$B$301,"학생089")+COUNTIF(투자론_1!$B$2:$B$300,"학생089")+COUNTIF(경영과학_1!$B$2:$B$301,"학생089")+COUNTIF(세무회계_1!$B$2:$B$301,"학생089")+COUNTIF(스마트경영_1!$B$2:$B$301,"학생089")+COUNTIF(스마트경영_2!$B$2:$B$301,"학생089")+COUNTIF(인적자원관리_1!$B$2:$B$257,"학생089")+COUNTIF(서비스마케팅_1!$B$2:$B$276,"학생089")+COUNTIF(제품관리_1!$B$2:$B$301,"학생089")</f>
        <v>5</v>
      </c>
    </row>
    <row r="93" spans="1:9" hidden="1">
      <c r="A93" s="15">
        <v>90</v>
      </c>
      <c r="B93" s="16" t="s">
        <v>91</v>
      </c>
      <c r="C93" s="16">
        <v>202400090</v>
      </c>
      <c r="I93" s="24">
        <f>COUNTIF(경영학원론_1!$B$3:$B$300,"학생090")+COUNTIF(경영학원론_2!$B$2:$B$301,"학생090")+COUNTIF(경영학원론_3!$B$2:$B$301,"학생090")+COUNTIF(경영학원론_4!$B$2:$B$300,"학생090")+COUNTIF(경제학원론_1!$B$2:$B$295,"학생090")+COUNTIF(경제학원론_2!$B$2:$B$298,"학생090")+COUNTIF(경제학원론_3!$B$2:$B$295,"학생090")+COUNTIF(경영통계학_1!$B$2:$B$299,"학생090")+COUNTIF(경영통계학_2!$B$2:$B$301,"학생090")+COUNTIF(경영통계학_3!$B$2:$B$298,"학생090")+COUNTIF(무역학개론_1!$B$2:$B$301,"학생090")+COUNTIF(회계학원론_1!$B$2:$B$293,"학생090")+COUNTIF(경영정보시스템_1!$B$2:$B$301,"학생090")+COUNTIF(관리회계_1!$B$2:$B$300,"학생090")+COUNTIF(관리회계_2!$B$2:$B$301,"학생090")+COUNTIF(마케팅_1!$B$2:$B$301,"학생090")+COUNTIF(마케팅리서치_1!$B$2:$B$301,"학생090")+COUNTIF(세법개론_1!$B$2:$B$300,"학생090")+COUNTIF(재무관리_1!$B$2:$B$301,"학생090")+COUNTIF(조직행동론_1!$B$2:$B$301,"학생090")+COUNTIF(조직행동론_2!$B$2:$B$301,"학생090")+COUNTIF(중급재무회계_1!$B$2:$B$301,"학생090")+COUNTIF(투자론_1!$B$2:$B$300,"학생090")+COUNTIF(경영과학_1!$B$2:$B$301,"학생090")+COUNTIF(세무회계_1!$B$2:$B$301,"학생090")+COUNTIF(스마트경영_1!$B$2:$B$301,"학생090")+COUNTIF(스마트경영_2!$B$2:$B$301,"학생090")+COUNTIF(인적자원관리_1!$B$2:$B$257,"학생090")+COUNTIF(서비스마케팅_1!$B$2:$B$276,"학생090")+COUNTIF(제품관리_1!$B$2:$B$301,"학생090")</f>
        <v>7</v>
      </c>
    </row>
    <row r="94" spans="1:9" hidden="1">
      <c r="A94" s="15">
        <v>91</v>
      </c>
      <c r="B94" s="16" t="s">
        <v>92</v>
      </c>
      <c r="C94" s="16">
        <v>202400091</v>
      </c>
      <c r="I94" s="24">
        <f>COUNTIF(경영학원론_1!$B$3:$B$300,"학생091")+COUNTIF(경영학원론_2!$B$2:$B$301,"학생091")+COUNTIF(경영학원론_3!$B$2:$B$301,"학생091")+COUNTIF(경영학원론_4!$B$2:$B$300,"학생091")+COUNTIF(경제학원론_1!$B$2:$B$295,"학생091")+COUNTIF(경제학원론_2!$B$2:$B$298,"학생091")+COUNTIF(경제학원론_3!$B$2:$B$295,"학생091")+COUNTIF(경영통계학_1!$B$2:$B$299,"학생091")+COUNTIF(경영통계학_2!$B$2:$B$301,"학생091")+COUNTIF(경영통계학_3!$B$2:$B$298,"학생091")+COUNTIF(무역학개론_1!$B$2:$B$301,"학생091")+COUNTIF(회계학원론_1!$B$2:$B$293,"학생091")+COUNTIF(경영정보시스템_1!$B$2:$B$301,"학생091")+COUNTIF(관리회계_1!$B$2:$B$300,"학생091")+COUNTIF(관리회계_2!$B$2:$B$301,"학생091")+COUNTIF(마케팅_1!$B$2:$B$301,"학생091")+COUNTIF(마케팅리서치_1!$B$2:$B$301,"학생091")+COUNTIF(세법개론_1!$B$2:$B$300,"학생091")+COUNTIF(재무관리_1!$B$2:$B$301,"학생091")+COUNTIF(조직행동론_1!$B$2:$B$301,"학생091")+COUNTIF(조직행동론_2!$B$2:$B$301,"학생091")+COUNTIF(중급재무회계_1!$B$2:$B$301,"학생091")+COUNTIF(투자론_1!$B$2:$B$300,"학생091")+COUNTIF(경영과학_1!$B$2:$B$301,"학생091")+COUNTIF(세무회계_1!$B$2:$B$301,"학생091")+COUNTIF(스마트경영_1!$B$2:$B$301,"학생091")+COUNTIF(스마트경영_2!$B$2:$B$301,"학생091")+COUNTIF(인적자원관리_1!$B$2:$B$257,"학생091")+COUNTIF(서비스마케팅_1!$B$2:$B$276,"학생091")+COUNTIF(제품관리_1!$B$2:$B$301,"학생091")</f>
        <v>6</v>
      </c>
    </row>
    <row r="95" spans="1:9" hidden="1">
      <c r="A95" s="15">
        <v>92</v>
      </c>
      <c r="B95" s="16" t="s">
        <v>93</v>
      </c>
      <c r="C95" s="16">
        <v>202400092</v>
      </c>
      <c r="I95" s="24">
        <f>COUNTIF(경영학원론_1!$B$3:$B$300,"학생092")+COUNTIF(경영학원론_2!$B$2:$B$301,"학생092")+COUNTIF(경영학원론_3!$B$2:$B$301,"학생092")+COUNTIF(경영학원론_4!$B$2:$B$300,"학생092")+COUNTIF(경제학원론_1!$B$2:$B$295,"학생092")+COUNTIF(경제학원론_2!$B$2:$B$298,"학생092")+COUNTIF(경제학원론_3!$B$2:$B$295,"학생092")+COUNTIF(경영통계학_1!$B$2:$B$299,"학생092")+COUNTIF(경영통계학_2!$B$2:$B$301,"학생092")+COUNTIF(경영통계학_3!$B$2:$B$298,"학생092")+COUNTIF(무역학개론_1!$B$2:$B$301,"학생092")+COUNTIF(회계학원론_1!$B$2:$B$293,"학생092")+COUNTIF(경영정보시스템_1!$B$2:$B$301,"학생092")+COUNTIF(관리회계_1!$B$2:$B$300,"학생092")+COUNTIF(관리회계_2!$B$2:$B$301,"학생092")+COUNTIF(마케팅_1!$B$2:$B$301,"학생092")+COUNTIF(마케팅리서치_1!$B$2:$B$301,"학생092")+COUNTIF(세법개론_1!$B$2:$B$300,"학생092")+COUNTIF(재무관리_1!$B$2:$B$301,"학생092")+COUNTIF(조직행동론_1!$B$2:$B$301,"학생092")+COUNTIF(조직행동론_2!$B$2:$B$301,"학생092")+COUNTIF(중급재무회계_1!$B$2:$B$301,"학생092")+COUNTIF(투자론_1!$B$2:$B$300,"학생092")+COUNTIF(경영과학_1!$B$2:$B$301,"학생092")+COUNTIF(세무회계_1!$B$2:$B$301,"학생092")+COUNTIF(스마트경영_1!$B$2:$B$301,"학생092")+COUNTIF(스마트경영_2!$B$2:$B$301,"학생092")+COUNTIF(인적자원관리_1!$B$2:$B$257,"학생092")+COUNTIF(서비스마케팅_1!$B$2:$B$276,"학생092")+COUNTIF(제품관리_1!$B$2:$B$301,"학생092")</f>
        <v>7</v>
      </c>
    </row>
    <row r="96" spans="1:9" hidden="1">
      <c r="A96" s="15">
        <v>93</v>
      </c>
      <c r="B96" s="16" t="s">
        <v>94</v>
      </c>
      <c r="C96" s="16">
        <v>202400093</v>
      </c>
      <c r="I96" s="24">
        <f>COUNTIF(경영학원론_1!$B$3:$B$300,"학생093")+COUNTIF(경영학원론_2!$B$2:$B$301,"학생093")+COUNTIF(경영학원론_3!$B$2:$B$301,"학생093")+COUNTIF(경영학원론_4!$B$2:$B$300,"학생093")+COUNTIF(경제학원론_1!$B$2:$B$295,"학생093")+COUNTIF(경제학원론_2!$B$2:$B$298,"학생093")+COUNTIF(경제학원론_3!$B$2:$B$295,"학생093")+COUNTIF(경영통계학_1!$B$2:$B$299,"학생093")+COUNTIF(경영통계학_2!$B$2:$B$301,"학생093")+COUNTIF(경영통계학_3!$B$2:$B$298,"학생093")+COUNTIF(무역학개론_1!$B$2:$B$301,"학생093")+COUNTIF(회계학원론_1!$B$2:$B$293,"학생093")+COUNTIF(경영정보시스템_1!$B$2:$B$301,"학생093")+COUNTIF(관리회계_1!$B$2:$B$300,"학생093")+COUNTIF(관리회계_2!$B$2:$B$301,"학생093")+COUNTIF(마케팅_1!$B$2:$B$301,"학생093")+COUNTIF(마케팅리서치_1!$B$2:$B$301,"학생093")+COUNTIF(세법개론_1!$B$2:$B$300,"학생093")+COUNTIF(재무관리_1!$B$2:$B$301,"학생093")+COUNTIF(조직행동론_1!$B$2:$B$301,"학생093")+COUNTIF(조직행동론_2!$B$2:$B$301,"학생093")+COUNTIF(중급재무회계_1!$B$2:$B$301,"학생093")+COUNTIF(투자론_1!$B$2:$B$300,"학생093")+COUNTIF(경영과학_1!$B$2:$B$301,"학생093")+COUNTIF(세무회계_1!$B$2:$B$301,"학생093")+COUNTIF(스마트경영_1!$B$2:$B$301,"학생093")+COUNTIF(스마트경영_2!$B$2:$B$301,"학생093")+COUNTIF(인적자원관리_1!$B$2:$B$257,"학생093")+COUNTIF(서비스마케팅_1!$B$2:$B$276,"학생093")+COUNTIF(제품관리_1!$B$2:$B$301,"학생093")</f>
        <v>3</v>
      </c>
    </row>
    <row r="97" spans="1:9" hidden="1">
      <c r="A97" s="15">
        <v>94</v>
      </c>
      <c r="B97" s="16" t="s">
        <v>95</v>
      </c>
      <c r="C97" s="16">
        <v>202400094</v>
      </c>
      <c r="I97" s="24">
        <f>COUNTIF(경영학원론_1!$B$3:$B$300,"학생094")+COUNTIF(경영학원론_2!$B$2:$B$301,"학생094")+COUNTIF(경영학원론_3!$B$2:$B$301,"학생094")+COUNTIF(경영학원론_4!$B$2:$B$300,"학생094")+COUNTIF(경제학원론_1!$B$2:$B$295,"학생094")+COUNTIF(경제학원론_2!$B$2:$B$298,"학생094")+COUNTIF(경제학원론_3!$B$2:$B$295,"학생094")+COUNTIF(경영통계학_1!$B$2:$B$299,"학생094")+COUNTIF(경영통계학_2!$B$2:$B$301,"학생094")+COUNTIF(경영통계학_3!$B$2:$B$298,"학생094")+COUNTIF(무역학개론_1!$B$2:$B$301,"학생094")+COUNTIF(회계학원론_1!$B$2:$B$293,"학생094")+COUNTIF(경영정보시스템_1!$B$2:$B$301,"학생094")+COUNTIF(관리회계_1!$B$2:$B$300,"학생094")+COUNTIF(관리회계_2!$B$2:$B$301,"학생094")+COUNTIF(마케팅_1!$B$2:$B$301,"학생094")+COUNTIF(마케팅리서치_1!$B$2:$B$301,"학생094")+COUNTIF(세법개론_1!$B$2:$B$300,"학생094")+COUNTIF(재무관리_1!$B$2:$B$301,"학생094")+COUNTIF(조직행동론_1!$B$2:$B$301,"학생094")+COUNTIF(조직행동론_2!$B$2:$B$301,"학생094")+COUNTIF(중급재무회계_1!$B$2:$B$301,"학생094")+COUNTIF(투자론_1!$B$2:$B$300,"학생094")+COUNTIF(경영과학_1!$B$2:$B$301,"학생094")+COUNTIF(세무회계_1!$B$2:$B$301,"학생094")+COUNTIF(스마트경영_1!$B$2:$B$301,"학생094")+COUNTIF(스마트경영_2!$B$2:$B$301,"학생094")+COUNTIF(인적자원관리_1!$B$2:$B$257,"학생094")+COUNTIF(서비스마케팅_1!$B$2:$B$276,"학생094")+COUNTIF(제품관리_1!$B$2:$B$301,"학생094")</f>
        <v>7</v>
      </c>
    </row>
    <row r="98" spans="1:9" hidden="1">
      <c r="A98" s="15">
        <v>95</v>
      </c>
      <c r="B98" s="16" t="s">
        <v>96</v>
      </c>
      <c r="C98" s="16">
        <v>202400095</v>
      </c>
      <c r="I98" s="24">
        <f>COUNTIF(경영학원론_1!$B$3:$B$300,"학생095")+COUNTIF(경영학원론_2!$B$2:$B$301,"학생095")+COUNTIF(경영학원론_3!$B$2:$B$301,"학생095")+COUNTIF(경영학원론_4!$B$2:$B$300,"학생095")+COUNTIF(경제학원론_1!$B$2:$B$295,"학생095")+COUNTIF(경제학원론_2!$B$2:$B$298,"학생095")+COUNTIF(경제학원론_3!$B$2:$B$295,"학생095")+COUNTIF(경영통계학_1!$B$2:$B$299,"학생095")+COUNTIF(경영통계학_2!$B$2:$B$301,"학생095")+COUNTIF(경영통계학_3!$B$2:$B$298,"학생095")+COUNTIF(무역학개론_1!$B$2:$B$301,"학생095")+COUNTIF(회계학원론_1!$B$2:$B$293,"학생095")+COUNTIF(경영정보시스템_1!$B$2:$B$301,"학생095")+COUNTIF(관리회계_1!$B$2:$B$300,"학생095")+COUNTIF(관리회계_2!$B$2:$B$301,"학생095")+COUNTIF(마케팅_1!$B$2:$B$301,"학생095")+COUNTIF(마케팅리서치_1!$B$2:$B$301,"학생095")+COUNTIF(세법개론_1!$B$2:$B$300,"학생095")+COUNTIF(재무관리_1!$B$2:$B$301,"학생095")+COUNTIF(조직행동론_1!$B$2:$B$301,"학생095")+COUNTIF(조직행동론_2!$B$2:$B$301,"학생095")+COUNTIF(중급재무회계_1!$B$2:$B$301,"학생095")+COUNTIF(투자론_1!$B$2:$B$300,"학생095")+COUNTIF(경영과학_1!$B$2:$B$301,"학생095")+COUNTIF(세무회계_1!$B$2:$B$301,"학생095")+COUNTIF(스마트경영_1!$B$2:$B$301,"학생095")+COUNTIF(스마트경영_2!$B$2:$B$301,"학생095")+COUNTIF(인적자원관리_1!$B$2:$B$257,"학생095")+COUNTIF(서비스마케팅_1!$B$2:$B$276,"학생095")+COUNTIF(제품관리_1!$B$2:$B$301,"학생095")</f>
        <v>3</v>
      </c>
    </row>
    <row r="99" spans="1:9" hidden="1">
      <c r="A99" s="15">
        <v>96</v>
      </c>
      <c r="B99" s="16" t="s">
        <v>97</v>
      </c>
      <c r="C99" s="16">
        <v>202400096</v>
      </c>
      <c r="I99" s="24">
        <f>COUNTIF(경영학원론_1!$B$3:$B$300,"학생096")+COUNTIF(경영학원론_2!$B$2:$B$301,"학생096")+COUNTIF(경영학원론_3!$B$2:$B$301,"학생096")+COUNTIF(경영학원론_4!$B$2:$B$300,"학생096")+COUNTIF(경제학원론_1!$B$2:$B$295,"학생096")+COUNTIF(경제학원론_2!$B$2:$B$298,"학생096")+COUNTIF(경제학원론_3!$B$2:$B$295,"학생096")+COUNTIF(경영통계학_1!$B$2:$B$299,"학생096")+COUNTIF(경영통계학_2!$B$2:$B$301,"학생096")+COUNTIF(경영통계학_3!$B$2:$B$298,"학생096")+COUNTIF(무역학개론_1!$B$2:$B$301,"학생096")+COUNTIF(회계학원론_1!$B$2:$B$293,"학생096")+COUNTIF(경영정보시스템_1!$B$2:$B$301,"학생096")+COUNTIF(관리회계_1!$B$2:$B$300,"학생096")+COUNTIF(관리회계_2!$B$2:$B$301,"학생096")+COUNTIF(마케팅_1!$B$2:$B$301,"학생096")+COUNTIF(마케팅리서치_1!$B$2:$B$301,"학생096")+COUNTIF(세법개론_1!$B$2:$B$300,"학생096")+COUNTIF(재무관리_1!$B$2:$B$301,"학생096")+COUNTIF(조직행동론_1!$B$2:$B$301,"학생096")+COUNTIF(조직행동론_2!$B$2:$B$301,"학생096")+COUNTIF(중급재무회계_1!$B$2:$B$301,"학생096")+COUNTIF(투자론_1!$B$2:$B$300,"학생096")+COUNTIF(경영과학_1!$B$2:$B$301,"학생096")+COUNTIF(세무회계_1!$B$2:$B$301,"학생096")+COUNTIF(스마트경영_1!$B$2:$B$301,"학생096")+COUNTIF(스마트경영_2!$B$2:$B$301,"학생096")+COUNTIF(인적자원관리_1!$B$2:$B$257,"학생096")+COUNTIF(서비스마케팅_1!$B$2:$B$276,"학생096")+COUNTIF(제품관리_1!$B$2:$B$301,"학생096")</f>
        <v>7</v>
      </c>
    </row>
    <row r="100" spans="1:9" hidden="1">
      <c r="A100" s="15">
        <v>97</v>
      </c>
      <c r="B100" s="16" t="s">
        <v>98</v>
      </c>
      <c r="C100" s="16">
        <v>202400097</v>
      </c>
      <c r="I100" s="24">
        <f>COUNTIF(경영학원론_1!$B$3:$B$300,"학생097")+COUNTIF(경영학원론_2!$B$2:$B$301,"학생097")+COUNTIF(경영학원론_3!$B$2:$B$301,"학생097")+COUNTIF(경영학원론_4!$B$2:$B$300,"학생097")+COUNTIF(경제학원론_1!$B$2:$B$295,"학생097")+COUNTIF(경제학원론_2!$B$2:$B$298,"학생097")+COUNTIF(경제학원론_3!$B$2:$B$295,"학생097")+COUNTIF(경영통계학_1!$B$2:$B$299,"학생097")+COUNTIF(경영통계학_2!$B$2:$B$301,"학생097")+COUNTIF(경영통계학_3!$B$2:$B$298,"학생097")+COUNTIF(무역학개론_1!$B$2:$B$301,"학생097")+COUNTIF(회계학원론_1!$B$2:$B$293,"학생097")+COUNTIF(경영정보시스템_1!$B$2:$B$301,"학생097")+COUNTIF(관리회계_1!$B$2:$B$300,"학생097")+COUNTIF(관리회계_2!$B$2:$B$301,"학생097")+COUNTIF(마케팅_1!$B$2:$B$301,"학생097")+COUNTIF(마케팅리서치_1!$B$2:$B$301,"학생097")+COUNTIF(세법개론_1!$B$2:$B$300,"학생097")+COUNTIF(재무관리_1!$B$2:$B$301,"학생097")+COUNTIF(조직행동론_1!$B$2:$B$301,"학생097")+COUNTIF(조직행동론_2!$B$2:$B$301,"학생097")+COUNTIF(중급재무회계_1!$B$2:$B$301,"학생097")+COUNTIF(투자론_1!$B$2:$B$300,"학생097")+COUNTIF(경영과학_1!$B$2:$B$301,"학생097")+COUNTIF(세무회계_1!$B$2:$B$301,"학생097")+COUNTIF(스마트경영_1!$B$2:$B$301,"학생097")+COUNTIF(스마트경영_2!$B$2:$B$301,"학생097")+COUNTIF(인적자원관리_1!$B$2:$B$257,"학생097")+COUNTIF(서비스마케팅_1!$B$2:$B$276,"학생097")+COUNTIF(제품관리_1!$B$2:$B$301,"학생097")</f>
        <v>5</v>
      </c>
    </row>
    <row r="101" spans="1:9" hidden="1">
      <c r="A101" s="15">
        <v>98</v>
      </c>
      <c r="B101" s="16" t="s">
        <v>99</v>
      </c>
      <c r="C101" s="16">
        <v>202400098</v>
      </c>
      <c r="I101" s="24">
        <f>COUNTIF(경영학원론_1!$B$3:$B$300,"학생098")+COUNTIF(경영학원론_2!$B$2:$B$301,"학생098")+COUNTIF(경영학원론_3!$B$2:$B$301,"학생098")+COUNTIF(경영학원론_4!$B$2:$B$300,"학생098")+COUNTIF(경제학원론_1!$B$2:$B$295,"학생098")+COUNTIF(경제학원론_2!$B$2:$B$298,"학생098")+COUNTIF(경제학원론_3!$B$2:$B$295,"학생098")+COUNTIF(경영통계학_1!$B$2:$B$299,"학생098")+COUNTIF(경영통계학_2!$B$2:$B$301,"학생098")+COUNTIF(경영통계학_3!$B$2:$B$298,"학생098")+COUNTIF(무역학개론_1!$B$2:$B$301,"학생098")+COUNTIF(회계학원론_1!$B$2:$B$293,"학생098")+COUNTIF(경영정보시스템_1!$B$2:$B$301,"학생098")+COUNTIF(관리회계_1!$B$2:$B$300,"학생098")+COUNTIF(관리회계_2!$B$2:$B$301,"학생098")+COUNTIF(마케팅_1!$B$2:$B$301,"학생098")+COUNTIF(마케팅리서치_1!$B$2:$B$301,"학생098")+COUNTIF(세법개론_1!$B$2:$B$300,"학생098")+COUNTIF(재무관리_1!$B$2:$B$301,"학생098")+COUNTIF(조직행동론_1!$B$2:$B$301,"학생098")+COUNTIF(조직행동론_2!$B$2:$B$301,"학생098")+COUNTIF(중급재무회계_1!$B$2:$B$301,"학생098")+COUNTIF(투자론_1!$B$2:$B$300,"학생098")+COUNTIF(경영과학_1!$B$2:$B$301,"학생098")+COUNTIF(세무회계_1!$B$2:$B$301,"학생098")+COUNTIF(스마트경영_1!$B$2:$B$301,"학생098")+COUNTIF(스마트경영_2!$B$2:$B$301,"학생098")+COUNTIF(인적자원관리_1!$B$2:$B$257,"학생098")+COUNTIF(서비스마케팅_1!$B$2:$B$276,"학생098")+COUNTIF(제품관리_1!$B$2:$B$301,"학생098")</f>
        <v>4</v>
      </c>
    </row>
    <row r="102" spans="1:9" hidden="1">
      <c r="A102" s="15">
        <v>99</v>
      </c>
      <c r="B102" s="16" t="s">
        <v>100</v>
      </c>
      <c r="C102" s="16">
        <v>202400099</v>
      </c>
      <c r="I102" s="24">
        <f>COUNTIF(경영학원론_1!$B$3:$B$300,"학생099")+COUNTIF(경영학원론_2!$B$2:$B$301,"학생099")+COUNTIF(경영학원론_3!$B$2:$B$301,"학생099")+COUNTIF(경영학원론_4!$B$2:$B$300,"학생099")+COUNTIF(경제학원론_1!$B$2:$B$295,"학생099")+COUNTIF(경제학원론_2!$B$2:$B$298,"학생099")+COUNTIF(경제학원론_3!$B$2:$B$295,"학생099")+COUNTIF(경영통계학_1!$B$2:$B$299,"학생099")+COUNTIF(경영통계학_2!$B$2:$B$301,"학생099")+COUNTIF(경영통계학_3!$B$2:$B$298,"학생099")+COUNTIF(무역학개론_1!$B$2:$B$301,"학생099")+COUNTIF(회계학원론_1!$B$2:$B$293,"학생099")+COUNTIF(경영정보시스템_1!$B$2:$B$301,"학생099")+COUNTIF(관리회계_1!$B$2:$B$300,"학생099")+COUNTIF(관리회계_2!$B$2:$B$301,"학생099")+COUNTIF(마케팅_1!$B$2:$B$301,"학생099")+COUNTIF(마케팅리서치_1!$B$2:$B$301,"학생099")+COUNTIF(세법개론_1!$B$2:$B$300,"학생099")+COUNTIF(재무관리_1!$B$2:$B$301,"학생099")+COUNTIF(조직행동론_1!$B$2:$B$301,"학생099")+COUNTIF(조직행동론_2!$B$2:$B$301,"학생099")+COUNTIF(중급재무회계_1!$B$2:$B$301,"학생099")+COUNTIF(투자론_1!$B$2:$B$300,"학생099")+COUNTIF(경영과학_1!$B$2:$B$301,"학생099")+COUNTIF(세무회계_1!$B$2:$B$301,"학생099")+COUNTIF(스마트경영_1!$B$2:$B$301,"학생099")+COUNTIF(스마트경영_2!$B$2:$B$301,"학생099")+COUNTIF(인적자원관리_1!$B$2:$B$257,"학생099")+COUNTIF(서비스마케팅_1!$B$2:$B$276,"학생099")+COUNTIF(제품관리_1!$B$2:$B$301,"학생099")</f>
        <v>7</v>
      </c>
    </row>
    <row r="103" spans="1:9" hidden="1">
      <c r="A103" s="15">
        <v>100</v>
      </c>
      <c r="B103" s="16" t="s">
        <v>101</v>
      </c>
      <c r="C103" s="16">
        <v>202400100</v>
      </c>
      <c r="I103" s="24">
        <f>COUNTIF(경영학원론_1!$B$3:$B$300,"학생100")+COUNTIF(경영학원론_2!$B$2:$B$301,"학생100")+COUNTIF(경영학원론_3!$B$2:$B$301,"학생100")+COUNTIF(경영학원론_4!$B$2:$B$300,"학생100")+COUNTIF(경제학원론_1!$B$2:$B$295,"학생100")+COUNTIF(경제학원론_2!$B$2:$B$298,"학생100")+COUNTIF(경제학원론_3!$B$2:$B$295,"학생100")+COUNTIF(경영통계학_1!$B$2:$B$299,"학생100")+COUNTIF(경영통계학_2!$B$2:$B$301,"학생100")+COUNTIF(경영통계학_3!$B$2:$B$298,"학생100")+COUNTIF(무역학개론_1!$B$2:$B$301,"학생100")+COUNTIF(회계학원론_1!$B$2:$B$293,"학생100")+COUNTIF(경영정보시스템_1!$B$2:$B$301,"학생100")+COUNTIF(관리회계_1!$B$2:$B$300,"학생100")+COUNTIF(관리회계_2!$B$2:$B$301,"학생100")+COUNTIF(마케팅_1!$B$2:$B$301,"학생100")+COUNTIF(마케팅리서치_1!$B$2:$B$301,"학생100")+COUNTIF(세법개론_1!$B$2:$B$300,"학생100")+COUNTIF(재무관리_1!$B$2:$B$301,"학생100")+COUNTIF(조직행동론_1!$B$2:$B$301,"학생100")+COUNTIF(조직행동론_2!$B$2:$B$301,"학생100")+COUNTIF(중급재무회계_1!$B$2:$B$301,"학생100")+COUNTIF(투자론_1!$B$2:$B$300,"학생100")+COUNTIF(경영과학_1!$B$2:$B$301,"학생100")+COUNTIF(세무회계_1!$B$2:$B$301,"학생100")+COUNTIF(스마트경영_1!$B$2:$B$301,"학생100")+COUNTIF(스마트경영_2!$B$2:$B$301,"학생100")+COUNTIF(인적자원관리_1!$B$2:$B$257,"학생100")+COUNTIF(서비스마케팅_1!$B$2:$B$276,"학생100")+COUNTIF(제품관리_1!$B$2:$B$301,"학생100")</f>
        <v>6</v>
      </c>
    </row>
    <row r="104" spans="1:9" hidden="1">
      <c r="A104" s="15">
        <v>101</v>
      </c>
      <c r="B104" s="16" t="s">
        <v>102</v>
      </c>
      <c r="C104" s="16">
        <v>202400101</v>
      </c>
      <c r="I104" s="24">
        <f>COUNTIF(경영학원론_1!$B$3:$B$300,"학생101")+COUNTIF(경영학원론_2!$B$2:$B$301,"학생101")+COUNTIF(경영학원론_3!$B$2:$B$301,"학생101")+COUNTIF(경영학원론_4!$B$2:$B$300,"학생101")+COUNTIF(경제학원론_1!$B$2:$B$295,"학생101")+COUNTIF(경제학원론_2!$B$2:$B$298,"학생101")+COUNTIF(경제학원론_3!$B$2:$B$295,"학생101")+COUNTIF(경영통계학_1!$B$2:$B$299,"학생101")+COUNTIF(경영통계학_2!$B$2:$B$301,"학생101")+COUNTIF(경영통계학_3!$B$2:$B$298,"학생101")+COUNTIF(무역학개론_1!$B$2:$B$301,"학생101")+COUNTIF(회계학원론_1!$B$2:$B$293,"학생101")+COUNTIF(경영정보시스템_1!$B$2:$B$301,"학생101")+COUNTIF(관리회계_1!$B$2:$B$300,"학생101")+COUNTIF(관리회계_2!$B$2:$B$301,"학생101")+COUNTIF(마케팅_1!$B$2:$B$301,"학생101")+COUNTIF(마케팅리서치_1!$B$2:$B$301,"학생101")+COUNTIF(세법개론_1!$B$2:$B$300,"학생101")+COUNTIF(재무관리_1!$B$2:$B$301,"학생101")+COUNTIF(조직행동론_1!$B$2:$B$301,"학생101")+COUNTIF(조직행동론_2!$B$2:$B$301,"학생101")+COUNTIF(중급재무회계_1!$B$2:$B$301,"학생101")+COUNTIF(투자론_1!$B$2:$B$300,"학생101")+COUNTIF(경영과학_1!$B$2:$B$301,"학생101")+COUNTIF(세무회계_1!$B$2:$B$301,"학생101")+COUNTIF(스마트경영_1!$B$2:$B$301,"학생101")+COUNTIF(스마트경영_2!$B$2:$B$301,"학생101")+COUNTIF(인적자원관리_1!$B$2:$B$257,"학생101")+COUNTIF(서비스마케팅_1!$B$2:$B$276,"학생101")+COUNTIF(제품관리_1!$B$2:$B$301,"학생101")</f>
        <v>6</v>
      </c>
    </row>
    <row r="105" spans="1:9" hidden="1">
      <c r="A105" s="15">
        <v>102</v>
      </c>
      <c r="B105" s="16" t="s">
        <v>103</v>
      </c>
      <c r="C105" s="16">
        <v>202400102</v>
      </c>
      <c r="I105" s="24">
        <f>COUNTIF(경영학원론_1!$B$3:$B$300,"학생102")+COUNTIF(경영학원론_2!$B$2:$B$301,"학생102")+COUNTIF(경영학원론_3!$B$2:$B$301,"학생102")+COUNTIF(경영학원론_4!$B$2:$B$300,"학생102")+COUNTIF(경제학원론_1!$B$2:$B$295,"학생102")+COUNTIF(경제학원론_2!$B$2:$B$298,"학생102")+COUNTIF(경제학원론_3!$B$2:$B$295,"학생102")+COUNTIF(경영통계학_1!$B$2:$B$299,"학생102")+COUNTIF(경영통계학_2!$B$2:$B$301,"학생102")+COUNTIF(경영통계학_3!$B$2:$B$298,"학생102")+COUNTIF(무역학개론_1!$B$2:$B$301,"학생102")+COUNTIF(회계학원론_1!$B$2:$B$293,"학생102")+COUNTIF(경영정보시스템_1!$B$2:$B$301,"학생102")+COUNTIF(관리회계_1!$B$2:$B$300,"학생102")+COUNTIF(관리회계_2!$B$2:$B$301,"학생102")+COUNTIF(마케팅_1!$B$2:$B$301,"학생102")+COUNTIF(마케팅리서치_1!$B$2:$B$301,"학생102")+COUNTIF(세법개론_1!$B$2:$B$300,"학생102")+COUNTIF(재무관리_1!$B$2:$B$301,"학생102")+COUNTIF(조직행동론_1!$B$2:$B$301,"학생102")+COUNTIF(조직행동론_2!$B$2:$B$301,"학생102")+COUNTIF(중급재무회계_1!$B$2:$B$301,"학생102")+COUNTIF(투자론_1!$B$2:$B$300,"학생102")+COUNTIF(경영과학_1!$B$2:$B$301,"학생102")+COUNTIF(세무회계_1!$B$2:$B$301,"학생102")+COUNTIF(스마트경영_1!$B$2:$B$301,"학생102")+COUNTIF(스마트경영_2!$B$2:$B$301,"학생102")+COUNTIF(인적자원관리_1!$B$2:$B$257,"학생102")+COUNTIF(서비스마케팅_1!$B$2:$B$276,"학생102")+COUNTIF(제품관리_1!$B$2:$B$301,"학생102")</f>
        <v>3</v>
      </c>
    </row>
    <row r="106" spans="1:9" hidden="1">
      <c r="A106" s="15">
        <v>103</v>
      </c>
      <c r="B106" s="16" t="s">
        <v>104</v>
      </c>
      <c r="C106" s="16">
        <v>202400103</v>
      </c>
      <c r="I106" s="24">
        <f>COUNTIF(경영학원론_1!$B$3:$B$300,"학생103")+COUNTIF(경영학원론_2!$B$2:$B$301,"학생103")+COUNTIF(경영학원론_3!$B$2:$B$301,"학생103")+COUNTIF(경영학원론_4!$B$2:$B$300,"학생103")+COUNTIF(경제학원론_1!$B$2:$B$295,"학생103")+COUNTIF(경제학원론_2!$B$2:$B$298,"학생103")+COUNTIF(경제학원론_3!$B$2:$B$295,"학생103")+COUNTIF(경영통계학_1!$B$2:$B$299,"학생103")+COUNTIF(경영통계학_2!$B$2:$B$301,"학생103")+COUNTIF(경영통계학_3!$B$2:$B$298,"학생103")+COUNTIF(무역학개론_1!$B$2:$B$301,"학생103")+COUNTIF(회계학원론_1!$B$2:$B$293,"학생103")+COUNTIF(경영정보시스템_1!$B$2:$B$301,"학생103")+COUNTIF(관리회계_1!$B$2:$B$300,"학생103")+COUNTIF(관리회계_2!$B$2:$B$301,"학생103")+COUNTIF(마케팅_1!$B$2:$B$301,"학생103")+COUNTIF(마케팅리서치_1!$B$2:$B$301,"학생103")+COUNTIF(세법개론_1!$B$2:$B$300,"학생103")+COUNTIF(재무관리_1!$B$2:$B$301,"학생103")+COUNTIF(조직행동론_1!$B$2:$B$301,"학생103")+COUNTIF(조직행동론_2!$B$2:$B$301,"학생103")+COUNTIF(중급재무회계_1!$B$2:$B$301,"학생103")+COUNTIF(투자론_1!$B$2:$B$300,"학생103")+COUNTIF(경영과학_1!$B$2:$B$301,"학생103")+COUNTIF(세무회계_1!$B$2:$B$301,"학생103")+COUNTIF(스마트경영_1!$B$2:$B$301,"학생103")+COUNTIF(스마트경영_2!$B$2:$B$301,"학생103")+COUNTIF(인적자원관리_1!$B$2:$B$257,"학생103")+COUNTIF(서비스마케팅_1!$B$2:$B$276,"학생103")+COUNTIF(제품관리_1!$B$2:$B$301,"학생103")</f>
        <v>4</v>
      </c>
    </row>
    <row r="107" spans="1:9" hidden="1">
      <c r="A107" s="15">
        <v>104</v>
      </c>
      <c r="B107" s="16" t="s">
        <v>105</v>
      </c>
      <c r="C107" s="16">
        <v>202400104</v>
      </c>
      <c r="I107" s="24">
        <f>COUNTIF(경영학원론_1!$B$3:$B$300,"학생104")+COUNTIF(경영학원론_2!$B$2:$B$301,"학생104")+COUNTIF(경영학원론_3!$B$2:$B$301,"학생104")+COUNTIF(경영학원론_4!$B$2:$B$300,"학생104")+COUNTIF(경제학원론_1!$B$2:$B$295,"학생104")+COUNTIF(경제학원론_2!$B$2:$B$298,"학생104")+COUNTIF(경제학원론_3!$B$2:$B$295,"학생104")+COUNTIF(경영통계학_1!$B$2:$B$299,"학생104")+COUNTIF(경영통계학_2!$B$2:$B$301,"학생104")+COUNTIF(경영통계학_3!$B$2:$B$298,"학생104")+COUNTIF(무역학개론_1!$B$2:$B$301,"학생104")+COUNTIF(회계학원론_1!$B$2:$B$293,"학생104")+COUNTIF(경영정보시스템_1!$B$2:$B$301,"학생104")+COUNTIF(관리회계_1!$B$2:$B$300,"학생104")+COUNTIF(관리회계_2!$B$2:$B$301,"학생104")+COUNTIF(마케팅_1!$B$2:$B$301,"학생104")+COUNTIF(마케팅리서치_1!$B$2:$B$301,"학생104")+COUNTIF(세법개론_1!$B$2:$B$300,"학생104")+COUNTIF(재무관리_1!$B$2:$B$301,"학생104")+COUNTIF(조직행동론_1!$B$2:$B$301,"학생104")+COUNTIF(조직행동론_2!$B$2:$B$301,"학생104")+COUNTIF(중급재무회계_1!$B$2:$B$301,"학생104")+COUNTIF(투자론_1!$B$2:$B$300,"학생104")+COUNTIF(경영과학_1!$B$2:$B$301,"학생104")+COUNTIF(세무회계_1!$B$2:$B$301,"학생104")+COUNTIF(스마트경영_1!$B$2:$B$301,"학생104")+COUNTIF(스마트경영_2!$B$2:$B$301,"학생104")+COUNTIF(인적자원관리_1!$B$2:$B$257,"학생104")+COUNTIF(서비스마케팅_1!$B$2:$B$276,"학생104")+COUNTIF(제품관리_1!$B$2:$B$301,"학생104")</f>
        <v>6</v>
      </c>
    </row>
    <row r="108" spans="1:9" hidden="1">
      <c r="A108" s="15">
        <v>105</v>
      </c>
      <c r="B108" s="16" t="s">
        <v>106</v>
      </c>
      <c r="C108" s="16">
        <v>202400105</v>
      </c>
      <c r="I108" s="24">
        <f>COUNTIF(경영학원론_1!$B$3:$B$300,"학생105")+COUNTIF(경영학원론_2!$B$2:$B$301,"학생105")+COUNTIF(경영학원론_3!$B$2:$B$301,"학생105")+COUNTIF(경영학원론_4!$B$2:$B$300,"학생105")+COUNTIF(경제학원론_1!$B$2:$B$295,"학생105")+COUNTIF(경제학원론_2!$B$2:$B$298,"학생105")+COUNTIF(경제학원론_3!$B$2:$B$295,"학생105")+COUNTIF(경영통계학_1!$B$2:$B$299,"학생105")+COUNTIF(경영통계학_2!$B$2:$B$301,"학생105")+COUNTIF(경영통계학_3!$B$2:$B$298,"학생105")+COUNTIF(무역학개론_1!$B$2:$B$301,"학생105")+COUNTIF(회계학원론_1!$B$2:$B$293,"학생105")+COUNTIF(경영정보시스템_1!$B$2:$B$301,"학생105")+COUNTIF(관리회계_1!$B$2:$B$300,"학생105")+COUNTIF(관리회계_2!$B$2:$B$301,"학생105")+COUNTIF(마케팅_1!$B$2:$B$301,"학생105")+COUNTIF(마케팅리서치_1!$B$2:$B$301,"학생105")+COUNTIF(세법개론_1!$B$2:$B$300,"학생105")+COUNTIF(재무관리_1!$B$2:$B$301,"학생105")+COUNTIF(조직행동론_1!$B$2:$B$301,"학생105")+COUNTIF(조직행동론_2!$B$2:$B$301,"학생105")+COUNTIF(중급재무회계_1!$B$2:$B$301,"학생105")+COUNTIF(투자론_1!$B$2:$B$300,"학생105")+COUNTIF(경영과학_1!$B$2:$B$301,"학생105")+COUNTIF(세무회계_1!$B$2:$B$301,"학생105")+COUNTIF(스마트경영_1!$B$2:$B$301,"학생105")+COUNTIF(스마트경영_2!$B$2:$B$301,"학생105")+COUNTIF(인적자원관리_1!$B$2:$B$257,"학생105")+COUNTIF(서비스마케팅_1!$B$2:$B$276,"학생105")+COUNTIF(제품관리_1!$B$2:$B$301,"학생105")</f>
        <v>7</v>
      </c>
    </row>
    <row r="109" spans="1:9" hidden="1">
      <c r="A109" s="15">
        <v>106</v>
      </c>
      <c r="B109" s="16" t="s">
        <v>107</v>
      </c>
      <c r="C109" s="16">
        <v>202400106</v>
      </c>
      <c r="I109" s="24">
        <f>COUNTIF(경영학원론_1!$B$3:$B$300,"학생106")+COUNTIF(경영학원론_2!$B$2:$B$301,"학생106")+COUNTIF(경영학원론_3!$B$2:$B$301,"학생106")+COUNTIF(경영학원론_4!$B$2:$B$300,"학생106")+COUNTIF(경제학원론_1!$B$2:$B$295,"학생106")+COUNTIF(경제학원론_2!$B$2:$B$298,"학생106")+COUNTIF(경제학원론_3!$B$2:$B$295,"학생106")+COUNTIF(경영통계학_1!$B$2:$B$299,"학생106")+COUNTIF(경영통계학_2!$B$2:$B$301,"학생106")+COUNTIF(경영통계학_3!$B$2:$B$298,"학생106")+COUNTIF(무역학개론_1!$B$2:$B$301,"학생106")+COUNTIF(회계학원론_1!$B$2:$B$293,"학생106")+COUNTIF(경영정보시스템_1!$B$2:$B$301,"학생106")+COUNTIF(관리회계_1!$B$2:$B$300,"학생106")+COUNTIF(관리회계_2!$B$2:$B$301,"학생106")+COUNTIF(마케팅_1!$B$2:$B$301,"학생106")+COUNTIF(마케팅리서치_1!$B$2:$B$301,"학생106")+COUNTIF(세법개론_1!$B$2:$B$300,"학생106")+COUNTIF(재무관리_1!$B$2:$B$301,"학생106")+COUNTIF(조직행동론_1!$B$2:$B$301,"학생106")+COUNTIF(조직행동론_2!$B$2:$B$301,"학생106")+COUNTIF(중급재무회계_1!$B$2:$B$301,"학생106")+COUNTIF(투자론_1!$B$2:$B$300,"학생106")+COUNTIF(경영과학_1!$B$2:$B$301,"학생106")+COUNTIF(세무회계_1!$B$2:$B$301,"학생106")+COUNTIF(스마트경영_1!$B$2:$B$301,"학생106")+COUNTIF(스마트경영_2!$B$2:$B$301,"학생106")+COUNTIF(인적자원관리_1!$B$2:$B$257,"학생106")+COUNTIF(서비스마케팅_1!$B$2:$B$276,"학생106")+COUNTIF(제품관리_1!$B$2:$B$301,"학생106")</f>
        <v>7</v>
      </c>
    </row>
    <row r="110" spans="1:9" hidden="1">
      <c r="A110" s="15">
        <v>107</v>
      </c>
      <c r="B110" s="16" t="s">
        <v>108</v>
      </c>
      <c r="C110" s="16">
        <v>202400107</v>
      </c>
      <c r="I110" s="24">
        <f>COUNTIF(경영학원론_1!$B$3:$B$300,"학생107")+COUNTIF(경영학원론_2!$B$2:$B$301,"학생107")+COUNTIF(경영학원론_3!$B$2:$B$301,"학생107")+COUNTIF(경영학원론_4!$B$2:$B$300,"학생107")+COUNTIF(경제학원론_1!$B$2:$B$295,"학생107")+COUNTIF(경제학원론_2!$B$2:$B$298,"학생107")+COUNTIF(경제학원론_3!$B$2:$B$295,"학생107")+COUNTIF(경영통계학_1!$B$2:$B$299,"학생107")+COUNTIF(경영통계학_2!$B$2:$B$301,"학생107")+COUNTIF(경영통계학_3!$B$2:$B$298,"학생107")+COUNTIF(무역학개론_1!$B$2:$B$301,"학생107")+COUNTIF(회계학원론_1!$B$2:$B$293,"학생107")+COUNTIF(경영정보시스템_1!$B$2:$B$301,"학생107")+COUNTIF(관리회계_1!$B$2:$B$300,"학생107")+COUNTIF(관리회계_2!$B$2:$B$301,"학생107")+COUNTIF(마케팅_1!$B$2:$B$301,"학생107")+COUNTIF(마케팅리서치_1!$B$2:$B$301,"학생107")+COUNTIF(세법개론_1!$B$2:$B$300,"학생107")+COUNTIF(재무관리_1!$B$2:$B$301,"학생107")+COUNTIF(조직행동론_1!$B$2:$B$301,"학생107")+COUNTIF(조직행동론_2!$B$2:$B$301,"학생107")+COUNTIF(중급재무회계_1!$B$2:$B$301,"학생107")+COUNTIF(투자론_1!$B$2:$B$300,"학생107")+COUNTIF(경영과학_1!$B$2:$B$301,"학생107")+COUNTIF(세무회계_1!$B$2:$B$301,"학생107")+COUNTIF(스마트경영_1!$B$2:$B$301,"학생107")+COUNTIF(스마트경영_2!$B$2:$B$301,"학생107")+COUNTIF(인적자원관리_1!$B$2:$B$257,"학생107")+COUNTIF(서비스마케팅_1!$B$2:$B$276,"학생107")+COUNTIF(제품관리_1!$B$2:$B$301,"학생107")</f>
        <v>7</v>
      </c>
    </row>
    <row r="111" spans="1:9" hidden="1">
      <c r="A111" s="15">
        <v>108</v>
      </c>
      <c r="B111" s="16" t="s">
        <v>109</v>
      </c>
      <c r="C111" s="16">
        <v>202400108</v>
      </c>
      <c r="I111" s="24">
        <f>COUNTIF(경영학원론_1!$B$3:$B$300,"학생108")+COUNTIF(경영학원론_2!$B$2:$B$301,"학생108")+COUNTIF(경영학원론_3!$B$2:$B$301,"학생108")+COUNTIF(경영학원론_4!$B$2:$B$300,"학생108")+COUNTIF(경제학원론_1!$B$2:$B$295,"학생108")+COUNTIF(경제학원론_2!$B$2:$B$298,"학생108")+COUNTIF(경제학원론_3!$B$2:$B$295,"학생108")+COUNTIF(경영통계학_1!$B$2:$B$299,"학생108")+COUNTIF(경영통계학_2!$B$2:$B$301,"학생108")+COUNTIF(경영통계학_3!$B$2:$B$298,"학생108")+COUNTIF(무역학개론_1!$B$2:$B$301,"학생108")+COUNTIF(회계학원론_1!$B$2:$B$293,"학생108")+COUNTIF(경영정보시스템_1!$B$2:$B$301,"학생108")+COUNTIF(관리회계_1!$B$2:$B$300,"학생108")+COUNTIF(관리회계_2!$B$2:$B$301,"학생108")+COUNTIF(마케팅_1!$B$2:$B$301,"학생108")+COUNTIF(마케팅리서치_1!$B$2:$B$301,"학생108")+COUNTIF(세법개론_1!$B$2:$B$300,"학생108")+COUNTIF(재무관리_1!$B$2:$B$301,"학생108")+COUNTIF(조직행동론_1!$B$2:$B$301,"학생108")+COUNTIF(조직행동론_2!$B$2:$B$301,"학생108")+COUNTIF(중급재무회계_1!$B$2:$B$301,"학생108")+COUNTIF(투자론_1!$B$2:$B$300,"학생108")+COUNTIF(경영과학_1!$B$2:$B$301,"학생108")+COUNTIF(세무회계_1!$B$2:$B$301,"학생108")+COUNTIF(스마트경영_1!$B$2:$B$301,"학생108")+COUNTIF(스마트경영_2!$B$2:$B$301,"학생108")+COUNTIF(인적자원관리_1!$B$2:$B$257,"학생108")+COUNTIF(서비스마케팅_1!$B$2:$B$276,"학생108")+COUNTIF(제품관리_1!$B$2:$B$301,"학생108")</f>
        <v>7</v>
      </c>
    </row>
    <row r="112" spans="1:9" hidden="1">
      <c r="A112" s="15">
        <v>109</v>
      </c>
      <c r="B112" s="16" t="s">
        <v>110</v>
      </c>
      <c r="C112" s="16">
        <v>202400109</v>
      </c>
      <c r="I112" s="24">
        <f>COUNTIF(경영학원론_1!$B$3:$B$300,"학생109")+COUNTIF(경영학원론_2!$B$2:$B$301,"학생109")+COUNTIF(경영학원론_3!$B$2:$B$301,"학생109")+COUNTIF(경영학원론_4!$B$2:$B$300,"학생109")+COUNTIF(경제학원론_1!$B$2:$B$295,"학생109")+COUNTIF(경제학원론_2!$B$2:$B$298,"학생109")+COUNTIF(경제학원론_3!$B$2:$B$295,"학생109")+COUNTIF(경영통계학_1!$B$2:$B$299,"학생109")+COUNTIF(경영통계학_2!$B$2:$B$301,"학생109")+COUNTIF(경영통계학_3!$B$2:$B$298,"학생109")+COUNTIF(무역학개론_1!$B$2:$B$301,"학생109")+COUNTIF(회계학원론_1!$B$2:$B$293,"학생109")+COUNTIF(경영정보시스템_1!$B$2:$B$301,"학생109")+COUNTIF(관리회계_1!$B$2:$B$300,"학생109")+COUNTIF(관리회계_2!$B$2:$B$301,"학생109")+COUNTIF(마케팅_1!$B$2:$B$301,"학생109")+COUNTIF(마케팅리서치_1!$B$2:$B$301,"학생109")+COUNTIF(세법개론_1!$B$2:$B$300,"학생109")+COUNTIF(재무관리_1!$B$2:$B$301,"학생109")+COUNTIF(조직행동론_1!$B$2:$B$301,"학생109")+COUNTIF(조직행동론_2!$B$2:$B$301,"학생109")+COUNTIF(중급재무회계_1!$B$2:$B$301,"학생109")+COUNTIF(투자론_1!$B$2:$B$300,"학생109")+COUNTIF(경영과학_1!$B$2:$B$301,"학생109")+COUNTIF(세무회계_1!$B$2:$B$301,"학생109")+COUNTIF(스마트경영_1!$B$2:$B$301,"학생109")+COUNTIF(스마트경영_2!$B$2:$B$301,"학생109")+COUNTIF(인적자원관리_1!$B$2:$B$257,"학생109")+COUNTIF(서비스마케팅_1!$B$2:$B$276,"학생109")+COUNTIF(제품관리_1!$B$2:$B$301,"학생109")</f>
        <v>5</v>
      </c>
    </row>
    <row r="113" spans="1:9" hidden="1">
      <c r="A113" s="15">
        <v>110</v>
      </c>
      <c r="B113" s="16" t="s">
        <v>111</v>
      </c>
      <c r="C113" s="16">
        <v>202400110</v>
      </c>
      <c r="I113" s="24">
        <f>COUNTIF(경영학원론_1!$B$3:$B$300,"학생110")+COUNTIF(경영학원론_2!$B$2:$B$301,"학생110")+COUNTIF(경영학원론_3!$B$2:$B$301,"학생110")+COUNTIF(경영학원론_4!$B$2:$B$300,"학생110")+COUNTIF(경제학원론_1!$B$2:$B$295,"학생110")+COUNTIF(경제학원론_2!$B$2:$B$298,"학생110")+COUNTIF(경제학원론_3!$B$2:$B$295,"학생110")+COUNTIF(경영통계학_1!$B$2:$B$299,"학생110")+COUNTIF(경영통계학_2!$B$2:$B$301,"학생110")+COUNTIF(경영통계학_3!$B$2:$B$298,"학생110")+COUNTIF(무역학개론_1!$B$2:$B$301,"학생110")+COUNTIF(회계학원론_1!$B$2:$B$293,"학생110")+COUNTIF(경영정보시스템_1!$B$2:$B$301,"학생110")+COUNTIF(관리회계_1!$B$2:$B$300,"학생110")+COUNTIF(관리회계_2!$B$2:$B$301,"학생110")+COUNTIF(마케팅_1!$B$2:$B$301,"학생110")+COUNTIF(마케팅리서치_1!$B$2:$B$301,"학생110")+COUNTIF(세법개론_1!$B$2:$B$300,"학생110")+COUNTIF(재무관리_1!$B$2:$B$301,"학생110")+COUNTIF(조직행동론_1!$B$2:$B$301,"학생110")+COUNTIF(조직행동론_2!$B$2:$B$301,"학생110")+COUNTIF(중급재무회계_1!$B$2:$B$301,"학생110")+COUNTIF(투자론_1!$B$2:$B$300,"학생110")+COUNTIF(경영과학_1!$B$2:$B$301,"학생110")+COUNTIF(세무회계_1!$B$2:$B$301,"학생110")+COUNTIF(스마트경영_1!$B$2:$B$301,"학생110")+COUNTIF(스마트경영_2!$B$2:$B$301,"학생110")+COUNTIF(인적자원관리_1!$B$2:$B$257,"학생110")+COUNTIF(서비스마케팅_1!$B$2:$B$276,"학생110")+COUNTIF(제품관리_1!$B$2:$B$301,"학생110")</f>
        <v>6</v>
      </c>
    </row>
    <row r="114" spans="1:9" hidden="1">
      <c r="A114" s="15">
        <v>111</v>
      </c>
      <c r="B114" s="16" t="s">
        <v>112</v>
      </c>
      <c r="C114" s="16">
        <v>202400111</v>
      </c>
      <c r="I114" s="24">
        <f>COUNTIF(경영학원론_1!$B$3:$B$300,"학생111")+COUNTIF(경영학원론_2!$B$2:$B$301,"학생111")+COUNTIF(경영학원론_3!$B$2:$B$301,"학생111")+COUNTIF(경영학원론_4!$B$2:$B$300,"학생111")+COUNTIF(경제학원론_1!$B$2:$B$295,"학생111")+COUNTIF(경제학원론_2!$B$2:$B$298,"학생111")+COUNTIF(경제학원론_3!$B$2:$B$295,"학생111")+COUNTIF(경영통계학_1!$B$2:$B$299,"학생111")+COUNTIF(경영통계학_2!$B$2:$B$301,"학생111")+COUNTIF(경영통계학_3!$B$2:$B$298,"학생111")+COUNTIF(무역학개론_1!$B$2:$B$301,"학생111")+COUNTIF(회계학원론_1!$B$2:$B$293,"학생111")+COUNTIF(경영정보시스템_1!$B$2:$B$301,"학생111")+COUNTIF(관리회계_1!$B$2:$B$300,"학생111")+COUNTIF(관리회계_2!$B$2:$B$301,"학생111")+COUNTIF(마케팅_1!$B$2:$B$301,"학생111")+COUNTIF(마케팅리서치_1!$B$2:$B$301,"학생111")+COUNTIF(세법개론_1!$B$2:$B$300,"학생111")+COUNTIF(재무관리_1!$B$2:$B$301,"학생111")+COUNTIF(조직행동론_1!$B$2:$B$301,"학생111")+COUNTIF(조직행동론_2!$B$2:$B$301,"학생111")+COUNTIF(중급재무회계_1!$B$2:$B$301,"학생111")+COUNTIF(투자론_1!$B$2:$B$300,"학생111")+COUNTIF(경영과학_1!$B$2:$B$301,"학생111")+COUNTIF(세무회계_1!$B$2:$B$301,"학생111")+COUNTIF(스마트경영_1!$B$2:$B$301,"학생111")+COUNTIF(스마트경영_2!$B$2:$B$301,"학생111")+COUNTIF(인적자원관리_1!$B$2:$B$257,"학생111")+COUNTIF(서비스마케팅_1!$B$2:$B$276,"학생111")+COUNTIF(제품관리_1!$B$2:$B$301,"학생111")</f>
        <v>6</v>
      </c>
    </row>
    <row r="115" spans="1:9" hidden="1">
      <c r="A115" s="15">
        <v>112</v>
      </c>
      <c r="B115" s="16" t="s">
        <v>113</v>
      </c>
      <c r="C115" s="16">
        <v>202400112</v>
      </c>
      <c r="I115" s="24">
        <f>COUNTIF(경영학원론_1!$B$3:$B$300,"학생112")+COUNTIF(경영학원론_2!$B$2:$B$301,"학생112")+COUNTIF(경영학원론_3!$B$2:$B$301,"학생112")+COUNTIF(경영학원론_4!$B$2:$B$300,"학생112")+COUNTIF(경제학원론_1!$B$2:$B$295,"학생112")+COUNTIF(경제학원론_2!$B$2:$B$298,"학생112")+COUNTIF(경제학원론_3!$B$2:$B$295,"학생112")+COUNTIF(경영통계학_1!$B$2:$B$299,"학생112")+COUNTIF(경영통계학_2!$B$2:$B$301,"학생112")+COUNTIF(경영통계학_3!$B$2:$B$298,"학생112")+COUNTIF(무역학개론_1!$B$2:$B$301,"학생112")+COUNTIF(회계학원론_1!$B$2:$B$293,"학생112")+COUNTIF(경영정보시스템_1!$B$2:$B$301,"학생112")+COUNTIF(관리회계_1!$B$2:$B$300,"학생112")+COUNTIF(관리회계_2!$B$2:$B$301,"학생112")+COUNTIF(마케팅_1!$B$2:$B$301,"학생112")+COUNTIF(마케팅리서치_1!$B$2:$B$301,"학생112")+COUNTIF(세법개론_1!$B$2:$B$300,"학생112")+COUNTIF(재무관리_1!$B$2:$B$301,"학생112")+COUNTIF(조직행동론_1!$B$2:$B$301,"학생112")+COUNTIF(조직행동론_2!$B$2:$B$301,"학생112")+COUNTIF(중급재무회계_1!$B$2:$B$301,"학생112")+COUNTIF(투자론_1!$B$2:$B$300,"학생112")+COUNTIF(경영과학_1!$B$2:$B$301,"학생112")+COUNTIF(세무회계_1!$B$2:$B$301,"학생112")+COUNTIF(스마트경영_1!$B$2:$B$301,"학생112")+COUNTIF(스마트경영_2!$B$2:$B$301,"학생112")+COUNTIF(인적자원관리_1!$B$2:$B$257,"학생112")+COUNTIF(서비스마케팅_1!$B$2:$B$276,"학생112")+COUNTIF(제품관리_1!$B$2:$B$301,"학생112")</f>
        <v>5</v>
      </c>
    </row>
    <row r="116" spans="1:9" hidden="1">
      <c r="A116" s="15">
        <v>113</v>
      </c>
      <c r="B116" s="16" t="s">
        <v>114</v>
      </c>
      <c r="C116" s="16">
        <v>202400113</v>
      </c>
      <c r="I116" s="24">
        <f>COUNTIF(경영학원론_1!$B$3:$B$300,"학생113")+COUNTIF(경영학원론_2!$B$2:$B$301,"학생113")+COUNTIF(경영학원론_3!$B$2:$B$301,"학생113")+COUNTIF(경영학원론_4!$B$2:$B$300,"학생113")+COUNTIF(경제학원론_1!$B$2:$B$295,"학생113")+COUNTIF(경제학원론_2!$B$2:$B$298,"학생113")+COUNTIF(경제학원론_3!$B$2:$B$295,"학생113")+COUNTIF(경영통계학_1!$B$2:$B$299,"학생113")+COUNTIF(경영통계학_2!$B$2:$B$301,"학생113")+COUNTIF(경영통계학_3!$B$2:$B$298,"학생113")+COUNTIF(무역학개론_1!$B$2:$B$301,"학생113")+COUNTIF(회계학원론_1!$B$2:$B$293,"학생113")+COUNTIF(경영정보시스템_1!$B$2:$B$301,"학생113")+COUNTIF(관리회계_1!$B$2:$B$300,"학생113")+COUNTIF(관리회계_2!$B$2:$B$301,"학생113")+COUNTIF(마케팅_1!$B$2:$B$301,"학생113")+COUNTIF(마케팅리서치_1!$B$2:$B$301,"학생113")+COUNTIF(세법개론_1!$B$2:$B$300,"학생113")+COUNTIF(재무관리_1!$B$2:$B$301,"학생113")+COUNTIF(조직행동론_1!$B$2:$B$301,"학생113")+COUNTIF(조직행동론_2!$B$2:$B$301,"학생113")+COUNTIF(중급재무회계_1!$B$2:$B$301,"학생113")+COUNTIF(투자론_1!$B$2:$B$300,"학생113")+COUNTIF(경영과학_1!$B$2:$B$301,"학생113")+COUNTIF(세무회계_1!$B$2:$B$301,"학생113")+COUNTIF(스마트경영_1!$B$2:$B$301,"학생113")+COUNTIF(스마트경영_2!$B$2:$B$301,"학생113")+COUNTIF(인적자원관리_1!$B$2:$B$257,"학생113")+COUNTIF(서비스마케팅_1!$B$2:$B$276,"학생113")+COUNTIF(제품관리_1!$B$2:$B$301,"학생113")</f>
        <v>6</v>
      </c>
    </row>
    <row r="117" spans="1:9" hidden="1">
      <c r="A117" s="15">
        <v>114</v>
      </c>
      <c r="B117" s="16" t="s">
        <v>115</v>
      </c>
      <c r="C117" s="16">
        <v>202400114</v>
      </c>
      <c r="I117" s="24">
        <f>COUNTIF(경영학원론_1!$B$3:$B$300,"학생114")+COUNTIF(경영학원론_2!$B$2:$B$301,"학생114")+COUNTIF(경영학원론_3!$B$2:$B$301,"학생114")+COUNTIF(경영학원론_4!$B$2:$B$300,"학생114")+COUNTIF(경제학원론_1!$B$2:$B$295,"학생114")+COUNTIF(경제학원론_2!$B$2:$B$298,"학생114")+COUNTIF(경제학원론_3!$B$2:$B$295,"학생114")+COUNTIF(경영통계학_1!$B$2:$B$299,"학생114")+COUNTIF(경영통계학_2!$B$2:$B$301,"학생114")+COUNTIF(경영통계학_3!$B$2:$B$298,"학생114")+COUNTIF(무역학개론_1!$B$2:$B$301,"학생114")+COUNTIF(회계학원론_1!$B$2:$B$293,"학생114")+COUNTIF(경영정보시스템_1!$B$2:$B$301,"학생114")+COUNTIF(관리회계_1!$B$2:$B$300,"학생114")+COUNTIF(관리회계_2!$B$2:$B$301,"학생114")+COUNTIF(마케팅_1!$B$2:$B$301,"학생114")+COUNTIF(마케팅리서치_1!$B$2:$B$301,"학생114")+COUNTIF(세법개론_1!$B$2:$B$300,"학생114")+COUNTIF(재무관리_1!$B$2:$B$301,"학생114")+COUNTIF(조직행동론_1!$B$2:$B$301,"학생114")+COUNTIF(조직행동론_2!$B$2:$B$301,"학생114")+COUNTIF(중급재무회계_1!$B$2:$B$301,"학생114")+COUNTIF(투자론_1!$B$2:$B$300,"학생114")+COUNTIF(경영과학_1!$B$2:$B$301,"학생114")+COUNTIF(세무회계_1!$B$2:$B$301,"학생114")+COUNTIF(스마트경영_1!$B$2:$B$301,"학생114")+COUNTIF(스마트경영_2!$B$2:$B$301,"학생114")+COUNTIF(인적자원관리_1!$B$2:$B$257,"학생114")+COUNTIF(서비스마케팅_1!$B$2:$B$276,"학생114")+COUNTIF(제품관리_1!$B$2:$B$301,"학생114")</f>
        <v>5</v>
      </c>
    </row>
    <row r="118" spans="1:9" hidden="1">
      <c r="A118" s="15">
        <v>115</v>
      </c>
      <c r="B118" s="16" t="s">
        <v>116</v>
      </c>
      <c r="C118" s="16">
        <v>202400115</v>
      </c>
      <c r="I118" s="24">
        <f>COUNTIF(경영학원론_1!$B$3:$B$300,"학생115")+COUNTIF(경영학원론_2!$B$2:$B$301,"학생115")+COUNTIF(경영학원론_3!$B$2:$B$301,"학생115")+COUNTIF(경영학원론_4!$B$2:$B$300,"학생115")+COUNTIF(경제학원론_1!$B$2:$B$295,"학생115")+COUNTIF(경제학원론_2!$B$2:$B$298,"학생115")+COUNTIF(경제학원론_3!$B$2:$B$295,"학생115")+COUNTIF(경영통계학_1!$B$2:$B$299,"학생115")+COUNTIF(경영통계학_2!$B$2:$B$301,"학생115")+COUNTIF(경영통계학_3!$B$2:$B$298,"학생115")+COUNTIF(무역학개론_1!$B$2:$B$301,"학생115")+COUNTIF(회계학원론_1!$B$2:$B$293,"학생115")+COUNTIF(경영정보시스템_1!$B$2:$B$301,"학생115")+COUNTIF(관리회계_1!$B$2:$B$300,"학생115")+COUNTIF(관리회계_2!$B$2:$B$301,"학생115")+COUNTIF(마케팅_1!$B$2:$B$301,"학생115")+COUNTIF(마케팅리서치_1!$B$2:$B$301,"학생115")+COUNTIF(세법개론_1!$B$2:$B$300,"학생115")+COUNTIF(재무관리_1!$B$2:$B$301,"학생115")+COUNTIF(조직행동론_1!$B$2:$B$301,"학생115")+COUNTIF(조직행동론_2!$B$2:$B$301,"학생115")+COUNTIF(중급재무회계_1!$B$2:$B$301,"학생115")+COUNTIF(투자론_1!$B$2:$B$300,"학생115")+COUNTIF(경영과학_1!$B$2:$B$301,"학생115")+COUNTIF(세무회계_1!$B$2:$B$301,"학생115")+COUNTIF(스마트경영_1!$B$2:$B$301,"학생115")+COUNTIF(스마트경영_2!$B$2:$B$301,"학생115")+COUNTIF(인적자원관리_1!$B$2:$B$257,"학생115")+COUNTIF(서비스마케팅_1!$B$2:$B$276,"학생115")+COUNTIF(제품관리_1!$B$2:$B$301,"학생115")</f>
        <v>4</v>
      </c>
    </row>
    <row r="119" spans="1:9" hidden="1">
      <c r="A119" s="15">
        <v>116</v>
      </c>
      <c r="B119" s="16" t="s">
        <v>117</v>
      </c>
      <c r="C119" s="16">
        <v>202400116</v>
      </c>
      <c r="I119" s="24">
        <f>COUNTIF(경영학원론_1!$B$3:$B$300,"학생116")+COUNTIF(경영학원론_2!$B$2:$B$301,"학생116")+COUNTIF(경영학원론_3!$B$2:$B$301,"학생116")+COUNTIF(경영학원론_4!$B$2:$B$300,"학생116")+COUNTIF(경제학원론_1!$B$2:$B$295,"학생116")+COUNTIF(경제학원론_2!$B$2:$B$298,"학생116")+COUNTIF(경제학원론_3!$B$2:$B$295,"학생116")+COUNTIF(경영통계학_1!$B$2:$B$299,"학생116")+COUNTIF(경영통계학_2!$B$2:$B$301,"학생116")+COUNTIF(경영통계학_3!$B$2:$B$298,"학생116")+COUNTIF(무역학개론_1!$B$2:$B$301,"학생116")+COUNTIF(회계학원론_1!$B$2:$B$293,"학생116")+COUNTIF(경영정보시스템_1!$B$2:$B$301,"학생116")+COUNTIF(관리회계_1!$B$2:$B$300,"학생116")+COUNTIF(관리회계_2!$B$2:$B$301,"학생116")+COUNTIF(마케팅_1!$B$2:$B$301,"학생116")+COUNTIF(마케팅리서치_1!$B$2:$B$301,"학생116")+COUNTIF(세법개론_1!$B$2:$B$300,"학생116")+COUNTIF(재무관리_1!$B$2:$B$301,"학생116")+COUNTIF(조직행동론_1!$B$2:$B$301,"학생116")+COUNTIF(조직행동론_2!$B$2:$B$301,"학생116")+COUNTIF(중급재무회계_1!$B$2:$B$301,"학생116")+COUNTIF(투자론_1!$B$2:$B$300,"학생116")+COUNTIF(경영과학_1!$B$2:$B$301,"학생116")+COUNTIF(세무회계_1!$B$2:$B$301,"학생116")+COUNTIF(스마트경영_1!$B$2:$B$301,"학생116")+COUNTIF(스마트경영_2!$B$2:$B$301,"학생116")+COUNTIF(인적자원관리_1!$B$2:$B$257,"학생116")+COUNTIF(서비스마케팅_1!$B$2:$B$276,"학생116")+COUNTIF(제품관리_1!$B$2:$B$301,"학생116")</f>
        <v>5</v>
      </c>
    </row>
    <row r="120" spans="1:9" hidden="1">
      <c r="A120" s="15">
        <v>117</v>
      </c>
      <c r="B120" s="16" t="s">
        <v>118</v>
      </c>
      <c r="C120" s="16">
        <v>202400117</v>
      </c>
      <c r="I120" s="24">
        <f>COUNTIF(경영학원론_1!$B$3:$B$300,"학생117")+COUNTIF(경영학원론_2!$B$2:$B$301,"학생117")+COUNTIF(경영학원론_3!$B$2:$B$301,"학생117")+COUNTIF(경영학원론_4!$B$2:$B$300,"학생117")+COUNTIF(경제학원론_1!$B$2:$B$295,"학생117")+COUNTIF(경제학원론_2!$B$2:$B$298,"학생117")+COUNTIF(경제학원론_3!$B$2:$B$295,"학생117")+COUNTIF(경영통계학_1!$B$2:$B$299,"학생117")+COUNTIF(경영통계학_2!$B$2:$B$301,"학생117")+COUNTIF(경영통계학_3!$B$2:$B$298,"학생117")+COUNTIF(무역학개론_1!$B$2:$B$301,"학생117")+COUNTIF(회계학원론_1!$B$2:$B$293,"학생117")+COUNTIF(경영정보시스템_1!$B$2:$B$301,"학생117")+COUNTIF(관리회계_1!$B$2:$B$300,"학생117")+COUNTIF(관리회계_2!$B$2:$B$301,"학생117")+COUNTIF(마케팅_1!$B$2:$B$301,"학생117")+COUNTIF(마케팅리서치_1!$B$2:$B$301,"학생117")+COUNTIF(세법개론_1!$B$2:$B$300,"학생117")+COUNTIF(재무관리_1!$B$2:$B$301,"학생117")+COUNTIF(조직행동론_1!$B$2:$B$301,"학생117")+COUNTIF(조직행동론_2!$B$2:$B$301,"학생117")+COUNTIF(중급재무회계_1!$B$2:$B$301,"학생117")+COUNTIF(투자론_1!$B$2:$B$300,"학생117")+COUNTIF(경영과학_1!$B$2:$B$301,"학생117")+COUNTIF(세무회계_1!$B$2:$B$301,"학생117")+COUNTIF(스마트경영_1!$B$2:$B$301,"학생117")+COUNTIF(스마트경영_2!$B$2:$B$301,"학생117")+COUNTIF(인적자원관리_1!$B$2:$B$257,"학생117")+COUNTIF(서비스마케팅_1!$B$2:$B$276,"학생117")+COUNTIF(제품관리_1!$B$2:$B$301,"학생117")</f>
        <v>7</v>
      </c>
    </row>
    <row r="121" spans="1:9" hidden="1">
      <c r="A121" s="15">
        <v>118</v>
      </c>
      <c r="B121" s="16" t="s">
        <v>119</v>
      </c>
      <c r="C121" s="16">
        <v>202400118</v>
      </c>
      <c r="I121" s="24">
        <f>COUNTIF(경영학원론_1!$B$3:$B$300,"학생118")+COUNTIF(경영학원론_2!$B$2:$B$301,"학생118")+COUNTIF(경영학원론_3!$B$2:$B$301,"학생118")+COUNTIF(경영학원론_4!$B$2:$B$300,"학생118")+COUNTIF(경제학원론_1!$B$2:$B$295,"학생118")+COUNTIF(경제학원론_2!$B$2:$B$298,"학생118")+COUNTIF(경제학원론_3!$B$2:$B$295,"학생118")+COUNTIF(경영통계학_1!$B$2:$B$299,"학생118")+COUNTIF(경영통계학_2!$B$2:$B$301,"학생118")+COUNTIF(경영통계학_3!$B$2:$B$298,"학생118")+COUNTIF(무역학개론_1!$B$2:$B$301,"학생118")+COUNTIF(회계학원론_1!$B$2:$B$293,"학생118")+COUNTIF(경영정보시스템_1!$B$2:$B$301,"학생118")+COUNTIF(관리회계_1!$B$2:$B$300,"학생118")+COUNTIF(관리회계_2!$B$2:$B$301,"학생118")+COUNTIF(마케팅_1!$B$2:$B$301,"학생118")+COUNTIF(마케팅리서치_1!$B$2:$B$301,"학생118")+COUNTIF(세법개론_1!$B$2:$B$300,"학생118")+COUNTIF(재무관리_1!$B$2:$B$301,"학생118")+COUNTIF(조직행동론_1!$B$2:$B$301,"학생118")+COUNTIF(조직행동론_2!$B$2:$B$301,"학생118")+COUNTIF(중급재무회계_1!$B$2:$B$301,"학생118")+COUNTIF(투자론_1!$B$2:$B$300,"학생118")+COUNTIF(경영과학_1!$B$2:$B$301,"학생118")+COUNTIF(세무회계_1!$B$2:$B$301,"학생118")+COUNTIF(스마트경영_1!$B$2:$B$301,"학생118")+COUNTIF(스마트경영_2!$B$2:$B$301,"학생118")+COUNTIF(인적자원관리_1!$B$2:$B$257,"학생118")+COUNTIF(서비스마케팅_1!$B$2:$B$276,"학생118")+COUNTIF(제품관리_1!$B$2:$B$301,"학생118")</f>
        <v>7</v>
      </c>
    </row>
    <row r="122" spans="1:9" hidden="1">
      <c r="A122" s="15">
        <v>119</v>
      </c>
      <c r="B122" s="16" t="s">
        <v>120</v>
      </c>
      <c r="C122" s="16">
        <v>202400119</v>
      </c>
      <c r="I122" s="24">
        <f>COUNTIF(경영학원론_1!$B$3:$B$300,"학생119")+COUNTIF(경영학원론_2!$B$2:$B$301,"학생119")+COUNTIF(경영학원론_3!$B$2:$B$301,"학생119")+COUNTIF(경영학원론_4!$B$2:$B$300,"학생119")+COUNTIF(경제학원론_1!$B$2:$B$295,"학생119")+COUNTIF(경제학원론_2!$B$2:$B$298,"학생119")+COUNTIF(경제학원론_3!$B$2:$B$295,"학생119")+COUNTIF(경영통계학_1!$B$2:$B$299,"학생119")+COUNTIF(경영통계학_2!$B$2:$B$301,"학생119")+COUNTIF(경영통계학_3!$B$2:$B$298,"학생119")+COUNTIF(무역학개론_1!$B$2:$B$301,"학생119")+COUNTIF(회계학원론_1!$B$2:$B$293,"학생119")+COUNTIF(경영정보시스템_1!$B$2:$B$301,"학생119")+COUNTIF(관리회계_1!$B$2:$B$300,"학생119")+COUNTIF(관리회계_2!$B$2:$B$301,"학생119")+COUNTIF(마케팅_1!$B$2:$B$301,"학생119")+COUNTIF(마케팅리서치_1!$B$2:$B$301,"학생119")+COUNTIF(세법개론_1!$B$2:$B$300,"학생119")+COUNTIF(재무관리_1!$B$2:$B$301,"학생119")+COUNTIF(조직행동론_1!$B$2:$B$301,"학생119")+COUNTIF(조직행동론_2!$B$2:$B$301,"학생119")+COUNTIF(중급재무회계_1!$B$2:$B$301,"학생119")+COUNTIF(투자론_1!$B$2:$B$300,"학생119")+COUNTIF(경영과학_1!$B$2:$B$301,"학생119")+COUNTIF(세무회계_1!$B$2:$B$301,"학생119")+COUNTIF(스마트경영_1!$B$2:$B$301,"학생119")+COUNTIF(스마트경영_2!$B$2:$B$301,"학생119")+COUNTIF(인적자원관리_1!$B$2:$B$257,"학생119")+COUNTIF(서비스마케팅_1!$B$2:$B$276,"학생119")+COUNTIF(제품관리_1!$B$2:$B$301,"학생119")</f>
        <v>7</v>
      </c>
    </row>
    <row r="123" spans="1:9" hidden="1">
      <c r="A123" s="15">
        <v>120</v>
      </c>
      <c r="B123" s="16" t="s">
        <v>121</v>
      </c>
      <c r="C123" s="16">
        <v>202400120</v>
      </c>
      <c r="I123" s="24">
        <f>COUNTIF(경영학원론_1!$B$3:$B$300,"학생120")+COUNTIF(경영학원론_2!$B$2:$B$301,"학생120")+COUNTIF(경영학원론_3!$B$2:$B$301,"학생120")+COUNTIF(경영학원론_4!$B$2:$B$300,"학생120")+COUNTIF(경제학원론_1!$B$2:$B$295,"학생120")+COUNTIF(경제학원론_2!$B$2:$B$298,"학생120")+COUNTIF(경제학원론_3!$B$2:$B$295,"학생120")+COUNTIF(경영통계학_1!$B$2:$B$299,"학생120")+COUNTIF(경영통계학_2!$B$2:$B$301,"학생120")+COUNTIF(경영통계학_3!$B$2:$B$298,"학생120")+COUNTIF(무역학개론_1!$B$2:$B$301,"학생120")+COUNTIF(회계학원론_1!$B$2:$B$293,"학생120")+COUNTIF(경영정보시스템_1!$B$2:$B$301,"학생120")+COUNTIF(관리회계_1!$B$2:$B$300,"학생120")+COUNTIF(관리회계_2!$B$2:$B$301,"학생120")+COUNTIF(마케팅_1!$B$2:$B$301,"학생120")+COUNTIF(마케팅리서치_1!$B$2:$B$301,"학생120")+COUNTIF(세법개론_1!$B$2:$B$300,"학생120")+COUNTIF(재무관리_1!$B$2:$B$301,"학생120")+COUNTIF(조직행동론_1!$B$2:$B$301,"학생120")+COUNTIF(조직행동론_2!$B$2:$B$301,"학생120")+COUNTIF(중급재무회계_1!$B$2:$B$301,"학생120")+COUNTIF(투자론_1!$B$2:$B$300,"학생120")+COUNTIF(경영과학_1!$B$2:$B$301,"학생120")+COUNTIF(세무회계_1!$B$2:$B$301,"학생120")+COUNTIF(스마트경영_1!$B$2:$B$301,"학생120")+COUNTIF(스마트경영_2!$B$2:$B$301,"학생120")+COUNTIF(인적자원관리_1!$B$2:$B$257,"학생120")+COUNTIF(서비스마케팅_1!$B$2:$B$276,"학생120")+COUNTIF(제품관리_1!$B$2:$B$301,"학생120")</f>
        <v>5</v>
      </c>
    </row>
    <row r="124" spans="1:9" hidden="1">
      <c r="A124" s="15">
        <v>121</v>
      </c>
      <c r="B124" s="16" t="s">
        <v>122</v>
      </c>
      <c r="C124" s="16">
        <v>202400121</v>
      </c>
      <c r="I124" s="24">
        <f>COUNTIF(경영학원론_1!$B$3:$B$300,"학생121")+COUNTIF(경영학원론_2!$B$2:$B$301,"학생121")+COUNTIF(경영학원론_3!$B$2:$B$301,"학생121")+COUNTIF(경영학원론_4!$B$2:$B$300,"학생121")+COUNTIF(경제학원론_1!$B$2:$B$295,"학생121")+COUNTIF(경제학원론_2!$B$2:$B$298,"학생121")+COUNTIF(경제학원론_3!$B$2:$B$295,"학생121")+COUNTIF(경영통계학_1!$B$2:$B$299,"학생121")+COUNTIF(경영통계학_2!$B$2:$B$301,"학생121")+COUNTIF(경영통계학_3!$B$2:$B$298,"학생121")+COUNTIF(무역학개론_1!$B$2:$B$301,"학생121")+COUNTIF(회계학원론_1!$B$2:$B$293,"학생121")+COUNTIF(경영정보시스템_1!$B$2:$B$301,"학생121")+COUNTIF(관리회계_1!$B$2:$B$300,"학생121")+COUNTIF(관리회계_2!$B$2:$B$301,"학생121")+COUNTIF(마케팅_1!$B$2:$B$301,"학생121")+COUNTIF(마케팅리서치_1!$B$2:$B$301,"학생121")+COUNTIF(세법개론_1!$B$2:$B$300,"학생121")+COUNTIF(재무관리_1!$B$2:$B$301,"학생121")+COUNTIF(조직행동론_1!$B$2:$B$301,"학생121")+COUNTIF(조직행동론_2!$B$2:$B$301,"학생121")+COUNTIF(중급재무회계_1!$B$2:$B$301,"학생121")+COUNTIF(투자론_1!$B$2:$B$300,"학생121")+COUNTIF(경영과학_1!$B$2:$B$301,"학생121")+COUNTIF(세무회계_1!$B$2:$B$301,"학생121")+COUNTIF(스마트경영_1!$B$2:$B$301,"학생121")+COUNTIF(스마트경영_2!$B$2:$B$301,"학생121")+COUNTIF(인적자원관리_1!$B$2:$B$257,"학생121")+COUNTIF(서비스마케팅_1!$B$2:$B$276,"학생121")+COUNTIF(제품관리_1!$B$2:$B$301,"학생121")</f>
        <v>7</v>
      </c>
    </row>
    <row r="125" spans="1:9" hidden="1">
      <c r="A125" s="15">
        <v>122</v>
      </c>
      <c r="B125" s="16" t="s">
        <v>123</v>
      </c>
      <c r="C125" s="16">
        <v>202400122</v>
      </c>
      <c r="I125" s="24">
        <f>COUNTIF(경영학원론_1!$B$3:$B$300,"학생122")+COUNTIF(경영학원론_2!$B$2:$B$301,"학생122")+COUNTIF(경영학원론_3!$B$2:$B$301,"학생122")+COUNTIF(경영학원론_4!$B$2:$B$300,"학생122")+COUNTIF(경제학원론_1!$B$2:$B$295,"학생122")+COUNTIF(경제학원론_2!$B$2:$B$298,"학생122")+COUNTIF(경제학원론_3!$B$2:$B$295,"학생122")+COUNTIF(경영통계학_1!$B$2:$B$299,"학생122")+COUNTIF(경영통계학_2!$B$2:$B$301,"학생122")+COUNTIF(경영통계학_3!$B$2:$B$298,"학생122")+COUNTIF(무역학개론_1!$B$2:$B$301,"학생122")+COUNTIF(회계학원론_1!$B$2:$B$293,"학생122")+COUNTIF(경영정보시스템_1!$B$2:$B$301,"학생122")+COUNTIF(관리회계_1!$B$2:$B$300,"학생122")+COUNTIF(관리회계_2!$B$2:$B$301,"학생122")+COUNTIF(마케팅_1!$B$2:$B$301,"학생122")+COUNTIF(마케팅리서치_1!$B$2:$B$301,"학생122")+COUNTIF(세법개론_1!$B$2:$B$300,"학생122")+COUNTIF(재무관리_1!$B$2:$B$301,"학생122")+COUNTIF(조직행동론_1!$B$2:$B$301,"학생122")+COUNTIF(조직행동론_2!$B$2:$B$301,"학생122")+COUNTIF(중급재무회계_1!$B$2:$B$301,"학생122")+COUNTIF(투자론_1!$B$2:$B$300,"학생122")+COUNTIF(경영과학_1!$B$2:$B$301,"학생122")+COUNTIF(세무회계_1!$B$2:$B$301,"학생122")+COUNTIF(스마트경영_1!$B$2:$B$301,"학생122")+COUNTIF(스마트경영_2!$B$2:$B$301,"학생122")+COUNTIF(인적자원관리_1!$B$2:$B$257,"학생122")+COUNTIF(서비스마케팅_1!$B$2:$B$276,"학생122")+COUNTIF(제품관리_1!$B$2:$B$301,"학생122")</f>
        <v>5</v>
      </c>
    </row>
    <row r="126" spans="1:9" hidden="1">
      <c r="A126" s="15">
        <v>123</v>
      </c>
      <c r="B126" s="16" t="s">
        <v>124</v>
      </c>
      <c r="C126" s="16">
        <v>202400123</v>
      </c>
      <c r="I126" s="24">
        <f>COUNTIF(경영학원론_1!$B$3:$B$300,"학생123")+COUNTIF(경영학원론_2!$B$2:$B$301,"학생123")+COUNTIF(경영학원론_3!$B$2:$B$301,"학생123")+COUNTIF(경영학원론_4!$B$2:$B$300,"학생123")+COUNTIF(경제학원론_1!$B$2:$B$295,"학생123")+COUNTIF(경제학원론_2!$B$2:$B$298,"학생123")+COUNTIF(경제학원론_3!$B$2:$B$295,"학생123")+COUNTIF(경영통계학_1!$B$2:$B$299,"학생123")+COUNTIF(경영통계학_2!$B$2:$B$301,"학생123")+COUNTIF(경영통계학_3!$B$2:$B$298,"학생123")+COUNTIF(무역학개론_1!$B$2:$B$301,"학생123")+COUNTIF(회계학원론_1!$B$2:$B$293,"학생123")+COUNTIF(경영정보시스템_1!$B$2:$B$301,"학생123")+COUNTIF(관리회계_1!$B$2:$B$300,"학생123")+COUNTIF(관리회계_2!$B$2:$B$301,"학생123")+COUNTIF(마케팅_1!$B$2:$B$301,"학생123")+COUNTIF(마케팅리서치_1!$B$2:$B$301,"학생123")+COUNTIF(세법개론_1!$B$2:$B$300,"학생123")+COUNTIF(재무관리_1!$B$2:$B$301,"학생123")+COUNTIF(조직행동론_1!$B$2:$B$301,"학생123")+COUNTIF(조직행동론_2!$B$2:$B$301,"학생123")+COUNTIF(중급재무회계_1!$B$2:$B$301,"학생123")+COUNTIF(투자론_1!$B$2:$B$300,"학생123")+COUNTIF(경영과학_1!$B$2:$B$301,"학생123")+COUNTIF(세무회계_1!$B$2:$B$301,"학생123")+COUNTIF(스마트경영_1!$B$2:$B$301,"학생123")+COUNTIF(스마트경영_2!$B$2:$B$301,"학생123")+COUNTIF(인적자원관리_1!$B$2:$B$257,"학생123")+COUNTIF(서비스마케팅_1!$B$2:$B$276,"학생123")+COUNTIF(제품관리_1!$B$2:$B$301,"학생123")</f>
        <v>3</v>
      </c>
    </row>
    <row r="127" spans="1:9" hidden="1">
      <c r="A127" s="15">
        <v>124</v>
      </c>
      <c r="B127" s="16" t="s">
        <v>125</v>
      </c>
      <c r="C127" s="16">
        <v>202400124</v>
      </c>
      <c r="I127" s="24">
        <f>COUNTIF(경영학원론_1!$B$3:$B$300,"학생124")+COUNTIF(경영학원론_2!$B$2:$B$301,"학생124")+COUNTIF(경영학원론_3!$B$2:$B$301,"학생124")+COUNTIF(경영학원론_4!$B$2:$B$300,"학생124")+COUNTIF(경제학원론_1!$B$2:$B$295,"학생124")+COUNTIF(경제학원론_2!$B$2:$B$298,"학생124")+COUNTIF(경제학원론_3!$B$2:$B$295,"학생124")+COUNTIF(경영통계학_1!$B$2:$B$299,"학생124")+COUNTIF(경영통계학_2!$B$2:$B$301,"학생124")+COUNTIF(경영통계학_3!$B$2:$B$298,"학생124")+COUNTIF(무역학개론_1!$B$2:$B$301,"학생124")+COUNTIF(회계학원론_1!$B$2:$B$293,"학생124")+COUNTIF(경영정보시스템_1!$B$2:$B$301,"학생124")+COUNTIF(관리회계_1!$B$2:$B$300,"학생124")+COUNTIF(관리회계_2!$B$2:$B$301,"학생124")+COUNTIF(마케팅_1!$B$2:$B$301,"학생124")+COUNTIF(마케팅리서치_1!$B$2:$B$301,"학생124")+COUNTIF(세법개론_1!$B$2:$B$300,"학생124")+COUNTIF(재무관리_1!$B$2:$B$301,"학생124")+COUNTIF(조직행동론_1!$B$2:$B$301,"학생124")+COUNTIF(조직행동론_2!$B$2:$B$301,"학생124")+COUNTIF(중급재무회계_1!$B$2:$B$301,"학생124")+COUNTIF(투자론_1!$B$2:$B$300,"학생124")+COUNTIF(경영과학_1!$B$2:$B$301,"학생124")+COUNTIF(세무회계_1!$B$2:$B$301,"학생124")+COUNTIF(스마트경영_1!$B$2:$B$301,"학생124")+COUNTIF(스마트경영_2!$B$2:$B$301,"학생124")+COUNTIF(인적자원관리_1!$B$2:$B$257,"학생124")+COUNTIF(서비스마케팅_1!$B$2:$B$276,"학생124")+COUNTIF(제품관리_1!$B$2:$B$301,"학생124")</f>
        <v>6</v>
      </c>
    </row>
    <row r="128" spans="1:9" hidden="1">
      <c r="A128" s="15">
        <v>125</v>
      </c>
      <c r="B128" s="16" t="s">
        <v>126</v>
      </c>
      <c r="C128" s="16">
        <v>202400125</v>
      </c>
      <c r="I128" s="24">
        <f>COUNTIF(경영학원론_1!$B$3:$B$300,"학생125")+COUNTIF(경영학원론_2!$B$2:$B$301,"학생125")+COUNTIF(경영학원론_3!$B$2:$B$301,"학생125")+COUNTIF(경영학원론_4!$B$2:$B$300,"학생125")+COUNTIF(경제학원론_1!$B$2:$B$295,"학생125")+COUNTIF(경제학원론_2!$B$2:$B$298,"학생125")+COUNTIF(경제학원론_3!$B$2:$B$295,"학생125")+COUNTIF(경영통계학_1!$B$2:$B$299,"학생125")+COUNTIF(경영통계학_2!$B$2:$B$301,"학생125")+COUNTIF(경영통계학_3!$B$2:$B$298,"학생125")+COUNTIF(무역학개론_1!$B$2:$B$301,"학생125")+COUNTIF(회계학원론_1!$B$2:$B$293,"학생125")+COUNTIF(경영정보시스템_1!$B$2:$B$301,"학생125")+COUNTIF(관리회계_1!$B$2:$B$300,"학생125")+COUNTIF(관리회계_2!$B$2:$B$301,"학생125")+COUNTIF(마케팅_1!$B$2:$B$301,"학생125")+COUNTIF(마케팅리서치_1!$B$2:$B$301,"학생125")+COUNTIF(세법개론_1!$B$2:$B$300,"학생125")+COUNTIF(재무관리_1!$B$2:$B$301,"학생125")+COUNTIF(조직행동론_1!$B$2:$B$301,"학생125")+COUNTIF(조직행동론_2!$B$2:$B$301,"학생125")+COUNTIF(중급재무회계_1!$B$2:$B$301,"학생125")+COUNTIF(투자론_1!$B$2:$B$300,"학생125")+COUNTIF(경영과학_1!$B$2:$B$301,"학생125")+COUNTIF(세무회계_1!$B$2:$B$301,"학생125")+COUNTIF(스마트경영_1!$B$2:$B$301,"학생125")+COUNTIF(스마트경영_2!$B$2:$B$301,"학생125")+COUNTIF(인적자원관리_1!$B$2:$B$257,"학생125")+COUNTIF(서비스마케팅_1!$B$2:$B$276,"학생125")+COUNTIF(제품관리_1!$B$2:$B$301,"학생125")</f>
        <v>7</v>
      </c>
    </row>
    <row r="129" spans="1:9" hidden="1">
      <c r="A129" s="15">
        <v>126</v>
      </c>
      <c r="B129" s="16" t="s">
        <v>127</v>
      </c>
      <c r="C129" s="16">
        <v>202400126</v>
      </c>
      <c r="I129" s="24">
        <f>COUNTIF(경영학원론_1!$B$3:$B$300,"학생126")+COUNTIF(경영학원론_2!$B$2:$B$301,"학생126")+COUNTIF(경영학원론_3!$B$2:$B$301,"학생126")+COUNTIF(경영학원론_4!$B$2:$B$300,"학생126")+COUNTIF(경제학원론_1!$B$2:$B$295,"학생126")+COUNTIF(경제학원론_2!$B$2:$B$298,"학생126")+COUNTIF(경제학원론_3!$B$2:$B$295,"학생126")+COUNTIF(경영통계학_1!$B$2:$B$299,"학생126")+COUNTIF(경영통계학_2!$B$2:$B$301,"학생126")+COUNTIF(경영통계학_3!$B$2:$B$298,"학생126")+COUNTIF(무역학개론_1!$B$2:$B$301,"학생126")+COUNTIF(회계학원론_1!$B$2:$B$293,"학생126")+COUNTIF(경영정보시스템_1!$B$2:$B$301,"학생126")+COUNTIF(관리회계_1!$B$2:$B$300,"학생126")+COUNTIF(관리회계_2!$B$2:$B$301,"학생126")+COUNTIF(마케팅_1!$B$2:$B$301,"학생126")+COUNTIF(마케팅리서치_1!$B$2:$B$301,"학생126")+COUNTIF(세법개론_1!$B$2:$B$300,"학생126")+COUNTIF(재무관리_1!$B$2:$B$301,"학생126")+COUNTIF(조직행동론_1!$B$2:$B$301,"학생126")+COUNTIF(조직행동론_2!$B$2:$B$301,"학생126")+COUNTIF(중급재무회계_1!$B$2:$B$301,"학생126")+COUNTIF(투자론_1!$B$2:$B$300,"학생126")+COUNTIF(경영과학_1!$B$2:$B$301,"학생126")+COUNTIF(세무회계_1!$B$2:$B$301,"학생126")+COUNTIF(스마트경영_1!$B$2:$B$301,"학생126")+COUNTIF(스마트경영_2!$B$2:$B$301,"학생126")+COUNTIF(인적자원관리_1!$B$2:$B$257,"학생126")+COUNTIF(서비스마케팅_1!$B$2:$B$276,"학생126")+COUNTIF(제품관리_1!$B$2:$B$301,"학생126")</f>
        <v>6</v>
      </c>
    </row>
    <row r="130" spans="1:9" hidden="1">
      <c r="A130" s="15">
        <v>127</v>
      </c>
      <c r="B130" s="16" t="s">
        <v>128</v>
      </c>
      <c r="C130" s="16">
        <v>202400127</v>
      </c>
      <c r="I130" s="24">
        <f>COUNTIF(경영학원론_1!$B$3:$B$300,"학생127")+COUNTIF(경영학원론_2!$B$2:$B$301,"학생127")+COUNTIF(경영학원론_3!$B$2:$B$301,"학생127")+COUNTIF(경영학원론_4!$B$2:$B$300,"학생127")+COUNTIF(경제학원론_1!$B$2:$B$295,"학생127")+COUNTIF(경제학원론_2!$B$2:$B$298,"학생127")+COUNTIF(경제학원론_3!$B$2:$B$295,"학생127")+COUNTIF(경영통계학_1!$B$2:$B$299,"학생127")+COUNTIF(경영통계학_2!$B$2:$B$301,"학생127")+COUNTIF(경영통계학_3!$B$2:$B$298,"학생127")+COUNTIF(무역학개론_1!$B$2:$B$301,"학생127")+COUNTIF(회계학원론_1!$B$2:$B$293,"학생127")+COUNTIF(경영정보시스템_1!$B$2:$B$301,"학생127")+COUNTIF(관리회계_1!$B$2:$B$300,"학생127")+COUNTIF(관리회계_2!$B$2:$B$301,"학생127")+COUNTIF(마케팅_1!$B$2:$B$301,"학생127")+COUNTIF(마케팅리서치_1!$B$2:$B$301,"학생127")+COUNTIF(세법개론_1!$B$2:$B$300,"학생127")+COUNTIF(재무관리_1!$B$2:$B$301,"학생127")+COUNTIF(조직행동론_1!$B$2:$B$301,"학생127")+COUNTIF(조직행동론_2!$B$2:$B$301,"학생127")+COUNTIF(중급재무회계_1!$B$2:$B$301,"학생127")+COUNTIF(투자론_1!$B$2:$B$300,"학생127")+COUNTIF(경영과학_1!$B$2:$B$301,"학생127")+COUNTIF(세무회계_1!$B$2:$B$301,"학생127")+COUNTIF(스마트경영_1!$B$2:$B$301,"학생127")+COUNTIF(스마트경영_2!$B$2:$B$301,"학생127")+COUNTIF(인적자원관리_1!$B$2:$B$257,"학생127")+COUNTIF(서비스마케팅_1!$B$2:$B$276,"학생127")+COUNTIF(제품관리_1!$B$2:$B$301,"학생127")</f>
        <v>7</v>
      </c>
    </row>
    <row r="131" spans="1:9" hidden="1">
      <c r="A131" s="15">
        <v>128</v>
      </c>
      <c r="B131" s="16" t="s">
        <v>129</v>
      </c>
      <c r="C131" s="16">
        <v>202400128</v>
      </c>
      <c r="I131" s="24">
        <f>COUNTIF(경영학원론_1!$B$3:$B$300,"학생128")+COUNTIF(경영학원론_2!$B$2:$B$301,"학생128")+COUNTIF(경영학원론_3!$B$2:$B$301,"학생128")+COUNTIF(경영학원론_4!$B$2:$B$300,"학생128")+COUNTIF(경제학원론_1!$B$2:$B$295,"학생128")+COUNTIF(경제학원론_2!$B$2:$B$298,"학생128")+COUNTIF(경제학원론_3!$B$2:$B$295,"학생128")+COUNTIF(경영통계학_1!$B$2:$B$299,"학생128")+COUNTIF(경영통계학_2!$B$2:$B$301,"학생128")+COUNTIF(경영통계학_3!$B$2:$B$298,"학생128")+COUNTIF(무역학개론_1!$B$2:$B$301,"학생128")+COUNTIF(회계학원론_1!$B$2:$B$293,"학생128")+COUNTIF(경영정보시스템_1!$B$2:$B$301,"학생128")+COUNTIF(관리회계_1!$B$2:$B$300,"학생128")+COUNTIF(관리회계_2!$B$2:$B$301,"학생128")+COUNTIF(마케팅_1!$B$2:$B$301,"학생128")+COUNTIF(마케팅리서치_1!$B$2:$B$301,"학생128")+COUNTIF(세법개론_1!$B$2:$B$300,"학생128")+COUNTIF(재무관리_1!$B$2:$B$301,"학생128")+COUNTIF(조직행동론_1!$B$2:$B$301,"학생128")+COUNTIF(조직행동론_2!$B$2:$B$301,"학생128")+COUNTIF(중급재무회계_1!$B$2:$B$301,"학생128")+COUNTIF(투자론_1!$B$2:$B$300,"학생128")+COUNTIF(경영과학_1!$B$2:$B$301,"학생128")+COUNTIF(세무회계_1!$B$2:$B$301,"학생128")+COUNTIF(스마트경영_1!$B$2:$B$301,"학생128")+COUNTIF(스마트경영_2!$B$2:$B$301,"학생128")+COUNTIF(인적자원관리_1!$B$2:$B$257,"학생128")+COUNTIF(서비스마케팅_1!$B$2:$B$276,"학생128")+COUNTIF(제품관리_1!$B$2:$B$301,"학생128")</f>
        <v>7</v>
      </c>
    </row>
    <row r="132" spans="1:9" hidden="1">
      <c r="A132" s="15">
        <v>129</v>
      </c>
      <c r="B132" s="16" t="s">
        <v>130</v>
      </c>
      <c r="C132" s="16">
        <v>202400129</v>
      </c>
      <c r="I132" s="24">
        <f>COUNTIF(경영학원론_1!$B$3:$B$300,"학생129")+COUNTIF(경영학원론_2!$B$2:$B$301,"학생129")+COUNTIF(경영학원론_3!$B$2:$B$301,"학생129")+COUNTIF(경영학원론_4!$B$2:$B$300,"학생129")+COUNTIF(경제학원론_1!$B$2:$B$295,"학생129")+COUNTIF(경제학원론_2!$B$2:$B$298,"학생129")+COUNTIF(경제학원론_3!$B$2:$B$295,"학생129")+COUNTIF(경영통계학_1!$B$2:$B$299,"학생129")+COUNTIF(경영통계학_2!$B$2:$B$301,"학생129")+COUNTIF(경영통계학_3!$B$2:$B$298,"학생129")+COUNTIF(무역학개론_1!$B$2:$B$301,"학생129")+COUNTIF(회계학원론_1!$B$2:$B$293,"학생129")+COUNTIF(경영정보시스템_1!$B$2:$B$301,"학생129")+COUNTIF(관리회계_1!$B$2:$B$300,"학생129")+COUNTIF(관리회계_2!$B$2:$B$301,"학생129")+COUNTIF(마케팅_1!$B$2:$B$301,"학생129")+COUNTIF(마케팅리서치_1!$B$2:$B$301,"학생129")+COUNTIF(세법개론_1!$B$2:$B$300,"학생129")+COUNTIF(재무관리_1!$B$2:$B$301,"학생129")+COUNTIF(조직행동론_1!$B$2:$B$301,"학생129")+COUNTIF(조직행동론_2!$B$2:$B$301,"학생129")+COUNTIF(중급재무회계_1!$B$2:$B$301,"학생129")+COUNTIF(투자론_1!$B$2:$B$300,"학생129")+COUNTIF(경영과학_1!$B$2:$B$301,"학생129")+COUNTIF(세무회계_1!$B$2:$B$301,"학생129")+COUNTIF(스마트경영_1!$B$2:$B$301,"학생129")+COUNTIF(스마트경영_2!$B$2:$B$301,"학생129")+COUNTIF(인적자원관리_1!$B$2:$B$257,"학생129")+COUNTIF(서비스마케팅_1!$B$2:$B$276,"학생129")+COUNTIF(제품관리_1!$B$2:$B$301,"학생129")</f>
        <v>6</v>
      </c>
    </row>
    <row r="133" spans="1:9" hidden="1">
      <c r="A133" s="15">
        <v>130</v>
      </c>
      <c r="B133" s="16" t="s">
        <v>131</v>
      </c>
      <c r="C133" s="16">
        <v>202400130</v>
      </c>
      <c r="I133" s="24">
        <f>COUNTIF(경영학원론_1!$B$3:$B$300,"학생130")+COUNTIF(경영학원론_2!$B$2:$B$301,"학생130")+COUNTIF(경영학원론_3!$B$2:$B$301,"학생130")+COUNTIF(경영학원론_4!$B$2:$B$300,"학생130")+COUNTIF(경제학원론_1!$B$2:$B$295,"학생130")+COUNTIF(경제학원론_2!$B$2:$B$298,"학생130")+COUNTIF(경제학원론_3!$B$2:$B$295,"학생130")+COUNTIF(경영통계학_1!$B$2:$B$299,"학생130")+COUNTIF(경영통계학_2!$B$2:$B$301,"학생130")+COUNTIF(경영통계학_3!$B$2:$B$298,"학생130")+COUNTIF(무역학개론_1!$B$2:$B$301,"학생130")+COUNTIF(회계학원론_1!$B$2:$B$293,"학생130")+COUNTIF(경영정보시스템_1!$B$2:$B$301,"학생130")+COUNTIF(관리회계_1!$B$2:$B$300,"학생130")+COUNTIF(관리회계_2!$B$2:$B$301,"학생130")+COUNTIF(마케팅_1!$B$2:$B$301,"학생130")+COUNTIF(마케팅리서치_1!$B$2:$B$301,"학생130")+COUNTIF(세법개론_1!$B$2:$B$300,"학생130")+COUNTIF(재무관리_1!$B$2:$B$301,"학생130")+COUNTIF(조직행동론_1!$B$2:$B$301,"학생130")+COUNTIF(조직행동론_2!$B$2:$B$301,"학생130")+COUNTIF(중급재무회계_1!$B$2:$B$301,"학생130")+COUNTIF(투자론_1!$B$2:$B$300,"학생130")+COUNTIF(경영과학_1!$B$2:$B$301,"학생130")+COUNTIF(세무회계_1!$B$2:$B$301,"학생130")+COUNTIF(스마트경영_1!$B$2:$B$301,"학생130")+COUNTIF(스마트경영_2!$B$2:$B$301,"학생130")+COUNTIF(인적자원관리_1!$B$2:$B$257,"학생130")+COUNTIF(서비스마케팅_1!$B$2:$B$276,"학생130")+COUNTIF(제품관리_1!$B$2:$B$301,"학생130")</f>
        <v>6</v>
      </c>
    </row>
    <row r="134" spans="1:9" hidden="1">
      <c r="A134" s="15">
        <v>131</v>
      </c>
      <c r="B134" s="16" t="s">
        <v>132</v>
      </c>
      <c r="C134" s="16">
        <v>202400131</v>
      </c>
      <c r="I134" s="24">
        <f>COUNTIF(경영학원론_1!$B$3:$B$300,"학생131")+COUNTIF(경영학원론_2!$B$2:$B$301,"학생131")+COUNTIF(경영학원론_3!$B$2:$B$301,"학생131")+COUNTIF(경영학원론_4!$B$2:$B$300,"학생131")+COUNTIF(경제학원론_1!$B$2:$B$295,"학생131")+COUNTIF(경제학원론_2!$B$2:$B$298,"학생131")+COUNTIF(경제학원론_3!$B$2:$B$295,"학생131")+COUNTIF(경영통계학_1!$B$2:$B$299,"학생131")+COUNTIF(경영통계학_2!$B$2:$B$301,"학생131")+COUNTIF(경영통계학_3!$B$2:$B$298,"학생131")+COUNTIF(무역학개론_1!$B$2:$B$301,"학생131")+COUNTIF(회계학원론_1!$B$2:$B$293,"학생131")+COUNTIF(경영정보시스템_1!$B$2:$B$301,"학생131")+COUNTIF(관리회계_1!$B$2:$B$300,"학생131")+COUNTIF(관리회계_2!$B$2:$B$301,"학생131")+COUNTIF(마케팅_1!$B$2:$B$301,"학생131")+COUNTIF(마케팅리서치_1!$B$2:$B$301,"학생131")+COUNTIF(세법개론_1!$B$2:$B$300,"학생131")+COUNTIF(재무관리_1!$B$2:$B$301,"학생131")+COUNTIF(조직행동론_1!$B$2:$B$301,"학생131")+COUNTIF(조직행동론_2!$B$2:$B$301,"학생131")+COUNTIF(중급재무회계_1!$B$2:$B$301,"학생131")+COUNTIF(투자론_1!$B$2:$B$300,"학생131")+COUNTIF(경영과학_1!$B$2:$B$301,"학생131")+COUNTIF(세무회계_1!$B$2:$B$301,"학생131")+COUNTIF(스마트경영_1!$B$2:$B$301,"학생131")+COUNTIF(스마트경영_2!$B$2:$B$301,"학생131")+COUNTIF(인적자원관리_1!$B$2:$B$257,"학생131")+COUNTIF(서비스마케팅_1!$B$2:$B$276,"학생131")+COUNTIF(제품관리_1!$B$2:$B$301,"학생131")</f>
        <v>7</v>
      </c>
    </row>
    <row r="135" spans="1:9" hidden="1">
      <c r="A135" s="15">
        <v>132</v>
      </c>
      <c r="B135" s="16" t="s">
        <v>133</v>
      </c>
      <c r="C135" s="16">
        <v>202400132</v>
      </c>
      <c r="I135" s="24">
        <f>COUNTIF(경영학원론_1!$B$3:$B$300,"학생132")+COUNTIF(경영학원론_2!$B$2:$B$301,"학생132")+COUNTIF(경영학원론_3!$B$2:$B$301,"학생132")+COUNTIF(경영학원론_4!$B$2:$B$300,"학생132")+COUNTIF(경제학원론_1!$B$2:$B$295,"학생132")+COUNTIF(경제학원론_2!$B$2:$B$298,"학생132")+COUNTIF(경제학원론_3!$B$2:$B$295,"학생132")+COUNTIF(경영통계학_1!$B$2:$B$299,"학생132")+COUNTIF(경영통계학_2!$B$2:$B$301,"학생132")+COUNTIF(경영통계학_3!$B$2:$B$298,"학생132")+COUNTIF(무역학개론_1!$B$2:$B$301,"학생132")+COUNTIF(회계학원론_1!$B$2:$B$293,"학생132")+COUNTIF(경영정보시스템_1!$B$2:$B$301,"학생132")+COUNTIF(관리회계_1!$B$2:$B$300,"학생132")+COUNTIF(관리회계_2!$B$2:$B$301,"학생132")+COUNTIF(마케팅_1!$B$2:$B$301,"학생132")+COUNTIF(마케팅리서치_1!$B$2:$B$301,"학생132")+COUNTIF(세법개론_1!$B$2:$B$300,"학생132")+COUNTIF(재무관리_1!$B$2:$B$301,"학생132")+COUNTIF(조직행동론_1!$B$2:$B$301,"학생132")+COUNTIF(조직행동론_2!$B$2:$B$301,"학생132")+COUNTIF(중급재무회계_1!$B$2:$B$301,"학생132")+COUNTIF(투자론_1!$B$2:$B$300,"학생132")+COUNTIF(경영과학_1!$B$2:$B$301,"학생132")+COUNTIF(세무회계_1!$B$2:$B$301,"학생132")+COUNTIF(스마트경영_1!$B$2:$B$301,"학생132")+COUNTIF(스마트경영_2!$B$2:$B$301,"학생132")+COUNTIF(인적자원관리_1!$B$2:$B$257,"학생132")+COUNTIF(서비스마케팅_1!$B$2:$B$276,"학생132")+COUNTIF(제품관리_1!$B$2:$B$301,"학생132")</f>
        <v>6</v>
      </c>
    </row>
    <row r="136" spans="1:9" hidden="1">
      <c r="A136" s="15">
        <v>133</v>
      </c>
      <c r="B136" s="16" t="s">
        <v>134</v>
      </c>
      <c r="C136" s="16">
        <v>202400133</v>
      </c>
      <c r="I136" s="24">
        <f>COUNTIF(경영학원론_1!$B$3:$B$300,"학생133")+COUNTIF(경영학원론_2!$B$2:$B$301,"학생133")+COUNTIF(경영학원론_3!$B$2:$B$301,"학생133")+COUNTIF(경영학원론_4!$B$2:$B$300,"학생133")+COUNTIF(경제학원론_1!$B$2:$B$295,"학생133")+COUNTIF(경제학원론_2!$B$2:$B$298,"학생133")+COUNTIF(경제학원론_3!$B$2:$B$295,"학생133")+COUNTIF(경영통계학_1!$B$2:$B$299,"학생133")+COUNTIF(경영통계학_2!$B$2:$B$301,"학생133")+COUNTIF(경영통계학_3!$B$2:$B$298,"학생133")+COUNTIF(무역학개론_1!$B$2:$B$301,"학생133")+COUNTIF(회계학원론_1!$B$2:$B$293,"학생133")+COUNTIF(경영정보시스템_1!$B$2:$B$301,"학생133")+COUNTIF(관리회계_1!$B$2:$B$300,"학생133")+COUNTIF(관리회계_2!$B$2:$B$301,"학생133")+COUNTIF(마케팅_1!$B$2:$B$301,"학생133")+COUNTIF(마케팅리서치_1!$B$2:$B$301,"학생133")+COUNTIF(세법개론_1!$B$2:$B$300,"학생133")+COUNTIF(재무관리_1!$B$2:$B$301,"학생133")+COUNTIF(조직행동론_1!$B$2:$B$301,"학생133")+COUNTIF(조직행동론_2!$B$2:$B$301,"학생133")+COUNTIF(중급재무회계_1!$B$2:$B$301,"학생133")+COUNTIF(투자론_1!$B$2:$B$300,"학생133")+COUNTIF(경영과학_1!$B$2:$B$301,"학생133")+COUNTIF(세무회계_1!$B$2:$B$301,"학생133")+COUNTIF(스마트경영_1!$B$2:$B$301,"학생133")+COUNTIF(스마트경영_2!$B$2:$B$301,"학생133")+COUNTIF(인적자원관리_1!$B$2:$B$257,"학생133")+COUNTIF(서비스마케팅_1!$B$2:$B$276,"학생133")+COUNTIF(제품관리_1!$B$2:$B$301,"학생133")</f>
        <v>7</v>
      </c>
    </row>
    <row r="137" spans="1:9" hidden="1">
      <c r="A137" s="15">
        <v>134</v>
      </c>
      <c r="B137" s="16" t="s">
        <v>135</v>
      </c>
      <c r="C137" s="16">
        <v>202400134</v>
      </c>
      <c r="I137" s="24">
        <f>COUNTIF(경영학원론_1!$B$3:$B$300,"학생134")+COUNTIF(경영학원론_2!$B$2:$B$301,"학생134")+COUNTIF(경영학원론_3!$B$2:$B$301,"학생134")+COUNTIF(경영학원론_4!$B$2:$B$300,"학생134")+COUNTIF(경제학원론_1!$B$2:$B$295,"학생134")+COUNTIF(경제학원론_2!$B$2:$B$298,"학생134")+COUNTIF(경제학원론_3!$B$2:$B$295,"학생134")+COUNTIF(경영통계학_1!$B$2:$B$299,"학생134")+COUNTIF(경영통계학_2!$B$2:$B$301,"학생134")+COUNTIF(경영통계학_3!$B$2:$B$298,"학생134")+COUNTIF(무역학개론_1!$B$2:$B$301,"학생134")+COUNTIF(회계학원론_1!$B$2:$B$293,"학생134")+COUNTIF(경영정보시스템_1!$B$2:$B$301,"학생134")+COUNTIF(관리회계_1!$B$2:$B$300,"학생134")+COUNTIF(관리회계_2!$B$2:$B$301,"학생134")+COUNTIF(마케팅_1!$B$2:$B$301,"학생134")+COUNTIF(마케팅리서치_1!$B$2:$B$301,"학생134")+COUNTIF(세법개론_1!$B$2:$B$300,"학생134")+COUNTIF(재무관리_1!$B$2:$B$301,"학생134")+COUNTIF(조직행동론_1!$B$2:$B$301,"학생134")+COUNTIF(조직행동론_2!$B$2:$B$301,"학생134")+COUNTIF(중급재무회계_1!$B$2:$B$301,"학생134")+COUNTIF(투자론_1!$B$2:$B$300,"학생134")+COUNTIF(경영과학_1!$B$2:$B$301,"학생134")+COUNTIF(세무회계_1!$B$2:$B$301,"학생134")+COUNTIF(스마트경영_1!$B$2:$B$301,"학생134")+COUNTIF(스마트경영_2!$B$2:$B$301,"학생134")+COUNTIF(인적자원관리_1!$B$2:$B$257,"학생134")+COUNTIF(서비스마케팅_1!$B$2:$B$276,"학생134")+COUNTIF(제품관리_1!$B$2:$B$301,"학생134")</f>
        <v>4</v>
      </c>
    </row>
    <row r="138" spans="1:9" hidden="1">
      <c r="A138" s="15">
        <v>135</v>
      </c>
      <c r="B138" s="16" t="s">
        <v>136</v>
      </c>
      <c r="C138" s="16">
        <v>202400135</v>
      </c>
      <c r="I138" s="24">
        <f>COUNTIF(경영학원론_1!$B$3:$B$300,"학생135")+COUNTIF(경영학원론_2!$B$2:$B$301,"학생135")+COUNTIF(경영학원론_3!$B$2:$B$301,"학생135")+COUNTIF(경영학원론_4!$B$2:$B$300,"학생135")+COUNTIF(경제학원론_1!$B$2:$B$295,"학생135")+COUNTIF(경제학원론_2!$B$2:$B$298,"학생135")+COUNTIF(경제학원론_3!$B$2:$B$295,"학생135")+COUNTIF(경영통계학_1!$B$2:$B$299,"학생135")+COUNTIF(경영통계학_2!$B$2:$B$301,"학생135")+COUNTIF(경영통계학_3!$B$2:$B$298,"학생135")+COUNTIF(무역학개론_1!$B$2:$B$301,"학생135")+COUNTIF(회계학원론_1!$B$2:$B$293,"학생135")+COUNTIF(경영정보시스템_1!$B$2:$B$301,"학생135")+COUNTIF(관리회계_1!$B$2:$B$300,"학생135")+COUNTIF(관리회계_2!$B$2:$B$301,"학생135")+COUNTIF(마케팅_1!$B$2:$B$301,"학생135")+COUNTIF(마케팅리서치_1!$B$2:$B$301,"학생135")+COUNTIF(세법개론_1!$B$2:$B$300,"학생135")+COUNTIF(재무관리_1!$B$2:$B$301,"학생135")+COUNTIF(조직행동론_1!$B$2:$B$301,"학생135")+COUNTIF(조직행동론_2!$B$2:$B$301,"학생135")+COUNTIF(중급재무회계_1!$B$2:$B$301,"학생135")+COUNTIF(투자론_1!$B$2:$B$300,"학생135")+COUNTIF(경영과학_1!$B$2:$B$301,"학생135")+COUNTIF(세무회계_1!$B$2:$B$301,"학생135")+COUNTIF(스마트경영_1!$B$2:$B$301,"학생135")+COUNTIF(스마트경영_2!$B$2:$B$301,"학생135")+COUNTIF(인적자원관리_1!$B$2:$B$257,"학생135")+COUNTIF(서비스마케팅_1!$B$2:$B$276,"학생135")+COUNTIF(제품관리_1!$B$2:$B$301,"학생135")</f>
        <v>5</v>
      </c>
    </row>
    <row r="139" spans="1:9" hidden="1">
      <c r="A139" s="15">
        <v>136</v>
      </c>
      <c r="B139" s="16" t="s">
        <v>137</v>
      </c>
      <c r="C139" s="16">
        <v>202400136</v>
      </c>
      <c r="I139" s="24">
        <f>COUNTIF(경영학원론_1!$B$3:$B$300,"학생136")+COUNTIF(경영학원론_2!$B$2:$B$301,"학생136")+COUNTIF(경영학원론_3!$B$2:$B$301,"학생136")+COUNTIF(경영학원론_4!$B$2:$B$300,"학생136")+COUNTIF(경제학원론_1!$B$2:$B$295,"학생136")+COUNTIF(경제학원론_2!$B$2:$B$298,"학생136")+COUNTIF(경제학원론_3!$B$2:$B$295,"학생136")+COUNTIF(경영통계학_1!$B$2:$B$299,"학생136")+COUNTIF(경영통계학_2!$B$2:$B$301,"학생136")+COUNTIF(경영통계학_3!$B$2:$B$298,"학생136")+COUNTIF(무역학개론_1!$B$2:$B$301,"학생136")+COUNTIF(회계학원론_1!$B$2:$B$293,"학생136")+COUNTIF(경영정보시스템_1!$B$2:$B$301,"학생136")+COUNTIF(관리회계_1!$B$2:$B$300,"학생136")+COUNTIF(관리회계_2!$B$2:$B$301,"학생136")+COUNTIF(마케팅_1!$B$2:$B$301,"학생136")+COUNTIF(마케팅리서치_1!$B$2:$B$301,"학생136")+COUNTIF(세법개론_1!$B$2:$B$300,"학생136")+COUNTIF(재무관리_1!$B$2:$B$301,"학생136")+COUNTIF(조직행동론_1!$B$2:$B$301,"학생136")+COUNTIF(조직행동론_2!$B$2:$B$301,"학생136")+COUNTIF(중급재무회계_1!$B$2:$B$301,"학생136")+COUNTIF(투자론_1!$B$2:$B$300,"학생136")+COUNTIF(경영과학_1!$B$2:$B$301,"학생136")+COUNTIF(세무회계_1!$B$2:$B$301,"학생136")+COUNTIF(스마트경영_1!$B$2:$B$301,"학생136")+COUNTIF(스마트경영_2!$B$2:$B$301,"학생136")+COUNTIF(인적자원관리_1!$B$2:$B$257,"학생136")+COUNTIF(서비스마케팅_1!$B$2:$B$276,"학생136")+COUNTIF(제품관리_1!$B$2:$B$301,"학생136")</f>
        <v>6</v>
      </c>
    </row>
    <row r="140" spans="1:9" hidden="1">
      <c r="A140" s="15">
        <v>137</v>
      </c>
      <c r="B140" s="16" t="s">
        <v>138</v>
      </c>
      <c r="C140" s="16">
        <v>202400137</v>
      </c>
      <c r="I140" s="24">
        <f>COUNTIF(경영학원론_1!$B$3:$B$300,"학생137")+COUNTIF(경영학원론_2!$B$2:$B$301,"학생137")+COUNTIF(경영학원론_3!$B$2:$B$301,"학생137")+COUNTIF(경영학원론_4!$B$2:$B$300,"학생137")+COUNTIF(경제학원론_1!$B$2:$B$295,"학생137")+COUNTIF(경제학원론_2!$B$2:$B$298,"학생137")+COUNTIF(경제학원론_3!$B$2:$B$295,"학생137")+COUNTIF(경영통계학_1!$B$2:$B$299,"학생137")+COUNTIF(경영통계학_2!$B$2:$B$301,"학생137")+COUNTIF(경영통계학_3!$B$2:$B$298,"학생137")+COUNTIF(무역학개론_1!$B$2:$B$301,"학생137")+COUNTIF(회계학원론_1!$B$2:$B$293,"학생137")+COUNTIF(경영정보시스템_1!$B$2:$B$301,"학생137")+COUNTIF(관리회계_1!$B$2:$B$300,"학생137")+COUNTIF(관리회계_2!$B$2:$B$301,"학생137")+COUNTIF(마케팅_1!$B$2:$B$301,"학생137")+COUNTIF(마케팅리서치_1!$B$2:$B$301,"학생137")+COUNTIF(세법개론_1!$B$2:$B$300,"학생137")+COUNTIF(재무관리_1!$B$2:$B$301,"학생137")+COUNTIF(조직행동론_1!$B$2:$B$301,"학생137")+COUNTIF(조직행동론_2!$B$2:$B$301,"학생137")+COUNTIF(중급재무회계_1!$B$2:$B$301,"학생137")+COUNTIF(투자론_1!$B$2:$B$300,"학생137")+COUNTIF(경영과학_1!$B$2:$B$301,"학생137")+COUNTIF(세무회계_1!$B$2:$B$301,"학생137")+COUNTIF(스마트경영_1!$B$2:$B$301,"학생137")+COUNTIF(스마트경영_2!$B$2:$B$301,"학생137")+COUNTIF(인적자원관리_1!$B$2:$B$257,"학생137")+COUNTIF(서비스마케팅_1!$B$2:$B$276,"학생137")+COUNTIF(제품관리_1!$B$2:$B$301,"학생137")</f>
        <v>7</v>
      </c>
    </row>
    <row r="141" spans="1:9" hidden="1">
      <c r="A141" s="15">
        <v>138</v>
      </c>
      <c r="B141" s="16" t="s">
        <v>139</v>
      </c>
      <c r="C141" s="16">
        <v>202400138</v>
      </c>
      <c r="I141" s="24">
        <f>COUNTIF(경영학원론_1!$B$3:$B$300,"학생138")+COUNTIF(경영학원론_2!$B$2:$B$301,"학생138")+COUNTIF(경영학원론_3!$B$2:$B$301,"학생138")+COUNTIF(경영학원론_4!$B$2:$B$300,"학생138")+COUNTIF(경제학원론_1!$B$2:$B$295,"학생138")+COUNTIF(경제학원론_2!$B$2:$B$298,"학생138")+COUNTIF(경제학원론_3!$B$2:$B$295,"학생138")+COUNTIF(경영통계학_1!$B$2:$B$299,"학생138")+COUNTIF(경영통계학_2!$B$2:$B$301,"학생138")+COUNTIF(경영통계학_3!$B$2:$B$298,"학생138")+COUNTIF(무역학개론_1!$B$2:$B$301,"학생138")+COUNTIF(회계학원론_1!$B$2:$B$293,"학생138")+COUNTIF(경영정보시스템_1!$B$2:$B$301,"학생138")+COUNTIF(관리회계_1!$B$2:$B$300,"학생138")+COUNTIF(관리회계_2!$B$2:$B$301,"학생138")+COUNTIF(마케팅_1!$B$2:$B$301,"학생138")+COUNTIF(마케팅리서치_1!$B$2:$B$301,"학생138")+COUNTIF(세법개론_1!$B$2:$B$300,"학생138")+COUNTIF(재무관리_1!$B$2:$B$301,"학생138")+COUNTIF(조직행동론_1!$B$2:$B$301,"학생138")+COUNTIF(조직행동론_2!$B$2:$B$301,"학생138")+COUNTIF(중급재무회계_1!$B$2:$B$301,"학생138")+COUNTIF(투자론_1!$B$2:$B$300,"학생138")+COUNTIF(경영과학_1!$B$2:$B$301,"학생138")+COUNTIF(세무회계_1!$B$2:$B$301,"학생138")+COUNTIF(스마트경영_1!$B$2:$B$301,"학생138")+COUNTIF(스마트경영_2!$B$2:$B$301,"학생138")+COUNTIF(인적자원관리_1!$B$2:$B$257,"학생138")+COUNTIF(서비스마케팅_1!$B$2:$B$276,"학생138")+COUNTIF(제품관리_1!$B$2:$B$301,"학생138")</f>
        <v>6</v>
      </c>
    </row>
    <row r="142" spans="1:9" hidden="1">
      <c r="A142" s="15">
        <v>139</v>
      </c>
      <c r="B142" s="16" t="s">
        <v>140</v>
      </c>
      <c r="C142" s="16">
        <v>202400139</v>
      </c>
      <c r="I142" s="24">
        <f>COUNTIF(경영학원론_1!$B$3:$B$300,"학생139")+COUNTIF(경영학원론_2!$B$2:$B$301,"학생139")+COUNTIF(경영학원론_3!$B$2:$B$301,"학생139")+COUNTIF(경영학원론_4!$B$2:$B$300,"학생139")+COUNTIF(경제학원론_1!$B$2:$B$295,"학생139")+COUNTIF(경제학원론_2!$B$2:$B$298,"학생139")+COUNTIF(경제학원론_3!$B$2:$B$295,"학생139")+COUNTIF(경영통계학_1!$B$2:$B$299,"학생139")+COUNTIF(경영통계학_2!$B$2:$B$301,"학생139")+COUNTIF(경영통계학_3!$B$2:$B$298,"학생139")+COUNTIF(무역학개론_1!$B$2:$B$301,"학생139")+COUNTIF(회계학원론_1!$B$2:$B$293,"학생139")+COUNTIF(경영정보시스템_1!$B$2:$B$301,"학생139")+COUNTIF(관리회계_1!$B$2:$B$300,"학생139")+COUNTIF(관리회계_2!$B$2:$B$301,"학생139")+COUNTIF(마케팅_1!$B$2:$B$301,"학생139")+COUNTIF(마케팅리서치_1!$B$2:$B$301,"학생139")+COUNTIF(세법개론_1!$B$2:$B$300,"학생139")+COUNTIF(재무관리_1!$B$2:$B$301,"학생139")+COUNTIF(조직행동론_1!$B$2:$B$301,"학생139")+COUNTIF(조직행동론_2!$B$2:$B$301,"학생139")+COUNTIF(중급재무회계_1!$B$2:$B$301,"학생139")+COUNTIF(투자론_1!$B$2:$B$300,"학생139")+COUNTIF(경영과학_1!$B$2:$B$301,"학생139")+COUNTIF(세무회계_1!$B$2:$B$301,"학생139")+COUNTIF(스마트경영_1!$B$2:$B$301,"학생139")+COUNTIF(스마트경영_2!$B$2:$B$301,"학생139")+COUNTIF(인적자원관리_1!$B$2:$B$257,"학생139")+COUNTIF(서비스마케팅_1!$B$2:$B$276,"학생139")+COUNTIF(제품관리_1!$B$2:$B$301,"학생139")</f>
        <v>6</v>
      </c>
    </row>
    <row r="143" spans="1:9" hidden="1">
      <c r="A143" s="15">
        <v>140</v>
      </c>
      <c r="B143" s="16" t="s">
        <v>141</v>
      </c>
      <c r="C143" s="16">
        <v>202400140</v>
      </c>
      <c r="I143" s="24">
        <f>COUNTIF(경영학원론_1!$B$3:$B$300,"학생140")+COUNTIF(경영학원론_2!$B$2:$B$301,"학생140")+COUNTIF(경영학원론_3!$B$2:$B$301,"학생140")+COUNTIF(경영학원론_4!$B$2:$B$300,"학생140")+COUNTIF(경제학원론_1!$B$2:$B$295,"학생140")+COUNTIF(경제학원론_2!$B$2:$B$298,"학생140")+COUNTIF(경제학원론_3!$B$2:$B$295,"학생140")+COUNTIF(경영통계학_1!$B$2:$B$299,"학생140")+COUNTIF(경영통계학_2!$B$2:$B$301,"학생140")+COUNTIF(경영통계학_3!$B$2:$B$298,"학생140")+COUNTIF(무역학개론_1!$B$2:$B$301,"학생140")+COUNTIF(회계학원론_1!$B$2:$B$293,"학생140")+COUNTIF(경영정보시스템_1!$B$2:$B$301,"학생140")+COUNTIF(관리회계_1!$B$2:$B$300,"학생140")+COUNTIF(관리회계_2!$B$2:$B$301,"학생140")+COUNTIF(마케팅_1!$B$2:$B$301,"학생140")+COUNTIF(마케팅리서치_1!$B$2:$B$301,"학생140")+COUNTIF(세법개론_1!$B$2:$B$300,"학생140")+COUNTIF(재무관리_1!$B$2:$B$301,"학생140")+COUNTIF(조직행동론_1!$B$2:$B$301,"학생140")+COUNTIF(조직행동론_2!$B$2:$B$301,"학생140")+COUNTIF(중급재무회계_1!$B$2:$B$301,"학생140")+COUNTIF(투자론_1!$B$2:$B$300,"학생140")+COUNTIF(경영과학_1!$B$2:$B$301,"학생140")+COUNTIF(세무회계_1!$B$2:$B$301,"학생140")+COUNTIF(스마트경영_1!$B$2:$B$301,"학생140")+COUNTIF(스마트경영_2!$B$2:$B$301,"학생140")+COUNTIF(인적자원관리_1!$B$2:$B$257,"학생140")+COUNTIF(서비스마케팅_1!$B$2:$B$276,"학생140")+COUNTIF(제품관리_1!$B$2:$B$301,"학생140")</f>
        <v>6</v>
      </c>
    </row>
    <row r="144" spans="1:9" hidden="1">
      <c r="A144" s="15">
        <v>141</v>
      </c>
      <c r="B144" s="16" t="s">
        <v>142</v>
      </c>
      <c r="C144" s="16">
        <v>202400141</v>
      </c>
      <c r="I144" s="24">
        <f>COUNTIF(경영학원론_1!$B$3:$B$300,"학생141")+COUNTIF(경영학원론_2!$B$2:$B$301,"학생141")+COUNTIF(경영학원론_3!$B$2:$B$301,"학생141")+COUNTIF(경영학원론_4!$B$2:$B$300,"학생141")+COUNTIF(경제학원론_1!$B$2:$B$295,"학생141")+COUNTIF(경제학원론_2!$B$2:$B$298,"학생141")+COUNTIF(경제학원론_3!$B$2:$B$295,"학생141")+COUNTIF(경영통계학_1!$B$2:$B$299,"학생141")+COUNTIF(경영통계학_2!$B$2:$B$301,"학생141")+COUNTIF(경영통계학_3!$B$2:$B$298,"학생141")+COUNTIF(무역학개론_1!$B$2:$B$301,"학생141")+COUNTIF(회계학원론_1!$B$2:$B$293,"학생141")+COUNTIF(경영정보시스템_1!$B$2:$B$301,"학생141")+COUNTIF(관리회계_1!$B$2:$B$300,"학생141")+COUNTIF(관리회계_2!$B$2:$B$301,"학생141")+COUNTIF(마케팅_1!$B$2:$B$301,"학생141")+COUNTIF(마케팅리서치_1!$B$2:$B$301,"학생141")+COUNTIF(세법개론_1!$B$2:$B$300,"학생141")+COUNTIF(재무관리_1!$B$2:$B$301,"학생141")+COUNTIF(조직행동론_1!$B$2:$B$301,"학생141")+COUNTIF(조직행동론_2!$B$2:$B$301,"학생141")+COUNTIF(중급재무회계_1!$B$2:$B$301,"학생141")+COUNTIF(투자론_1!$B$2:$B$300,"학생141")+COUNTIF(경영과학_1!$B$2:$B$301,"학생141")+COUNTIF(세무회계_1!$B$2:$B$301,"학생141")+COUNTIF(스마트경영_1!$B$2:$B$301,"학생141")+COUNTIF(스마트경영_2!$B$2:$B$301,"학생141")+COUNTIF(인적자원관리_1!$B$2:$B$257,"학생141")+COUNTIF(서비스마케팅_1!$B$2:$B$276,"학생141")+COUNTIF(제품관리_1!$B$2:$B$301,"학생141")</f>
        <v>4</v>
      </c>
    </row>
    <row r="145" spans="1:9" hidden="1">
      <c r="A145" s="15">
        <v>142</v>
      </c>
      <c r="B145" s="16" t="s">
        <v>143</v>
      </c>
      <c r="C145" s="16">
        <v>202400142</v>
      </c>
      <c r="I145" s="24">
        <f>COUNTIF(경영학원론_1!$B$3:$B$300,"학생142")+COUNTIF(경영학원론_2!$B$2:$B$301,"학생142")+COUNTIF(경영학원론_3!$B$2:$B$301,"학생142")+COUNTIF(경영학원론_4!$B$2:$B$300,"학생142")+COUNTIF(경제학원론_1!$B$2:$B$295,"학생142")+COUNTIF(경제학원론_2!$B$2:$B$298,"학생142")+COUNTIF(경제학원론_3!$B$2:$B$295,"학생142")+COUNTIF(경영통계학_1!$B$2:$B$299,"학생142")+COUNTIF(경영통계학_2!$B$2:$B$301,"학생142")+COUNTIF(경영통계학_3!$B$2:$B$298,"학생142")+COUNTIF(무역학개론_1!$B$2:$B$301,"학생142")+COUNTIF(회계학원론_1!$B$2:$B$293,"학생142")+COUNTIF(경영정보시스템_1!$B$2:$B$301,"학생142")+COUNTIF(관리회계_1!$B$2:$B$300,"학생142")+COUNTIF(관리회계_2!$B$2:$B$301,"학생142")+COUNTIF(마케팅_1!$B$2:$B$301,"학생142")+COUNTIF(마케팅리서치_1!$B$2:$B$301,"학생142")+COUNTIF(세법개론_1!$B$2:$B$300,"학생142")+COUNTIF(재무관리_1!$B$2:$B$301,"학생142")+COUNTIF(조직행동론_1!$B$2:$B$301,"학생142")+COUNTIF(조직행동론_2!$B$2:$B$301,"학생142")+COUNTIF(중급재무회계_1!$B$2:$B$301,"학생142")+COUNTIF(투자론_1!$B$2:$B$300,"학생142")+COUNTIF(경영과학_1!$B$2:$B$301,"학생142")+COUNTIF(세무회계_1!$B$2:$B$301,"학생142")+COUNTIF(스마트경영_1!$B$2:$B$301,"학생142")+COUNTIF(스마트경영_2!$B$2:$B$301,"학생142")+COUNTIF(인적자원관리_1!$B$2:$B$257,"학생142")+COUNTIF(서비스마케팅_1!$B$2:$B$276,"학생142")+COUNTIF(제품관리_1!$B$2:$B$301,"학생142")</f>
        <v>7</v>
      </c>
    </row>
    <row r="146" spans="1:9" hidden="1">
      <c r="A146" s="15">
        <v>143</v>
      </c>
      <c r="B146" s="16" t="s">
        <v>144</v>
      </c>
      <c r="C146" s="16">
        <v>202400143</v>
      </c>
      <c r="I146" s="24">
        <f>COUNTIF(경영학원론_1!$B$3:$B$300,"학생143")+COUNTIF(경영학원론_2!$B$2:$B$301,"학생143")+COUNTIF(경영학원론_3!$B$2:$B$301,"학생143")+COUNTIF(경영학원론_4!$B$2:$B$300,"학생143")+COUNTIF(경제학원론_1!$B$2:$B$295,"학생143")+COUNTIF(경제학원론_2!$B$2:$B$298,"학생143")+COUNTIF(경제학원론_3!$B$2:$B$295,"학생143")+COUNTIF(경영통계학_1!$B$2:$B$299,"학생143")+COUNTIF(경영통계학_2!$B$2:$B$301,"학생143")+COUNTIF(경영통계학_3!$B$2:$B$298,"학생143")+COUNTIF(무역학개론_1!$B$2:$B$301,"학생143")+COUNTIF(회계학원론_1!$B$2:$B$293,"학생143")+COUNTIF(경영정보시스템_1!$B$2:$B$301,"학생143")+COUNTIF(관리회계_1!$B$2:$B$300,"학생143")+COUNTIF(관리회계_2!$B$2:$B$301,"학생143")+COUNTIF(마케팅_1!$B$2:$B$301,"학생143")+COUNTIF(마케팅리서치_1!$B$2:$B$301,"학생143")+COUNTIF(세법개론_1!$B$2:$B$300,"학생143")+COUNTIF(재무관리_1!$B$2:$B$301,"학생143")+COUNTIF(조직행동론_1!$B$2:$B$301,"학생143")+COUNTIF(조직행동론_2!$B$2:$B$301,"학생143")+COUNTIF(중급재무회계_1!$B$2:$B$301,"학생143")+COUNTIF(투자론_1!$B$2:$B$300,"학생143")+COUNTIF(경영과학_1!$B$2:$B$301,"학생143")+COUNTIF(세무회계_1!$B$2:$B$301,"학생143")+COUNTIF(스마트경영_1!$B$2:$B$301,"학생143")+COUNTIF(스마트경영_2!$B$2:$B$301,"학생143")+COUNTIF(인적자원관리_1!$B$2:$B$257,"학생143")+COUNTIF(서비스마케팅_1!$B$2:$B$276,"학생143")+COUNTIF(제품관리_1!$B$2:$B$301,"학생143")</f>
        <v>5</v>
      </c>
    </row>
    <row r="147" spans="1:9" hidden="1">
      <c r="A147" s="15">
        <v>144</v>
      </c>
      <c r="B147" s="16" t="s">
        <v>145</v>
      </c>
      <c r="C147" s="16">
        <v>202400144</v>
      </c>
      <c r="I147" s="24">
        <f>COUNTIF(경영학원론_1!$B$3:$B$300,"학생144")+COUNTIF(경영학원론_2!$B$2:$B$301,"학생144")+COUNTIF(경영학원론_3!$B$2:$B$301,"학생144")+COUNTIF(경영학원론_4!$B$2:$B$300,"학생144")+COUNTIF(경제학원론_1!$B$2:$B$295,"학생144")+COUNTIF(경제학원론_2!$B$2:$B$298,"학생144")+COUNTIF(경제학원론_3!$B$2:$B$295,"학생144")+COUNTIF(경영통계학_1!$B$2:$B$299,"학생144")+COUNTIF(경영통계학_2!$B$2:$B$301,"학생144")+COUNTIF(경영통계학_3!$B$2:$B$298,"학생144")+COUNTIF(무역학개론_1!$B$2:$B$301,"학생144")+COUNTIF(회계학원론_1!$B$2:$B$293,"학생144")+COUNTIF(경영정보시스템_1!$B$2:$B$301,"학생144")+COUNTIF(관리회계_1!$B$2:$B$300,"학생144")+COUNTIF(관리회계_2!$B$2:$B$301,"학생144")+COUNTIF(마케팅_1!$B$2:$B$301,"학생144")+COUNTIF(마케팅리서치_1!$B$2:$B$301,"학생144")+COUNTIF(세법개론_1!$B$2:$B$300,"학생144")+COUNTIF(재무관리_1!$B$2:$B$301,"학생144")+COUNTIF(조직행동론_1!$B$2:$B$301,"학생144")+COUNTIF(조직행동론_2!$B$2:$B$301,"학생144")+COUNTIF(중급재무회계_1!$B$2:$B$301,"학생144")+COUNTIF(투자론_1!$B$2:$B$300,"학생144")+COUNTIF(경영과학_1!$B$2:$B$301,"학생144")+COUNTIF(세무회계_1!$B$2:$B$301,"학생144")+COUNTIF(스마트경영_1!$B$2:$B$301,"학생144")+COUNTIF(스마트경영_2!$B$2:$B$301,"학생144")+COUNTIF(인적자원관리_1!$B$2:$B$257,"학생144")+COUNTIF(서비스마케팅_1!$B$2:$B$276,"학생144")+COUNTIF(제품관리_1!$B$2:$B$301,"학생144")</f>
        <v>4</v>
      </c>
    </row>
    <row r="148" spans="1:9" hidden="1">
      <c r="A148" s="15">
        <v>145</v>
      </c>
      <c r="B148" s="16" t="s">
        <v>146</v>
      </c>
      <c r="C148" s="16">
        <v>202400145</v>
      </c>
      <c r="I148" s="24">
        <f>COUNTIF(경영학원론_1!$B$3:$B$300,"학생145")+COUNTIF(경영학원론_2!$B$2:$B$301,"학생145")+COUNTIF(경영학원론_3!$B$2:$B$301,"학생145")+COUNTIF(경영학원론_4!$B$2:$B$300,"학생145")+COUNTIF(경제학원론_1!$B$2:$B$295,"학생145")+COUNTIF(경제학원론_2!$B$2:$B$298,"학생145")+COUNTIF(경제학원론_3!$B$2:$B$295,"학생145")+COUNTIF(경영통계학_1!$B$2:$B$299,"학생145")+COUNTIF(경영통계학_2!$B$2:$B$301,"학생145")+COUNTIF(경영통계학_3!$B$2:$B$298,"학생145")+COUNTIF(무역학개론_1!$B$2:$B$301,"학생145")+COUNTIF(회계학원론_1!$B$2:$B$293,"학생145")+COUNTIF(경영정보시스템_1!$B$2:$B$301,"학생145")+COUNTIF(관리회계_1!$B$2:$B$300,"학생145")+COUNTIF(관리회계_2!$B$2:$B$301,"학생145")+COUNTIF(마케팅_1!$B$2:$B$301,"학생145")+COUNTIF(마케팅리서치_1!$B$2:$B$301,"학생145")+COUNTIF(세법개론_1!$B$2:$B$300,"학생145")+COUNTIF(재무관리_1!$B$2:$B$301,"학생145")+COUNTIF(조직행동론_1!$B$2:$B$301,"학생145")+COUNTIF(조직행동론_2!$B$2:$B$301,"학생145")+COUNTIF(중급재무회계_1!$B$2:$B$301,"학생145")+COUNTIF(투자론_1!$B$2:$B$300,"학생145")+COUNTIF(경영과학_1!$B$2:$B$301,"학생145")+COUNTIF(세무회계_1!$B$2:$B$301,"학생145")+COUNTIF(스마트경영_1!$B$2:$B$301,"학생145")+COUNTIF(스마트경영_2!$B$2:$B$301,"학생145")+COUNTIF(인적자원관리_1!$B$2:$B$257,"학생145")+COUNTIF(서비스마케팅_1!$B$2:$B$276,"학생145")+COUNTIF(제품관리_1!$B$2:$B$301,"학생145")</f>
        <v>5</v>
      </c>
    </row>
    <row r="149" spans="1:9" hidden="1">
      <c r="A149" s="15">
        <v>146</v>
      </c>
      <c r="B149" s="16" t="s">
        <v>147</v>
      </c>
      <c r="C149" s="16">
        <v>202400146</v>
      </c>
      <c r="I149" s="24">
        <f>COUNTIF(경영학원론_1!$B$3:$B$300,"학생146")+COUNTIF(경영학원론_2!$B$2:$B$301,"학생146")+COUNTIF(경영학원론_3!$B$2:$B$301,"학생146")+COUNTIF(경영학원론_4!$B$2:$B$300,"학생146")+COUNTIF(경제학원론_1!$B$2:$B$295,"학생146")+COUNTIF(경제학원론_2!$B$2:$B$298,"학생146")+COUNTIF(경제학원론_3!$B$2:$B$295,"학생146")+COUNTIF(경영통계학_1!$B$2:$B$299,"학생146")+COUNTIF(경영통계학_2!$B$2:$B$301,"학생146")+COUNTIF(경영통계학_3!$B$2:$B$298,"학생146")+COUNTIF(무역학개론_1!$B$2:$B$301,"학생146")+COUNTIF(회계학원론_1!$B$2:$B$293,"학생146")+COUNTIF(경영정보시스템_1!$B$2:$B$301,"학생146")+COUNTIF(관리회계_1!$B$2:$B$300,"학생146")+COUNTIF(관리회계_2!$B$2:$B$301,"학생146")+COUNTIF(마케팅_1!$B$2:$B$301,"학생146")+COUNTIF(마케팅리서치_1!$B$2:$B$301,"학생146")+COUNTIF(세법개론_1!$B$2:$B$300,"학생146")+COUNTIF(재무관리_1!$B$2:$B$301,"학생146")+COUNTIF(조직행동론_1!$B$2:$B$301,"학생146")+COUNTIF(조직행동론_2!$B$2:$B$301,"학생146")+COUNTIF(중급재무회계_1!$B$2:$B$301,"학생146")+COUNTIF(투자론_1!$B$2:$B$300,"학생146")+COUNTIF(경영과학_1!$B$2:$B$301,"학생146")+COUNTIF(세무회계_1!$B$2:$B$301,"학생146")+COUNTIF(스마트경영_1!$B$2:$B$301,"학생146")+COUNTIF(스마트경영_2!$B$2:$B$301,"학생146")+COUNTIF(인적자원관리_1!$B$2:$B$257,"학생146")+COUNTIF(서비스마케팅_1!$B$2:$B$276,"학생146")+COUNTIF(제품관리_1!$B$2:$B$301,"학생146")</f>
        <v>7</v>
      </c>
    </row>
    <row r="150" spans="1:9" hidden="1">
      <c r="A150" s="15">
        <v>147</v>
      </c>
      <c r="B150" s="16" t="s">
        <v>148</v>
      </c>
      <c r="C150" s="16">
        <v>202400147</v>
      </c>
      <c r="I150" s="24">
        <f>COUNTIF(경영학원론_1!$B$3:$B$300,"학생147")+COUNTIF(경영학원론_2!$B$2:$B$301,"학생147")+COUNTIF(경영학원론_3!$B$2:$B$301,"학생147")+COUNTIF(경영학원론_4!$B$2:$B$300,"학생147")+COUNTIF(경제학원론_1!$B$2:$B$295,"학생147")+COUNTIF(경제학원론_2!$B$2:$B$298,"학생147")+COUNTIF(경제학원론_3!$B$2:$B$295,"학생147")+COUNTIF(경영통계학_1!$B$2:$B$299,"학생147")+COUNTIF(경영통계학_2!$B$2:$B$301,"학생147")+COUNTIF(경영통계학_3!$B$2:$B$298,"학생147")+COUNTIF(무역학개론_1!$B$2:$B$301,"학생147")+COUNTIF(회계학원론_1!$B$2:$B$293,"학생147")+COUNTIF(경영정보시스템_1!$B$2:$B$301,"학생147")+COUNTIF(관리회계_1!$B$2:$B$300,"학생147")+COUNTIF(관리회계_2!$B$2:$B$301,"학생147")+COUNTIF(마케팅_1!$B$2:$B$301,"학생147")+COUNTIF(마케팅리서치_1!$B$2:$B$301,"학생147")+COUNTIF(세법개론_1!$B$2:$B$300,"학생147")+COUNTIF(재무관리_1!$B$2:$B$301,"학생147")+COUNTIF(조직행동론_1!$B$2:$B$301,"학생147")+COUNTIF(조직행동론_2!$B$2:$B$301,"학생147")+COUNTIF(중급재무회계_1!$B$2:$B$301,"학생147")+COUNTIF(투자론_1!$B$2:$B$300,"학생147")+COUNTIF(경영과학_1!$B$2:$B$301,"학생147")+COUNTIF(세무회계_1!$B$2:$B$301,"학생147")+COUNTIF(스마트경영_1!$B$2:$B$301,"학생147")+COUNTIF(스마트경영_2!$B$2:$B$301,"학생147")+COUNTIF(인적자원관리_1!$B$2:$B$257,"학생147")+COUNTIF(서비스마케팅_1!$B$2:$B$276,"학생147")+COUNTIF(제품관리_1!$B$2:$B$301,"학생147")</f>
        <v>7</v>
      </c>
    </row>
    <row r="151" spans="1:9" hidden="1">
      <c r="A151" s="15">
        <v>148</v>
      </c>
      <c r="B151" s="16" t="s">
        <v>149</v>
      </c>
      <c r="C151" s="16">
        <v>202400148</v>
      </c>
      <c r="I151" s="24">
        <f>COUNTIF(경영학원론_1!$B$3:$B$300,"학생148")+COUNTIF(경영학원론_2!$B$2:$B$301,"학생148")+COUNTIF(경영학원론_3!$B$2:$B$301,"학생148")+COUNTIF(경영학원론_4!$B$2:$B$300,"학생148")+COUNTIF(경제학원론_1!$B$2:$B$295,"학생148")+COUNTIF(경제학원론_2!$B$2:$B$298,"학생148")+COUNTIF(경제학원론_3!$B$2:$B$295,"학생148")+COUNTIF(경영통계학_1!$B$2:$B$299,"학생148")+COUNTIF(경영통계학_2!$B$2:$B$301,"학생148")+COUNTIF(경영통계학_3!$B$2:$B$298,"학생148")+COUNTIF(무역학개론_1!$B$2:$B$301,"학생148")+COUNTIF(회계학원론_1!$B$2:$B$293,"학생148")+COUNTIF(경영정보시스템_1!$B$2:$B$301,"학생148")+COUNTIF(관리회계_1!$B$2:$B$300,"학생148")+COUNTIF(관리회계_2!$B$2:$B$301,"학생148")+COUNTIF(마케팅_1!$B$2:$B$301,"학생148")+COUNTIF(마케팅리서치_1!$B$2:$B$301,"학생148")+COUNTIF(세법개론_1!$B$2:$B$300,"학생148")+COUNTIF(재무관리_1!$B$2:$B$301,"학생148")+COUNTIF(조직행동론_1!$B$2:$B$301,"학생148")+COUNTIF(조직행동론_2!$B$2:$B$301,"학생148")+COUNTIF(중급재무회계_1!$B$2:$B$301,"학생148")+COUNTIF(투자론_1!$B$2:$B$300,"학생148")+COUNTIF(경영과학_1!$B$2:$B$301,"학생148")+COUNTIF(세무회계_1!$B$2:$B$301,"학생148")+COUNTIF(스마트경영_1!$B$2:$B$301,"학생148")+COUNTIF(스마트경영_2!$B$2:$B$301,"학생148")+COUNTIF(인적자원관리_1!$B$2:$B$257,"학생148")+COUNTIF(서비스마케팅_1!$B$2:$B$276,"학생148")+COUNTIF(제품관리_1!$B$2:$B$301,"학생148")</f>
        <v>7</v>
      </c>
    </row>
    <row r="152" spans="1:9" hidden="1">
      <c r="A152" s="15">
        <v>149</v>
      </c>
      <c r="B152" s="16" t="s">
        <v>150</v>
      </c>
      <c r="C152" s="16">
        <v>202400149</v>
      </c>
      <c r="I152" s="24">
        <f>COUNTIF(경영학원론_1!$B$3:$B$300,"학생149")+COUNTIF(경영학원론_2!$B$2:$B$301,"학생149")+COUNTIF(경영학원론_3!$B$2:$B$301,"학생149")+COUNTIF(경영학원론_4!$B$2:$B$300,"학생149")+COUNTIF(경제학원론_1!$B$2:$B$295,"학생149")+COUNTIF(경제학원론_2!$B$2:$B$298,"학생149")+COUNTIF(경제학원론_3!$B$2:$B$295,"학생149")+COUNTIF(경영통계학_1!$B$2:$B$299,"학생149")+COUNTIF(경영통계학_2!$B$2:$B$301,"학생149")+COUNTIF(경영통계학_3!$B$2:$B$298,"학생149")+COUNTIF(무역학개론_1!$B$2:$B$301,"학생149")+COUNTIF(회계학원론_1!$B$2:$B$293,"학생149")+COUNTIF(경영정보시스템_1!$B$2:$B$301,"학생149")+COUNTIF(관리회계_1!$B$2:$B$300,"학생149")+COUNTIF(관리회계_2!$B$2:$B$301,"학생149")+COUNTIF(마케팅_1!$B$2:$B$301,"학생149")+COUNTIF(마케팅리서치_1!$B$2:$B$301,"학생149")+COUNTIF(세법개론_1!$B$2:$B$300,"학생149")+COUNTIF(재무관리_1!$B$2:$B$301,"학생149")+COUNTIF(조직행동론_1!$B$2:$B$301,"학생149")+COUNTIF(조직행동론_2!$B$2:$B$301,"학생149")+COUNTIF(중급재무회계_1!$B$2:$B$301,"학생149")+COUNTIF(투자론_1!$B$2:$B$300,"학생149")+COUNTIF(경영과학_1!$B$2:$B$301,"학생149")+COUNTIF(세무회계_1!$B$2:$B$301,"학생149")+COUNTIF(스마트경영_1!$B$2:$B$301,"학생149")+COUNTIF(스마트경영_2!$B$2:$B$301,"학생149")+COUNTIF(인적자원관리_1!$B$2:$B$257,"학생149")+COUNTIF(서비스마케팅_1!$B$2:$B$276,"학생149")+COUNTIF(제품관리_1!$B$2:$B$301,"학생149")</f>
        <v>4</v>
      </c>
    </row>
    <row r="153" spans="1:9" hidden="1">
      <c r="A153" s="15">
        <v>150</v>
      </c>
      <c r="B153" s="16" t="s">
        <v>151</v>
      </c>
      <c r="C153" s="16">
        <v>202400150</v>
      </c>
      <c r="I153" s="24">
        <f>COUNTIF(경영학원론_1!$B$3:$B$300,"학생150")+COUNTIF(경영학원론_2!$B$2:$B$301,"학생150")+COUNTIF(경영학원론_3!$B$2:$B$301,"학생150")+COUNTIF(경영학원론_4!$B$2:$B$300,"학생150")+COUNTIF(경제학원론_1!$B$2:$B$295,"학생150")+COUNTIF(경제학원론_2!$B$2:$B$298,"학생150")+COUNTIF(경제학원론_3!$B$2:$B$295,"학생150")+COUNTIF(경영통계학_1!$B$2:$B$299,"학생150")+COUNTIF(경영통계학_2!$B$2:$B$301,"학생150")+COUNTIF(경영통계학_3!$B$2:$B$298,"학생150")+COUNTIF(무역학개론_1!$B$2:$B$301,"학생150")+COUNTIF(회계학원론_1!$B$2:$B$293,"학생150")+COUNTIF(경영정보시스템_1!$B$2:$B$301,"학생150")+COUNTIF(관리회계_1!$B$2:$B$300,"학생150")+COUNTIF(관리회계_2!$B$2:$B$301,"학생150")+COUNTIF(마케팅_1!$B$2:$B$301,"학생150")+COUNTIF(마케팅리서치_1!$B$2:$B$301,"학생150")+COUNTIF(세법개론_1!$B$2:$B$300,"학생150")+COUNTIF(재무관리_1!$B$2:$B$301,"학생150")+COUNTIF(조직행동론_1!$B$2:$B$301,"학생150")+COUNTIF(조직행동론_2!$B$2:$B$301,"학생150")+COUNTIF(중급재무회계_1!$B$2:$B$301,"학생150")+COUNTIF(투자론_1!$B$2:$B$300,"학생150")+COUNTIF(경영과학_1!$B$2:$B$301,"학생150")+COUNTIF(세무회계_1!$B$2:$B$301,"학생150")+COUNTIF(스마트경영_1!$B$2:$B$301,"학생150")+COUNTIF(스마트경영_2!$B$2:$B$301,"학생150")+COUNTIF(인적자원관리_1!$B$2:$B$257,"학생150")+COUNTIF(서비스마케팅_1!$B$2:$B$276,"학생150")+COUNTIF(제품관리_1!$B$2:$B$301,"학생150")</f>
        <v>7</v>
      </c>
    </row>
    <row r="154" spans="1:9" hidden="1">
      <c r="A154" s="15">
        <v>151</v>
      </c>
      <c r="B154" s="16" t="s">
        <v>152</v>
      </c>
      <c r="C154" s="16">
        <v>202400151</v>
      </c>
      <c r="I154" s="24">
        <f>COUNTIF(경영학원론_1!$B$3:$B$300,"학생151")+COUNTIF(경영학원론_2!$B$2:$B$301,"학생151")+COUNTIF(경영학원론_3!$B$2:$B$301,"학생151")+COUNTIF(경영학원론_4!$B$2:$B$300,"학생151")+COUNTIF(경제학원론_1!$B$2:$B$295,"학생151")+COUNTIF(경제학원론_2!$B$2:$B$298,"학생151")+COUNTIF(경제학원론_3!$B$2:$B$295,"학생151")+COUNTIF(경영통계학_1!$B$2:$B$299,"학생151")+COUNTIF(경영통계학_2!$B$2:$B$301,"학생151")+COUNTIF(경영통계학_3!$B$2:$B$298,"학생151")+COUNTIF(무역학개론_1!$B$2:$B$301,"학생151")+COUNTIF(회계학원론_1!$B$2:$B$293,"학생151")+COUNTIF(경영정보시스템_1!$B$2:$B$301,"학생151")+COUNTIF(관리회계_1!$B$2:$B$300,"학생151")+COUNTIF(관리회계_2!$B$2:$B$301,"학생151")+COUNTIF(마케팅_1!$B$2:$B$301,"학생151")+COUNTIF(마케팅리서치_1!$B$2:$B$301,"학생151")+COUNTIF(세법개론_1!$B$2:$B$300,"학생151")+COUNTIF(재무관리_1!$B$2:$B$301,"학생151")+COUNTIF(조직행동론_1!$B$2:$B$301,"학생151")+COUNTIF(조직행동론_2!$B$2:$B$301,"학생151")+COUNTIF(중급재무회계_1!$B$2:$B$301,"학생151")+COUNTIF(투자론_1!$B$2:$B$300,"학생151")+COUNTIF(경영과학_1!$B$2:$B$301,"학생151")+COUNTIF(세무회계_1!$B$2:$B$301,"학생151")+COUNTIF(스마트경영_1!$B$2:$B$301,"학생151")+COUNTIF(스마트경영_2!$B$2:$B$301,"학생151")+COUNTIF(인적자원관리_1!$B$2:$B$257,"학생151")+COUNTIF(서비스마케팅_1!$B$2:$B$276,"학생151")+COUNTIF(제품관리_1!$B$2:$B$301,"학생151")</f>
        <v>6</v>
      </c>
    </row>
    <row r="155" spans="1:9" hidden="1">
      <c r="A155" s="15">
        <v>152</v>
      </c>
      <c r="B155" s="16" t="s">
        <v>153</v>
      </c>
      <c r="C155" s="16">
        <v>202400152</v>
      </c>
      <c r="I155" s="24">
        <f>COUNTIF(경영학원론_1!$B$3:$B$300,"학생152")+COUNTIF(경영학원론_2!$B$2:$B$301,"학생152")+COUNTIF(경영학원론_3!$B$2:$B$301,"학생152")+COUNTIF(경영학원론_4!$B$2:$B$300,"학생152")+COUNTIF(경제학원론_1!$B$2:$B$295,"학생152")+COUNTIF(경제학원론_2!$B$2:$B$298,"학생152")+COUNTIF(경제학원론_3!$B$2:$B$295,"학생152")+COUNTIF(경영통계학_1!$B$2:$B$299,"학생152")+COUNTIF(경영통계학_2!$B$2:$B$301,"학생152")+COUNTIF(경영통계학_3!$B$2:$B$298,"학생152")+COUNTIF(무역학개론_1!$B$2:$B$301,"학생152")+COUNTIF(회계학원론_1!$B$2:$B$293,"학생152")+COUNTIF(경영정보시스템_1!$B$2:$B$301,"학생152")+COUNTIF(관리회계_1!$B$2:$B$300,"학생152")+COUNTIF(관리회계_2!$B$2:$B$301,"학생152")+COUNTIF(마케팅_1!$B$2:$B$301,"학생152")+COUNTIF(마케팅리서치_1!$B$2:$B$301,"학생152")+COUNTIF(세법개론_1!$B$2:$B$300,"학생152")+COUNTIF(재무관리_1!$B$2:$B$301,"학생152")+COUNTIF(조직행동론_1!$B$2:$B$301,"학생152")+COUNTIF(조직행동론_2!$B$2:$B$301,"학생152")+COUNTIF(중급재무회계_1!$B$2:$B$301,"학생152")+COUNTIF(투자론_1!$B$2:$B$300,"학생152")+COUNTIF(경영과학_1!$B$2:$B$301,"학생152")+COUNTIF(세무회계_1!$B$2:$B$301,"학생152")+COUNTIF(스마트경영_1!$B$2:$B$301,"학생152")+COUNTIF(스마트경영_2!$B$2:$B$301,"학생152")+COUNTIF(인적자원관리_1!$B$2:$B$257,"학생152")+COUNTIF(서비스마케팅_1!$B$2:$B$276,"학생152")+COUNTIF(제품관리_1!$B$2:$B$301,"학생152")</f>
        <v>3</v>
      </c>
    </row>
    <row r="156" spans="1:9" hidden="1">
      <c r="A156" s="15">
        <v>153</v>
      </c>
      <c r="B156" s="16" t="s">
        <v>154</v>
      </c>
      <c r="C156" s="16">
        <v>202400153</v>
      </c>
      <c r="I156" s="24">
        <f>COUNTIF(경영학원론_1!$B$3:$B$300,"학생153")+COUNTIF(경영학원론_2!$B$2:$B$301,"학생153")+COUNTIF(경영학원론_3!$B$2:$B$301,"학생153")+COUNTIF(경영학원론_4!$B$2:$B$300,"학생153")+COUNTIF(경제학원론_1!$B$2:$B$295,"학생153")+COUNTIF(경제학원론_2!$B$2:$B$298,"학생153")+COUNTIF(경제학원론_3!$B$2:$B$295,"학생153")+COUNTIF(경영통계학_1!$B$2:$B$299,"학생153")+COUNTIF(경영통계학_2!$B$2:$B$301,"학생153")+COUNTIF(경영통계학_3!$B$2:$B$298,"학생153")+COUNTIF(무역학개론_1!$B$2:$B$301,"학생153")+COUNTIF(회계학원론_1!$B$2:$B$293,"학생153")+COUNTIF(경영정보시스템_1!$B$2:$B$301,"학생153")+COUNTIF(관리회계_1!$B$2:$B$300,"학생153")+COUNTIF(관리회계_2!$B$2:$B$301,"학생153")+COUNTIF(마케팅_1!$B$2:$B$301,"학생153")+COUNTIF(마케팅리서치_1!$B$2:$B$301,"학생153")+COUNTIF(세법개론_1!$B$2:$B$300,"학생153")+COUNTIF(재무관리_1!$B$2:$B$301,"학생153")+COUNTIF(조직행동론_1!$B$2:$B$301,"학생153")+COUNTIF(조직행동론_2!$B$2:$B$301,"학생153")+COUNTIF(중급재무회계_1!$B$2:$B$301,"학생153")+COUNTIF(투자론_1!$B$2:$B$300,"학생153")+COUNTIF(경영과학_1!$B$2:$B$301,"학생153")+COUNTIF(세무회계_1!$B$2:$B$301,"학생153")+COUNTIF(스마트경영_1!$B$2:$B$301,"학생153")+COUNTIF(스마트경영_2!$B$2:$B$301,"학생153")+COUNTIF(인적자원관리_1!$B$2:$B$257,"학생153")+COUNTIF(서비스마케팅_1!$B$2:$B$276,"학생153")+COUNTIF(제품관리_1!$B$2:$B$301,"학생153")</f>
        <v>5</v>
      </c>
    </row>
    <row r="157" spans="1:9" hidden="1">
      <c r="A157" s="15">
        <v>154</v>
      </c>
      <c r="B157" s="16" t="s">
        <v>155</v>
      </c>
      <c r="C157" s="16">
        <v>202400154</v>
      </c>
      <c r="I157" s="24">
        <f>COUNTIF(경영학원론_1!$B$3:$B$300,"학생154")+COUNTIF(경영학원론_2!$B$2:$B$301,"학생154")+COUNTIF(경영학원론_3!$B$2:$B$301,"학생154")+COUNTIF(경영학원론_4!$B$2:$B$300,"학생154")+COUNTIF(경제학원론_1!$B$2:$B$295,"학생154")+COUNTIF(경제학원론_2!$B$2:$B$298,"학생154")+COUNTIF(경제학원론_3!$B$2:$B$295,"학생154")+COUNTIF(경영통계학_1!$B$2:$B$299,"학생154")+COUNTIF(경영통계학_2!$B$2:$B$301,"학생154")+COUNTIF(경영통계학_3!$B$2:$B$298,"학생154")+COUNTIF(무역학개론_1!$B$2:$B$301,"학생154")+COUNTIF(회계학원론_1!$B$2:$B$293,"학생154")+COUNTIF(경영정보시스템_1!$B$2:$B$301,"학생154")+COUNTIF(관리회계_1!$B$2:$B$300,"학생154")+COUNTIF(관리회계_2!$B$2:$B$301,"학생154")+COUNTIF(마케팅_1!$B$2:$B$301,"학생154")+COUNTIF(마케팅리서치_1!$B$2:$B$301,"학생154")+COUNTIF(세법개론_1!$B$2:$B$300,"학생154")+COUNTIF(재무관리_1!$B$2:$B$301,"학생154")+COUNTIF(조직행동론_1!$B$2:$B$301,"학생154")+COUNTIF(조직행동론_2!$B$2:$B$301,"학생154")+COUNTIF(중급재무회계_1!$B$2:$B$301,"학생154")+COUNTIF(투자론_1!$B$2:$B$300,"학생154")+COUNTIF(경영과학_1!$B$2:$B$301,"학생154")+COUNTIF(세무회계_1!$B$2:$B$301,"학생154")+COUNTIF(스마트경영_1!$B$2:$B$301,"학생154")+COUNTIF(스마트경영_2!$B$2:$B$301,"학생154")+COUNTIF(인적자원관리_1!$B$2:$B$257,"학생154")+COUNTIF(서비스마케팅_1!$B$2:$B$276,"학생154")+COUNTIF(제품관리_1!$B$2:$B$301,"학생154")</f>
        <v>5</v>
      </c>
    </row>
    <row r="158" spans="1:9" hidden="1">
      <c r="A158" s="15">
        <v>155</v>
      </c>
      <c r="B158" s="16" t="s">
        <v>156</v>
      </c>
      <c r="C158" s="16">
        <v>202400155</v>
      </c>
      <c r="I158" s="24">
        <f>COUNTIF(경영학원론_1!$B$3:$B$300,"학생155")+COUNTIF(경영학원론_2!$B$2:$B$301,"학생155")+COUNTIF(경영학원론_3!$B$2:$B$301,"학생155")+COUNTIF(경영학원론_4!$B$2:$B$300,"학생155")+COUNTIF(경제학원론_1!$B$2:$B$295,"학생155")+COUNTIF(경제학원론_2!$B$2:$B$298,"학생155")+COUNTIF(경제학원론_3!$B$2:$B$295,"학생155")+COUNTIF(경영통계학_1!$B$2:$B$299,"학생155")+COUNTIF(경영통계학_2!$B$2:$B$301,"학생155")+COUNTIF(경영통계학_3!$B$2:$B$298,"학생155")+COUNTIF(무역학개론_1!$B$2:$B$301,"학생155")+COUNTIF(회계학원론_1!$B$2:$B$293,"학생155")+COUNTIF(경영정보시스템_1!$B$2:$B$301,"학생155")+COUNTIF(관리회계_1!$B$2:$B$300,"학생155")+COUNTIF(관리회계_2!$B$2:$B$301,"학생155")+COUNTIF(마케팅_1!$B$2:$B$301,"학생155")+COUNTIF(마케팅리서치_1!$B$2:$B$301,"학생155")+COUNTIF(세법개론_1!$B$2:$B$300,"학생155")+COUNTIF(재무관리_1!$B$2:$B$301,"학생155")+COUNTIF(조직행동론_1!$B$2:$B$301,"학생155")+COUNTIF(조직행동론_2!$B$2:$B$301,"학생155")+COUNTIF(중급재무회계_1!$B$2:$B$301,"학생155")+COUNTIF(투자론_1!$B$2:$B$300,"학생155")+COUNTIF(경영과학_1!$B$2:$B$301,"학생155")+COUNTIF(세무회계_1!$B$2:$B$301,"학생155")+COUNTIF(스마트경영_1!$B$2:$B$301,"학생155")+COUNTIF(스마트경영_2!$B$2:$B$301,"학생155")+COUNTIF(인적자원관리_1!$B$2:$B$257,"학생155")+COUNTIF(서비스마케팅_1!$B$2:$B$276,"학생155")+COUNTIF(제품관리_1!$B$2:$B$301,"학생155")</f>
        <v>7</v>
      </c>
    </row>
    <row r="159" spans="1:9" hidden="1">
      <c r="A159" s="15">
        <v>156</v>
      </c>
      <c r="B159" s="16" t="s">
        <v>157</v>
      </c>
      <c r="C159" s="16">
        <v>202400156</v>
      </c>
      <c r="I159" s="24">
        <f>COUNTIF(경영학원론_1!$B$3:$B$300,"학생156")+COUNTIF(경영학원론_2!$B$2:$B$301,"학생156")+COUNTIF(경영학원론_3!$B$2:$B$301,"학생156")+COUNTIF(경영학원론_4!$B$2:$B$300,"학생156")+COUNTIF(경제학원론_1!$B$2:$B$295,"학생156")+COUNTIF(경제학원론_2!$B$2:$B$298,"학생156")+COUNTIF(경제학원론_3!$B$2:$B$295,"학생156")+COUNTIF(경영통계학_1!$B$2:$B$299,"학생156")+COUNTIF(경영통계학_2!$B$2:$B$301,"학생156")+COUNTIF(경영통계학_3!$B$2:$B$298,"학생156")+COUNTIF(무역학개론_1!$B$2:$B$301,"학생156")+COUNTIF(회계학원론_1!$B$2:$B$293,"학생156")+COUNTIF(경영정보시스템_1!$B$2:$B$301,"학생156")+COUNTIF(관리회계_1!$B$2:$B$300,"학생156")+COUNTIF(관리회계_2!$B$2:$B$301,"학생156")+COUNTIF(마케팅_1!$B$2:$B$301,"학생156")+COUNTIF(마케팅리서치_1!$B$2:$B$301,"학생156")+COUNTIF(세법개론_1!$B$2:$B$300,"학생156")+COUNTIF(재무관리_1!$B$2:$B$301,"학생156")+COUNTIF(조직행동론_1!$B$2:$B$301,"학생156")+COUNTIF(조직행동론_2!$B$2:$B$301,"학생156")+COUNTIF(중급재무회계_1!$B$2:$B$301,"학생156")+COUNTIF(투자론_1!$B$2:$B$300,"학생156")+COUNTIF(경영과학_1!$B$2:$B$301,"학생156")+COUNTIF(세무회계_1!$B$2:$B$301,"학생156")+COUNTIF(스마트경영_1!$B$2:$B$301,"학생156")+COUNTIF(스마트경영_2!$B$2:$B$301,"학생156")+COUNTIF(인적자원관리_1!$B$2:$B$257,"학생156")+COUNTIF(서비스마케팅_1!$B$2:$B$276,"학생156")+COUNTIF(제품관리_1!$B$2:$B$301,"학생156")</f>
        <v>6</v>
      </c>
    </row>
    <row r="160" spans="1:9" hidden="1">
      <c r="A160" s="15">
        <v>157</v>
      </c>
      <c r="B160" s="16" t="s">
        <v>158</v>
      </c>
      <c r="C160" s="16">
        <v>202400157</v>
      </c>
      <c r="I160" s="24">
        <f>COUNTIF(경영학원론_1!$B$3:$B$300,"학생157")+COUNTIF(경영학원론_2!$B$2:$B$301,"학생157")+COUNTIF(경영학원론_3!$B$2:$B$301,"학생157")+COUNTIF(경영학원론_4!$B$2:$B$300,"학생157")+COUNTIF(경제학원론_1!$B$2:$B$295,"학생157")+COUNTIF(경제학원론_2!$B$2:$B$298,"학생157")+COUNTIF(경제학원론_3!$B$2:$B$295,"학생157")+COUNTIF(경영통계학_1!$B$2:$B$299,"학생157")+COUNTIF(경영통계학_2!$B$2:$B$301,"학생157")+COUNTIF(경영통계학_3!$B$2:$B$298,"학생157")+COUNTIF(무역학개론_1!$B$2:$B$301,"학생157")+COUNTIF(회계학원론_1!$B$2:$B$293,"학생157")+COUNTIF(경영정보시스템_1!$B$2:$B$301,"학생157")+COUNTIF(관리회계_1!$B$2:$B$300,"학생157")+COUNTIF(관리회계_2!$B$2:$B$301,"학생157")+COUNTIF(마케팅_1!$B$2:$B$301,"학생157")+COUNTIF(마케팅리서치_1!$B$2:$B$301,"학생157")+COUNTIF(세법개론_1!$B$2:$B$300,"학생157")+COUNTIF(재무관리_1!$B$2:$B$301,"학생157")+COUNTIF(조직행동론_1!$B$2:$B$301,"학생157")+COUNTIF(조직행동론_2!$B$2:$B$301,"학생157")+COUNTIF(중급재무회계_1!$B$2:$B$301,"학생157")+COUNTIF(투자론_1!$B$2:$B$300,"학생157")+COUNTIF(경영과학_1!$B$2:$B$301,"학생157")+COUNTIF(세무회계_1!$B$2:$B$301,"학생157")+COUNTIF(스마트경영_1!$B$2:$B$301,"학생157")+COUNTIF(스마트경영_2!$B$2:$B$301,"학생157")+COUNTIF(인적자원관리_1!$B$2:$B$257,"학생157")+COUNTIF(서비스마케팅_1!$B$2:$B$276,"학생157")+COUNTIF(제품관리_1!$B$2:$B$301,"학생157")</f>
        <v>6</v>
      </c>
    </row>
    <row r="161" spans="1:9" hidden="1">
      <c r="A161" s="15">
        <v>158</v>
      </c>
      <c r="B161" s="16" t="s">
        <v>159</v>
      </c>
      <c r="C161" s="16">
        <v>202400158</v>
      </c>
      <c r="I161" s="24">
        <f>COUNTIF(경영학원론_1!$B$3:$B$300,"학생158")+COUNTIF(경영학원론_2!$B$2:$B$301,"학생158")+COUNTIF(경영학원론_3!$B$2:$B$301,"학생158")+COUNTIF(경영학원론_4!$B$2:$B$300,"학생158")+COUNTIF(경제학원론_1!$B$2:$B$295,"학생158")+COUNTIF(경제학원론_2!$B$2:$B$298,"학생158")+COUNTIF(경제학원론_3!$B$2:$B$295,"학생158")+COUNTIF(경영통계학_1!$B$2:$B$299,"학생158")+COUNTIF(경영통계학_2!$B$2:$B$301,"학생158")+COUNTIF(경영통계학_3!$B$2:$B$298,"학생158")+COUNTIF(무역학개론_1!$B$2:$B$301,"학생158")+COUNTIF(회계학원론_1!$B$2:$B$293,"학생158")+COUNTIF(경영정보시스템_1!$B$2:$B$301,"학생158")+COUNTIF(관리회계_1!$B$2:$B$300,"학생158")+COUNTIF(관리회계_2!$B$2:$B$301,"학생158")+COUNTIF(마케팅_1!$B$2:$B$301,"학생158")+COUNTIF(마케팅리서치_1!$B$2:$B$301,"학생158")+COUNTIF(세법개론_1!$B$2:$B$300,"학생158")+COUNTIF(재무관리_1!$B$2:$B$301,"학생158")+COUNTIF(조직행동론_1!$B$2:$B$301,"학생158")+COUNTIF(조직행동론_2!$B$2:$B$301,"학생158")+COUNTIF(중급재무회계_1!$B$2:$B$301,"학생158")+COUNTIF(투자론_1!$B$2:$B$300,"학생158")+COUNTIF(경영과학_1!$B$2:$B$301,"학생158")+COUNTIF(세무회계_1!$B$2:$B$301,"학생158")+COUNTIF(스마트경영_1!$B$2:$B$301,"학생158")+COUNTIF(스마트경영_2!$B$2:$B$301,"학생158")+COUNTIF(인적자원관리_1!$B$2:$B$257,"학생158")+COUNTIF(서비스마케팅_1!$B$2:$B$276,"학생158")+COUNTIF(제품관리_1!$B$2:$B$301,"학생158")</f>
        <v>4</v>
      </c>
    </row>
    <row r="162" spans="1:9" hidden="1">
      <c r="A162" s="15">
        <v>159</v>
      </c>
      <c r="B162" s="16" t="s">
        <v>160</v>
      </c>
      <c r="C162" s="16">
        <v>202400159</v>
      </c>
      <c r="I162" s="24">
        <f>COUNTIF(경영학원론_1!$B$3:$B$300,"학생159")+COUNTIF(경영학원론_2!$B$2:$B$301,"학생159")+COUNTIF(경영학원론_3!$B$2:$B$301,"학생159")+COUNTIF(경영학원론_4!$B$2:$B$300,"학생159")+COUNTIF(경제학원론_1!$B$2:$B$295,"학생159")+COUNTIF(경제학원론_2!$B$2:$B$298,"학생159")+COUNTIF(경제학원론_3!$B$2:$B$295,"학생159")+COUNTIF(경영통계학_1!$B$2:$B$299,"학생159")+COUNTIF(경영통계학_2!$B$2:$B$301,"학생159")+COUNTIF(경영통계학_3!$B$2:$B$298,"학생159")+COUNTIF(무역학개론_1!$B$2:$B$301,"학생159")+COUNTIF(회계학원론_1!$B$2:$B$293,"학생159")+COUNTIF(경영정보시스템_1!$B$2:$B$301,"학생159")+COUNTIF(관리회계_1!$B$2:$B$300,"학생159")+COUNTIF(관리회계_2!$B$2:$B$301,"학생159")+COUNTIF(마케팅_1!$B$2:$B$301,"학생159")+COUNTIF(마케팅리서치_1!$B$2:$B$301,"학생159")+COUNTIF(세법개론_1!$B$2:$B$300,"학생159")+COUNTIF(재무관리_1!$B$2:$B$301,"학생159")+COUNTIF(조직행동론_1!$B$2:$B$301,"학생159")+COUNTIF(조직행동론_2!$B$2:$B$301,"학생159")+COUNTIF(중급재무회계_1!$B$2:$B$301,"학생159")+COUNTIF(투자론_1!$B$2:$B$300,"학생159")+COUNTIF(경영과학_1!$B$2:$B$301,"학생159")+COUNTIF(세무회계_1!$B$2:$B$301,"학생159")+COUNTIF(스마트경영_1!$B$2:$B$301,"학생159")+COUNTIF(스마트경영_2!$B$2:$B$301,"학생159")+COUNTIF(인적자원관리_1!$B$2:$B$257,"학생159")+COUNTIF(서비스마케팅_1!$B$2:$B$276,"학생159")+COUNTIF(제품관리_1!$B$2:$B$301,"학생159")</f>
        <v>4</v>
      </c>
    </row>
    <row r="163" spans="1:9" hidden="1">
      <c r="A163" s="15">
        <v>160</v>
      </c>
      <c r="B163" s="16" t="s">
        <v>161</v>
      </c>
      <c r="C163" s="16">
        <v>202400160</v>
      </c>
      <c r="I163" s="24">
        <f>COUNTIF(경영학원론_1!$B$3:$B$300,"학생160")+COUNTIF(경영학원론_2!$B$2:$B$301,"학생160")+COUNTIF(경영학원론_3!$B$2:$B$301,"학생160")+COUNTIF(경영학원론_4!$B$2:$B$300,"학생160")+COUNTIF(경제학원론_1!$B$2:$B$295,"학생160")+COUNTIF(경제학원론_2!$B$2:$B$298,"학생160")+COUNTIF(경제학원론_3!$B$2:$B$295,"학생160")+COUNTIF(경영통계학_1!$B$2:$B$299,"학생160")+COUNTIF(경영통계학_2!$B$2:$B$301,"학생160")+COUNTIF(경영통계학_3!$B$2:$B$298,"학생160")+COUNTIF(무역학개론_1!$B$2:$B$301,"학생160")+COUNTIF(회계학원론_1!$B$2:$B$293,"학생160")+COUNTIF(경영정보시스템_1!$B$2:$B$301,"학생160")+COUNTIF(관리회계_1!$B$2:$B$300,"학생160")+COUNTIF(관리회계_2!$B$2:$B$301,"학생160")+COUNTIF(마케팅_1!$B$2:$B$301,"학생160")+COUNTIF(마케팅리서치_1!$B$2:$B$301,"학생160")+COUNTIF(세법개론_1!$B$2:$B$300,"학생160")+COUNTIF(재무관리_1!$B$2:$B$301,"학생160")+COUNTIF(조직행동론_1!$B$2:$B$301,"학생160")+COUNTIF(조직행동론_2!$B$2:$B$301,"학생160")+COUNTIF(중급재무회계_1!$B$2:$B$301,"학생160")+COUNTIF(투자론_1!$B$2:$B$300,"학생160")+COUNTIF(경영과학_1!$B$2:$B$301,"학생160")+COUNTIF(세무회계_1!$B$2:$B$301,"학생160")+COUNTIF(스마트경영_1!$B$2:$B$301,"학생160")+COUNTIF(스마트경영_2!$B$2:$B$301,"학생160")+COUNTIF(인적자원관리_1!$B$2:$B$257,"학생160")+COUNTIF(서비스마케팅_1!$B$2:$B$276,"학생160")+COUNTIF(제품관리_1!$B$2:$B$301,"학생160")</f>
        <v>6</v>
      </c>
    </row>
    <row r="164" spans="1:9" hidden="1">
      <c r="A164" s="15">
        <v>161</v>
      </c>
      <c r="B164" s="16" t="s">
        <v>162</v>
      </c>
      <c r="C164" s="16">
        <v>202400161</v>
      </c>
      <c r="I164" s="24">
        <f>COUNTIF(경영학원론_1!$B$3:$B$300,"학생161")+COUNTIF(경영학원론_2!$B$2:$B$301,"학생161")+COUNTIF(경영학원론_3!$B$2:$B$301,"학생161")+COUNTIF(경영학원론_4!$B$2:$B$300,"학생161")+COUNTIF(경제학원론_1!$B$2:$B$295,"학생161")+COUNTIF(경제학원론_2!$B$2:$B$298,"학생161")+COUNTIF(경제학원론_3!$B$2:$B$295,"학생161")+COUNTIF(경영통계학_1!$B$2:$B$299,"학생161")+COUNTIF(경영통계학_2!$B$2:$B$301,"학생161")+COUNTIF(경영통계학_3!$B$2:$B$298,"학생161")+COUNTIF(무역학개론_1!$B$2:$B$301,"학생161")+COUNTIF(회계학원론_1!$B$2:$B$293,"학생161")+COUNTIF(경영정보시스템_1!$B$2:$B$301,"학생161")+COUNTIF(관리회계_1!$B$2:$B$300,"학생161")+COUNTIF(관리회계_2!$B$2:$B$301,"학생161")+COUNTIF(마케팅_1!$B$2:$B$301,"학생161")+COUNTIF(마케팅리서치_1!$B$2:$B$301,"학생161")+COUNTIF(세법개론_1!$B$2:$B$300,"학생161")+COUNTIF(재무관리_1!$B$2:$B$301,"학생161")+COUNTIF(조직행동론_1!$B$2:$B$301,"학생161")+COUNTIF(조직행동론_2!$B$2:$B$301,"학생161")+COUNTIF(중급재무회계_1!$B$2:$B$301,"학생161")+COUNTIF(투자론_1!$B$2:$B$300,"학생161")+COUNTIF(경영과학_1!$B$2:$B$301,"학생161")+COUNTIF(세무회계_1!$B$2:$B$301,"학생161")+COUNTIF(스마트경영_1!$B$2:$B$301,"학생161")+COUNTIF(스마트경영_2!$B$2:$B$301,"학생161")+COUNTIF(인적자원관리_1!$B$2:$B$257,"학생161")+COUNTIF(서비스마케팅_1!$B$2:$B$276,"학생161")+COUNTIF(제품관리_1!$B$2:$B$301,"학생161")</f>
        <v>5</v>
      </c>
    </row>
    <row r="165" spans="1:9" hidden="1">
      <c r="A165" s="15">
        <v>162</v>
      </c>
      <c r="B165" s="16" t="s">
        <v>163</v>
      </c>
      <c r="C165" s="16">
        <v>202400162</v>
      </c>
      <c r="I165" s="24">
        <f>COUNTIF(경영학원론_1!$B$3:$B$300,"학생162")+COUNTIF(경영학원론_2!$B$2:$B$301,"학생162")+COUNTIF(경영학원론_3!$B$2:$B$301,"학생162")+COUNTIF(경영학원론_4!$B$2:$B$300,"학생162")+COUNTIF(경제학원론_1!$B$2:$B$295,"학생162")+COUNTIF(경제학원론_2!$B$2:$B$298,"학생162")+COUNTIF(경제학원론_3!$B$2:$B$295,"학생162")+COUNTIF(경영통계학_1!$B$2:$B$299,"학생162")+COUNTIF(경영통계학_2!$B$2:$B$301,"학생162")+COUNTIF(경영통계학_3!$B$2:$B$298,"학생162")+COUNTIF(무역학개론_1!$B$2:$B$301,"학생162")+COUNTIF(회계학원론_1!$B$2:$B$293,"학생162")+COUNTIF(경영정보시스템_1!$B$2:$B$301,"학생162")+COUNTIF(관리회계_1!$B$2:$B$300,"학생162")+COUNTIF(관리회계_2!$B$2:$B$301,"학생162")+COUNTIF(마케팅_1!$B$2:$B$301,"학생162")+COUNTIF(마케팅리서치_1!$B$2:$B$301,"학생162")+COUNTIF(세법개론_1!$B$2:$B$300,"학생162")+COUNTIF(재무관리_1!$B$2:$B$301,"학생162")+COUNTIF(조직행동론_1!$B$2:$B$301,"학생162")+COUNTIF(조직행동론_2!$B$2:$B$301,"학생162")+COUNTIF(중급재무회계_1!$B$2:$B$301,"학생162")+COUNTIF(투자론_1!$B$2:$B$300,"학생162")+COUNTIF(경영과학_1!$B$2:$B$301,"학생162")+COUNTIF(세무회계_1!$B$2:$B$301,"학생162")+COUNTIF(스마트경영_1!$B$2:$B$301,"학생162")+COUNTIF(스마트경영_2!$B$2:$B$301,"학생162")+COUNTIF(인적자원관리_1!$B$2:$B$257,"학생162")+COUNTIF(서비스마케팅_1!$B$2:$B$276,"학생162")+COUNTIF(제품관리_1!$B$2:$B$301,"학생162")</f>
        <v>5</v>
      </c>
    </row>
    <row r="166" spans="1:9" hidden="1">
      <c r="A166" s="15">
        <v>163</v>
      </c>
      <c r="B166" s="16" t="s">
        <v>164</v>
      </c>
      <c r="C166" s="16">
        <v>202400163</v>
      </c>
      <c r="I166" s="24">
        <f>COUNTIF(경영학원론_1!$B$3:$B$300,"학생163")+COUNTIF(경영학원론_2!$B$2:$B$301,"학생163")+COUNTIF(경영학원론_3!$B$2:$B$301,"학생163")+COUNTIF(경영학원론_4!$B$2:$B$300,"학생163")+COUNTIF(경제학원론_1!$B$2:$B$295,"학생163")+COUNTIF(경제학원론_2!$B$2:$B$298,"학생163")+COUNTIF(경제학원론_3!$B$2:$B$295,"학생163")+COUNTIF(경영통계학_1!$B$2:$B$299,"학생163")+COUNTIF(경영통계학_2!$B$2:$B$301,"학생163")+COUNTIF(경영통계학_3!$B$2:$B$298,"학생163")+COUNTIF(무역학개론_1!$B$2:$B$301,"학생163")+COUNTIF(회계학원론_1!$B$2:$B$293,"학생163")+COUNTIF(경영정보시스템_1!$B$2:$B$301,"학생163")+COUNTIF(관리회계_1!$B$2:$B$300,"학생163")+COUNTIF(관리회계_2!$B$2:$B$301,"학생163")+COUNTIF(마케팅_1!$B$2:$B$301,"학생163")+COUNTIF(마케팅리서치_1!$B$2:$B$301,"학생163")+COUNTIF(세법개론_1!$B$2:$B$300,"학생163")+COUNTIF(재무관리_1!$B$2:$B$301,"학생163")+COUNTIF(조직행동론_1!$B$2:$B$301,"학생163")+COUNTIF(조직행동론_2!$B$2:$B$301,"학생163")+COUNTIF(중급재무회계_1!$B$2:$B$301,"학생163")+COUNTIF(투자론_1!$B$2:$B$300,"학생163")+COUNTIF(경영과학_1!$B$2:$B$301,"학생163")+COUNTIF(세무회계_1!$B$2:$B$301,"학생163")+COUNTIF(스마트경영_1!$B$2:$B$301,"학생163")+COUNTIF(스마트경영_2!$B$2:$B$301,"학생163")+COUNTIF(인적자원관리_1!$B$2:$B$257,"학생163")+COUNTIF(서비스마케팅_1!$B$2:$B$276,"학생163")+COUNTIF(제품관리_1!$B$2:$B$301,"학생163")</f>
        <v>6</v>
      </c>
    </row>
    <row r="167" spans="1:9" hidden="1">
      <c r="A167" s="15">
        <v>164</v>
      </c>
      <c r="B167" s="16" t="s">
        <v>165</v>
      </c>
      <c r="C167" s="16">
        <v>202400164</v>
      </c>
      <c r="I167" s="24">
        <f>COUNTIF(경영학원론_1!$B$3:$B$300,"학생164")+COUNTIF(경영학원론_2!$B$2:$B$301,"학생164")+COUNTIF(경영학원론_3!$B$2:$B$301,"학생164")+COUNTIF(경영학원론_4!$B$2:$B$300,"학생164")+COUNTIF(경제학원론_1!$B$2:$B$295,"학생164")+COUNTIF(경제학원론_2!$B$2:$B$298,"학생164")+COUNTIF(경제학원론_3!$B$2:$B$295,"학생164")+COUNTIF(경영통계학_1!$B$2:$B$299,"학생164")+COUNTIF(경영통계학_2!$B$2:$B$301,"학생164")+COUNTIF(경영통계학_3!$B$2:$B$298,"학생164")+COUNTIF(무역학개론_1!$B$2:$B$301,"학생164")+COUNTIF(회계학원론_1!$B$2:$B$293,"학생164")+COUNTIF(경영정보시스템_1!$B$2:$B$301,"학생164")+COUNTIF(관리회계_1!$B$2:$B$300,"학생164")+COUNTIF(관리회계_2!$B$2:$B$301,"학생164")+COUNTIF(마케팅_1!$B$2:$B$301,"학생164")+COUNTIF(마케팅리서치_1!$B$2:$B$301,"학생164")+COUNTIF(세법개론_1!$B$2:$B$300,"학생164")+COUNTIF(재무관리_1!$B$2:$B$301,"학생164")+COUNTIF(조직행동론_1!$B$2:$B$301,"학생164")+COUNTIF(조직행동론_2!$B$2:$B$301,"학생164")+COUNTIF(중급재무회계_1!$B$2:$B$301,"학생164")+COUNTIF(투자론_1!$B$2:$B$300,"학생164")+COUNTIF(경영과학_1!$B$2:$B$301,"학생164")+COUNTIF(세무회계_1!$B$2:$B$301,"학생164")+COUNTIF(스마트경영_1!$B$2:$B$301,"학생164")+COUNTIF(스마트경영_2!$B$2:$B$301,"학생164")+COUNTIF(인적자원관리_1!$B$2:$B$257,"학생164")+COUNTIF(서비스마케팅_1!$B$2:$B$276,"학생164")+COUNTIF(제품관리_1!$B$2:$B$301,"학생164")</f>
        <v>7</v>
      </c>
    </row>
    <row r="168" spans="1:9" hidden="1">
      <c r="A168" s="15">
        <v>165</v>
      </c>
      <c r="B168" s="16" t="s">
        <v>166</v>
      </c>
      <c r="C168" s="16">
        <v>202400165</v>
      </c>
      <c r="I168" s="24">
        <f>COUNTIF(경영학원론_1!$B$3:$B$300,"학생165")+COUNTIF(경영학원론_2!$B$2:$B$301,"학생165")+COUNTIF(경영학원론_3!$B$2:$B$301,"학생165")+COUNTIF(경영학원론_4!$B$2:$B$300,"학생165")+COUNTIF(경제학원론_1!$B$2:$B$295,"학생165")+COUNTIF(경제학원론_2!$B$2:$B$298,"학생165")+COUNTIF(경제학원론_3!$B$2:$B$295,"학생165")+COUNTIF(경영통계학_1!$B$2:$B$299,"학생165")+COUNTIF(경영통계학_2!$B$2:$B$301,"학생165")+COUNTIF(경영통계학_3!$B$2:$B$298,"학생165")+COUNTIF(무역학개론_1!$B$2:$B$301,"학생165")+COUNTIF(회계학원론_1!$B$2:$B$293,"학생165")+COUNTIF(경영정보시스템_1!$B$2:$B$301,"학생165")+COUNTIF(관리회계_1!$B$2:$B$300,"학생165")+COUNTIF(관리회계_2!$B$2:$B$301,"학생165")+COUNTIF(마케팅_1!$B$2:$B$301,"학생165")+COUNTIF(마케팅리서치_1!$B$2:$B$301,"학생165")+COUNTIF(세법개론_1!$B$2:$B$300,"학생165")+COUNTIF(재무관리_1!$B$2:$B$301,"학생165")+COUNTIF(조직행동론_1!$B$2:$B$301,"학생165")+COUNTIF(조직행동론_2!$B$2:$B$301,"학생165")+COUNTIF(중급재무회계_1!$B$2:$B$301,"학생165")+COUNTIF(투자론_1!$B$2:$B$300,"학생165")+COUNTIF(경영과학_1!$B$2:$B$301,"학생165")+COUNTIF(세무회계_1!$B$2:$B$301,"학생165")+COUNTIF(스마트경영_1!$B$2:$B$301,"학생165")+COUNTIF(스마트경영_2!$B$2:$B$301,"학생165")+COUNTIF(인적자원관리_1!$B$2:$B$257,"학생165")+COUNTIF(서비스마케팅_1!$B$2:$B$276,"학생165")+COUNTIF(제품관리_1!$B$2:$B$301,"학생165")</f>
        <v>6</v>
      </c>
    </row>
    <row r="169" spans="1:9" hidden="1">
      <c r="A169" s="15">
        <v>166</v>
      </c>
      <c r="B169" s="16" t="s">
        <v>167</v>
      </c>
      <c r="C169" s="16">
        <v>202400166</v>
      </c>
      <c r="I169" s="24">
        <f>COUNTIF(경영학원론_1!$B$3:$B$300,"학생166")+COUNTIF(경영학원론_2!$B$2:$B$301,"학생166")+COUNTIF(경영학원론_3!$B$2:$B$301,"학생166")+COUNTIF(경영학원론_4!$B$2:$B$300,"학생166")+COUNTIF(경제학원론_1!$B$2:$B$295,"학생166")+COUNTIF(경제학원론_2!$B$2:$B$298,"학생166")+COUNTIF(경제학원론_3!$B$2:$B$295,"학생166")+COUNTIF(경영통계학_1!$B$2:$B$299,"학생166")+COUNTIF(경영통계학_2!$B$2:$B$301,"학생166")+COUNTIF(경영통계학_3!$B$2:$B$298,"학생166")+COUNTIF(무역학개론_1!$B$2:$B$301,"학생166")+COUNTIF(회계학원론_1!$B$2:$B$293,"학생166")+COUNTIF(경영정보시스템_1!$B$2:$B$301,"학생166")+COUNTIF(관리회계_1!$B$2:$B$300,"학생166")+COUNTIF(관리회계_2!$B$2:$B$301,"학생166")+COUNTIF(마케팅_1!$B$2:$B$301,"학생166")+COUNTIF(마케팅리서치_1!$B$2:$B$301,"학생166")+COUNTIF(세법개론_1!$B$2:$B$300,"학생166")+COUNTIF(재무관리_1!$B$2:$B$301,"학생166")+COUNTIF(조직행동론_1!$B$2:$B$301,"학생166")+COUNTIF(조직행동론_2!$B$2:$B$301,"학생166")+COUNTIF(중급재무회계_1!$B$2:$B$301,"학생166")+COUNTIF(투자론_1!$B$2:$B$300,"학생166")+COUNTIF(경영과학_1!$B$2:$B$301,"학생166")+COUNTIF(세무회계_1!$B$2:$B$301,"학생166")+COUNTIF(스마트경영_1!$B$2:$B$301,"학생166")+COUNTIF(스마트경영_2!$B$2:$B$301,"학생166")+COUNTIF(인적자원관리_1!$B$2:$B$257,"학생166")+COUNTIF(서비스마케팅_1!$B$2:$B$276,"학생166")+COUNTIF(제품관리_1!$B$2:$B$301,"학생166")</f>
        <v>7</v>
      </c>
    </row>
    <row r="170" spans="1:9" hidden="1">
      <c r="A170" s="15">
        <v>167</v>
      </c>
      <c r="B170" s="16" t="s">
        <v>168</v>
      </c>
      <c r="C170" s="16">
        <v>202400167</v>
      </c>
      <c r="I170" s="24">
        <f>COUNTIF(경영학원론_1!$B$3:$B$300,"학생167")+COUNTIF(경영학원론_2!$B$2:$B$301,"학생167")+COUNTIF(경영학원론_3!$B$2:$B$301,"학생167")+COUNTIF(경영학원론_4!$B$2:$B$300,"학생167")+COUNTIF(경제학원론_1!$B$2:$B$295,"학생167")+COUNTIF(경제학원론_2!$B$2:$B$298,"학생167")+COUNTIF(경제학원론_3!$B$2:$B$295,"학생167")+COUNTIF(경영통계학_1!$B$2:$B$299,"학생167")+COUNTIF(경영통계학_2!$B$2:$B$301,"학생167")+COUNTIF(경영통계학_3!$B$2:$B$298,"학생167")+COUNTIF(무역학개론_1!$B$2:$B$301,"학생167")+COUNTIF(회계학원론_1!$B$2:$B$293,"학생167")+COUNTIF(경영정보시스템_1!$B$2:$B$301,"학생167")+COUNTIF(관리회계_1!$B$2:$B$300,"학생167")+COUNTIF(관리회계_2!$B$2:$B$301,"학생167")+COUNTIF(마케팅_1!$B$2:$B$301,"학생167")+COUNTIF(마케팅리서치_1!$B$2:$B$301,"학생167")+COUNTIF(세법개론_1!$B$2:$B$300,"학생167")+COUNTIF(재무관리_1!$B$2:$B$301,"학생167")+COUNTIF(조직행동론_1!$B$2:$B$301,"학생167")+COUNTIF(조직행동론_2!$B$2:$B$301,"학생167")+COUNTIF(중급재무회계_1!$B$2:$B$301,"학생167")+COUNTIF(투자론_1!$B$2:$B$300,"학생167")+COUNTIF(경영과학_1!$B$2:$B$301,"학생167")+COUNTIF(세무회계_1!$B$2:$B$301,"학생167")+COUNTIF(스마트경영_1!$B$2:$B$301,"학생167")+COUNTIF(스마트경영_2!$B$2:$B$301,"학생167")+COUNTIF(인적자원관리_1!$B$2:$B$257,"학생167")+COUNTIF(서비스마케팅_1!$B$2:$B$276,"학생167")+COUNTIF(제품관리_1!$B$2:$B$301,"학생167")</f>
        <v>7</v>
      </c>
    </row>
    <row r="171" spans="1:9" hidden="1">
      <c r="A171" s="15">
        <v>168</v>
      </c>
      <c r="B171" s="16" t="s">
        <v>169</v>
      </c>
      <c r="C171" s="16">
        <v>202400168</v>
      </c>
      <c r="I171" s="24">
        <f>COUNTIF(경영학원론_1!$B$3:$B$300,"학생168")+COUNTIF(경영학원론_2!$B$2:$B$301,"학생168")+COUNTIF(경영학원론_3!$B$2:$B$301,"학생168")+COUNTIF(경영학원론_4!$B$2:$B$300,"학생168")+COUNTIF(경제학원론_1!$B$2:$B$295,"학생168")+COUNTIF(경제학원론_2!$B$2:$B$298,"학생168")+COUNTIF(경제학원론_3!$B$2:$B$295,"학생168")+COUNTIF(경영통계학_1!$B$2:$B$299,"학생168")+COUNTIF(경영통계학_2!$B$2:$B$301,"학생168")+COUNTIF(경영통계학_3!$B$2:$B$298,"학생168")+COUNTIF(무역학개론_1!$B$2:$B$301,"학생168")+COUNTIF(회계학원론_1!$B$2:$B$293,"학생168")+COUNTIF(경영정보시스템_1!$B$2:$B$301,"학생168")+COUNTIF(관리회계_1!$B$2:$B$300,"학생168")+COUNTIF(관리회계_2!$B$2:$B$301,"학생168")+COUNTIF(마케팅_1!$B$2:$B$301,"학생168")+COUNTIF(마케팅리서치_1!$B$2:$B$301,"학생168")+COUNTIF(세법개론_1!$B$2:$B$300,"학생168")+COUNTIF(재무관리_1!$B$2:$B$301,"학생168")+COUNTIF(조직행동론_1!$B$2:$B$301,"학생168")+COUNTIF(조직행동론_2!$B$2:$B$301,"학생168")+COUNTIF(중급재무회계_1!$B$2:$B$301,"학생168")+COUNTIF(투자론_1!$B$2:$B$300,"학생168")+COUNTIF(경영과학_1!$B$2:$B$301,"학생168")+COUNTIF(세무회계_1!$B$2:$B$301,"학생168")+COUNTIF(스마트경영_1!$B$2:$B$301,"학생168")+COUNTIF(스마트경영_2!$B$2:$B$301,"학생168")+COUNTIF(인적자원관리_1!$B$2:$B$257,"학생168")+COUNTIF(서비스마케팅_1!$B$2:$B$276,"학생168")+COUNTIF(제품관리_1!$B$2:$B$301,"학생168")</f>
        <v>3</v>
      </c>
    </row>
    <row r="172" spans="1:9" hidden="1">
      <c r="A172" s="15">
        <v>169</v>
      </c>
      <c r="B172" s="16" t="s">
        <v>170</v>
      </c>
      <c r="C172" s="16">
        <v>202400169</v>
      </c>
      <c r="I172" s="24">
        <f>COUNTIF(경영학원론_1!$B$3:$B$300,"학생169")+COUNTIF(경영학원론_2!$B$2:$B$301,"학생169")+COUNTIF(경영학원론_3!$B$2:$B$301,"학생169")+COUNTIF(경영학원론_4!$B$2:$B$300,"학생169")+COUNTIF(경제학원론_1!$B$2:$B$295,"학생169")+COUNTIF(경제학원론_2!$B$2:$B$298,"학생169")+COUNTIF(경제학원론_3!$B$2:$B$295,"학생169")+COUNTIF(경영통계학_1!$B$2:$B$299,"학생169")+COUNTIF(경영통계학_2!$B$2:$B$301,"학생169")+COUNTIF(경영통계학_3!$B$2:$B$298,"학생169")+COUNTIF(무역학개론_1!$B$2:$B$301,"학생169")+COUNTIF(회계학원론_1!$B$2:$B$293,"학생169")+COUNTIF(경영정보시스템_1!$B$2:$B$301,"학생169")+COUNTIF(관리회계_1!$B$2:$B$300,"학생169")+COUNTIF(관리회계_2!$B$2:$B$301,"학생169")+COUNTIF(마케팅_1!$B$2:$B$301,"학생169")+COUNTIF(마케팅리서치_1!$B$2:$B$301,"학생169")+COUNTIF(세법개론_1!$B$2:$B$300,"학생169")+COUNTIF(재무관리_1!$B$2:$B$301,"학생169")+COUNTIF(조직행동론_1!$B$2:$B$301,"학생169")+COUNTIF(조직행동론_2!$B$2:$B$301,"학생169")+COUNTIF(중급재무회계_1!$B$2:$B$301,"학생169")+COUNTIF(투자론_1!$B$2:$B$300,"학생169")+COUNTIF(경영과학_1!$B$2:$B$301,"학생169")+COUNTIF(세무회계_1!$B$2:$B$301,"학생169")+COUNTIF(스마트경영_1!$B$2:$B$301,"학생169")+COUNTIF(스마트경영_2!$B$2:$B$301,"학생169")+COUNTIF(인적자원관리_1!$B$2:$B$257,"학생169")+COUNTIF(서비스마케팅_1!$B$2:$B$276,"학생169")+COUNTIF(제품관리_1!$B$2:$B$301,"학생169")</f>
        <v>6</v>
      </c>
    </row>
    <row r="173" spans="1:9" hidden="1">
      <c r="A173" s="15">
        <v>170</v>
      </c>
      <c r="B173" s="16" t="s">
        <v>171</v>
      </c>
      <c r="C173" s="16">
        <v>202400170</v>
      </c>
      <c r="I173" s="24">
        <f>COUNTIF(경영학원론_1!$B$3:$B$300,"학생170")+COUNTIF(경영학원론_2!$B$2:$B$301,"학생170")+COUNTIF(경영학원론_3!$B$2:$B$301,"학생170")+COUNTIF(경영학원론_4!$B$2:$B$300,"학생170")+COUNTIF(경제학원론_1!$B$2:$B$295,"학생170")+COUNTIF(경제학원론_2!$B$2:$B$298,"학생170")+COUNTIF(경제학원론_3!$B$2:$B$295,"학생170")+COUNTIF(경영통계학_1!$B$2:$B$299,"학생170")+COUNTIF(경영통계학_2!$B$2:$B$301,"학생170")+COUNTIF(경영통계학_3!$B$2:$B$298,"학생170")+COUNTIF(무역학개론_1!$B$2:$B$301,"학생170")+COUNTIF(회계학원론_1!$B$2:$B$293,"학생170")+COUNTIF(경영정보시스템_1!$B$2:$B$301,"학생170")+COUNTIF(관리회계_1!$B$2:$B$300,"학생170")+COUNTIF(관리회계_2!$B$2:$B$301,"학생170")+COUNTIF(마케팅_1!$B$2:$B$301,"학생170")+COUNTIF(마케팅리서치_1!$B$2:$B$301,"학생170")+COUNTIF(세법개론_1!$B$2:$B$300,"학생170")+COUNTIF(재무관리_1!$B$2:$B$301,"학생170")+COUNTIF(조직행동론_1!$B$2:$B$301,"학생170")+COUNTIF(조직행동론_2!$B$2:$B$301,"학생170")+COUNTIF(중급재무회계_1!$B$2:$B$301,"학생170")+COUNTIF(투자론_1!$B$2:$B$300,"학생170")+COUNTIF(경영과학_1!$B$2:$B$301,"학생170")+COUNTIF(세무회계_1!$B$2:$B$301,"학생170")+COUNTIF(스마트경영_1!$B$2:$B$301,"학생170")+COUNTIF(스마트경영_2!$B$2:$B$301,"학생170")+COUNTIF(인적자원관리_1!$B$2:$B$257,"학생170")+COUNTIF(서비스마케팅_1!$B$2:$B$276,"학생170")+COUNTIF(제품관리_1!$B$2:$B$301,"학생170")</f>
        <v>6</v>
      </c>
    </row>
    <row r="174" spans="1:9" hidden="1">
      <c r="A174" s="15">
        <v>171</v>
      </c>
      <c r="B174" s="16" t="s">
        <v>172</v>
      </c>
      <c r="C174" s="16">
        <v>202400171</v>
      </c>
      <c r="I174" s="24">
        <f>COUNTIF(경영학원론_1!$B$3:$B$300,"학생171")+COUNTIF(경영학원론_2!$B$2:$B$301,"학생171")+COUNTIF(경영학원론_3!$B$2:$B$301,"학생171")+COUNTIF(경영학원론_4!$B$2:$B$300,"학생171")+COUNTIF(경제학원론_1!$B$2:$B$295,"학생171")+COUNTIF(경제학원론_2!$B$2:$B$298,"학생171")+COUNTIF(경제학원론_3!$B$2:$B$295,"학생171")+COUNTIF(경영통계학_1!$B$2:$B$299,"학생171")+COUNTIF(경영통계학_2!$B$2:$B$301,"학생171")+COUNTIF(경영통계학_3!$B$2:$B$298,"학생171")+COUNTIF(무역학개론_1!$B$2:$B$301,"학생171")+COUNTIF(회계학원론_1!$B$2:$B$293,"학생171")+COUNTIF(경영정보시스템_1!$B$2:$B$301,"학생171")+COUNTIF(관리회계_1!$B$2:$B$300,"학생171")+COUNTIF(관리회계_2!$B$2:$B$301,"학생171")+COUNTIF(마케팅_1!$B$2:$B$301,"학생171")+COUNTIF(마케팅리서치_1!$B$2:$B$301,"학생171")+COUNTIF(세법개론_1!$B$2:$B$300,"학생171")+COUNTIF(재무관리_1!$B$2:$B$301,"학생171")+COUNTIF(조직행동론_1!$B$2:$B$301,"학생171")+COUNTIF(조직행동론_2!$B$2:$B$301,"학생171")+COUNTIF(중급재무회계_1!$B$2:$B$301,"학생171")+COUNTIF(투자론_1!$B$2:$B$300,"학생171")+COUNTIF(경영과학_1!$B$2:$B$301,"학생171")+COUNTIF(세무회계_1!$B$2:$B$301,"학생171")+COUNTIF(스마트경영_1!$B$2:$B$301,"학생171")+COUNTIF(스마트경영_2!$B$2:$B$301,"학생171")+COUNTIF(인적자원관리_1!$B$2:$B$257,"학생171")+COUNTIF(서비스마케팅_1!$B$2:$B$276,"학생171")+COUNTIF(제품관리_1!$B$2:$B$301,"학생171")</f>
        <v>6</v>
      </c>
    </row>
    <row r="175" spans="1:9" hidden="1">
      <c r="A175" s="15">
        <v>172</v>
      </c>
      <c r="B175" s="16" t="s">
        <v>173</v>
      </c>
      <c r="C175" s="16">
        <v>202400172</v>
      </c>
      <c r="I175" s="24">
        <f>COUNTIF(경영학원론_1!$B$3:$B$300,"학생172")+COUNTIF(경영학원론_2!$B$2:$B$301,"학생172")+COUNTIF(경영학원론_3!$B$2:$B$301,"학생172")+COUNTIF(경영학원론_4!$B$2:$B$300,"학생172")+COUNTIF(경제학원론_1!$B$2:$B$295,"학생172")+COUNTIF(경제학원론_2!$B$2:$B$298,"학생172")+COUNTIF(경제학원론_3!$B$2:$B$295,"학생172")+COUNTIF(경영통계학_1!$B$2:$B$299,"학생172")+COUNTIF(경영통계학_2!$B$2:$B$301,"학생172")+COUNTIF(경영통계학_3!$B$2:$B$298,"학생172")+COUNTIF(무역학개론_1!$B$2:$B$301,"학생172")+COUNTIF(회계학원론_1!$B$2:$B$293,"학생172")+COUNTIF(경영정보시스템_1!$B$2:$B$301,"학생172")+COUNTIF(관리회계_1!$B$2:$B$300,"학생172")+COUNTIF(관리회계_2!$B$2:$B$301,"학생172")+COUNTIF(마케팅_1!$B$2:$B$301,"학생172")+COUNTIF(마케팅리서치_1!$B$2:$B$301,"학생172")+COUNTIF(세법개론_1!$B$2:$B$300,"학생172")+COUNTIF(재무관리_1!$B$2:$B$301,"학생172")+COUNTIF(조직행동론_1!$B$2:$B$301,"학생172")+COUNTIF(조직행동론_2!$B$2:$B$301,"학생172")+COUNTIF(중급재무회계_1!$B$2:$B$301,"학생172")+COUNTIF(투자론_1!$B$2:$B$300,"학생172")+COUNTIF(경영과학_1!$B$2:$B$301,"학생172")+COUNTIF(세무회계_1!$B$2:$B$301,"학생172")+COUNTIF(스마트경영_1!$B$2:$B$301,"학생172")+COUNTIF(스마트경영_2!$B$2:$B$301,"학생172")+COUNTIF(인적자원관리_1!$B$2:$B$257,"학생172")+COUNTIF(서비스마케팅_1!$B$2:$B$276,"학생172")+COUNTIF(제품관리_1!$B$2:$B$301,"학생172")</f>
        <v>6</v>
      </c>
    </row>
    <row r="176" spans="1:9" hidden="1">
      <c r="A176" s="15">
        <v>173</v>
      </c>
      <c r="B176" s="16" t="s">
        <v>174</v>
      </c>
      <c r="C176" s="16">
        <v>202400173</v>
      </c>
      <c r="I176" s="24">
        <f>COUNTIF(경영학원론_1!$B$3:$B$300,"학생173")+COUNTIF(경영학원론_2!$B$2:$B$301,"학생173")+COUNTIF(경영학원론_3!$B$2:$B$301,"학생173")+COUNTIF(경영학원론_4!$B$2:$B$300,"학생173")+COUNTIF(경제학원론_1!$B$2:$B$295,"학생173")+COUNTIF(경제학원론_2!$B$2:$B$298,"학생173")+COUNTIF(경제학원론_3!$B$2:$B$295,"학생173")+COUNTIF(경영통계학_1!$B$2:$B$299,"학생173")+COUNTIF(경영통계학_2!$B$2:$B$301,"학생173")+COUNTIF(경영통계학_3!$B$2:$B$298,"학생173")+COUNTIF(무역학개론_1!$B$2:$B$301,"학생173")+COUNTIF(회계학원론_1!$B$2:$B$293,"학생173")+COUNTIF(경영정보시스템_1!$B$2:$B$301,"학생173")+COUNTIF(관리회계_1!$B$2:$B$300,"학생173")+COUNTIF(관리회계_2!$B$2:$B$301,"학생173")+COUNTIF(마케팅_1!$B$2:$B$301,"학생173")+COUNTIF(마케팅리서치_1!$B$2:$B$301,"학생173")+COUNTIF(세법개론_1!$B$2:$B$300,"학생173")+COUNTIF(재무관리_1!$B$2:$B$301,"학생173")+COUNTIF(조직행동론_1!$B$2:$B$301,"학생173")+COUNTIF(조직행동론_2!$B$2:$B$301,"학생173")+COUNTIF(중급재무회계_1!$B$2:$B$301,"학생173")+COUNTIF(투자론_1!$B$2:$B$300,"학생173")+COUNTIF(경영과학_1!$B$2:$B$301,"학생173")+COUNTIF(세무회계_1!$B$2:$B$301,"학생173")+COUNTIF(스마트경영_1!$B$2:$B$301,"학생173")+COUNTIF(스마트경영_2!$B$2:$B$301,"학생173")+COUNTIF(인적자원관리_1!$B$2:$B$257,"학생173")+COUNTIF(서비스마케팅_1!$B$2:$B$276,"학생173")+COUNTIF(제품관리_1!$B$2:$B$301,"학생173")</f>
        <v>5</v>
      </c>
    </row>
    <row r="177" spans="1:9" hidden="1">
      <c r="A177" s="15">
        <v>174</v>
      </c>
      <c r="B177" s="16" t="s">
        <v>175</v>
      </c>
      <c r="C177" s="16">
        <v>202400174</v>
      </c>
      <c r="I177" s="24">
        <f>COUNTIF(경영학원론_1!$B$3:$B$300,"학생174")+COUNTIF(경영학원론_2!$B$2:$B$301,"학생174")+COUNTIF(경영학원론_3!$B$2:$B$301,"학생174")+COUNTIF(경영학원론_4!$B$2:$B$300,"학생174")+COUNTIF(경제학원론_1!$B$2:$B$295,"학생174")+COUNTIF(경제학원론_2!$B$2:$B$298,"학생174")+COUNTIF(경제학원론_3!$B$2:$B$295,"학생174")+COUNTIF(경영통계학_1!$B$2:$B$299,"학생174")+COUNTIF(경영통계학_2!$B$2:$B$301,"학생174")+COUNTIF(경영통계학_3!$B$2:$B$298,"학생174")+COUNTIF(무역학개론_1!$B$2:$B$301,"학생174")+COUNTIF(회계학원론_1!$B$2:$B$293,"학생174")+COUNTIF(경영정보시스템_1!$B$2:$B$301,"학생174")+COUNTIF(관리회계_1!$B$2:$B$300,"학생174")+COUNTIF(관리회계_2!$B$2:$B$301,"학생174")+COUNTIF(마케팅_1!$B$2:$B$301,"학생174")+COUNTIF(마케팅리서치_1!$B$2:$B$301,"학생174")+COUNTIF(세법개론_1!$B$2:$B$300,"학생174")+COUNTIF(재무관리_1!$B$2:$B$301,"학생174")+COUNTIF(조직행동론_1!$B$2:$B$301,"학생174")+COUNTIF(조직행동론_2!$B$2:$B$301,"학생174")+COUNTIF(중급재무회계_1!$B$2:$B$301,"학생174")+COUNTIF(투자론_1!$B$2:$B$300,"학생174")+COUNTIF(경영과학_1!$B$2:$B$301,"학생174")+COUNTIF(세무회계_1!$B$2:$B$301,"학생174")+COUNTIF(스마트경영_1!$B$2:$B$301,"학생174")+COUNTIF(스마트경영_2!$B$2:$B$301,"학생174")+COUNTIF(인적자원관리_1!$B$2:$B$257,"학생174")+COUNTIF(서비스마케팅_1!$B$2:$B$276,"학생174")+COUNTIF(제품관리_1!$B$2:$B$301,"학생174")</f>
        <v>4</v>
      </c>
    </row>
    <row r="178" spans="1:9" hidden="1">
      <c r="A178" s="15">
        <v>175</v>
      </c>
      <c r="B178" s="16" t="s">
        <v>176</v>
      </c>
      <c r="C178" s="16">
        <v>202400175</v>
      </c>
      <c r="I178" s="24">
        <f>COUNTIF(경영학원론_1!$B$3:$B$300,"학생175")+COUNTIF(경영학원론_2!$B$2:$B$301,"학생175")+COUNTIF(경영학원론_3!$B$2:$B$301,"학생175")+COUNTIF(경영학원론_4!$B$2:$B$300,"학생175")+COUNTIF(경제학원론_1!$B$2:$B$295,"학생175")+COUNTIF(경제학원론_2!$B$2:$B$298,"학생175")+COUNTIF(경제학원론_3!$B$2:$B$295,"학생175")+COUNTIF(경영통계학_1!$B$2:$B$299,"학생175")+COUNTIF(경영통계학_2!$B$2:$B$301,"학생175")+COUNTIF(경영통계학_3!$B$2:$B$298,"학생175")+COUNTIF(무역학개론_1!$B$2:$B$301,"학생175")+COUNTIF(회계학원론_1!$B$2:$B$293,"학생175")+COUNTIF(경영정보시스템_1!$B$2:$B$301,"학생175")+COUNTIF(관리회계_1!$B$2:$B$300,"학생175")+COUNTIF(관리회계_2!$B$2:$B$301,"학생175")+COUNTIF(마케팅_1!$B$2:$B$301,"학생175")+COUNTIF(마케팅리서치_1!$B$2:$B$301,"학생175")+COUNTIF(세법개론_1!$B$2:$B$300,"학생175")+COUNTIF(재무관리_1!$B$2:$B$301,"학생175")+COUNTIF(조직행동론_1!$B$2:$B$301,"학생175")+COUNTIF(조직행동론_2!$B$2:$B$301,"학생175")+COUNTIF(중급재무회계_1!$B$2:$B$301,"학생175")+COUNTIF(투자론_1!$B$2:$B$300,"학생175")+COUNTIF(경영과학_1!$B$2:$B$301,"학생175")+COUNTIF(세무회계_1!$B$2:$B$301,"학생175")+COUNTIF(스마트경영_1!$B$2:$B$301,"학생175")+COUNTIF(스마트경영_2!$B$2:$B$301,"학생175")+COUNTIF(인적자원관리_1!$B$2:$B$257,"학생175")+COUNTIF(서비스마케팅_1!$B$2:$B$276,"학생175")+COUNTIF(제품관리_1!$B$2:$B$301,"학생175")</f>
        <v>6</v>
      </c>
    </row>
    <row r="179" spans="1:9" hidden="1">
      <c r="A179" s="15">
        <v>176</v>
      </c>
      <c r="B179" s="16" t="s">
        <v>177</v>
      </c>
      <c r="C179" s="16">
        <v>202400176</v>
      </c>
      <c r="I179" s="24">
        <f>COUNTIF(경영학원론_1!$B$3:$B$300,"학생176")+COUNTIF(경영학원론_2!$B$2:$B$301,"학생176")+COUNTIF(경영학원론_3!$B$2:$B$301,"학생176")+COUNTIF(경영학원론_4!$B$2:$B$300,"학생176")+COUNTIF(경제학원론_1!$B$2:$B$295,"학생176")+COUNTIF(경제학원론_2!$B$2:$B$298,"학생176")+COUNTIF(경제학원론_3!$B$2:$B$295,"학생176")+COUNTIF(경영통계학_1!$B$2:$B$299,"학생176")+COUNTIF(경영통계학_2!$B$2:$B$301,"학생176")+COUNTIF(경영통계학_3!$B$2:$B$298,"학생176")+COUNTIF(무역학개론_1!$B$2:$B$301,"학생176")+COUNTIF(회계학원론_1!$B$2:$B$293,"학생176")+COUNTIF(경영정보시스템_1!$B$2:$B$301,"학생176")+COUNTIF(관리회계_1!$B$2:$B$300,"학생176")+COUNTIF(관리회계_2!$B$2:$B$301,"학생176")+COUNTIF(마케팅_1!$B$2:$B$301,"학생176")+COUNTIF(마케팅리서치_1!$B$2:$B$301,"학생176")+COUNTIF(세법개론_1!$B$2:$B$300,"학생176")+COUNTIF(재무관리_1!$B$2:$B$301,"학생176")+COUNTIF(조직행동론_1!$B$2:$B$301,"학생176")+COUNTIF(조직행동론_2!$B$2:$B$301,"학생176")+COUNTIF(중급재무회계_1!$B$2:$B$301,"학생176")+COUNTIF(투자론_1!$B$2:$B$300,"학생176")+COUNTIF(경영과학_1!$B$2:$B$301,"학생176")+COUNTIF(세무회계_1!$B$2:$B$301,"학생176")+COUNTIF(스마트경영_1!$B$2:$B$301,"학생176")+COUNTIF(스마트경영_2!$B$2:$B$301,"학생176")+COUNTIF(인적자원관리_1!$B$2:$B$257,"학생176")+COUNTIF(서비스마케팅_1!$B$2:$B$276,"학생176")+COUNTIF(제품관리_1!$B$2:$B$301,"학생176")</f>
        <v>5</v>
      </c>
    </row>
    <row r="180" spans="1:9" hidden="1">
      <c r="A180" s="15">
        <v>177</v>
      </c>
      <c r="B180" s="16" t="s">
        <v>178</v>
      </c>
      <c r="C180" s="16">
        <v>202400177</v>
      </c>
      <c r="I180" s="24">
        <f>COUNTIF(경영학원론_1!$B$3:$B$300,"학생177")+COUNTIF(경영학원론_2!$B$2:$B$301,"학생177")+COUNTIF(경영학원론_3!$B$2:$B$301,"학생177")+COUNTIF(경영학원론_4!$B$2:$B$300,"학생177")+COUNTIF(경제학원론_1!$B$2:$B$295,"학생177")+COUNTIF(경제학원론_2!$B$2:$B$298,"학생177")+COUNTIF(경제학원론_3!$B$2:$B$295,"학생177")+COUNTIF(경영통계학_1!$B$2:$B$299,"학생177")+COUNTIF(경영통계학_2!$B$2:$B$301,"학생177")+COUNTIF(경영통계학_3!$B$2:$B$298,"학생177")+COUNTIF(무역학개론_1!$B$2:$B$301,"학생177")+COUNTIF(회계학원론_1!$B$2:$B$293,"학생177")+COUNTIF(경영정보시스템_1!$B$2:$B$301,"학생177")+COUNTIF(관리회계_1!$B$2:$B$300,"학생177")+COUNTIF(관리회계_2!$B$2:$B$301,"학생177")+COUNTIF(마케팅_1!$B$2:$B$301,"학생177")+COUNTIF(마케팅리서치_1!$B$2:$B$301,"학생177")+COUNTIF(세법개론_1!$B$2:$B$300,"학생177")+COUNTIF(재무관리_1!$B$2:$B$301,"학생177")+COUNTIF(조직행동론_1!$B$2:$B$301,"학생177")+COUNTIF(조직행동론_2!$B$2:$B$301,"학생177")+COUNTIF(중급재무회계_1!$B$2:$B$301,"학생177")+COUNTIF(투자론_1!$B$2:$B$300,"학생177")+COUNTIF(경영과학_1!$B$2:$B$301,"학생177")+COUNTIF(세무회계_1!$B$2:$B$301,"학생177")+COUNTIF(스마트경영_1!$B$2:$B$301,"학생177")+COUNTIF(스마트경영_2!$B$2:$B$301,"학생177")+COUNTIF(인적자원관리_1!$B$2:$B$257,"학생177")+COUNTIF(서비스마케팅_1!$B$2:$B$276,"학생177")+COUNTIF(제품관리_1!$B$2:$B$301,"학생177")</f>
        <v>7</v>
      </c>
    </row>
    <row r="181" spans="1:9" hidden="1">
      <c r="A181" s="15">
        <v>178</v>
      </c>
      <c r="B181" s="16" t="s">
        <v>179</v>
      </c>
      <c r="C181" s="16">
        <v>202400178</v>
      </c>
      <c r="I181" s="24">
        <f>COUNTIF(경영학원론_1!$B$3:$B$300,"학생178")+COUNTIF(경영학원론_2!$B$2:$B$301,"학생178")+COUNTIF(경영학원론_3!$B$2:$B$301,"학생178")+COUNTIF(경영학원론_4!$B$2:$B$300,"학생178")+COUNTIF(경제학원론_1!$B$2:$B$295,"학생178")+COUNTIF(경제학원론_2!$B$2:$B$298,"학생178")+COUNTIF(경제학원론_3!$B$2:$B$295,"학생178")+COUNTIF(경영통계학_1!$B$2:$B$299,"학생178")+COUNTIF(경영통계학_2!$B$2:$B$301,"학생178")+COUNTIF(경영통계학_3!$B$2:$B$298,"학생178")+COUNTIF(무역학개론_1!$B$2:$B$301,"학생178")+COUNTIF(회계학원론_1!$B$2:$B$293,"학생178")+COUNTIF(경영정보시스템_1!$B$2:$B$301,"학생178")+COUNTIF(관리회계_1!$B$2:$B$300,"학생178")+COUNTIF(관리회계_2!$B$2:$B$301,"학생178")+COUNTIF(마케팅_1!$B$2:$B$301,"학생178")+COUNTIF(마케팅리서치_1!$B$2:$B$301,"학생178")+COUNTIF(세법개론_1!$B$2:$B$300,"학생178")+COUNTIF(재무관리_1!$B$2:$B$301,"학생178")+COUNTIF(조직행동론_1!$B$2:$B$301,"학생178")+COUNTIF(조직행동론_2!$B$2:$B$301,"학생178")+COUNTIF(중급재무회계_1!$B$2:$B$301,"학생178")+COUNTIF(투자론_1!$B$2:$B$300,"학생178")+COUNTIF(경영과학_1!$B$2:$B$301,"학생178")+COUNTIF(세무회계_1!$B$2:$B$301,"학생178")+COUNTIF(스마트경영_1!$B$2:$B$301,"학생178")+COUNTIF(스마트경영_2!$B$2:$B$301,"학생178")+COUNTIF(인적자원관리_1!$B$2:$B$257,"학생178")+COUNTIF(서비스마케팅_1!$B$2:$B$276,"학생178")+COUNTIF(제품관리_1!$B$2:$B$301,"학생178")</f>
        <v>6</v>
      </c>
    </row>
    <row r="182" spans="1:9" hidden="1">
      <c r="A182" s="15">
        <v>179</v>
      </c>
      <c r="B182" s="16" t="s">
        <v>180</v>
      </c>
      <c r="C182" s="16">
        <v>202400179</v>
      </c>
      <c r="I182" s="24">
        <f>COUNTIF(경영학원론_1!$B$3:$B$300,"학생179")+COUNTIF(경영학원론_2!$B$2:$B$301,"학생179")+COUNTIF(경영학원론_3!$B$2:$B$301,"학생179")+COUNTIF(경영학원론_4!$B$2:$B$300,"학생179")+COUNTIF(경제학원론_1!$B$2:$B$295,"학생179")+COUNTIF(경제학원론_2!$B$2:$B$298,"학생179")+COUNTIF(경제학원론_3!$B$2:$B$295,"학생179")+COUNTIF(경영통계학_1!$B$2:$B$299,"학생179")+COUNTIF(경영통계학_2!$B$2:$B$301,"학생179")+COUNTIF(경영통계학_3!$B$2:$B$298,"학생179")+COUNTIF(무역학개론_1!$B$2:$B$301,"학생179")+COUNTIF(회계학원론_1!$B$2:$B$293,"학생179")+COUNTIF(경영정보시스템_1!$B$2:$B$301,"학생179")+COUNTIF(관리회계_1!$B$2:$B$300,"학생179")+COUNTIF(관리회계_2!$B$2:$B$301,"학생179")+COUNTIF(마케팅_1!$B$2:$B$301,"학생179")+COUNTIF(마케팅리서치_1!$B$2:$B$301,"학생179")+COUNTIF(세법개론_1!$B$2:$B$300,"학생179")+COUNTIF(재무관리_1!$B$2:$B$301,"학생179")+COUNTIF(조직행동론_1!$B$2:$B$301,"학생179")+COUNTIF(조직행동론_2!$B$2:$B$301,"학생179")+COUNTIF(중급재무회계_1!$B$2:$B$301,"학생179")+COUNTIF(투자론_1!$B$2:$B$300,"학생179")+COUNTIF(경영과학_1!$B$2:$B$301,"학생179")+COUNTIF(세무회계_1!$B$2:$B$301,"학생179")+COUNTIF(스마트경영_1!$B$2:$B$301,"학생179")+COUNTIF(스마트경영_2!$B$2:$B$301,"학생179")+COUNTIF(인적자원관리_1!$B$2:$B$257,"학생179")+COUNTIF(서비스마케팅_1!$B$2:$B$276,"학생179")+COUNTIF(제품관리_1!$B$2:$B$301,"학생179")</f>
        <v>6</v>
      </c>
    </row>
    <row r="183" spans="1:9" hidden="1">
      <c r="A183" s="15">
        <v>180</v>
      </c>
      <c r="B183" s="16" t="s">
        <v>181</v>
      </c>
      <c r="C183" s="16">
        <v>202400180</v>
      </c>
      <c r="I183" s="24">
        <f>COUNTIF(경영학원론_1!$B$3:$B$300,"학생180")+COUNTIF(경영학원론_2!$B$2:$B$301,"학생180")+COUNTIF(경영학원론_3!$B$2:$B$301,"학생180")+COUNTIF(경영학원론_4!$B$2:$B$300,"학생180")+COUNTIF(경제학원론_1!$B$2:$B$295,"학생180")+COUNTIF(경제학원론_2!$B$2:$B$298,"학생180")+COUNTIF(경제학원론_3!$B$2:$B$295,"학생180")+COUNTIF(경영통계학_1!$B$2:$B$299,"학생180")+COUNTIF(경영통계학_2!$B$2:$B$301,"학생180")+COUNTIF(경영통계학_3!$B$2:$B$298,"학생180")+COUNTIF(무역학개론_1!$B$2:$B$301,"학생180")+COUNTIF(회계학원론_1!$B$2:$B$293,"학생180")+COUNTIF(경영정보시스템_1!$B$2:$B$301,"학생180")+COUNTIF(관리회계_1!$B$2:$B$300,"학생180")+COUNTIF(관리회계_2!$B$2:$B$301,"학생180")+COUNTIF(마케팅_1!$B$2:$B$301,"학생180")+COUNTIF(마케팅리서치_1!$B$2:$B$301,"학생180")+COUNTIF(세법개론_1!$B$2:$B$300,"학생180")+COUNTIF(재무관리_1!$B$2:$B$301,"학생180")+COUNTIF(조직행동론_1!$B$2:$B$301,"학생180")+COUNTIF(조직행동론_2!$B$2:$B$301,"학생180")+COUNTIF(중급재무회계_1!$B$2:$B$301,"학생180")+COUNTIF(투자론_1!$B$2:$B$300,"학생180")+COUNTIF(경영과학_1!$B$2:$B$301,"학생180")+COUNTIF(세무회계_1!$B$2:$B$301,"학생180")+COUNTIF(스마트경영_1!$B$2:$B$301,"학생180")+COUNTIF(스마트경영_2!$B$2:$B$301,"학생180")+COUNTIF(인적자원관리_1!$B$2:$B$257,"학생180")+COUNTIF(서비스마케팅_1!$B$2:$B$276,"학생180")+COUNTIF(제품관리_1!$B$2:$B$301,"학생180")</f>
        <v>5</v>
      </c>
    </row>
    <row r="184" spans="1:9" hidden="1">
      <c r="A184" s="15">
        <v>181</v>
      </c>
      <c r="B184" s="16" t="s">
        <v>182</v>
      </c>
      <c r="C184" s="16">
        <v>202400181</v>
      </c>
      <c r="I184" s="24">
        <f>COUNTIF(경영학원론_1!$B$3:$B$300,"학생181")+COUNTIF(경영학원론_2!$B$2:$B$301,"학생181")+COUNTIF(경영학원론_3!$B$2:$B$301,"학생181")+COUNTIF(경영학원론_4!$B$2:$B$300,"학생181")+COUNTIF(경제학원론_1!$B$2:$B$295,"학생181")+COUNTIF(경제학원론_2!$B$2:$B$298,"학생181")+COUNTIF(경제학원론_3!$B$2:$B$295,"학생181")+COUNTIF(경영통계학_1!$B$2:$B$299,"학생181")+COUNTIF(경영통계학_2!$B$2:$B$301,"학생181")+COUNTIF(경영통계학_3!$B$2:$B$298,"학생181")+COUNTIF(무역학개론_1!$B$2:$B$301,"학생181")+COUNTIF(회계학원론_1!$B$2:$B$293,"학생181")+COUNTIF(경영정보시스템_1!$B$2:$B$301,"학생181")+COUNTIF(관리회계_1!$B$2:$B$300,"학생181")+COUNTIF(관리회계_2!$B$2:$B$301,"학생181")+COUNTIF(마케팅_1!$B$2:$B$301,"학생181")+COUNTIF(마케팅리서치_1!$B$2:$B$301,"학생181")+COUNTIF(세법개론_1!$B$2:$B$300,"학생181")+COUNTIF(재무관리_1!$B$2:$B$301,"학생181")+COUNTIF(조직행동론_1!$B$2:$B$301,"학생181")+COUNTIF(조직행동론_2!$B$2:$B$301,"학생181")+COUNTIF(중급재무회계_1!$B$2:$B$301,"학생181")+COUNTIF(투자론_1!$B$2:$B$300,"학생181")+COUNTIF(경영과학_1!$B$2:$B$301,"학생181")+COUNTIF(세무회계_1!$B$2:$B$301,"학생181")+COUNTIF(스마트경영_1!$B$2:$B$301,"학생181")+COUNTIF(스마트경영_2!$B$2:$B$301,"학생181")+COUNTIF(인적자원관리_1!$B$2:$B$257,"학생181")+COUNTIF(서비스마케팅_1!$B$2:$B$276,"학생181")+COUNTIF(제품관리_1!$B$2:$B$301,"학생181")</f>
        <v>7</v>
      </c>
    </row>
    <row r="185" spans="1:9" hidden="1">
      <c r="A185" s="15">
        <v>182</v>
      </c>
      <c r="B185" s="16" t="s">
        <v>183</v>
      </c>
      <c r="C185" s="16">
        <v>202400182</v>
      </c>
      <c r="I185" s="24">
        <f>COUNTIF(경영학원론_1!$B$3:$B$300,"학생182")+COUNTIF(경영학원론_2!$B$2:$B$301,"학생182")+COUNTIF(경영학원론_3!$B$2:$B$301,"학생182")+COUNTIF(경영학원론_4!$B$2:$B$300,"학생182")+COUNTIF(경제학원론_1!$B$2:$B$295,"학생182")+COUNTIF(경제학원론_2!$B$2:$B$298,"학생182")+COUNTIF(경제학원론_3!$B$2:$B$295,"학생182")+COUNTIF(경영통계학_1!$B$2:$B$299,"학생182")+COUNTIF(경영통계학_2!$B$2:$B$301,"학생182")+COUNTIF(경영통계학_3!$B$2:$B$298,"학생182")+COUNTIF(무역학개론_1!$B$2:$B$301,"학생182")+COUNTIF(회계학원론_1!$B$2:$B$293,"학생182")+COUNTIF(경영정보시스템_1!$B$2:$B$301,"학생182")+COUNTIF(관리회계_1!$B$2:$B$300,"학생182")+COUNTIF(관리회계_2!$B$2:$B$301,"학생182")+COUNTIF(마케팅_1!$B$2:$B$301,"학생182")+COUNTIF(마케팅리서치_1!$B$2:$B$301,"학생182")+COUNTIF(세법개론_1!$B$2:$B$300,"학생182")+COUNTIF(재무관리_1!$B$2:$B$301,"학생182")+COUNTIF(조직행동론_1!$B$2:$B$301,"학생182")+COUNTIF(조직행동론_2!$B$2:$B$301,"학생182")+COUNTIF(중급재무회계_1!$B$2:$B$301,"학생182")+COUNTIF(투자론_1!$B$2:$B$300,"학생182")+COUNTIF(경영과학_1!$B$2:$B$301,"학생182")+COUNTIF(세무회계_1!$B$2:$B$301,"학생182")+COUNTIF(스마트경영_1!$B$2:$B$301,"학생182")+COUNTIF(스마트경영_2!$B$2:$B$301,"학생182")+COUNTIF(인적자원관리_1!$B$2:$B$257,"학생182")+COUNTIF(서비스마케팅_1!$B$2:$B$276,"학생182")+COUNTIF(제품관리_1!$B$2:$B$301,"학생182")</f>
        <v>7</v>
      </c>
    </row>
    <row r="186" spans="1:9" hidden="1">
      <c r="A186" s="15">
        <v>183</v>
      </c>
      <c r="B186" s="16" t="s">
        <v>184</v>
      </c>
      <c r="C186" s="16">
        <v>202400183</v>
      </c>
      <c r="I186" s="24">
        <f>COUNTIF(경영학원론_1!$B$3:$B$300,"학생183")+COUNTIF(경영학원론_2!$B$2:$B$301,"학생183")+COUNTIF(경영학원론_3!$B$2:$B$301,"학생183")+COUNTIF(경영학원론_4!$B$2:$B$300,"학생183")+COUNTIF(경제학원론_1!$B$2:$B$295,"학생183")+COUNTIF(경제학원론_2!$B$2:$B$298,"학생183")+COUNTIF(경제학원론_3!$B$2:$B$295,"학생183")+COUNTIF(경영통계학_1!$B$2:$B$299,"학생183")+COUNTIF(경영통계학_2!$B$2:$B$301,"학생183")+COUNTIF(경영통계학_3!$B$2:$B$298,"학생183")+COUNTIF(무역학개론_1!$B$2:$B$301,"학생183")+COUNTIF(회계학원론_1!$B$2:$B$293,"학생183")+COUNTIF(경영정보시스템_1!$B$2:$B$301,"학생183")+COUNTIF(관리회계_1!$B$2:$B$300,"학생183")+COUNTIF(관리회계_2!$B$2:$B$301,"학생183")+COUNTIF(마케팅_1!$B$2:$B$301,"학생183")+COUNTIF(마케팅리서치_1!$B$2:$B$301,"학생183")+COUNTIF(세법개론_1!$B$2:$B$300,"학생183")+COUNTIF(재무관리_1!$B$2:$B$301,"학생183")+COUNTIF(조직행동론_1!$B$2:$B$301,"학생183")+COUNTIF(조직행동론_2!$B$2:$B$301,"학생183")+COUNTIF(중급재무회계_1!$B$2:$B$301,"학생183")+COUNTIF(투자론_1!$B$2:$B$300,"학생183")+COUNTIF(경영과학_1!$B$2:$B$301,"학생183")+COUNTIF(세무회계_1!$B$2:$B$301,"학생183")+COUNTIF(스마트경영_1!$B$2:$B$301,"학생183")+COUNTIF(스마트경영_2!$B$2:$B$301,"학생183")+COUNTIF(인적자원관리_1!$B$2:$B$257,"학생183")+COUNTIF(서비스마케팅_1!$B$2:$B$276,"학생183")+COUNTIF(제품관리_1!$B$2:$B$301,"학생183")</f>
        <v>5</v>
      </c>
    </row>
    <row r="187" spans="1:9" hidden="1">
      <c r="A187" s="15">
        <v>184</v>
      </c>
      <c r="B187" s="16" t="s">
        <v>185</v>
      </c>
      <c r="C187" s="16">
        <v>202400184</v>
      </c>
      <c r="I187" s="24">
        <f>COUNTIF(경영학원론_1!$B$3:$B$300,"학생184")+COUNTIF(경영학원론_2!$B$2:$B$301,"학생184")+COUNTIF(경영학원론_3!$B$2:$B$301,"학생184")+COUNTIF(경영학원론_4!$B$2:$B$300,"학생184")+COUNTIF(경제학원론_1!$B$2:$B$295,"학생184")+COUNTIF(경제학원론_2!$B$2:$B$298,"학생184")+COUNTIF(경제학원론_3!$B$2:$B$295,"학생184")+COUNTIF(경영통계학_1!$B$2:$B$299,"학생184")+COUNTIF(경영통계학_2!$B$2:$B$301,"학생184")+COUNTIF(경영통계학_3!$B$2:$B$298,"학생184")+COUNTIF(무역학개론_1!$B$2:$B$301,"학생184")+COUNTIF(회계학원론_1!$B$2:$B$293,"학생184")+COUNTIF(경영정보시스템_1!$B$2:$B$301,"학생184")+COUNTIF(관리회계_1!$B$2:$B$300,"학생184")+COUNTIF(관리회계_2!$B$2:$B$301,"학생184")+COUNTIF(마케팅_1!$B$2:$B$301,"학생184")+COUNTIF(마케팅리서치_1!$B$2:$B$301,"학생184")+COUNTIF(세법개론_1!$B$2:$B$300,"학생184")+COUNTIF(재무관리_1!$B$2:$B$301,"학생184")+COUNTIF(조직행동론_1!$B$2:$B$301,"학생184")+COUNTIF(조직행동론_2!$B$2:$B$301,"학생184")+COUNTIF(중급재무회계_1!$B$2:$B$301,"학생184")+COUNTIF(투자론_1!$B$2:$B$300,"학생184")+COUNTIF(경영과학_1!$B$2:$B$301,"학생184")+COUNTIF(세무회계_1!$B$2:$B$301,"학생184")+COUNTIF(스마트경영_1!$B$2:$B$301,"학생184")+COUNTIF(스마트경영_2!$B$2:$B$301,"학생184")+COUNTIF(인적자원관리_1!$B$2:$B$257,"학생184")+COUNTIF(서비스마케팅_1!$B$2:$B$276,"학생184")+COUNTIF(제품관리_1!$B$2:$B$301,"학생184")</f>
        <v>6</v>
      </c>
    </row>
    <row r="188" spans="1:9" hidden="1">
      <c r="A188" s="15">
        <v>185</v>
      </c>
      <c r="B188" s="16" t="s">
        <v>186</v>
      </c>
      <c r="C188" s="16">
        <v>202400185</v>
      </c>
      <c r="I188" s="24">
        <f>COUNTIF(경영학원론_1!$B$3:$B$300,"학생185")+COUNTIF(경영학원론_2!$B$2:$B$301,"학생185")+COUNTIF(경영학원론_3!$B$2:$B$301,"학생185")+COUNTIF(경영학원론_4!$B$2:$B$300,"학생185")+COUNTIF(경제학원론_1!$B$2:$B$295,"학생185")+COUNTIF(경제학원론_2!$B$2:$B$298,"학생185")+COUNTIF(경제학원론_3!$B$2:$B$295,"학생185")+COUNTIF(경영통계학_1!$B$2:$B$299,"학생185")+COUNTIF(경영통계학_2!$B$2:$B$301,"학생185")+COUNTIF(경영통계학_3!$B$2:$B$298,"학생185")+COUNTIF(무역학개론_1!$B$2:$B$301,"학생185")+COUNTIF(회계학원론_1!$B$2:$B$293,"학생185")+COUNTIF(경영정보시스템_1!$B$2:$B$301,"학생185")+COUNTIF(관리회계_1!$B$2:$B$300,"학생185")+COUNTIF(관리회계_2!$B$2:$B$301,"학생185")+COUNTIF(마케팅_1!$B$2:$B$301,"학생185")+COUNTIF(마케팅리서치_1!$B$2:$B$301,"학생185")+COUNTIF(세법개론_1!$B$2:$B$300,"학생185")+COUNTIF(재무관리_1!$B$2:$B$301,"학생185")+COUNTIF(조직행동론_1!$B$2:$B$301,"학생185")+COUNTIF(조직행동론_2!$B$2:$B$301,"학생185")+COUNTIF(중급재무회계_1!$B$2:$B$301,"학생185")+COUNTIF(투자론_1!$B$2:$B$300,"학생185")+COUNTIF(경영과학_1!$B$2:$B$301,"학생185")+COUNTIF(세무회계_1!$B$2:$B$301,"학생185")+COUNTIF(스마트경영_1!$B$2:$B$301,"학생185")+COUNTIF(스마트경영_2!$B$2:$B$301,"학생185")+COUNTIF(인적자원관리_1!$B$2:$B$257,"학생185")+COUNTIF(서비스마케팅_1!$B$2:$B$276,"학생185")+COUNTIF(제품관리_1!$B$2:$B$301,"학생185")</f>
        <v>6</v>
      </c>
    </row>
    <row r="189" spans="1:9" hidden="1">
      <c r="A189" s="15">
        <v>186</v>
      </c>
      <c r="B189" s="16" t="s">
        <v>187</v>
      </c>
      <c r="C189" s="16">
        <v>202400186</v>
      </c>
      <c r="I189" s="24">
        <f>COUNTIF(경영학원론_1!$B$3:$B$300,"학생186")+COUNTIF(경영학원론_2!$B$2:$B$301,"학생186")+COUNTIF(경영학원론_3!$B$2:$B$301,"학생186")+COUNTIF(경영학원론_4!$B$2:$B$300,"학생186")+COUNTIF(경제학원론_1!$B$2:$B$295,"학생186")+COUNTIF(경제학원론_2!$B$2:$B$298,"학생186")+COUNTIF(경제학원론_3!$B$2:$B$295,"학생186")+COUNTIF(경영통계학_1!$B$2:$B$299,"학생186")+COUNTIF(경영통계학_2!$B$2:$B$301,"학생186")+COUNTIF(경영통계학_3!$B$2:$B$298,"학생186")+COUNTIF(무역학개론_1!$B$2:$B$301,"학생186")+COUNTIF(회계학원론_1!$B$2:$B$293,"학생186")+COUNTIF(경영정보시스템_1!$B$2:$B$301,"학생186")+COUNTIF(관리회계_1!$B$2:$B$300,"학생186")+COUNTIF(관리회계_2!$B$2:$B$301,"학생186")+COUNTIF(마케팅_1!$B$2:$B$301,"학생186")+COUNTIF(마케팅리서치_1!$B$2:$B$301,"학생186")+COUNTIF(세법개론_1!$B$2:$B$300,"학생186")+COUNTIF(재무관리_1!$B$2:$B$301,"학생186")+COUNTIF(조직행동론_1!$B$2:$B$301,"학생186")+COUNTIF(조직행동론_2!$B$2:$B$301,"학생186")+COUNTIF(중급재무회계_1!$B$2:$B$301,"학생186")+COUNTIF(투자론_1!$B$2:$B$300,"학생186")+COUNTIF(경영과학_1!$B$2:$B$301,"학생186")+COUNTIF(세무회계_1!$B$2:$B$301,"학생186")+COUNTIF(스마트경영_1!$B$2:$B$301,"학생186")+COUNTIF(스마트경영_2!$B$2:$B$301,"학생186")+COUNTIF(인적자원관리_1!$B$2:$B$257,"학생186")+COUNTIF(서비스마케팅_1!$B$2:$B$276,"학생186")+COUNTIF(제품관리_1!$B$2:$B$301,"학생186")</f>
        <v>6</v>
      </c>
    </row>
    <row r="190" spans="1:9" hidden="1">
      <c r="A190" s="15">
        <v>187</v>
      </c>
      <c r="B190" s="16" t="s">
        <v>188</v>
      </c>
      <c r="C190" s="16">
        <v>202400187</v>
      </c>
      <c r="I190" s="24">
        <f>COUNTIF(경영학원론_1!$B$3:$B$300,"학생187")+COUNTIF(경영학원론_2!$B$2:$B$301,"학생187")+COUNTIF(경영학원론_3!$B$2:$B$301,"학생187")+COUNTIF(경영학원론_4!$B$2:$B$300,"학생187")+COUNTIF(경제학원론_1!$B$2:$B$295,"학생187")+COUNTIF(경제학원론_2!$B$2:$B$298,"학생187")+COUNTIF(경제학원론_3!$B$2:$B$295,"학생187")+COUNTIF(경영통계학_1!$B$2:$B$299,"학생187")+COUNTIF(경영통계학_2!$B$2:$B$301,"학생187")+COUNTIF(경영통계학_3!$B$2:$B$298,"학생187")+COUNTIF(무역학개론_1!$B$2:$B$301,"학생187")+COUNTIF(회계학원론_1!$B$2:$B$293,"학생187")+COUNTIF(경영정보시스템_1!$B$2:$B$301,"학생187")+COUNTIF(관리회계_1!$B$2:$B$300,"학생187")+COUNTIF(관리회계_2!$B$2:$B$301,"학생187")+COUNTIF(마케팅_1!$B$2:$B$301,"학생187")+COUNTIF(마케팅리서치_1!$B$2:$B$301,"학생187")+COUNTIF(세법개론_1!$B$2:$B$300,"학생187")+COUNTIF(재무관리_1!$B$2:$B$301,"학생187")+COUNTIF(조직행동론_1!$B$2:$B$301,"학생187")+COUNTIF(조직행동론_2!$B$2:$B$301,"학생187")+COUNTIF(중급재무회계_1!$B$2:$B$301,"학생187")+COUNTIF(투자론_1!$B$2:$B$300,"학생187")+COUNTIF(경영과학_1!$B$2:$B$301,"학생187")+COUNTIF(세무회계_1!$B$2:$B$301,"학생187")+COUNTIF(스마트경영_1!$B$2:$B$301,"학생187")+COUNTIF(스마트경영_2!$B$2:$B$301,"학생187")+COUNTIF(인적자원관리_1!$B$2:$B$257,"학생187")+COUNTIF(서비스마케팅_1!$B$2:$B$276,"학생187")+COUNTIF(제품관리_1!$B$2:$B$301,"학생187")</f>
        <v>6</v>
      </c>
    </row>
    <row r="191" spans="1:9" hidden="1">
      <c r="A191" s="15">
        <v>188</v>
      </c>
      <c r="B191" s="16" t="s">
        <v>189</v>
      </c>
      <c r="C191" s="16">
        <v>202400188</v>
      </c>
      <c r="I191" s="24">
        <f>COUNTIF(경영학원론_1!$B$3:$B$300,"학생188")+COUNTIF(경영학원론_2!$B$2:$B$301,"학생188")+COUNTIF(경영학원론_3!$B$2:$B$301,"학생188")+COUNTIF(경영학원론_4!$B$2:$B$300,"학생188")+COUNTIF(경제학원론_1!$B$2:$B$295,"학생188")+COUNTIF(경제학원론_2!$B$2:$B$298,"학생188")+COUNTIF(경제학원론_3!$B$2:$B$295,"학생188")+COUNTIF(경영통계학_1!$B$2:$B$299,"학생188")+COUNTIF(경영통계학_2!$B$2:$B$301,"학생188")+COUNTIF(경영통계학_3!$B$2:$B$298,"학생188")+COUNTIF(무역학개론_1!$B$2:$B$301,"학생188")+COUNTIF(회계학원론_1!$B$2:$B$293,"학생188")+COUNTIF(경영정보시스템_1!$B$2:$B$301,"학생188")+COUNTIF(관리회계_1!$B$2:$B$300,"학생188")+COUNTIF(관리회계_2!$B$2:$B$301,"학생188")+COUNTIF(마케팅_1!$B$2:$B$301,"학생188")+COUNTIF(마케팅리서치_1!$B$2:$B$301,"학생188")+COUNTIF(세법개론_1!$B$2:$B$300,"학생188")+COUNTIF(재무관리_1!$B$2:$B$301,"학생188")+COUNTIF(조직행동론_1!$B$2:$B$301,"학생188")+COUNTIF(조직행동론_2!$B$2:$B$301,"학생188")+COUNTIF(중급재무회계_1!$B$2:$B$301,"학생188")+COUNTIF(투자론_1!$B$2:$B$300,"학생188")+COUNTIF(경영과학_1!$B$2:$B$301,"학생188")+COUNTIF(세무회계_1!$B$2:$B$301,"학생188")+COUNTIF(스마트경영_1!$B$2:$B$301,"학생188")+COUNTIF(스마트경영_2!$B$2:$B$301,"학생188")+COUNTIF(인적자원관리_1!$B$2:$B$257,"학생188")+COUNTIF(서비스마케팅_1!$B$2:$B$276,"학생188")+COUNTIF(제품관리_1!$B$2:$B$301,"학생188")</f>
        <v>7</v>
      </c>
    </row>
    <row r="192" spans="1:9" hidden="1">
      <c r="A192" s="15">
        <v>189</v>
      </c>
      <c r="B192" s="16" t="s">
        <v>190</v>
      </c>
      <c r="C192" s="16">
        <v>202400189</v>
      </c>
      <c r="I192" s="24">
        <f>COUNTIF(경영학원론_1!$B$3:$B$300,"학생189")+COUNTIF(경영학원론_2!$B$2:$B$301,"학생189")+COUNTIF(경영학원론_3!$B$2:$B$301,"학생189")+COUNTIF(경영학원론_4!$B$2:$B$300,"학생189")+COUNTIF(경제학원론_1!$B$2:$B$295,"학생189")+COUNTIF(경제학원론_2!$B$2:$B$298,"학생189")+COUNTIF(경제학원론_3!$B$2:$B$295,"학생189")+COUNTIF(경영통계학_1!$B$2:$B$299,"학생189")+COUNTIF(경영통계학_2!$B$2:$B$301,"학생189")+COUNTIF(경영통계학_3!$B$2:$B$298,"학생189")+COUNTIF(무역학개론_1!$B$2:$B$301,"학생189")+COUNTIF(회계학원론_1!$B$2:$B$293,"학생189")+COUNTIF(경영정보시스템_1!$B$2:$B$301,"학생189")+COUNTIF(관리회계_1!$B$2:$B$300,"학생189")+COUNTIF(관리회계_2!$B$2:$B$301,"학생189")+COUNTIF(마케팅_1!$B$2:$B$301,"학생189")+COUNTIF(마케팅리서치_1!$B$2:$B$301,"학생189")+COUNTIF(세법개론_1!$B$2:$B$300,"학생189")+COUNTIF(재무관리_1!$B$2:$B$301,"학생189")+COUNTIF(조직행동론_1!$B$2:$B$301,"학생189")+COUNTIF(조직행동론_2!$B$2:$B$301,"학생189")+COUNTIF(중급재무회계_1!$B$2:$B$301,"학생189")+COUNTIF(투자론_1!$B$2:$B$300,"학생189")+COUNTIF(경영과학_1!$B$2:$B$301,"학생189")+COUNTIF(세무회계_1!$B$2:$B$301,"학생189")+COUNTIF(스마트경영_1!$B$2:$B$301,"학생189")+COUNTIF(스마트경영_2!$B$2:$B$301,"학생189")+COUNTIF(인적자원관리_1!$B$2:$B$257,"학생189")+COUNTIF(서비스마케팅_1!$B$2:$B$276,"학생189")+COUNTIF(제품관리_1!$B$2:$B$301,"학생189")</f>
        <v>5</v>
      </c>
    </row>
    <row r="193" spans="1:9" hidden="1">
      <c r="A193" s="15">
        <v>190</v>
      </c>
      <c r="B193" s="16" t="s">
        <v>191</v>
      </c>
      <c r="C193" s="16">
        <v>202400190</v>
      </c>
      <c r="I193" s="24">
        <f>COUNTIF(경영학원론_1!$B$3:$B$300,"학생190")+COUNTIF(경영학원론_2!$B$2:$B$301,"학생190")+COUNTIF(경영학원론_3!$B$2:$B$301,"학생190")+COUNTIF(경영학원론_4!$B$2:$B$300,"학생190")+COUNTIF(경제학원론_1!$B$2:$B$295,"학생190")+COUNTIF(경제학원론_2!$B$2:$B$298,"학생190")+COUNTIF(경제학원론_3!$B$2:$B$295,"학생190")+COUNTIF(경영통계학_1!$B$2:$B$299,"학생190")+COUNTIF(경영통계학_2!$B$2:$B$301,"학생190")+COUNTIF(경영통계학_3!$B$2:$B$298,"학생190")+COUNTIF(무역학개론_1!$B$2:$B$301,"학생190")+COUNTIF(회계학원론_1!$B$2:$B$293,"학생190")+COUNTIF(경영정보시스템_1!$B$2:$B$301,"학생190")+COUNTIF(관리회계_1!$B$2:$B$300,"학생190")+COUNTIF(관리회계_2!$B$2:$B$301,"학생190")+COUNTIF(마케팅_1!$B$2:$B$301,"학생190")+COUNTIF(마케팅리서치_1!$B$2:$B$301,"학생190")+COUNTIF(세법개론_1!$B$2:$B$300,"학생190")+COUNTIF(재무관리_1!$B$2:$B$301,"학생190")+COUNTIF(조직행동론_1!$B$2:$B$301,"학생190")+COUNTIF(조직행동론_2!$B$2:$B$301,"학생190")+COUNTIF(중급재무회계_1!$B$2:$B$301,"학생190")+COUNTIF(투자론_1!$B$2:$B$300,"학생190")+COUNTIF(경영과학_1!$B$2:$B$301,"학생190")+COUNTIF(세무회계_1!$B$2:$B$301,"학생190")+COUNTIF(스마트경영_1!$B$2:$B$301,"학생190")+COUNTIF(스마트경영_2!$B$2:$B$301,"학생190")+COUNTIF(인적자원관리_1!$B$2:$B$257,"학생190")+COUNTIF(서비스마케팅_1!$B$2:$B$276,"학생190")+COUNTIF(제품관리_1!$B$2:$B$301,"학생190")</f>
        <v>5</v>
      </c>
    </row>
    <row r="194" spans="1:9" hidden="1">
      <c r="A194" s="15">
        <v>191</v>
      </c>
      <c r="B194" s="16" t="s">
        <v>192</v>
      </c>
      <c r="C194" s="16">
        <v>202400191</v>
      </c>
      <c r="I194" s="24">
        <f>COUNTIF(경영학원론_1!$B$3:$B$300,"학생191")+COUNTIF(경영학원론_2!$B$2:$B$301,"학생191")+COUNTIF(경영학원론_3!$B$2:$B$301,"학생191")+COUNTIF(경영학원론_4!$B$2:$B$300,"학생191")+COUNTIF(경제학원론_1!$B$2:$B$295,"학생191")+COUNTIF(경제학원론_2!$B$2:$B$298,"학생191")+COUNTIF(경제학원론_3!$B$2:$B$295,"학생191")+COUNTIF(경영통계학_1!$B$2:$B$299,"학생191")+COUNTIF(경영통계학_2!$B$2:$B$301,"학생191")+COUNTIF(경영통계학_3!$B$2:$B$298,"학생191")+COUNTIF(무역학개론_1!$B$2:$B$301,"학생191")+COUNTIF(회계학원론_1!$B$2:$B$293,"학생191")+COUNTIF(경영정보시스템_1!$B$2:$B$301,"학생191")+COUNTIF(관리회계_1!$B$2:$B$300,"학생191")+COUNTIF(관리회계_2!$B$2:$B$301,"학생191")+COUNTIF(마케팅_1!$B$2:$B$301,"학생191")+COUNTIF(마케팅리서치_1!$B$2:$B$301,"학생191")+COUNTIF(세법개론_1!$B$2:$B$300,"학생191")+COUNTIF(재무관리_1!$B$2:$B$301,"학생191")+COUNTIF(조직행동론_1!$B$2:$B$301,"학생191")+COUNTIF(조직행동론_2!$B$2:$B$301,"학생191")+COUNTIF(중급재무회계_1!$B$2:$B$301,"학생191")+COUNTIF(투자론_1!$B$2:$B$300,"학생191")+COUNTIF(경영과학_1!$B$2:$B$301,"학생191")+COUNTIF(세무회계_1!$B$2:$B$301,"학생191")+COUNTIF(스마트경영_1!$B$2:$B$301,"학생191")+COUNTIF(스마트경영_2!$B$2:$B$301,"학생191")+COUNTIF(인적자원관리_1!$B$2:$B$257,"학생191")+COUNTIF(서비스마케팅_1!$B$2:$B$276,"학생191")+COUNTIF(제품관리_1!$B$2:$B$301,"학생191")</f>
        <v>7</v>
      </c>
    </row>
    <row r="195" spans="1:9" hidden="1">
      <c r="A195" s="15">
        <v>192</v>
      </c>
      <c r="B195" s="16" t="s">
        <v>193</v>
      </c>
      <c r="C195" s="16">
        <v>202400192</v>
      </c>
      <c r="I195" s="24">
        <f>COUNTIF(경영학원론_1!$B$3:$B$300,"학생192")+COUNTIF(경영학원론_2!$B$2:$B$301,"학생192")+COUNTIF(경영학원론_3!$B$2:$B$301,"학생192")+COUNTIF(경영학원론_4!$B$2:$B$300,"학생192")+COUNTIF(경제학원론_1!$B$2:$B$295,"학생192")+COUNTIF(경제학원론_2!$B$2:$B$298,"학생192")+COUNTIF(경제학원론_3!$B$2:$B$295,"학생192")+COUNTIF(경영통계학_1!$B$2:$B$299,"학생192")+COUNTIF(경영통계학_2!$B$2:$B$301,"학생192")+COUNTIF(경영통계학_3!$B$2:$B$298,"학생192")+COUNTIF(무역학개론_1!$B$2:$B$301,"학생192")+COUNTIF(회계학원론_1!$B$2:$B$293,"학생192")+COUNTIF(경영정보시스템_1!$B$2:$B$301,"학생192")+COUNTIF(관리회계_1!$B$2:$B$300,"학생192")+COUNTIF(관리회계_2!$B$2:$B$301,"학생192")+COUNTIF(마케팅_1!$B$2:$B$301,"학생192")+COUNTIF(마케팅리서치_1!$B$2:$B$301,"학생192")+COUNTIF(세법개론_1!$B$2:$B$300,"학생192")+COUNTIF(재무관리_1!$B$2:$B$301,"학생192")+COUNTIF(조직행동론_1!$B$2:$B$301,"학생192")+COUNTIF(조직행동론_2!$B$2:$B$301,"학생192")+COUNTIF(중급재무회계_1!$B$2:$B$301,"학생192")+COUNTIF(투자론_1!$B$2:$B$300,"학생192")+COUNTIF(경영과학_1!$B$2:$B$301,"학생192")+COUNTIF(세무회계_1!$B$2:$B$301,"학생192")+COUNTIF(스마트경영_1!$B$2:$B$301,"학생192")+COUNTIF(스마트경영_2!$B$2:$B$301,"학생192")+COUNTIF(인적자원관리_1!$B$2:$B$257,"학생192")+COUNTIF(서비스마케팅_1!$B$2:$B$276,"학생192")+COUNTIF(제품관리_1!$B$2:$B$301,"학생192")</f>
        <v>4</v>
      </c>
    </row>
    <row r="196" spans="1:9" hidden="1">
      <c r="A196" s="15">
        <v>193</v>
      </c>
      <c r="B196" s="16" t="s">
        <v>194</v>
      </c>
      <c r="C196" s="16">
        <v>202400193</v>
      </c>
      <c r="I196" s="24">
        <f>COUNTIF(경영학원론_1!$B$3:$B$300,"학생193")+COUNTIF(경영학원론_2!$B$2:$B$301,"학생193")+COUNTIF(경영학원론_3!$B$2:$B$301,"학생193")+COUNTIF(경영학원론_4!$B$2:$B$300,"학생193")+COUNTIF(경제학원론_1!$B$2:$B$295,"학생193")+COUNTIF(경제학원론_2!$B$2:$B$298,"학생193")+COUNTIF(경제학원론_3!$B$2:$B$295,"학생193")+COUNTIF(경영통계학_1!$B$2:$B$299,"학생193")+COUNTIF(경영통계학_2!$B$2:$B$301,"학생193")+COUNTIF(경영통계학_3!$B$2:$B$298,"학생193")+COUNTIF(무역학개론_1!$B$2:$B$301,"학생193")+COUNTIF(회계학원론_1!$B$2:$B$293,"학생193")+COUNTIF(경영정보시스템_1!$B$2:$B$301,"학생193")+COUNTIF(관리회계_1!$B$2:$B$300,"학생193")+COUNTIF(관리회계_2!$B$2:$B$301,"학생193")+COUNTIF(마케팅_1!$B$2:$B$301,"학생193")+COUNTIF(마케팅리서치_1!$B$2:$B$301,"학생193")+COUNTIF(세법개론_1!$B$2:$B$300,"학생193")+COUNTIF(재무관리_1!$B$2:$B$301,"학생193")+COUNTIF(조직행동론_1!$B$2:$B$301,"학생193")+COUNTIF(조직행동론_2!$B$2:$B$301,"학생193")+COUNTIF(중급재무회계_1!$B$2:$B$301,"학생193")+COUNTIF(투자론_1!$B$2:$B$300,"학생193")+COUNTIF(경영과학_1!$B$2:$B$301,"학생193")+COUNTIF(세무회계_1!$B$2:$B$301,"학생193")+COUNTIF(스마트경영_1!$B$2:$B$301,"학생193")+COUNTIF(스마트경영_2!$B$2:$B$301,"학생193")+COUNTIF(인적자원관리_1!$B$2:$B$257,"학생193")+COUNTIF(서비스마케팅_1!$B$2:$B$276,"학생193")+COUNTIF(제품관리_1!$B$2:$B$301,"학생193")</f>
        <v>4</v>
      </c>
    </row>
    <row r="197" spans="1:9" hidden="1">
      <c r="A197" s="15">
        <v>194</v>
      </c>
      <c r="B197" s="16" t="s">
        <v>195</v>
      </c>
      <c r="C197" s="16">
        <v>202400194</v>
      </c>
      <c r="I197" s="24">
        <f>COUNTIF(경영학원론_1!$B$3:$B$300,"학생194")+COUNTIF(경영학원론_2!$B$2:$B$301,"학생194")+COUNTIF(경영학원론_3!$B$2:$B$301,"학생194")+COUNTIF(경영학원론_4!$B$2:$B$300,"학생194")+COUNTIF(경제학원론_1!$B$2:$B$295,"학생194")+COUNTIF(경제학원론_2!$B$2:$B$298,"학생194")+COUNTIF(경제학원론_3!$B$2:$B$295,"학생194")+COUNTIF(경영통계학_1!$B$2:$B$299,"학생194")+COUNTIF(경영통계학_2!$B$2:$B$301,"학생194")+COUNTIF(경영통계학_3!$B$2:$B$298,"학생194")+COUNTIF(무역학개론_1!$B$2:$B$301,"학생194")+COUNTIF(회계학원론_1!$B$2:$B$293,"학생194")+COUNTIF(경영정보시스템_1!$B$2:$B$301,"학생194")+COUNTIF(관리회계_1!$B$2:$B$300,"학생194")+COUNTIF(관리회계_2!$B$2:$B$301,"학생194")+COUNTIF(마케팅_1!$B$2:$B$301,"학생194")+COUNTIF(마케팅리서치_1!$B$2:$B$301,"학생194")+COUNTIF(세법개론_1!$B$2:$B$300,"학생194")+COUNTIF(재무관리_1!$B$2:$B$301,"학생194")+COUNTIF(조직행동론_1!$B$2:$B$301,"학생194")+COUNTIF(조직행동론_2!$B$2:$B$301,"학생194")+COUNTIF(중급재무회계_1!$B$2:$B$301,"학생194")+COUNTIF(투자론_1!$B$2:$B$300,"학생194")+COUNTIF(경영과학_1!$B$2:$B$301,"학생194")+COUNTIF(세무회계_1!$B$2:$B$301,"학생194")+COUNTIF(스마트경영_1!$B$2:$B$301,"학생194")+COUNTIF(스마트경영_2!$B$2:$B$301,"학생194")+COUNTIF(인적자원관리_1!$B$2:$B$257,"학생194")+COUNTIF(서비스마케팅_1!$B$2:$B$276,"학생194")+COUNTIF(제품관리_1!$B$2:$B$301,"학생194")</f>
        <v>6</v>
      </c>
    </row>
    <row r="198" spans="1:9" hidden="1">
      <c r="A198" s="15">
        <v>195</v>
      </c>
      <c r="B198" s="16" t="s">
        <v>196</v>
      </c>
      <c r="C198" s="16">
        <v>202400195</v>
      </c>
      <c r="I198" s="24">
        <f>COUNTIF(경영학원론_1!$B$3:$B$300,"학생195")+COUNTIF(경영학원론_2!$B$2:$B$301,"학생195")+COUNTIF(경영학원론_3!$B$2:$B$301,"학생195")+COUNTIF(경영학원론_4!$B$2:$B$300,"학생195")+COUNTIF(경제학원론_1!$B$2:$B$295,"학생195")+COUNTIF(경제학원론_2!$B$2:$B$298,"학생195")+COUNTIF(경제학원론_3!$B$2:$B$295,"학생195")+COUNTIF(경영통계학_1!$B$2:$B$299,"학생195")+COUNTIF(경영통계학_2!$B$2:$B$301,"학생195")+COUNTIF(경영통계학_3!$B$2:$B$298,"학생195")+COUNTIF(무역학개론_1!$B$2:$B$301,"학생195")+COUNTIF(회계학원론_1!$B$2:$B$293,"학생195")+COUNTIF(경영정보시스템_1!$B$2:$B$301,"학생195")+COUNTIF(관리회계_1!$B$2:$B$300,"학생195")+COUNTIF(관리회계_2!$B$2:$B$301,"학생195")+COUNTIF(마케팅_1!$B$2:$B$301,"학생195")+COUNTIF(마케팅리서치_1!$B$2:$B$301,"학생195")+COUNTIF(세법개론_1!$B$2:$B$300,"학생195")+COUNTIF(재무관리_1!$B$2:$B$301,"학생195")+COUNTIF(조직행동론_1!$B$2:$B$301,"학생195")+COUNTIF(조직행동론_2!$B$2:$B$301,"학생195")+COUNTIF(중급재무회계_1!$B$2:$B$301,"학생195")+COUNTIF(투자론_1!$B$2:$B$300,"학생195")+COUNTIF(경영과학_1!$B$2:$B$301,"학생195")+COUNTIF(세무회계_1!$B$2:$B$301,"학생195")+COUNTIF(스마트경영_1!$B$2:$B$301,"학생195")+COUNTIF(스마트경영_2!$B$2:$B$301,"학생195")+COUNTIF(인적자원관리_1!$B$2:$B$257,"학생195")+COUNTIF(서비스마케팅_1!$B$2:$B$276,"학생195")+COUNTIF(제품관리_1!$B$2:$B$301,"학생195")</f>
        <v>5</v>
      </c>
    </row>
    <row r="199" spans="1:9" hidden="1">
      <c r="A199" s="15">
        <v>196</v>
      </c>
      <c r="B199" s="16" t="s">
        <v>197</v>
      </c>
      <c r="C199" s="16">
        <v>202400196</v>
      </c>
      <c r="I199" s="24">
        <f>COUNTIF(경영학원론_1!$B$3:$B$300,"학생196")+COUNTIF(경영학원론_2!$B$2:$B$301,"학생196")+COUNTIF(경영학원론_3!$B$2:$B$301,"학생196")+COUNTIF(경영학원론_4!$B$2:$B$300,"학생196")+COUNTIF(경제학원론_1!$B$2:$B$295,"학생196")+COUNTIF(경제학원론_2!$B$2:$B$298,"학생196")+COUNTIF(경제학원론_3!$B$2:$B$295,"학생196")+COUNTIF(경영통계학_1!$B$2:$B$299,"학생196")+COUNTIF(경영통계학_2!$B$2:$B$301,"학생196")+COUNTIF(경영통계학_3!$B$2:$B$298,"학생196")+COUNTIF(무역학개론_1!$B$2:$B$301,"학생196")+COUNTIF(회계학원론_1!$B$2:$B$293,"학생196")+COUNTIF(경영정보시스템_1!$B$2:$B$301,"학생196")+COUNTIF(관리회계_1!$B$2:$B$300,"학생196")+COUNTIF(관리회계_2!$B$2:$B$301,"학생196")+COUNTIF(마케팅_1!$B$2:$B$301,"학생196")+COUNTIF(마케팅리서치_1!$B$2:$B$301,"학생196")+COUNTIF(세법개론_1!$B$2:$B$300,"학생196")+COUNTIF(재무관리_1!$B$2:$B$301,"학생196")+COUNTIF(조직행동론_1!$B$2:$B$301,"학생196")+COUNTIF(조직행동론_2!$B$2:$B$301,"학생196")+COUNTIF(중급재무회계_1!$B$2:$B$301,"학생196")+COUNTIF(투자론_1!$B$2:$B$300,"학생196")+COUNTIF(경영과학_1!$B$2:$B$301,"학생196")+COUNTIF(세무회계_1!$B$2:$B$301,"학생196")+COUNTIF(스마트경영_1!$B$2:$B$301,"학생196")+COUNTIF(스마트경영_2!$B$2:$B$301,"학생196")+COUNTIF(인적자원관리_1!$B$2:$B$257,"학생196")+COUNTIF(서비스마케팅_1!$B$2:$B$276,"학생196")+COUNTIF(제품관리_1!$B$2:$B$301,"학생196")</f>
        <v>5</v>
      </c>
    </row>
    <row r="200" spans="1:9" hidden="1">
      <c r="A200" s="15">
        <v>197</v>
      </c>
      <c r="B200" s="16" t="s">
        <v>198</v>
      </c>
      <c r="C200" s="16">
        <v>202400197</v>
      </c>
      <c r="I200" s="24">
        <f>COUNTIF(경영학원론_1!$B$3:$B$300,"학생197")+COUNTIF(경영학원론_2!$B$2:$B$301,"학생197")+COUNTIF(경영학원론_3!$B$2:$B$301,"학생197")+COUNTIF(경영학원론_4!$B$2:$B$300,"학생197")+COUNTIF(경제학원론_1!$B$2:$B$295,"학생197")+COUNTIF(경제학원론_2!$B$2:$B$298,"학생197")+COUNTIF(경제학원론_3!$B$2:$B$295,"학생197")+COUNTIF(경영통계학_1!$B$2:$B$299,"학생197")+COUNTIF(경영통계학_2!$B$2:$B$301,"학생197")+COUNTIF(경영통계학_3!$B$2:$B$298,"학생197")+COUNTIF(무역학개론_1!$B$2:$B$301,"학생197")+COUNTIF(회계학원론_1!$B$2:$B$293,"학생197")+COUNTIF(경영정보시스템_1!$B$2:$B$301,"학생197")+COUNTIF(관리회계_1!$B$2:$B$300,"학생197")+COUNTIF(관리회계_2!$B$2:$B$301,"학생197")+COUNTIF(마케팅_1!$B$2:$B$301,"학생197")+COUNTIF(마케팅리서치_1!$B$2:$B$301,"학생197")+COUNTIF(세법개론_1!$B$2:$B$300,"학생197")+COUNTIF(재무관리_1!$B$2:$B$301,"학생197")+COUNTIF(조직행동론_1!$B$2:$B$301,"학생197")+COUNTIF(조직행동론_2!$B$2:$B$301,"학생197")+COUNTIF(중급재무회계_1!$B$2:$B$301,"학생197")+COUNTIF(투자론_1!$B$2:$B$300,"학생197")+COUNTIF(경영과학_1!$B$2:$B$301,"학생197")+COUNTIF(세무회계_1!$B$2:$B$301,"학생197")+COUNTIF(스마트경영_1!$B$2:$B$301,"학생197")+COUNTIF(스마트경영_2!$B$2:$B$301,"학생197")+COUNTIF(인적자원관리_1!$B$2:$B$257,"학생197")+COUNTIF(서비스마케팅_1!$B$2:$B$276,"학생197")+COUNTIF(제품관리_1!$B$2:$B$301,"학생197")</f>
        <v>3</v>
      </c>
    </row>
    <row r="201" spans="1:9" hidden="1">
      <c r="A201" s="15">
        <v>198</v>
      </c>
      <c r="B201" s="16" t="s">
        <v>199</v>
      </c>
      <c r="C201" s="16">
        <v>202400198</v>
      </c>
      <c r="I201" s="24">
        <f>COUNTIF(경영학원론_1!$B$3:$B$300,"학생198")+COUNTIF(경영학원론_2!$B$2:$B$301,"학생198")+COUNTIF(경영학원론_3!$B$2:$B$301,"학생198")+COUNTIF(경영학원론_4!$B$2:$B$300,"학생198")+COUNTIF(경제학원론_1!$B$2:$B$295,"학생198")+COUNTIF(경제학원론_2!$B$2:$B$298,"학생198")+COUNTIF(경제학원론_3!$B$2:$B$295,"학생198")+COUNTIF(경영통계학_1!$B$2:$B$299,"학생198")+COUNTIF(경영통계학_2!$B$2:$B$301,"학생198")+COUNTIF(경영통계학_3!$B$2:$B$298,"학생198")+COUNTIF(무역학개론_1!$B$2:$B$301,"학생198")+COUNTIF(회계학원론_1!$B$2:$B$293,"학생198")+COUNTIF(경영정보시스템_1!$B$2:$B$301,"학생198")+COUNTIF(관리회계_1!$B$2:$B$300,"학생198")+COUNTIF(관리회계_2!$B$2:$B$301,"학생198")+COUNTIF(마케팅_1!$B$2:$B$301,"학생198")+COUNTIF(마케팅리서치_1!$B$2:$B$301,"학생198")+COUNTIF(세법개론_1!$B$2:$B$300,"학생198")+COUNTIF(재무관리_1!$B$2:$B$301,"학생198")+COUNTIF(조직행동론_1!$B$2:$B$301,"학생198")+COUNTIF(조직행동론_2!$B$2:$B$301,"학생198")+COUNTIF(중급재무회계_1!$B$2:$B$301,"학생198")+COUNTIF(투자론_1!$B$2:$B$300,"학생198")+COUNTIF(경영과학_1!$B$2:$B$301,"학생198")+COUNTIF(세무회계_1!$B$2:$B$301,"학생198")+COUNTIF(스마트경영_1!$B$2:$B$301,"학생198")+COUNTIF(스마트경영_2!$B$2:$B$301,"학생198")+COUNTIF(인적자원관리_1!$B$2:$B$257,"학생198")+COUNTIF(서비스마케팅_1!$B$2:$B$276,"학생198")+COUNTIF(제품관리_1!$B$2:$B$301,"학생198")</f>
        <v>6</v>
      </c>
    </row>
    <row r="202" spans="1:9" hidden="1">
      <c r="A202" s="15">
        <v>199</v>
      </c>
      <c r="B202" s="16" t="s">
        <v>200</v>
      </c>
      <c r="C202" s="16">
        <v>202400199</v>
      </c>
      <c r="I202" s="24">
        <f>COUNTIF(경영학원론_1!$B$3:$B$300,"학생199")+COUNTIF(경영학원론_2!$B$2:$B$301,"학생199")+COUNTIF(경영학원론_3!$B$2:$B$301,"학생199")+COUNTIF(경영학원론_4!$B$2:$B$300,"학생199")+COUNTIF(경제학원론_1!$B$2:$B$295,"학생199")+COUNTIF(경제학원론_2!$B$2:$B$298,"학생199")+COUNTIF(경제학원론_3!$B$2:$B$295,"학생199")+COUNTIF(경영통계학_1!$B$2:$B$299,"학생199")+COUNTIF(경영통계학_2!$B$2:$B$301,"학생199")+COUNTIF(경영통계학_3!$B$2:$B$298,"학생199")+COUNTIF(무역학개론_1!$B$2:$B$301,"학생199")+COUNTIF(회계학원론_1!$B$2:$B$293,"학생199")+COUNTIF(경영정보시스템_1!$B$2:$B$301,"학생199")+COUNTIF(관리회계_1!$B$2:$B$300,"학생199")+COUNTIF(관리회계_2!$B$2:$B$301,"학생199")+COUNTIF(마케팅_1!$B$2:$B$301,"학생199")+COUNTIF(마케팅리서치_1!$B$2:$B$301,"학생199")+COUNTIF(세법개론_1!$B$2:$B$300,"학생199")+COUNTIF(재무관리_1!$B$2:$B$301,"학생199")+COUNTIF(조직행동론_1!$B$2:$B$301,"학생199")+COUNTIF(조직행동론_2!$B$2:$B$301,"학생199")+COUNTIF(중급재무회계_1!$B$2:$B$301,"학생199")+COUNTIF(투자론_1!$B$2:$B$300,"학생199")+COUNTIF(경영과학_1!$B$2:$B$301,"학생199")+COUNTIF(세무회계_1!$B$2:$B$301,"학생199")+COUNTIF(스마트경영_1!$B$2:$B$301,"학생199")+COUNTIF(스마트경영_2!$B$2:$B$301,"학생199")+COUNTIF(인적자원관리_1!$B$2:$B$257,"학생199")+COUNTIF(서비스마케팅_1!$B$2:$B$276,"학생199")+COUNTIF(제품관리_1!$B$2:$B$301,"학생199")</f>
        <v>7</v>
      </c>
    </row>
    <row r="203" spans="1:9" hidden="1">
      <c r="A203" s="15">
        <v>200</v>
      </c>
      <c r="B203" s="16" t="s">
        <v>201</v>
      </c>
      <c r="C203" s="16">
        <v>202400200</v>
      </c>
      <c r="I203" s="24">
        <f>COUNTIF(경영학원론_1!$B$3:$B$300,"학생200")+COUNTIF(경영학원론_2!$B$2:$B$301,"학생200")+COUNTIF(경영학원론_3!$B$2:$B$301,"학생200")+COUNTIF(경영학원론_4!$B$2:$B$300,"학생200")+COUNTIF(경제학원론_1!$B$2:$B$295,"학생200")+COUNTIF(경제학원론_2!$B$2:$B$298,"학생200")+COUNTIF(경제학원론_3!$B$2:$B$295,"학생200")+COUNTIF(경영통계학_1!$B$2:$B$299,"학생200")+COUNTIF(경영통계학_2!$B$2:$B$301,"학생200")+COUNTIF(경영통계학_3!$B$2:$B$298,"학생200")+COUNTIF(무역학개론_1!$B$2:$B$301,"학생200")+COUNTIF(회계학원론_1!$B$2:$B$293,"학생200")+COUNTIF(경영정보시스템_1!$B$2:$B$301,"학생200")+COUNTIF(관리회계_1!$B$2:$B$300,"학생200")+COUNTIF(관리회계_2!$B$2:$B$301,"학생200")+COUNTIF(마케팅_1!$B$2:$B$301,"학생200")+COUNTIF(마케팅리서치_1!$B$2:$B$301,"학생200")+COUNTIF(세법개론_1!$B$2:$B$300,"학생200")+COUNTIF(재무관리_1!$B$2:$B$301,"학생200")+COUNTIF(조직행동론_1!$B$2:$B$301,"학생200")+COUNTIF(조직행동론_2!$B$2:$B$301,"학생200")+COUNTIF(중급재무회계_1!$B$2:$B$301,"학생200")+COUNTIF(투자론_1!$B$2:$B$300,"학생200")+COUNTIF(경영과학_1!$B$2:$B$301,"학생200")+COUNTIF(세무회계_1!$B$2:$B$301,"학생200")+COUNTIF(스마트경영_1!$B$2:$B$301,"학생200")+COUNTIF(스마트경영_2!$B$2:$B$301,"학생200")+COUNTIF(인적자원관리_1!$B$2:$B$257,"학생200")+COUNTIF(서비스마케팅_1!$B$2:$B$276,"학생200")+COUNTIF(제품관리_1!$B$2:$B$301,"학생200")</f>
        <v>6</v>
      </c>
    </row>
    <row r="204" spans="1:9" hidden="1">
      <c r="A204" s="15">
        <v>201</v>
      </c>
      <c r="B204" s="16" t="s">
        <v>202</v>
      </c>
      <c r="C204" s="16">
        <v>202400201</v>
      </c>
      <c r="I204" s="24">
        <f>COUNTIF(경영학원론_1!$B$3:$B$300,"학생201")+COUNTIF(경영학원론_2!$B$2:$B$301,"학생201")+COUNTIF(경영학원론_3!$B$2:$B$301,"학생201")+COUNTIF(경영학원론_4!$B$2:$B$300,"학생201")+COUNTIF(경제학원론_1!$B$2:$B$295,"학생201")+COUNTIF(경제학원론_2!$B$2:$B$298,"학생201")+COUNTIF(경제학원론_3!$B$2:$B$295,"학생201")+COUNTIF(경영통계학_1!$B$2:$B$299,"학생201")+COUNTIF(경영통계학_2!$B$2:$B$301,"학생201")+COUNTIF(경영통계학_3!$B$2:$B$298,"학생201")+COUNTIF(무역학개론_1!$B$2:$B$301,"학생201")+COUNTIF(회계학원론_1!$B$2:$B$293,"학생201")+COUNTIF(경영정보시스템_1!$B$2:$B$301,"학생201")+COUNTIF(관리회계_1!$B$2:$B$300,"학생201")+COUNTIF(관리회계_2!$B$2:$B$301,"학생201")+COUNTIF(마케팅_1!$B$2:$B$301,"학생201")+COUNTIF(마케팅리서치_1!$B$2:$B$301,"학생201")+COUNTIF(세법개론_1!$B$2:$B$300,"학생201")+COUNTIF(재무관리_1!$B$2:$B$301,"학생201")+COUNTIF(조직행동론_1!$B$2:$B$301,"학생201")+COUNTIF(조직행동론_2!$B$2:$B$301,"학생201")+COUNTIF(중급재무회계_1!$B$2:$B$301,"학생201")+COUNTIF(투자론_1!$B$2:$B$300,"학생201")+COUNTIF(경영과학_1!$B$2:$B$301,"학생201")+COUNTIF(세무회계_1!$B$2:$B$301,"학생201")+COUNTIF(스마트경영_1!$B$2:$B$301,"학생201")+COUNTIF(스마트경영_2!$B$2:$B$301,"학생201")+COUNTIF(인적자원관리_1!$B$2:$B$257,"학생201")+COUNTIF(서비스마케팅_1!$B$2:$B$276,"학생201")+COUNTIF(제품관리_1!$B$2:$B$301,"학생201")</f>
        <v>5</v>
      </c>
    </row>
    <row r="205" spans="1:9" hidden="1">
      <c r="A205" s="15">
        <v>202</v>
      </c>
      <c r="B205" s="16" t="s">
        <v>203</v>
      </c>
      <c r="C205" s="16">
        <v>202400202</v>
      </c>
      <c r="I205" s="24">
        <f>COUNTIF(경영학원론_1!$B$3:$B$300,"학생202")+COUNTIF(경영학원론_2!$B$2:$B$301,"학생202")+COUNTIF(경영학원론_3!$B$2:$B$301,"학생202")+COUNTIF(경영학원론_4!$B$2:$B$300,"학생202")+COUNTIF(경제학원론_1!$B$2:$B$295,"학생202")+COUNTIF(경제학원론_2!$B$2:$B$298,"학생202")+COUNTIF(경제학원론_3!$B$2:$B$295,"학생202")+COUNTIF(경영통계학_1!$B$2:$B$299,"학생202")+COUNTIF(경영통계학_2!$B$2:$B$301,"학생202")+COUNTIF(경영통계학_3!$B$2:$B$298,"학생202")+COUNTIF(무역학개론_1!$B$2:$B$301,"학생202")+COUNTIF(회계학원론_1!$B$2:$B$293,"학생202")+COUNTIF(경영정보시스템_1!$B$2:$B$301,"학생202")+COUNTIF(관리회계_1!$B$2:$B$300,"학생202")+COUNTIF(관리회계_2!$B$2:$B$301,"학생202")+COUNTIF(마케팅_1!$B$2:$B$301,"학생202")+COUNTIF(마케팅리서치_1!$B$2:$B$301,"학생202")+COUNTIF(세법개론_1!$B$2:$B$300,"학생202")+COUNTIF(재무관리_1!$B$2:$B$301,"학생202")+COUNTIF(조직행동론_1!$B$2:$B$301,"학생202")+COUNTIF(조직행동론_2!$B$2:$B$301,"학생202")+COUNTIF(중급재무회계_1!$B$2:$B$301,"학생202")+COUNTIF(투자론_1!$B$2:$B$300,"학생202")+COUNTIF(경영과학_1!$B$2:$B$301,"학생202")+COUNTIF(세무회계_1!$B$2:$B$301,"학생202")+COUNTIF(스마트경영_1!$B$2:$B$301,"학생202")+COUNTIF(스마트경영_2!$B$2:$B$301,"학생202")+COUNTIF(인적자원관리_1!$B$2:$B$257,"학생202")+COUNTIF(서비스마케팅_1!$B$2:$B$276,"학생202")+COUNTIF(제품관리_1!$B$2:$B$301,"학생202")</f>
        <v>3</v>
      </c>
    </row>
    <row r="206" spans="1:9" hidden="1">
      <c r="A206" s="15">
        <v>203</v>
      </c>
      <c r="B206" s="16" t="s">
        <v>204</v>
      </c>
      <c r="C206" s="16">
        <v>202400203</v>
      </c>
      <c r="I206" s="24">
        <f>COUNTIF(경영학원론_1!$B$3:$B$300,"학생203")+COUNTIF(경영학원론_2!$B$2:$B$301,"학생203")+COUNTIF(경영학원론_3!$B$2:$B$301,"학생203")+COUNTIF(경영학원론_4!$B$2:$B$300,"학생203")+COUNTIF(경제학원론_1!$B$2:$B$295,"학생203")+COUNTIF(경제학원론_2!$B$2:$B$298,"학생203")+COUNTIF(경제학원론_3!$B$2:$B$295,"학생203")+COUNTIF(경영통계학_1!$B$2:$B$299,"학생203")+COUNTIF(경영통계학_2!$B$2:$B$301,"학생203")+COUNTIF(경영통계학_3!$B$2:$B$298,"학생203")+COUNTIF(무역학개론_1!$B$2:$B$301,"학생203")+COUNTIF(회계학원론_1!$B$2:$B$293,"학생203")+COUNTIF(경영정보시스템_1!$B$2:$B$301,"학생203")+COUNTIF(관리회계_1!$B$2:$B$300,"학생203")+COUNTIF(관리회계_2!$B$2:$B$301,"학생203")+COUNTIF(마케팅_1!$B$2:$B$301,"학생203")+COUNTIF(마케팅리서치_1!$B$2:$B$301,"학생203")+COUNTIF(세법개론_1!$B$2:$B$300,"학생203")+COUNTIF(재무관리_1!$B$2:$B$301,"학생203")+COUNTIF(조직행동론_1!$B$2:$B$301,"학생203")+COUNTIF(조직행동론_2!$B$2:$B$301,"학생203")+COUNTIF(중급재무회계_1!$B$2:$B$301,"학생203")+COUNTIF(투자론_1!$B$2:$B$300,"학생203")+COUNTIF(경영과학_1!$B$2:$B$301,"학생203")+COUNTIF(세무회계_1!$B$2:$B$301,"학생203")+COUNTIF(스마트경영_1!$B$2:$B$301,"학생203")+COUNTIF(스마트경영_2!$B$2:$B$301,"학생203")+COUNTIF(인적자원관리_1!$B$2:$B$257,"학생203")+COUNTIF(서비스마케팅_1!$B$2:$B$276,"학생203")+COUNTIF(제품관리_1!$B$2:$B$301,"학생203")</f>
        <v>5</v>
      </c>
    </row>
    <row r="207" spans="1:9" hidden="1">
      <c r="A207" s="15">
        <v>204</v>
      </c>
      <c r="B207" s="16" t="s">
        <v>205</v>
      </c>
      <c r="C207" s="16">
        <v>202400204</v>
      </c>
      <c r="I207" s="24">
        <f>COUNTIF(경영학원론_1!$B$3:$B$300,"학생204")+COUNTIF(경영학원론_2!$B$2:$B$301,"학생204")+COUNTIF(경영학원론_3!$B$2:$B$301,"학생204")+COUNTIF(경영학원론_4!$B$2:$B$300,"학생204")+COUNTIF(경제학원론_1!$B$2:$B$295,"학생204")+COUNTIF(경제학원론_2!$B$2:$B$298,"학생204")+COUNTIF(경제학원론_3!$B$2:$B$295,"학생204")+COUNTIF(경영통계학_1!$B$2:$B$299,"학생204")+COUNTIF(경영통계학_2!$B$2:$B$301,"학생204")+COUNTIF(경영통계학_3!$B$2:$B$298,"학생204")+COUNTIF(무역학개론_1!$B$2:$B$301,"학생204")+COUNTIF(회계학원론_1!$B$2:$B$293,"학생204")+COUNTIF(경영정보시스템_1!$B$2:$B$301,"학생204")+COUNTIF(관리회계_1!$B$2:$B$300,"학생204")+COUNTIF(관리회계_2!$B$2:$B$301,"학생204")+COUNTIF(마케팅_1!$B$2:$B$301,"학생204")+COUNTIF(마케팅리서치_1!$B$2:$B$301,"학생204")+COUNTIF(세법개론_1!$B$2:$B$300,"학생204")+COUNTIF(재무관리_1!$B$2:$B$301,"학생204")+COUNTIF(조직행동론_1!$B$2:$B$301,"학생204")+COUNTIF(조직행동론_2!$B$2:$B$301,"학생204")+COUNTIF(중급재무회계_1!$B$2:$B$301,"학생204")+COUNTIF(투자론_1!$B$2:$B$300,"학생204")+COUNTIF(경영과학_1!$B$2:$B$301,"학생204")+COUNTIF(세무회계_1!$B$2:$B$301,"학생204")+COUNTIF(스마트경영_1!$B$2:$B$301,"학생204")+COUNTIF(스마트경영_2!$B$2:$B$301,"학생204")+COUNTIF(인적자원관리_1!$B$2:$B$257,"학생204")+COUNTIF(서비스마케팅_1!$B$2:$B$276,"학생204")+COUNTIF(제품관리_1!$B$2:$B$301,"학생204")</f>
        <v>4</v>
      </c>
    </row>
    <row r="208" spans="1:9" hidden="1">
      <c r="A208" s="15">
        <v>205</v>
      </c>
      <c r="B208" s="16" t="s">
        <v>206</v>
      </c>
      <c r="C208" s="16">
        <v>202400205</v>
      </c>
      <c r="I208" s="24">
        <f>COUNTIF(경영학원론_1!$B$3:$B$300,"학생205")+COUNTIF(경영학원론_2!$B$2:$B$301,"학생205")+COUNTIF(경영학원론_3!$B$2:$B$301,"학생205")+COUNTIF(경영학원론_4!$B$2:$B$300,"학생205")+COUNTIF(경제학원론_1!$B$2:$B$295,"학생205")+COUNTIF(경제학원론_2!$B$2:$B$298,"학생205")+COUNTIF(경제학원론_3!$B$2:$B$295,"학생205")+COUNTIF(경영통계학_1!$B$2:$B$299,"학생205")+COUNTIF(경영통계학_2!$B$2:$B$301,"학생205")+COUNTIF(경영통계학_3!$B$2:$B$298,"학생205")+COUNTIF(무역학개론_1!$B$2:$B$301,"학생205")+COUNTIF(회계학원론_1!$B$2:$B$293,"학생205")+COUNTIF(경영정보시스템_1!$B$2:$B$301,"학생205")+COUNTIF(관리회계_1!$B$2:$B$300,"학생205")+COUNTIF(관리회계_2!$B$2:$B$301,"학생205")+COUNTIF(마케팅_1!$B$2:$B$301,"학생205")+COUNTIF(마케팅리서치_1!$B$2:$B$301,"학생205")+COUNTIF(세법개론_1!$B$2:$B$300,"학생205")+COUNTIF(재무관리_1!$B$2:$B$301,"학생205")+COUNTIF(조직행동론_1!$B$2:$B$301,"학생205")+COUNTIF(조직행동론_2!$B$2:$B$301,"학생205")+COUNTIF(중급재무회계_1!$B$2:$B$301,"학생205")+COUNTIF(투자론_1!$B$2:$B$300,"학생205")+COUNTIF(경영과학_1!$B$2:$B$301,"학생205")+COUNTIF(세무회계_1!$B$2:$B$301,"학생205")+COUNTIF(스마트경영_1!$B$2:$B$301,"학생205")+COUNTIF(스마트경영_2!$B$2:$B$301,"학생205")+COUNTIF(인적자원관리_1!$B$2:$B$257,"학생205")+COUNTIF(서비스마케팅_1!$B$2:$B$276,"학생205")+COUNTIF(제품관리_1!$B$2:$B$301,"학생205")</f>
        <v>4</v>
      </c>
    </row>
    <row r="209" spans="1:9" hidden="1">
      <c r="A209" s="15">
        <v>206</v>
      </c>
      <c r="B209" s="16" t="s">
        <v>207</v>
      </c>
      <c r="C209" s="16">
        <v>202400206</v>
      </c>
      <c r="I209" s="24">
        <f>COUNTIF(경영학원론_1!$B$3:$B$300,"학생206")+COUNTIF(경영학원론_2!$B$2:$B$301,"학생206")+COUNTIF(경영학원론_3!$B$2:$B$301,"학생206")+COUNTIF(경영학원론_4!$B$2:$B$300,"학생206")+COUNTIF(경제학원론_1!$B$2:$B$295,"학생206")+COUNTIF(경제학원론_2!$B$2:$B$298,"학생206")+COUNTIF(경제학원론_3!$B$2:$B$295,"학생206")+COUNTIF(경영통계학_1!$B$2:$B$299,"학생206")+COUNTIF(경영통계학_2!$B$2:$B$301,"학생206")+COUNTIF(경영통계학_3!$B$2:$B$298,"학생206")+COUNTIF(무역학개론_1!$B$2:$B$301,"학생206")+COUNTIF(회계학원론_1!$B$2:$B$293,"학생206")+COUNTIF(경영정보시스템_1!$B$2:$B$301,"학생206")+COUNTIF(관리회계_1!$B$2:$B$300,"학생206")+COUNTIF(관리회계_2!$B$2:$B$301,"학생206")+COUNTIF(마케팅_1!$B$2:$B$301,"학생206")+COUNTIF(마케팅리서치_1!$B$2:$B$301,"학생206")+COUNTIF(세법개론_1!$B$2:$B$300,"학생206")+COUNTIF(재무관리_1!$B$2:$B$301,"학생206")+COUNTIF(조직행동론_1!$B$2:$B$301,"학생206")+COUNTIF(조직행동론_2!$B$2:$B$301,"학생206")+COUNTIF(중급재무회계_1!$B$2:$B$301,"학생206")+COUNTIF(투자론_1!$B$2:$B$300,"학생206")+COUNTIF(경영과학_1!$B$2:$B$301,"학생206")+COUNTIF(세무회계_1!$B$2:$B$301,"학생206")+COUNTIF(스마트경영_1!$B$2:$B$301,"학생206")+COUNTIF(스마트경영_2!$B$2:$B$301,"학생206")+COUNTIF(인적자원관리_1!$B$2:$B$257,"학생206")+COUNTIF(서비스마케팅_1!$B$2:$B$276,"학생206")+COUNTIF(제품관리_1!$B$2:$B$301,"학생206")</f>
        <v>7</v>
      </c>
    </row>
    <row r="210" spans="1:9" hidden="1">
      <c r="A210" s="15">
        <v>207</v>
      </c>
      <c r="B210" s="16" t="s">
        <v>208</v>
      </c>
      <c r="C210" s="16">
        <v>202400207</v>
      </c>
      <c r="I210" s="24">
        <f>COUNTIF(경영학원론_1!$B$3:$B$300,"학생207")+COUNTIF(경영학원론_2!$B$2:$B$301,"학생207")+COUNTIF(경영학원론_3!$B$2:$B$301,"학생207")+COUNTIF(경영학원론_4!$B$2:$B$300,"학생207")+COUNTIF(경제학원론_1!$B$2:$B$295,"학생207")+COUNTIF(경제학원론_2!$B$2:$B$298,"학생207")+COUNTIF(경제학원론_3!$B$2:$B$295,"학생207")+COUNTIF(경영통계학_1!$B$2:$B$299,"학생207")+COUNTIF(경영통계학_2!$B$2:$B$301,"학생207")+COUNTIF(경영통계학_3!$B$2:$B$298,"학생207")+COUNTIF(무역학개론_1!$B$2:$B$301,"학생207")+COUNTIF(회계학원론_1!$B$2:$B$293,"학생207")+COUNTIF(경영정보시스템_1!$B$2:$B$301,"학생207")+COUNTIF(관리회계_1!$B$2:$B$300,"학생207")+COUNTIF(관리회계_2!$B$2:$B$301,"학생207")+COUNTIF(마케팅_1!$B$2:$B$301,"학생207")+COUNTIF(마케팅리서치_1!$B$2:$B$301,"학생207")+COUNTIF(세법개론_1!$B$2:$B$300,"학생207")+COUNTIF(재무관리_1!$B$2:$B$301,"학생207")+COUNTIF(조직행동론_1!$B$2:$B$301,"학생207")+COUNTIF(조직행동론_2!$B$2:$B$301,"학생207")+COUNTIF(중급재무회계_1!$B$2:$B$301,"학생207")+COUNTIF(투자론_1!$B$2:$B$300,"학생207")+COUNTIF(경영과학_1!$B$2:$B$301,"학생207")+COUNTIF(세무회계_1!$B$2:$B$301,"학생207")+COUNTIF(스마트경영_1!$B$2:$B$301,"학생207")+COUNTIF(스마트경영_2!$B$2:$B$301,"학생207")+COUNTIF(인적자원관리_1!$B$2:$B$257,"학생207")+COUNTIF(서비스마케팅_1!$B$2:$B$276,"학생207")+COUNTIF(제품관리_1!$B$2:$B$301,"학생207")</f>
        <v>4</v>
      </c>
    </row>
    <row r="211" spans="1:9" hidden="1">
      <c r="A211" s="15">
        <v>208</v>
      </c>
      <c r="B211" s="16" t="s">
        <v>209</v>
      </c>
      <c r="C211" s="16">
        <v>202400208</v>
      </c>
      <c r="I211" s="24">
        <f>COUNTIF(경영학원론_1!$B$3:$B$300,"학생208")+COUNTIF(경영학원론_2!$B$2:$B$301,"학생208")+COUNTIF(경영학원론_3!$B$2:$B$301,"학생208")+COUNTIF(경영학원론_4!$B$2:$B$300,"학생208")+COUNTIF(경제학원론_1!$B$2:$B$295,"학생208")+COUNTIF(경제학원론_2!$B$2:$B$298,"학생208")+COUNTIF(경제학원론_3!$B$2:$B$295,"학생208")+COUNTIF(경영통계학_1!$B$2:$B$299,"학생208")+COUNTIF(경영통계학_2!$B$2:$B$301,"학생208")+COUNTIF(경영통계학_3!$B$2:$B$298,"학생208")+COUNTIF(무역학개론_1!$B$2:$B$301,"학생208")+COUNTIF(회계학원론_1!$B$2:$B$293,"학생208")+COUNTIF(경영정보시스템_1!$B$2:$B$301,"학생208")+COUNTIF(관리회계_1!$B$2:$B$300,"학생208")+COUNTIF(관리회계_2!$B$2:$B$301,"학생208")+COUNTIF(마케팅_1!$B$2:$B$301,"학생208")+COUNTIF(마케팅리서치_1!$B$2:$B$301,"학생208")+COUNTIF(세법개론_1!$B$2:$B$300,"학생208")+COUNTIF(재무관리_1!$B$2:$B$301,"학생208")+COUNTIF(조직행동론_1!$B$2:$B$301,"학생208")+COUNTIF(조직행동론_2!$B$2:$B$301,"학생208")+COUNTIF(중급재무회계_1!$B$2:$B$301,"학생208")+COUNTIF(투자론_1!$B$2:$B$300,"학생208")+COUNTIF(경영과학_1!$B$2:$B$301,"학생208")+COUNTIF(세무회계_1!$B$2:$B$301,"학생208")+COUNTIF(스마트경영_1!$B$2:$B$301,"학생208")+COUNTIF(스마트경영_2!$B$2:$B$301,"학생208")+COUNTIF(인적자원관리_1!$B$2:$B$257,"학생208")+COUNTIF(서비스마케팅_1!$B$2:$B$276,"학생208")+COUNTIF(제품관리_1!$B$2:$B$301,"학생208")</f>
        <v>6</v>
      </c>
    </row>
    <row r="212" spans="1:9" hidden="1">
      <c r="A212" s="15">
        <v>209</v>
      </c>
      <c r="B212" s="16" t="s">
        <v>210</v>
      </c>
      <c r="C212" s="16">
        <v>202400209</v>
      </c>
      <c r="I212" s="24">
        <f>COUNTIF(경영학원론_1!$B$3:$B$300,"학생209")+COUNTIF(경영학원론_2!$B$2:$B$301,"학생209")+COUNTIF(경영학원론_3!$B$2:$B$301,"학생209")+COUNTIF(경영학원론_4!$B$2:$B$300,"학생209")+COUNTIF(경제학원론_1!$B$2:$B$295,"학생209")+COUNTIF(경제학원론_2!$B$2:$B$298,"학생209")+COUNTIF(경제학원론_3!$B$2:$B$295,"학생209")+COUNTIF(경영통계학_1!$B$2:$B$299,"학생209")+COUNTIF(경영통계학_2!$B$2:$B$301,"학생209")+COUNTIF(경영통계학_3!$B$2:$B$298,"학생209")+COUNTIF(무역학개론_1!$B$2:$B$301,"학생209")+COUNTIF(회계학원론_1!$B$2:$B$293,"학생209")+COUNTIF(경영정보시스템_1!$B$2:$B$301,"학생209")+COUNTIF(관리회계_1!$B$2:$B$300,"학생209")+COUNTIF(관리회계_2!$B$2:$B$301,"학생209")+COUNTIF(마케팅_1!$B$2:$B$301,"학생209")+COUNTIF(마케팅리서치_1!$B$2:$B$301,"학생209")+COUNTIF(세법개론_1!$B$2:$B$300,"학생209")+COUNTIF(재무관리_1!$B$2:$B$301,"학생209")+COUNTIF(조직행동론_1!$B$2:$B$301,"학생209")+COUNTIF(조직행동론_2!$B$2:$B$301,"학생209")+COUNTIF(중급재무회계_1!$B$2:$B$301,"학생209")+COUNTIF(투자론_1!$B$2:$B$300,"학생209")+COUNTIF(경영과학_1!$B$2:$B$301,"학생209")+COUNTIF(세무회계_1!$B$2:$B$301,"학생209")+COUNTIF(스마트경영_1!$B$2:$B$301,"학생209")+COUNTIF(스마트경영_2!$B$2:$B$301,"학생209")+COUNTIF(인적자원관리_1!$B$2:$B$257,"학생209")+COUNTIF(서비스마케팅_1!$B$2:$B$276,"학생209")+COUNTIF(제품관리_1!$B$2:$B$301,"학생209")</f>
        <v>5</v>
      </c>
    </row>
    <row r="213" spans="1:9" hidden="1">
      <c r="A213" s="15">
        <v>210</v>
      </c>
      <c r="B213" s="16" t="s">
        <v>211</v>
      </c>
      <c r="C213" s="16">
        <v>202400210</v>
      </c>
      <c r="I213" s="24">
        <f>COUNTIF(경영학원론_1!$B$3:$B$300,"학생210")+COUNTIF(경영학원론_2!$B$2:$B$301,"학생210")+COUNTIF(경영학원론_3!$B$2:$B$301,"학생210")+COUNTIF(경영학원론_4!$B$2:$B$300,"학생210")+COUNTIF(경제학원론_1!$B$2:$B$295,"학생210")+COUNTIF(경제학원론_2!$B$2:$B$298,"학생210")+COUNTIF(경제학원론_3!$B$2:$B$295,"학생210")+COUNTIF(경영통계학_1!$B$2:$B$299,"학생210")+COUNTIF(경영통계학_2!$B$2:$B$301,"학생210")+COUNTIF(경영통계학_3!$B$2:$B$298,"학생210")+COUNTIF(무역학개론_1!$B$2:$B$301,"학생210")+COUNTIF(회계학원론_1!$B$2:$B$293,"학생210")+COUNTIF(경영정보시스템_1!$B$2:$B$301,"학생210")+COUNTIF(관리회계_1!$B$2:$B$300,"학생210")+COUNTIF(관리회계_2!$B$2:$B$301,"학생210")+COUNTIF(마케팅_1!$B$2:$B$301,"학생210")+COUNTIF(마케팅리서치_1!$B$2:$B$301,"학생210")+COUNTIF(세법개론_1!$B$2:$B$300,"학생210")+COUNTIF(재무관리_1!$B$2:$B$301,"학생210")+COUNTIF(조직행동론_1!$B$2:$B$301,"학생210")+COUNTIF(조직행동론_2!$B$2:$B$301,"학생210")+COUNTIF(중급재무회계_1!$B$2:$B$301,"학생210")+COUNTIF(투자론_1!$B$2:$B$300,"학생210")+COUNTIF(경영과학_1!$B$2:$B$301,"학생210")+COUNTIF(세무회계_1!$B$2:$B$301,"학생210")+COUNTIF(스마트경영_1!$B$2:$B$301,"학생210")+COUNTIF(스마트경영_2!$B$2:$B$301,"학생210")+COUNTIF(인적자원관리_1!$B$2:$B$257,"학생210")+COUNTIF(서비스마케팅_1!$B$2:$B$276,"학생210")+COUNTIF(제품관리_1!$B$2:$B$301,"학생210")</f>
        <v>5</v>
      </c>
    </row>
    <row r="214" spans="1:9" hidden="1">
      <c r="A214" s="15">
        <v>211</v>
      </c>
      <c r="B214" s="16" t="s">
        <v>212</v>
      </c>
      <c r="C214" s="16">
        <v>202400211</v>
      </c>
      <c r="I214" s="24">
        <f>COUNTIF(경영학원론_1!$B$3:$B$300,"학생211")+COUNTIF(경영학원론_2!$B$2:$B$301,"학생211")+COUNTIF(경영학원론_3!$B$2:$B$301,"학생211")+COUNTIF(경영학원론_4!$B$2:$B$300,"학생211")+COUNTIF(경제학원론_1!$B$2:$B$295,"학생211")+COUNTIF(경제학원론_2!$B$2:$B$298,"학생211")+COUNTIF(경제학원론_3!$B$2:$B$295,"학생211")+COUNTIF(경영통계학_1!$B$2:$B$299,"학생211")+COUNTIF(경영통계학_2!$B$2:$B$301,"학생211")+COUNTIF(경영통계학_3!$B$2:$B$298,"학생211")+COUNTIF(무역학개론_1!$B$2:$B$301,"학생211")+COUNTIF(회계학원론_1!$B$2:$B$293,"학생211")+COUNTIF(경영정보시스템_1!$B$2:$B$301,"학생211")+COUNTIF(관리회계_1!$B$2:$B$300,"학생211")+COUNTIF(관리회계_2!$B$2:$B$301,"학생211")+COUNTIF(마케팅_1!$B$2:$B$301,"학생211")+COUNTIF(마케팅리서치_1!$B$2:$B$301,"학생211")+COUNTIF(세법개론_1!$B$2:$B$300,"학생211")+COUNTIF(재무관리_1!$B$2:$B$301,"학생211")+COUNTIF(조직행동론_1!$B$2:$B$301,"학생211")+COUNTIF(조직행동론_2!$B$2:$B$301,"학생211")+COUNTIF(중급재무회계_1!$B$2:$B$301,"학생211")+COUNTIF(투자론_1!$B$2:$B$300,"학생211")+COUNTIF(경영과학_1!$B$2:$B$301,"학생211")+COUNTIF(세무회계_1!$B$2:$B$301,"학생211")+COUNTIF(스마트경영_1!$B$2:$B$301,"학생211")+COUNTIF(스마트경영_2!$B$2:$B$301,"학생211")+COUNTIF(인적자원관리_1!$B$2:$B$257,"학생211")+COUNTIF(서비스마케팅_1!$B$2:$B$276,"학생211")+COUNTIF(제품관리_1!$B$2:$B$301,"학생211")</f>
        <v>4</v>
      </c>
    </row>
    <row r="215" spans="1:9" hidden="1">
      <c r="A215" s="15">
        <v>212</v>
      </c>
      <c r="B215" s="16" t="s">
        <v>213</v>
      </c>
      <c r="C215" s="16">
        <v>202400212</v>
      </c>
      <c r="I215" s="24">
        <f>COUNTIF(경영학원론_1!$B$3:$B$300,"학생212")+COUNTIF(경영학원론_2!$B$2:$B$301,"학생212")+COUNTIF(경영학원론_3!$B$2:$B$301,"학생212")+COUNTIF(경영학원론_4!$B$2:$B$300,"학생212")+COUNTIF(경제학원론_1!$B$2:$B$295,"학생212")+COUNTIF(경제학원론_2!$B$2:$B$298,"학생212")+COUNTIF(경제학원론_3!$B$2:$B$295,"학생212")+COUNTIF(경영통계학_1!$B$2:$B$299,"학생212")+COUNTIF(경영통계학_2!$B$2:$B$301,"학생212")+COUNTIF(경영통계학_3!$B$2:$B$298,"학생212")+COUNTIF(무역학개론_1!$B$2:$B$301,"학생212")+COUNTIF(회계학원론_1!$B$2:$B$293,"학생212")+COUNTIF(경영정보시스템_1!$B$2:$B$301,"학생212")+COUNTIF(관리회계_1!$B$2:$B$300,"학생212")+COUNTIF(관리회계_2!$B$2:$B$301,"학생212")+COUNTIF(마케팅_1!$B$2:$B$301,"학생212")+COUNTIF(마케팅리서치_1!$B$2:$B$301,"학생212")+COUNTIF(세법개론_1!$B$2:$B$300,"학생212")+COUNTIF(재무관리_1!$B$2:$B$301,"학생212")+COUNTIF(조직행동론_1!$B$2:$B$301,"학생212")+COUNTIF(조직행동론_2!$B$2:$B$301,"학생212")+COUNTIF(중급재무회계_1!$B$2:$B$301,"학생212")+COUNTIF(투자론_1!$B$2:$B$300,"학생212")+COUNTIF(경영과학_1!$B$2:$B$301,"학생212")+COUNTIF(세무회계_1!$B$2:$B$301,"학생212")+COUNTIF(스마트경영_1!$B$2:$B$301,"학생212")+COUNTIF(스마트경영_2!$B$2:$B$301,"학생212")+COUNTIF(인적자원관리_1!$B$2:$B$257,"학생212")+COUNTIF(서비스마케팅_1!$B$2:$B$276,"학생212")+COUNTIF(제품관리_1!$B$2:$B$301,"학생212")</f>
        <v>7</v>
      </c>
    </row>
    <row r="216" spans="1:9" hidden="1">
      <c r="A216" s="15">
        <v>213</v>
      </c>
      <c r="B216" s="16" t="s">
        <v>214</v>
      </c>
      <c r="C216" s="16">
        <v>202400213</v>
      </c>
      <c r="I216" s="24">
        <f>COUNTIF(경영학원론_1!$B$3:$B$300,"학생213")+COUNTIF(경영학원론_2!$B$2:$B$301,"학생213")+COUNTIF(경영학원론_3!$B$2:$B$301,"학생213")+COUNTIF(경영학원론_4!$B$2:$B$300,"학생213")+COUNTIF(경제학원론_1!$B$2:$B$295,"학생213")+COUNTIF(경제학원론_2!$B$2:$B$298,"학생213")+COUNTIF(경제학원론_3!$B$2:$B$295,"학생213")+COUNTIF(경영통계학_1!$B$2:$B$299,"학생213")+COUNTIF(경영통계학_2!$B$2:$B$301,"학생213")+COUNTIF(경영통계학_3!$B$2:$B$298,"학생213")+COUNTIF(무역학개론_1!$B$2:$B$301,"학생213")+COUNTIF(회계학원론_1!$B$2:$B$293,"학생213")+COUNTIF(경영정보시스템_1!$B$2:$B$301,"학생213")+COUNTIF(관리회계_1!$B$2:$B$300,"학생213")+COUNTIF(관리회계_2!$B$2:$B$301,"학생213")+COUNTIF(마케팅_1!$B$2:$B$301,"학생213")+COUNTIF(마케팅리서치_1!$B$2:$B$301,"학생213")+COUNTIF(세법개론_1!$B$2:$B$300,"학생213")+COUNTIF(재무관리_1!$B$2:$B$301,"학생213")+COUNTIF(조직행동론_1!$B$2:$B$301,"학생213")+COUNTIF(조직행동론_2!$B$2:$B$301,"학생213")+COUNTIF(중급재무회계_1!$B$2:$B$301,"학생213")+COUNTIF(투자론_1!$B$2:$B$300,"학생213")+COUNTIF(경영과학_1!$B$2:$B$301,"학생213")+COUNTIF(세무회계_1!$B$2:$B$301,"학생213")+COUNTIF(스마트경영_1!$B$2:$B$301,"학생213")+COUNTIF(스마트경영_2!$B$2:$B$301,"학생213")+COUNTIF(인적자원관리_1!$B$2:$B$257,"학생213")+COUNTIF(서비스마케팅_1!$B$2:$B$276,"학생213")+COUNTIF(제품관리_1!$B$2:$B$301,"학생213")</f>
        <v>7</v>
      </c>
    </row>
    <row r="217" spans="1:9" hidden="1">
      <c r="A217" s="15">
        <v>214</v>
      </c>
      <c r="B217" s="16" t="s">
        <v>215</v>
      </c>
      <c r="C217" s="16">
        <v>202400214</v>
      </c>
      <c r="I217" s="24">
        <f>COUNTIF(경영학원론_1!$B$3:$B$300,"학생214")+COUNTIF(경영학원론_2!$B$2:$B$301,"학생214")+COUNTIF(경영학원론_3!$B$2:$B$301,"학생214")+COUNTIF(경영학원론_4!$B$2:$B$300,"학생214")+COUNTIF(경제학원론_1!$B$2:$B$295,"학생214")+COUNTIF(경제학원론_2!$B$2:$B$298,"학생214")+COUNTIF(경제학원론_3!$B$2:$B$295,"학생214")+COUNTIF(경영통계학_1!$B$2:$B$299,"학생214")+COUNTIF(경영통계학_2!$B$2:$B$301,"학생214")+COUNTIF(경영통계학_3!$B$2:$B$298,"학생214")+COUNTIF(무역학개론_1!$B$2:$B$301,"학생214")+COUNTIF(회계학원론_1!$B$2:$B$293,"학생214")+COUNTIF(경영정보시스템_1!$B$2:$B$301,"학생214")+COUNTIF(관리회계_1!$B$2:$B$300,"학생214")+COUNTIF(관리회계_2!$B$2:$B$301,"학생214")+COUNTIF(마케팅_1!$B$2:$B$301,"학생214")+COUNTIF(마케팅리서치_1!$B$2:$B$301,"학생214")+COUNTIF(세법개론_1!$B$2:$B$300,"학생214")+COUNTIF(재무관리_1!$B$2:$B$301,"학생214")+COUNTIF(조직행동론_1!$B$2:$B$301,"학생214")+COUNTIF(조직행동론_2!$B$2:$B$301,"학생214")+COUNTIF(중급재무회계_1!$B$2:$B$301,"학생214")+COUNTIF(투자론_1!$B$2:$B$300,"학생214")+COUNTIF(경영과학_1!$B$2:$B$301,"학생214")+COUNTIF(세무회계_1!$B$2:$B$301,"학생214")+COUNTIF(스마트경영_1!$B$2:$B$301,"학생214")+COUNTIF(스마트경영_2!$B$2:$B$301,"학생214")+COUNTIF(인적자원관리_1!$B$2:$B$257,"학생214")+COUNTIF(서비스마케팅_1!$B$2:$B$276,"학생214")+COUNTIF(제품관리_1!$B$2:$B$301,"학생214")</f>
        <v>5</v>
      </c>
    </row>
    <row r="218" spans="1:9" hidden="1">
      <c r="A218" s="15">
        <v>215</v>
      </c>
      <c r="B218" s="16" t="s">
        <v>216</v>
      </c>
      <c r="C218" s="16">
        <v>202400215</v>
      </c>
      <c r="I218" s="24">
        <f>COUNTIF(경영학원론_1!$B$3:$B$300,"학생215")+COUNTIF(경영학원론_2!$B$2:$B$301,"학생215")+COUNTIF(경영학원론_3!$B$2:$B$301,"학생215")+COUNTIF(경영학원론_4!$B$2:$B$300,"학생215")+COUNTIF(경제학원론_1!$B$2:$B$295,"학생215")+COUNTIF(경제학원론_2!$B$2:$B$298,"학생215")+COUNTIF(경제학원론_3!$B$2:$B$295,"학생215")+COUNTIF(경영통계학_1!$B$2:$B$299,"학생215")+COUNTIF(경영통계학_2!$B$2:$B$301,"학생215")+COUNTIF(경영통계학_3!$B$2:$B$298,"학생215")+COUNTIF(무역학개론_1!$B$2:$B$301,"학생215")+COUNTIF(회계학원론_1!$B$2:$B$293,"학생215")+COUNTIF(경영정보시스템_1!$B$2:$B$301,"학생215")+COUNTIF(관리회계_1!$B$2:$B$300,"학생215")+COUNTIF(관리회계_2!$B$2:$B$301,"학생215")+COUNTIF(마케팅_1!$B$2:$B$301,"학생215")+COUNTIF(마케팅리서치_1!$B$2:$B$301,"학생215")+COUNTIF(세법개론_1!$B$2:$B$300,"학생215")+COUNTIF(재무관리_1!$B$2:$B$301,"학생215")+COUNTIF(조직행동론_1!$B$2:$B$301,"학생215")+COUNTIF(조직행동론_2!$B$2:$B$301,"학생215")+COUNTIF(중급재무회계_1!$B$2:$B$301,"학생215")+COUNTIF(투자론_1!$B$2:$B$300,"학생215")+COUNTIF(경영과학_1!$B$2:$B$301,"학생215")+COUNTIF(세무회계_1!$B$2:$B$301,"학생215")+COUNTIF(스마트경영_1!$B$2:$B$301,"학생215")+COUNTIF(스마트경영_2!$B$2:$B$301,"학생215")+COUNTIF(인적자원관리_1!$B$2:$B$257,"학생215")+COUNTIF(서비스마케팅_1!$B$2:$B$276,"학생215")+COUNTIF(제품관리_1!$B$2:$B$301,"학생215")</f>
        <v>5</v>
      </c>
    </row>
    <row r="219" spans="1:9" hidden="1">
      <c r="A219" s="15">
        <v>216</v>
      </c>
      <c r="B219" s="16" t="s">
        <v>217</v>
      </c>
      <c r="C219" s="16">
        <v>202400216</v>
      </c>
      <c r="I219" s="24">
        <f>COUNTIF(경영학원론_1!$B$3:$B$300,"학생216")+COUNTIF(경영학원론_2!$B$2:$B$301,"학생216")+COUNTIF(경영학원론_3!$B$2:$B$301,"학생216")+COUNTIF(경영학원론_4!$B$2:$B$300,"학생216")+COUNTIF(경제학원론_1!$B$2:$B$295,"학생216")+COUNTIF(경제학원론_2!$B$2:$B$298,"학생216")+COUNTIF(경제학원론_3!$B$2:$B$295,"학생216")+COUNTIF(경영통계학_1!$B$2:$B$299,"학생216")+COUNTIF(경영통계학_2!$B$2:$B$301,"학생216")+COUNTIF(경영통계학_3!$B$2:$B$298,"학생216")+COUNTIF(무역학개론_1!$B$2:$B$301,"학생216")+COUNTIF(회계학원론_1!$B$2:$B$293,"학생216")+COUNTIF(경영정보시스템_1!$B$2:$B$301,"학생216")+COUNTIF(관리회계_1!$B$2:$B$300,"학생216")+COUNTIF(관리회계_2!$B$2:$B$301,"학생216")+COUNTIF(마케팅_1!$B$2:$B$301,"학생216")+COUNTIF(마케팅리서치_1!$B$2:$B$301,"학생216")+COUNTIF(세법개론_1!$B$2:$B$300,"학생216")+COUNTIF(재무관리_1!$B$2:$B$301,"학생216")+COUNTIF(조직행동론_1!$B$2:$B$301,"학생216")+COUNTIF(조직행동론_2!$B$2:$B$301,"학생216")+COUNTIF(중급재무회계_1!$B$2:$B$301,"학생216")+COUNTIF(투자론_1!$B$2:$B$300,"학생216")+COUNTIF(경영과학_1!$B$2:$B$301,"학생216")+COUNTIF(세무회계_1!$B$2:$B$301,"학생216")+COUNTIF(스마트경영_1!$B$2:$B$301,"학생216")+COUNTIF(스마트경영_2!$B$2:$B$301,"학생216")+COUNTIF(인적자원관리_1!$B$2:$B$257,"학생216")+COUNTIF(서비스마케팅_1!$B$2:$B$276,"학생216")+COUNTIF(제품관리_1!$B$2:$B$301,"학생216")</f>
        <v>7</v>
      </c>
    </row>
    <row r="220" spans="1:9" hidden="1">
      <c r="A220" s="15">
        <v>217</v>
      </c>
      <c r="B220" s="16" t="s">
        <v>218</v>
      </c>
      <c r="C220" s="16">
        <v>202400217</v>
      </c>
      <c r="I220" s="24">
        <f>COUNTIF(경영학원론_1!$B$3:$B$300,"학생217")+COUNTIF(경영학원론_2!$B$2:$B$301,"학생217")+COUNTIF(경영학원론_3!$B$2:$B$301,"학생217")+COUNTIF(경영학원론_4!$B$2:$B$300,"학생217")+COUNTIF(경제학원론_1!$B$2:$B$295,"학생217")+COUNTIF(경제학원론_2!$B$2:$B$298,"학생217")+COUNTIF(경제학원론_3!$B$2:$B$295,"학생217")+COUNTIF(경영통계학_1!$B$2:$B$299,"학생217")+COUNTIF(경영통계학_2!$B$2:$B$301,"학생217")+COUNTIF(경영통계학_3!$B$2:$B$298,"학생217")+COUNTIF(무역학개론_1!$B$2:$B$301,"학생217")+COUNTIF(회계학원론_1!$B$2:$B$293,"학생217")+COUNTIF(경영정보시스템_1!$B$2:$B$301,"학생217")+COUNTIF(관리회계_1!$B$2:$B$300,"학생217")+COUNTIF(관리회계_2!$B$2:$B$301,"학생217")+COUNTIF(마케팅_1!$B$2:$B$301,"학생217")+COUNTIF(마케팅리서치_1!$B$2:$B$301,"학생217")+COUNTIF(세법개론_1!$B$2:$B$300,"학생217")+COUNTIF(재무관리_1!$B$2:$B$301,"학생217")+COUNTIF(조직행동론_1!$B$2:$B$301,"학생217")+COUNTIF(조직행동론_2!$B$2:$B$301,"학생217")+COUNTIF(중급재무회계_1!$B$2:$B$301,"학생217")+COUNTIF(투자론_1!$B$2:$B$300,"학생217")+COUNTIF(경영과학_1!$B$2:$B$301,"학생217")+COUNTIF(세무회계_1!$B$2:$B$301,"학생217")+COUNTIF(스마트경영_1!$B$2:$B$301,"학생217")+COUNTIF(스마트경영_2!$B$2:$B$301,"학생217")+COUNTIF(인적자원관리_1!$B$2:$B$257,"학생217")+COUNTIF(서비스마케팅_1!$B$2:$B$276,"학생217")+COUNTIF(제품관리_1!$B$2:$B$301,"학생217")</f>
        <v>7</v>
      </c>
    </row>
    <row r="221" spans="1:9" hidden="1">
      <c r="A221" s="15">
        <v>218</v>
      </c>
      <c r="B221" s="16" t="s">
        <v>219</v>
      </c>
      <c r="C221" s="16">
        <v>202400218</v>
      </c>
      <c r="I221" s="24">
        <f>COUNTIF(경영학원론_1!$B$3:$B$300,"학생218")+COUNTIF(경영학원론_2!$B$2:$B$301,"학생218")+COUNTIF(경영학원론_3!$B$2:$B$301,"학생218")+COUNTIF(경영학원론_4!$B$2:$B$300,"학생218")+COUNTIF(경제학원론_1!$B$2:$B$295,"학생218")+COUNTIF(경제학원론_2!$B$2:$B$298,"학생218")+COUNTIF(경제학원론_3!$B$2:$B$295,"학생218")+COUNTIF(경영통계학_1!$B$2:$B$299,"학생218")+COUNTIF(경영통계학_2!$B$2:$B$301,"학생218")+COUNTIF(경영통계학_3!$B$2:$B$298,"학생218")+COUNTIF(무역학개론_1!$B$2:$B$301,"학생218")+COUNTIF(회계학원론_1!$B$2:$B$293,"학생218")+COUNTIF(경영정보시스템_1!$B$2:$B$301,"학생218")+COUNTIF(관리회계_1!$B$2:$B$300,"학생218")+COUNTIF(관리회계_2!$B$2:$B$301,"학생218")+COUNTIF(마케팅_1!$B$2:$B$301,"학생218")+COUNTIF(마케팅리서치_1!$B$2:$B$301,"학생218")+COUNTIF(세법개론_1!$B$2:$B$300,"학생218")+COUNTIF(재무관리_1!$B$2:$B$301,"학생218")+COUNTIF(조직행동론_1!$B$2:$B$301,"학생218")+COUNTIF(조직행동론_2!$B$2:$B$301,"학생218")+COUNTIF(중급재무회계_1!$B$2:$B$301,"학생218")+COUNTIF(투자론_1!$B$2:$B$300,"학생218")+COUNTIF(경영과학_1!$B$2:$B$301,"학생218")+COUNTIF(세무회계_1!$B$2:$B$301,"학생218")+COUNTIF(스마트경영_1!$B$2:$B$301,"학생218")+COUNTIF(스마트경영_2!$B$2:$B$301,"학생218")+COUNTIF(인적자원관리_1!$B$2:$B$257,"학생218")+COUNTIF(서비스마케팅_1!$B$2:$B$276,"학생218")+COUNTIF(제품관리_1!$B$2:$B$301,"학생218")</f>
        <v>6</v>
      </c>
    </row>
    <row r="222" spans="1:9" hidden="1">
      <c r="A222" s="15">
        <v>219</v>
      </c>
      <c r="B222" s="16" t="s">
        <v>220</v>
      </c>
      <c r="C222" s="16">
        <v>202400219</v>
      </c>
      <c r="I222" s="24">
        <f>COUNTIF(경영학원론_1!$B$3:$B$300,"학생219")+COUNTIF(경영학원론_2!$B$2:$B$301,"학생219")+COUNTIF(경영학원론_3!$B$2:$B$301,"학생219")+COUNTIF(경영학원론_4!$B$2:$B$300,"학생219")+COUNTIF(경제학원론_1!$B$2:$B$295,"학생219")+COUNTIF(경제학원론_2!$B$2:$B$298,"학생219")+COUNTIF(경제학원론_3!$B$2:$B$295,"학생219")+COUNTIF(경영통계학_1!$B$2:$B$299,"학생219")+COUNTIF(경영통계학_2!$B$2:$B$301,"학생219")+COUNTIF(경영통계학_3!$B$2:$B$298,"학생219")+COUNTIF(무역학개론_1!$B$2:$B$301,"학생219")+COUNTIF(회계학원론_1!$B$2:$B$293,"학생219")+COUNTIF(경영정보시스템_1!$B$2:$B$301,"학생219")+COUNTIF(관리회계_1!$B$2:$B$300,"학생219")+COUNTIF(관리회계_2!$B$2:$B$301,"학생219")+COUNTIF(마케팅_1!$B$2:$B$301,"학생219")+COUNTIF(마케팅리서치_1!$B$2:$B$301,"학생219")+COUNTIF(세법개론_1!$B$2:$B$300,"학생219")+COUNTIF(재무관리_1!$B$2:$B$301,"학생219")+COUNTIF(조직행동론_1!$B$2:$B$301,"학생219")+COUNTIF(조직행동론_2!$B$2:$B$301,"학생219")+COUNTIF(중급재무회계_1!$B$2:$B$301,"학생219")+COUNTIF(투자론_1!$B$2:$B$300,"학생219")+COUNTIF(경영과학_1!$B$2:$B$301,"학생219")+COUNTIF(세무회계_1!$B$2:$B$301,"학생219")+COUNTIF(스마트경영_1!$B$2:$B$301,"학생219")+COUNTIF(스마트경영_2!$B$2:$B$301,"학생219")+COUNTIF(인적자원관리_1!$B$2:$B$257,"학생219")+COUNTIF(서비스마케팅_1!$B$2:$B$276,"학생219")+COUNTIF(제품관리_1!$B$2:$B$301,"학생219")</f>
        <v>5</v>
      </c>
    </row>
    <row r="223" spans="1:9" hidden="1">
      <c r="A223" s="15">
        <v>220</v>
      </c>
      <c r="B223" s="16" t="s">
        <v>221</v>
      </c>
      <c r="C223" s="16">
        <v>202400220</v>
      </c>
      <c r="I223" s="24">
        <f>COUNTIF(경영학원론_1!$B$3:$B$300,"학생220")+COUNTIF(경영학원론_2!$B$2:$B$301,"학생220")+COUNTIF(경영학원론_3!$B$2:$B$301,"학생220")+COUNTIF(경영학원론_4!$B$2:$B$300,"학생220")+COUNTIF(경제학원론_1!$B$2:$B$295,"학생220")+COUNTIF(경제학원론_2!$B$2:$B$298,"학생220")+COUNTIF(경제학원론_3!$B$2:$B$295,"학생220")+COUNTIF(경영통계학_1!$B$2:$B$299,"학생220")+COUNTIF(경영통계학_2!$B$2:$B$301,"학생220")+COUNTIF(경영통계학_3!$B$2:$B$298,"학생220")+COUNTIF(무역학개론_1!$B$2:$B$301,"학생220")+COUNTIF(회계학원론_1!$B$2:$B$293,"학생220")+COUNTIF(경영정보시스템_1!$B$2:$B$301,"학생220")+COUNTIF(관리회계_1!$B$2:$B$300,"학생220")+COUNTIF(관리회계_2!$B$2:$B$301,"학생220")+COUNTIF(마케팅_1!$B$2:$B$301,"학생220")+COUNTIF(마케팅리서치_1!$B$2:$B$301,"학생220")+COUNTIF(세법개론_1!$B$2:$B$300,"학생220")+COUNTIF(재무관리_1!$B$2:$B$301,"학생220")+COUNTIF(조직행동론_1!$B$2:$B$301,"학생220")+COUNTIF(조직행동론_2!$B$2:$B$301,"학생220")+COUNTIF(중급재무회계_1!$B$2:$B$301,"학생220")+COUNTIF(투자론_1!$B$2:$B$300,"학생220")+COUNTIF(경영과학_1!$B$2:$B$301,"학생220")+COUNTIF(세무회계_1!$B$2:$B$301,"학생220")+COUNTIF(스마트경영_1!$B$2:$B$301,"학생220")+COUNTIF(스마트경영_2!$B$2:$B$301,"학생220")+COUNTIF(인적자원관리_1!$B$2:$B$257,"학생220")+COUNTIF(서비스마케팅_1!$B$2:$B$276,"학생220")+COUNTIF(제품관리_1!$B$2:$B$301,"학생220")</f>
        <v>6</v>
      </c>
    </row>
    <row r="224" spans="1:9" hidden="1">
      <c r="A224" s="15">
        <v>221</v>
      </c>
      <c r="B224" s="16" t="s">
        <v>222</v>
      </c>
      <c r="C224" s="16">
        <v>202400221</v>
      </c>
      <c r="I224" s="24">
        <f>COUNTIF(경영학원론_1!$B$3:$B$300,"학생221")+COUNTIF(경영학원론_2!$B$2:$B$301,"학생221")+COUNTIF(경영학원론_3!$B$2:$B$301,"학생221")+COUNTIF(경영학원론_4!$B$2:$B$300,"학생221")+COUNTIF(경제학원론_1!$B$2:$B$295,"학생221")+COUNTIF(경제학원론_2!$B$2:$B$298,"학생221")+COUNTIF(경제학원론_3!$B$2:$B$295,"학생221")+COUNTIF(경영통계학_1!$B$2:$B$299,"학생221")+COUNTIF(경영통계학_2!$B$2:$B$301,"학생221")+COUNTIF(경영통계학_3!$B$2:$B$298,"학생221")+COUNTIF(무역학개론_1!$B$2:$B$301,"학생221")+COUNTIF(회계학원론_1!$B$2:$B$293,"학생221")+COUNTIF(경영정보시스템_1!$B$2:$B$301,"학생221")+COUNTIF(관리회계_1!$B$2:$B$300,"학생221")+COUNTIF(관리회계_2!$B$2:$B$301,"학생221")+COUNTIF(마케팅_1!$B$2:$B$301,"학생221")+COUNTIF(마케팅리서치_1!$B$2:$B$301,"학생221")+COUNTIF(세법개론_1!$B$2:$B$300,"학생221")+COUNTIF(재무관리_1!$B$2:$B$301,"학생221")+COUNTIF(조직행동론_1!$B$2:$B$301,"학생221")+COUNTIF(조직행동론_2!$B$2:$B$301,"학생221")+COUNTIF(중급재무회계_1!$B$2:$B$301,"학생221")+COUNTIF(투자론_1!$B$2:$B$300,"학생221")+COUNTIF(경영과학_1!$B$2:$B$301,"학생221")+COUNTIF(세무회계_1!$B$2:$B$301,"학생221")+COUNTIF(스마트경영_1!$B$2:$B$301,"학생221")+COUNTIF(스마트경영_2!$B$2:$B$301,"학생221")+COUNTIF(인적자원관리_1!$B$2:$B$257,"학생221")+COUNTIF(서비스마케팅_1!$B$2:$B$276,"학생221")+COUNTIF(제품관리_1!$B$2:$B$301,"학생221")</f>
        <v>6</v>
      </c>
    </row>
    <row r="225" spans="1:9" hidden="1">
      <c r="A225" s="15">
        <v>222</v>
      </c>
      <c r="B225" s="16" t="s">
        <v>223</v>
      </c>
      <c r="C225" s="16">
        <v>202400222</v>
      </c>
      <c r="I225" s="24">
        <f>COUNTIF(경영학원론_1!$B$3:$B$300,"학생222")+COUNTIF(경영학원론_2!$B$2:$B$301,"학생222")+COUNTIF(경영학원론_3!$B$2:$B$301,"학생222")+COUNTIF(경영학원론_4!$B$2:$B$300,"학생222")+COUNTIF(경제학원론_1!$B$2:$B$295,"학생222")+COUNTIF(경제학원론_2!$B$2:$B$298,"학생222")+COUNTIF(경제학원론_3!$B$2:$B$295,"학생222")+COUNTIF(경영통계학_1!$B$2:$B$299,"학생222")+COUNTIF(경영통계학_2!$B$2:$B$301,"학생222")+COUNTIF(경영통계학_3!$B$2:$B$298,"학생222")+COUNTIF(무역학개론_1!$B$2:$B$301,"학생222")+COUNTIF(회계학원론_1!$B$2:$B$293,"학생222")+COUNTIF(경영정보시스템_1!$B$2:$B$301,"학생222")+COUNTIF(관리회계_1!$B$2:$B$300,"학생222")+COUNTIF(관리회계_2!$B$2:$B$301,"학생222")+COUNTIF(마케팅_1!$B$2:$B$301,"학생222")+COUNTIF(마케팅리서치_1!$B$2:$B$301,"학생222")+COUNTIF(세법개론_1!$B$2:$B$300,"학생222")+COUNTIF(재무관리_1!$B$2:$B$301,"학생222")+COUNTIF(조직행동론_1!$B$2:$B$301,"학생222")+COUNTIF(조직행동론_2!$B$2:$B$301,"학생222")+COUNTIF(중급재무회계_1!$B$2:$B$301,"학생222")+COUNTIF(투자론_1!$B$2:$B$300,"학생222")+COUNTIF(경영과학_1!$B$2:$B$301,"학생222")+COUNTIF(세무회계_1!$B$2:$B$301,"학생222")+COUNTIF(스마트경영_1!$B$2:$B$301,"학생222")+COUNTIF(스마트경영_2!$B$2:$B$301,"학생222")+COUNTIF(인적자원관리_1!$B$2:$B$257,"학생222")+COUNTIF(서비스마케팅_1!$B$2:$B$276,"학생222")+COUNTIF(제품관리_1!$B$2:$B$301,"학생222")</f>
        <v>7</v>
      </c>
    </row>
    <row r="226" spans="1:9" hidden="1">
      <c r="A226" s="15">
        <v>223</v>
      </c>
      <c r="B226" s="16" t="s">
        <v>224</v>
      </c>
      <c r="C226" s="16">
        <v>202400223</v>
      </c>
      <c r="I226" s="24">
        <f>COUNTIF(경영학원론_1!$B$3:$B$300,"학생223")+COUNTIF(경영학원론_2!$B$2:$B$301,"학생223")+COUNTIF(경영학원론_3!$B$2:$B$301,"학생223")+COUNTIF(경영학원론_4!$B$2:$B$300,"학생223")+COUNTIF(경제학원론_1!$B$2:$B$295,"학생223")+COUNTIF(경제학원론_2!$B$2:$B$298,"학생223")+COUNTIF(경제학원론_3!$B$2:$B$295,"학생223")+COUNTIF(경영통계학_1!$B$2:$B$299,"학생223")+COUNTIF(경영통계학_2!$B$2:$B$301,"학생223")+COUNTIF(경영통계학_3!$B$2:$B$298,"학생223")+COUNTIF(무역학개론_1!$B$2:$B$301,"학생223")+COUNTIF(회계학원론_1!$B$2:$B$293,"학생223")+COUNTIF(경영정보시스템_1!$B$2:$B$301,"학생223")+COUNTIF(관리회계_1!$B$2:$B$300,"학생223")+COUNTIF(관리회계_2!$B$2:$B$301,"학생223")+COUNTIF(마케팅_1!$B$2:$B$301,"학생223")+COUNTIF(마케팅리서치_1!$B$2:$B$301,"학생223")+COUNTIF(세법개론_1!$B$2:$B$300,"학생223")+COUNTIF(재무관리_1!$B$2:$B$301,"학생223")+COUNTIF(조직행동론_1!$B$2:$B$301,"학생223")+COUNTIF(조직행동론_2!$B$2:$B$301,"학생223")+COUNTIF(중급재무회계_1!$B$2:$B$301,"학생223")+COUNTIF(투자론_1!$B$2:$B$300,"학생223")+COUNTIF(경영과학_1!$B$2:$B$301,"학생223")+COUNTIF(세무회계_1!$B$2:$B$301,"학생223")+COUNTIF(스마트경영_1!$B$2:$B$301,"학생223")+COUNTIF(스마트경영_2!$B$2:$B$301,"학생223")+COUNTIF(인적자원관리_1!$B$2:$B$257,"학생223")+COUNTIF(서비스마케팅_1!$B$2:$B$276,"학생223")+COUNTIF(제품관리_1!$B$2:$B$301,"학생223")</f>
        <v>7</v>
      </c>
    </row>
    <row r="227" spans="1:9" hidden="1">
      <c r="A227" s="15">
        <v>224</v>
      </c>
      <c r="B227" s="16" t="s">
        <v>225</v>
      </c>
      <c r="C227" s="16">
        <v>202400224</v>
      </c>
      <c r="I227" s="24">
        <f>COUNTIF(경영학원론_1!$B$3:$B$300,"학생224")+COUNTIF(경영학원론_2!$B$2:$B$301,"학생224")+COUNTIF(경영학원론_3!$B$2:$B$301,"학생224")+COUNTIF(경영학원론_4!$B$2:$B$300,"학생224")+COUNTIF(경제학원론_1!$B$2:$B$295,"학생224")+COUNTIF(경제학원론_2!$B$2:$B$298,"학생224")+COUNTIF(경제학원론_3!$B$2:$B$295,"학생224")+COUNTIF(경영통계학_1!$B$2:$B$299,"학생224")+COUNTIF(경영통계학_2!$B$2:$B$301,"학생224")+COUNTIF(경영통계학_3!$B$2:$B$298,"학생224")+COUNTIF(무역학개론_1!$B$2:$B$301,"학생224")+COUNTIF(회계학원론_1!$B$2:$B$293,"학생224")+COUNTIF(경영정보시스템_1!$B$2:$B$301,"학생224")+COUNTIF(관리회계_1!$B$2:$B$300,"학생224")+COUNTIF(관리회계_2!$B$2:$B$301,"학생224")+COUNTIF(마케팅_1!$B$2:$B$301,"학생224")+COUNTIF(마케팅리서치_1!$B$2:$B$301,"학생224")+COUNTIF(세법개론_1!$B$2:$B$300,"학생224")+COUNTIF(재무관리_1!$B$2:$B$301,"학생224")+COUNTIF(조직행동론_1!$B$2:$B$301,"학생224")+COUNTIF(조직행동론_2!$B$2:$B$301,"학생224")+COUNTIF(중급재무회계_1!$B$2:$B$301,"학생224")+COUNTIF(투자론_1!$B$2:$B$300,"학생224")+COUNTIF(경영과학_1!$B$2:$B$301,"학생224")+COUNTIF(세무회계_1!$B$2:$B$301,"학생224")+COUNTIF(스마트경영_1!$B$2:$B$301,"학생224")+COUNTIF(스마트경영_2!$B$2:$B$301,"학생224")+COUNTIF(인적자원관리_1!$B$2:$B$257,"학생224")+COUNTIF(서비스마케팅_1!$B$2:$B$276,"학생224")+COUNTIF(제품관리_1!$B$2:$B$301,"학생224")</f>
        <v>6</v>
      </c>
    </row>
    <row r="228" spans="1:9" hidden="1">
      <c r="A228" s="15">
        <v>225</v>
      </c>
      <c r="B228" s="16" t="s">
        <v>226</v>
      </c>
      <c r="C228" s="16">
        <v>202400225</v>
      </c>
      <c r="I228" s="24">
        <f>COUNTIF(경영학원론_1!$B$3:$B$300,"학생225")+COUNTIF(경영학원론_2!$B$2:$B$301,"학생225")+COUNTIF(경영학원론_3!$B$2:$B$301,"학생225")+COUNTIF(경영학원론_4!$B$2:$B$300,"학생225")+COUNTIF(경제학원론_1!$B$2:$B$295,"학생225")+COUNTIF(경제학원론_2!$B$2:$B$298,"학생225")+COUNTIF(경제학원론_3!$B$2:$B$295,"학생225")+COUNTIF(경영통계학_1!$B$2:$B$299,"학생225")+COUNTIF(경영통계학_2!$B$2:$B$301,"학생225")+COUNTIF(경영통계학_3!$B$2:$B$298,"학생225")+COUNTIF(무역학개론_1!$B$2:$B$301,"학생225")+COUNTIF(회계학원론_1!$B$2:$B$293,"학생225")+COUNTIF(경영정보시스템_1!$B$2:$B$301,"학생225")+COUNTIF(관리회계_1!$B$2:$B$300,"학생225")+COUNTIF(관리회계_2!$B$2:$B$301,"학생225")+COUNTIF(마케팅_1!$B$2:$B$301,"학생225")+COUNTIF(마케팅리서치_1!$B$2:$B$301,"학생225")+COUNTIF(세법개론_1!$B$2:$B$300,"학생225")+COUNTIF(재무관리_1!$B$2:$B$301,"학생225")+COUNTIF(조직행동론_1!$B$2:$B$301,"학생225")+COUNTIF(조직행동론_2!$B$2:$B$301,"학생225")+COUNTIF(중급재무회계_1!$B$2:$B$301,"학생225")+COUNTIF(투자론_1!$B$2:$B$300,"학생225")+COUNTIF(경영과학_1!$B$2:$B$301,"학생225")+COUNTIF(세무회계_1!$B$2:$B$301,"학생225")+COUNTIF(스마트경영_1!$B$2:$B$301,"학생225")+COUNTIF(스마트경영_2!$B$2:$B$301,"학생225")+COUNTIF(인적자원관리_1!$B$2:$B$257,"학생225")+COUNTIF(서비스마케팅_1!$B$2:$B$276,"학생225")+COUNTIF(제품관리_1!$B$2:$B$301,"학생225")</f>
        <v>6</v>
      </c>
    </row>
    <row r="229" spans="1:9" hidden="1">
      <c r="A229" s="15">
        <v>226</v>
      </c>
      <c r="B229" s="16" t="s">
        <v>227</v>
      </c>
      <c r="C229" s="16">
        <v>202400226</v>
      </c>
      <c r="I229" s="24">
        <f>COUNTIF(경영학원론_1!$B$3:$B$300,"학생226")+COUNTIF(경영학원론_2!$B$2:$B$301,"학생226")+COUNTIF(경영학원론_3!$B$2:$B$301,"학생226")+COUNTIF(경영학원론_4!$B$2:$B$300,"학생226")+COUNTIF(경제학원론_1!$B$2:$B$295,"학생226")+COUNTIF(경제학원론_2!$B$2:$B$298,"학생226")+COUNTIF(경제학원론_3!$B$2:$B$295,"학생226")+COUNTIF(경영통계학_1!$B$2:$B$299,"학생226")+COUNTIF(경영통계학_2!$B$2:$B$301,"학생226")+COUNTIF(경영통계학_3!$B$2:$B$298,"학생226")+COUNTIF(무역학개론_1!$B$2:$B$301,"학생226")+COUNTIF(회계학원론_1!$B$2:$B$293,"학생226")+COUNTIF(경영정보시스템_1!$B$2:$B$301,"학생226")+COUNTIF(관리회계_1!$B$2:$B$300,"학생226")+COUNTIF(관리회계_2!$B$2:$B$301,"학생226")+COUNTIF(마케팅_1!$B$2:$B$301,"학생226")+COUNTIF(마케팅리서치_1!$B$2:$B$301,"학생226")+COUNTIF(세법개론_1!$B$2:$B$300,"학생226")+COUNTIF(재무관리_1!$B$2:$B$301,"학생226")+COUNTIF(조직행동론_1!$B$2:$B$301,"학생226")+COUNTIF(조직행동론_2!$B$2:$B$301,"학생226")+COUNTIF(중급재무회계_1!$B$2:$B$301,"학생226")+COUNTIF(투자론_1!$B$2:$B$300,"학생226")+COUNTIF(경영과학_1!$B$2:$B$301,"학생226")+COUNTIF(세무회계_1!$B$2:$B$301,"학생226")+COUNTIF(스마트경영_1!$B$2:$B$301,"학생226")+COUNTIF(스마트경영_2!$B$2:$B$301,"학생226")+COUNTIF(인적자원관리_1!$B$2:$B$257,"학생226")+COUNTIF(서비스마케팅_1!$B$2:$B$276,"학생226")+COUNTIF(제품관리_1!$B$2:$B$301,"학생226")</f>
        <v>5</v>
      </c>
    </row>
    <row r="230" spans="1:9" hidden="1">
      <c r="A230" s="15">
        <v>227</v>
      </c>
      <c r="B230" s="16" t="s">
        <v>228</v>
      </c>
      <c r="C230" s="16">
        <v>202400227</v>
      </c>
      <c r="I230" s="24">
        <f>COUNTIF(경영학원론_1!$B$3:$B$300,"학생227")+COUNTIF(경영학원론_2!$B$2:$B$301,"학생227")+COUNTIF(경영학원론_3!$B$2:$B$301,"학생227")+COUNTIF(경영학원론_4!$B$2:$B$300,"학생227")+COUNTIF(경제학원론_1!$B$2:$B$295,"학생227")+COUNTIF(경제학원론_2!$B$2:$B$298,"학생227")+COUNTIF(경제학원론_3!$B$2:$B$295,"학생227")+COUNTIF(경영통계학_1!$B$2:$B$299,"학생227")+COUNTIF(경영통계학_2!$B$2:$B$301,"학생227")+COUNTIF(경영통계학_3!$B$2:$B$298,"학생227")+COUNTIF(무역학개론_1!$B$2:$B$301,"학생227")+COUNTIF(회계학원론_1!$B$2:$B$293,"학생227")+COUNTIF(경영정보시스템_1!$B$2:$B$301,"학생227")+COUNTIF(관리회계_1!$B$2:$B$300,"학생227")+COUNTIF(관리회계_2!$B$2:$B$301,"학생227")+COUNTIF(마케팅_1!$B$2:$B$301,"학생227")+COUNTIF(마케팅리서치_1!$B$2:$B$301,"학생227")+COUNTIF(세법개론_1!$B$2:$B$300,"학생227")+COUNTIF(재무관리_1!$B$2:$B$301,"학생227")+COUNTIF(조직행동론_1!$B$2:$B$301,"학생227")+COUNTIF(조직행동론_2!$B$2:$B$301,"학생227")+COUNTIF(중급재무회계_1!$B$2:$B$301,"학생227")+COUNTIF(투자론_1!$B$2:$B$300,"학생227")+COUNTIF(경영과학_1!$B$2:$B$301,"학생227")+COUNTIF(세무회계_1!$B$2:$B$301,"학생227")+COUNTIF(스마트경영_1!$B$2:$B$301,"학생227")+COUNTIF(스마트경영_2!$B$2:$B$301,"학생227")+COUNTIF(인적자원관리_1!$B$2:$B$257,"학생227")+COUNTIF(서비스마케팅_1!$B$2:$B$276,"학생227")+COUNTIF(제품관리_1!$B$2:$B$301,"학생227")</f>
        <v>7</v>
      </c>
    </row>
    <row r="231" spans="1:9" hidden="1">
      <c r="A231" s="15">
        <v>228</v>
      </c>
      <c r="B231" s="16" t="s">
        <v>229</v>
      </c>
      <c r="C231" s="16">
        <v>202400228</v>
      </c>
      <c r="I231" s="24">
        <f>COUNTIF(경영학원론_1!$B$3:$B$300,"학생228")+COUNTIF(경영학원론_2!$B$2:$B$301,"학생228")+COUNTIF(경영학원론_3!$B$2:$B$301,"학생228")+COUNTIF(경영학원론_4!$B$2:$B$300,"학생228")+COUNTIF(경제학원론_1!$B$2:$B$295,"학생228")+COUNTIF(경제학원론_2!$B$2:$B$298,"학생228")+COUNTIF(경제학원론_3!$B$2:$B$295,"학생228")+COUNTIF(경영통계학_1!$B$2:$B$299,"학생228")+COUNTIF(경영통계학_2!$B$2:$B$301,"학생228")+COUNTIF(경영통계학_3!$B$2:$B$298,"학생228")+COUNTIF(무역학개론_1!$B$2:$B$301,"학생228")+COUNTIF(회계학원론_1!$B$2:$B$293,"학생228")+COUNTIF(경영정보시스템_1!$B$2:$B$301,"학생228")+COUNTIF(관리회계_1!$B$2:$B$300,"학생228")+COUNTIF(관리회계_2!$B$2:$B$301,"학생228")+COUNTIF(마케팅_1!$B$2:$B$301,"학생228")+COUNTIF(마케팅리서치_1!$B$2:$B$301,"학생228")+COUNTIF(세법개론_1!$B$2:$B$300,"학생228")+COUNTIF(재무관리_1!$B$2:$B$301,"학생228")+COUNTIF(조직행동론_1!$B$2:$B$301,"학생228")+COUNTIF(조직행동론_2!$B$2:$B$301,"학생228")+COUNTIF(중급재무회계_1!$B$2:$B$301,"학생228")+COUNTIF(투자론_1!$B$2:$B$300,"학생228")+COUNTIF(경영과학_1!$B$2:$B$301,"학생228")+COUNTIF(세무회계_1!$B$2:$B$301,"학생228")+COUNTIF(스마트경영_1!$B$2:$B$301,"학생228")+COUNTIF(스마트경영_2!$B$2:$B$301,"학생228")+COUNTIF(인적자원관리_1!$B$2:$B$257,"학생228")+COUNTIF(서비스마케팅_1!$B$2:$B$276,"학생228")+COUNTIF(제품관리_1!$B$2:$B$301,"학생228")</f>
        <v>7</v>
      </c>
    </row>
    <row r="232" spans="1:9" hidden="1">
      <c r="A232" s="15">
        <v>229</v>
      </c>
      <c r="B232" s="16" t="s">
        <v>230</v>
      </c>
      <c r="C232" s="16">
        <v>202400229</v>
      </c>
      <c r="I232" s="24">
        <f>COUNTIF(경영학원론_1!$B$3:$B$300,"학생229")+COUNTIF(경영학원론_2!$B$2:$B$301,"학생229")+COUNTIF(경영학원론_3!$B$2:$B$301,"학생229")+COUNTIF(경영학원론_4!$B$2:$B$300,"학생229")+COUNTIF(경제학원론_1!$B$2:$B$295,"학생229")+COUNTIF(경제학원론_2!$B$2:$B$298,"학생229")+COUNTIF(경제학원론_3!$B$2:$B$295,"학생229")+COUNTIF(경영통계학_1!$B$2:$B$299,"학생229")+COUNTIF(경영통계학_2!$B$2:$B$301,"학생229")+COUNTIF(경영통계학_3!$B$2:$B$298,"학생229")+COUNTIF(무역학개론_1!$B$2:$B$301,"학생229")+COUNTIF(회계학원론_1!$B$2:$B$293,"학생229")+COUNTIF(경영정보시스템_1!$B$2:$B$301,"학생229")+COUNTIF(관리회계_1!$B$2:$B$300,"학생229")+COUNTIF(관리회계_2!$B$2:$B$301,"학생229")+COUNTIF(마케팅_1!$B$2:$B$301,"학생229")+COUNTIF(마케팅리서치_1!$B$2:$B$301,"학생229")+COUNTIF(세법개론_1!$B$2:$B$300,"학생229")+COUNTIF(재무관리_1!$B$2:$B$301,"학생229")+COUNTIF(조직행동론_1!$B$2:$B$301,"학생229")+COUNTIF(조직행동론_2!$B$2:$B$301,"학생229")+COUNTIF(중급재무회계_1!$B$2:$B$301,"학생229")+COUNTIF(투자론_1!$B$2:$B$300,"학생229")+COUNTIF(경영과학_1!$B$2:$B$301,"학생229")+COUNTIF(세무회계_1!$B$2:$B$301,"학생229")+COUNTIF(스마트경영_1!$B$2:$B$301,"학생229")+COUNTIF(스마트경영_2!$B$2:$B$301,"학생229")+COUNTIF(인적자원관리_1!$B$2:$B$257,"학생229")+COUNTIF(서비스마케팅_1!$B$2:$B$276,"학생229")+COUNTIF(제품관리_1!$B$2:$B$301,"학생229")</f>
        <v>5</v>
      </c>
    </row>
    <row r="233" spans="1:9" hidden="1">
      <c r="A233" s="15">
        <v>230</v>
      </c>
      <c r="B233" s="16" t="s">
        <v>231</v>
      </c>
      <c r="C233" s="16">
        <v>202400230</v>
      </c>
      <c r="I233" s="24">
        <f>COUNTIF(경영학원론_1!$B$3:$B$300,"학생230")+COUNTIF(경영학원론_2!$B$2:$B$301,"학생230")+COUNTIF(경영학원론_3!$B$2:$B$301,"학생230")+COUNTIF(경영학원론_4!$B$2:$B$300,"학생230")+COUNTIF(경제학원론_1!$B$2:$B$295,"학생230")+COUNTIF(경제학원론_2!$B$2:$B$298,"학생230")+COUNTIF(경제학원론_3!$B$2:$B$295,"학생230")+COUNTIF(경영통계학_1!$B$2:$B$299,"학생230")+COUNTIF(경영통계학_2!$B$2:$B$301,"학생230")+COUNTIF(경영통계학_3!$B$2:$B$298,"학생230")+COUNTIF(무역학개론_1!$B$2:$B$301,"학생230")+COUNTIF(회계학원론_1!$B$2:$B$293,"학생230")+COUNTIF(경영정보시스템_1!$B$2:$B$301,"학생230")+COUNTIF(관리회계_1!$B$2:$B$300,"학생230")+COUNTIF(관리회계_2!$B$2:$B$301,"학생230")+COUNTIF(마케팅_1!$B$2:$B$301,"학생230")+COUNTIF(마케팅리서치_1!$B$2:$B$301,"학생230")+COUNTIF(세법개론_1!$B$2:$B$300,"학생230")+COUNTIF(재무관리_1!$B$2:$B$301,"학생230")+COUNTIF(조직행동론_1!$B$2:$B$301,"학생230")+COUNTIF(조직행동론_2!$B$2:$B$301,"학생230")+COUNTIF(중급재무회계_1!$B$2:$B$301,"학생230")+COUNTIF(투자론_1!$B$2:$B$300,"학생230")+COUNTIF(경영과학_1!$B$2:$B$301,"학생230")+COUNTIF(세무회계_1!$B$2:$B$301,"학생230")+COUNTIF(스마트경영_1!$B$2:$B$301,"학생230")+COUNTIF(스마트경영_2!$B$2:$B$301,"학생230")+COUNTIF(인적자원관리_1!$B$2:$B$257,"학생230")+COUNTIF(서비스마케팅_1!$B$2:$B$276,"학생230")+COUNTIF(제품관리_1!$B$2:$B$301,"학생230")</f>
        <v>6</v>
      </c>
    </row>
    <row r="234" spans="1:9" hidden="1">
      <c r="A234" s="15">
        <v>231</v>
      </c>
      <c r="B234" s="16" t="s">
        <v>232</v>
      </c>
      <c r="C234" s="16">
        <v>202400231</v>
      </c>
      <c r="I234" s="24">
        <f>COUNTIF(경영학원론_1!$B$3:$B$300,"학생231")+COUNTIF(경영학원론_2!$B$2:$B$301,"학생231")+COUNTIF(경영학원론_3!$B$2:$B$301,"학생231")+COUNTIF(경영학원론_4!$B$2:$B$300,"학생231")+COUNTIF(경제학원론_1!$B$2:$B$295,"학생231")+COUNTIF(경제학원론_2!$B$2:$B$298,"학생231")+COUNTIF(경제학원론_3!$B$2:$B$295,"학생231")+COUNTIF(경영통계학_1!$B$2:$B$299,"학생231")+COUNTIF(경영통계학_2!$B$2:$B$301,"학생231")+COUNTIF(경영통계학_3!$B$2:$B$298,"학생231")+COUNTIF(무역학개론_1!$B$2:$B$301,"학생231")+COUNTIF(회계학원론_1!$B$2:$B$293,"학생231")+COUNTIF(경영정보시스템_1!$B$2:$B$301,"학생231")+COUNTIF(관리회계_1!$B$2:$B$300,"학생231")+COUNTIF(관리회계_2!$B$2:$B$301,"학생231")+COUNTIF(마케팅_1!$B$2:$B$301,"학생231")+COUNTIF(마케팅리서치_1!$B$2:$B$301,"학생231")+COUNTIF(세법개론_1!$B$2:$B$300,"학생231")+COUNTIF(재무관리_1!$B$2:$B$301,"학생231")+COUNTIF(조직행동론_1!$B$2:$B$301,"학생231")+COUNTIF(조직행동론_2!$B$2:$B$301,"학생231")+COUNTIF(중급재무회계_1!$B$2:$B$301,"학생231")+COUNTIF(투자론_1!$B$2:$B$300,"학생231")+COUNTIF(경영과학_1!$B$2:$B$301,"학생231")+COUNTIF(세무회계_1!$B$2:$B$301,"학생231")+COUNTIF(스마트경영_1!$B$2:$B$301,"학생231")+COUNTIF(스마트경영_2!$B$2:$B$301,"학생231")+COUNTIF(인적자원관리_1!$B$2:$B$257,"학생231")+COUNTIF(서비스마케팅_1!$B$2:$B$276,"학생231")+COUNTIF(제품관리_1!$B$2:$B$301,"학생231")</f>
        <v>7</v>
      </c>
    </row>
    <row r="235" spans="1:9" hidden="1">
      <c r="A235" s="15">
        <v>232</v>
      </c>
      <c r="B235" s="16" t="s">
        <v>233</v>
      </c>
      <c r="C235" s="16">
        <v>202400232</v>
      </c>
      <c r="I235" s="24">
        <f>COUNTIF(경영학원론_1!$B$3:$B$300,"학생232")+COUNTIF(경영학원론_2!$B$2:$B$301,"학생232")+COUNTIF(경영학원론_3!$B$2:$B$301,"학생232")+COUNTIF(경영학원론_4!$B$2:$B$300,"학생232")+COUNTIF(경제학원론_1!$B$2:$B$295,"학생232")+COUNTIF(경제학원론_2!$B$2:$B$298,"학생232")+COUNTIF(경제학원론_3!$B$2:$B$295,"학생232")+COUNTIF(경영통계학_1!$B$2:$B$299,"학생232")+COUNTIF(경영통계학_2!$B$2:$B$301,"학생232")+COUNTIF(경영통계학_3!$B$2:$B$298,"학생232")+COUNTIF(무역학개론_1!$B$2:$B$301,"학생232")+COUNTIF(회계학원론_1!$B$2:$B$293,"학생232")+COUNTIF(경영정보시스템_1!$B$2:$B$301,"학생232")+COUNTIF(관리회계_1!$B$2:$B$300,"학생232")+COUNTIF(관리회계_2!$B$2:$B$301,"학생232")+COUNTIF(마케팅_1!$B$2:$B$301,"학생232")+COUNTIF(마케팅리서치_1!$B$2:$B$301,"학생232")+COUNTIF(세법개론_1!$B$2:$B$300,"학생232")+COUNTIF(재무관리_1!$B$2:$B$301,"학생232")+COUNTIF(조직행동론_1!$B$2:$B$301,"학생232")+COUNTIF(조직행동론_2!$B$2:$B$301,"학생232")+COUNTIF(중급재무회계_1!$B$2:$B$301,"학생232")+COUNTIF(투자론_1!$B$2:$B$300,"학생232")+COUNTIF(경영과학_1!$B$2:$B$301,"학생232")+COUNTIF(세무회계_1!$B$2:$B$301,"학생232")+COUNTIF(스마트경영_1!$B$2:$B$301,"학생232")+COUNTIF(스마트경영_2!$B$2:$B$301,"학생232")+COUNTIF(인적자원관리_1!$B$2:$B$257,"학생232")+COUNTIF(서비스마케팅_1!$B$2:$B$276,"학생232")+COUNTIF(제품관리_1!$B$2:$B$301,"학생232")</f>
        <v>4</v>
      </c>
    </row>
    <row r="236" spans="1:9" hidden="1">
      <c r="A236" s="15">
        <v>233</v>
      </c>
      <c r="B236" s="16" t="s">
        <v>234</v>
      </c>
      <c r="C236" s="16">
        <v>202400233</v>
      </c>
      <c r="I236" s="24">
        <f>COUNTIF(경영학원론_1!$B$3:$B$300,"학생233")+COUNTIF(경영학원론_2!$B$2:$B$301,"학생233")+COUNTIF(경영학원론_3!$B$2:$B$301,"학생233")+COUNTIF(경영학원론_4!$B$2:$B$300,"학생233")+COUNTIF(경제학원론_1!$B$2:$B$295,"학생233")+COUNTIF(경제학원론_2!$B$2:$B$298,"학생233")+COUNTIF(경제학원론_3!$B$2:$B$295,"학생233")+COUNTIF(경영통계학_1!$B$2:$B$299,"학생233")+COUNTIF(경영통계학_2!$B$2:$B$301,"학생233")+COUNTIF(경영통계학_3!$B$2:$B$298,"학생233")+COUNTIF(무역학개론_1!$B$2:$B$301,"학생233")+COUNTIF(회계학원론_1!$B$2:$B$293,"학생233")+COUNTIF(경영정보시스템_1!$B$2:$B$301,"학생233")+COUNTIF(관리회계_1!$B$2:$B$300,"학생233")+COUNTIF(관리회계_2!$B$2:$B$301,"학생233")+COUNTIF(마케팅_1!$B$2:$B$301,"학생233")+COUNTIF(마케팅리서치_1!$B$2:$B$301,"학생233")+COUNTIF(세법개론_1!$B$2:$B$300,"학생233")+COUNTIF(재무관리_1!$B$2:$B$301,"학생233")+COUNTIF(조직행동론_1!$B$2:$B$301,"학생233")+COUNTIF(조직행동론_2!$B$2:$B$301,"학생233")+COUNTIF(중급재무회계_1!$B$2:$B$301,"학생233")+COUNTIF(투자론_1!$B$2:$B$300,"학생233")+COUNTIF(경영과학_1!$B$2:$B$301,"학생233")+COUNTIF(세무회계_1!$B$2:$B$301,"학생233")+COUNTIF(스마트경영_1!$B$2:$B$301,"학생233")+COUNTIF(스마트경영_2!$B$2:$B$301,"학생233")+COUNTIF(인적자원관리_1!$B$2:$B$257,"학생233")+COUNTIF(서비스마케팅_1!$B$2:$B$276,"학생233")+COUNTIF(제품관리_1!$B$2:$B$301,"학생233")</f>
        <v>5</v>
      </c>
    </row>
    <row r="237" spans="1:9" hidden="1">
      <c r="A237" s="15">
        <v>234</v>
      </c>
      <c r="B237" s="16" t="s">
        <v>235</v>
      </c>
      <c r="C237" s="16">
        <v>202400234</v>
      </c>
      <c r="I237" s="24">
        <f>COUNTIF(경영학원론_1!$B$3:$B$300,"학생234")+COUNTIF(경영학원론_2!$B$2:$B$301,"학생234")+COUNTIF(경영학원론_3!$B$2:$B$301,"학생234")+COUNTIF(경영학원론_4!$B$2:$B$300,"학생234")+COUNTIF(경제학원론_1!$B$2:$B$295,"학생234")+COUNTIF(경제학원론_2!$B$2:$B$298,"학생234")+COUNTIF(경제학원론_3!$B$2:$B$295,"학생234")+COUNTIF(경영통계학_1!$B$2:$B$299,"학생234")+COUNTIF(경영통계학_2!$B$2:$B$301,"학생234")+COUNTIF(경영통계학_3!$B$2:$B$298,"학생234")+COUNTIF(무역학개론_1!$B$2:$B$301,"학생234")+COUNTIF(회계학원론_1!$B$2:$B$293,"학생234")+COUNTIF(경영정보시스템_1!$B$2:$B$301,"학생234")+COUNTIF(관리회계_1!$B$2:$B$300,"학생234")+COUNTIF(관리회계_2!$B$2:$B$301,"학생234")+COUNTIF(마케팅_1!$B$2:$B$301,"학생234")+COUNTIF(마케팅리서치_1!$B$2:$B$301,"학생234")+COUNTIF(세법개론_1!$B$2:$B$300,"학생234")+COUNTIF(재무관리_1!$B$2:$B$301,"학생234")+COUNTIF(조직행동론_1!$B$2:$B$301,"학생234")+COUNTIF(조직행동론_2!$B$2:$B$301,"학생234")+COUNTIF(중급재무회계_1!$B$2:$B$301,"학생234")+COUNTIF(투자론_1!$B$2:$B$300,"학생234")+COUNTIF(경영과학_1!$B$2:$B$301,"학생234")+COUNTIF(세무회계_1!$B$2:$B$301,"학생234")+COUNTIF(스마트경영_1!$B$2:$B$301,"학생234")+COUNTIF(스마트경영_2!$B$2:$B$301,"학생234")+COUNTIF(인적자원관리_1!$B$2:$B$257,"학생234")+COUNTIF(서비스마케팅_1!$B$2:$B$276,"학생234")+COUNTIF(제품관리_1!$B$2:$B$301,"학생234")</f>
        <v>3</v>
      </c>
    </row>
    <row r="238" spans="1:9" hidden="1">
      <c r="A238" s="15">
        <v>235</v>
      </c>
      <c r="B238" s="16" t="s">
        <v>236</v>
      </c>
      <c r="C238" s="16">
        <v>202400235</v>
      </c>
      <c r="I238" s="24">
        <f>COUNTIF(경영학원론_1!$B$3:$B$300,"학생235")+COUNTIF(경영학원론_2!$B$2:$B$301,"학생235")+COUNTIF(경영학원론_3!$B$2:$B$301,"학생235")+COUNTIF(경영학원론_4!$B$2:$B$300,"학생235")+COUNTIF(경제학원론_1!$B$2:$B$295,"학생235")+COUNTIF(경제학원론_2!$B$2:$B$298,"학생235")+COUNTIF(경제학원론_3!$B$2:$B$295,"학생235")+COUNTIF(경영통계학_1!$B$2:$B$299,"학생235")+COUNTIF(경영통계학_2!$B$2:$B$301,"학생235")+COUNTIF(경영통계학_3!$B$2:$B$298,"학생235")+COUNTIF(무역학개론_1!$B$2:$B$301,"학생235")+COUNTIF(회계학원론_1!$B$2:$B$293,"학생235")+COUNTIF(경영정보시스템_1!$B$2:$B$301,"학생235")+COUNTIF(관리회계_1!$B$2:$B$300,"학생235")+COUNTIF(관리회계_2!$B$2:$B$301,"학생235")+COUNTIF(마케팅_1!$B$2:$B$301,"학생235")+COUNTIF(마케팅리서치_1!$B$2:$B$301,"학생235")+COUNTIF(세법개론_1!$B$2:$B$300,"학생235")+COUNTIF(재무관리_1!$B$2:$B$301,"학생235")+COUNTIF(조직행동론_1!$B$2:$B$301,"학생235")+COUNTIF(조직행동론_2!$B$2:$B$301,"학생235")+COUNTIF(중급재무회계_1!$B$2:$B$301,"학생235")+COUNTIF(투자론_1!$B$2:$B$300,"학생235")+COUNTIF(경영과학_1!$B$2:$B$301,"학생235")+COUNTIF(세무회계_1!$B$2:$B$301,"학생235")+COUNTIF(스마트경영_1!$B$2:$B$301,"학생235")+COUNTIF(스마트경영_2!$B$2:$B$301,"학생235")+COUNTIF(인적자원관리_1!$B$2:$B$257,"학생235")+COUNTIF(서비스마케팅_1!$B$2:$B$276,"학생235")+COUNTIF(제품관리_1!$B$2:$B$301,"학생235")</f>
        <v>4</v>
      </c>
    </row>
    <row r="239" spans="1:9" hidden="1">
      <c r="A239" s="15">
        <v>236</v>
      </c>
      <c r="B239" s="16" t="s">
        <v>237</v>
      </c>
      <c r="C239" s="16">
        <v>202400236</v>
      </c>
      <c r="I239" s="24">
        <f>COUNTIF(경영학원론_1!$B$3:$B$300,"학생236")+COUNTIF(경영학원론_2!$B$2:$B$301,"학생236")+COUNTIF(경영학원론_3!$B$2:$B$301,"학생236")+COUNTIF(경영학원론_4!$B$2:$B$300,"학생236")+COUNTIF(경제학원론_1!$B$2:$B$295,"학생236")+COUNTIF(경제학원론_2!$B$2:$B$298,"학생236")+COUNTIF(경제학원론_3!$B$2:$B$295,"학생236")+COUNTIF(경영통계학_1!$B$2:$B$299,"학생236")+COUNTIF(경영통계학_2!$B$2:$B$301,"학생236")+COUNTIF(경영통계학_3!$B$2:$B$298,"학생236")+COUNTIF(무역학개론_1!$B$2:$B$301,"학생236")+COUNTIF(회계학원론_1!$B$2:$B$293,"학생236")+COUNTIF(경영정보시스템_1!$B$2:$B$301,"학생236")+COUNTIF(관리회계_1!$B$2:$B$300,"학생236")+COUNTIF(관리회계_2!$B$2:$B$301,"학생236")+COUNTIF(마케팅_1!$B$2:$B$301,"학생236")+COUNTIF(마케팅리서치_1!$B$2:$B$301,"학생236")+COUNTIF(세법개론_1!$B$2:$B$300,"학생236")+COUNTIF(재무관리_1!$B$2:$B$301,"학생236")+COUNTIF(조직행동론_1!$B$2:$B$301,"학생236")+COUNTIF(조직행동론_2!$B$2:$B$301,"학생236")+COUNTIF(중급재무회계_1!$B$2:$B$301,"학생236")+COUNTIF(투자론_1!$B$2:$B$300,"학생236")+COUNTIF(경영과학_1!$B$2:$B$301,"학생236")+COUNTIF(세무회계_1!$B$2:$B$301,"학생236")+COUNTIF(스마트경영_1!$B$2:$B$301,"학생236")+COUNTIF(스마트경영_2!$B$2:$B$301,"학생236")+COUNTIF(인적자원관리_1!$B$2:$B$257,"학생236")+COUNTIF(서비스마케팅_1!$B$2:$B$276,"학생236")+COUNTIF(제품관리_1!$B$2:$B$301,"학생236")</f>
        <v>5</v>
      </c>
    </row>
    <row r="240" spans="1:9" hidden="1">
      <c r="A240" s="15">
        <v>237</v>
      </c>
      <c r="B240" s="16" t="s">
        <v>238</v>
      </c>
      <c r="C240" s="16">
        <v>202400237</v>
      </c>
      <c r="I240" s="24">
        <f>COUNTIF(경영학원론_1!$B$3:$B$300,"학생237")+COUNTIF(경영학원론_2!$B$2:$B$301,"학생237")+COUNTIF(경영학원론_3!$B$2:$B$301,"학생237")+COUNTIF(경영학원론_4!$B$2:$B$300,"학생237")+COUNTIF(경제학원론_1!$B$2:$B$295,"학생237")+COUNTIF(경제학원론_2!$B$2:$B$298,"학생237")+COUNTIF(경제학원론_3!$B$2:$B$295,"학생237")+COUNTIF(경영통계학_1!$B$2:$B$299,"학생237")+COUNTIF(경영통계학_2!$B$2:$B$301,"학생237")+COUNTIF(경영통계학_3!$B$2:$B$298,"학생237")+COUNTIF(무역학개론_1!$B$2:$B$301,"학생237")+COUNTIF(회계학원론_1!$B$2:$B$293,"학생237")+COUNTIF(경영정보시스템_1!$B$2:$B$301,"학생237")+COUNTIF(관리회계_1!$B$2:$B$300,"학생237")+COUNTIF(관리회계_2!$B$2:$B$301,"학생237")+COUNTIF(마케팅_1!$B$2:$B$301,"학생237")+COUNTIF(마케팅리서치_1!$B$2:$B$301,"학생237")+COUNTIF(세법개론_1!$B$2:$B$300,"학생237")+COUNTIF(재무관리_1!$B$2:$B$301,"학생237")+COUNTIF(조직행동론_1!$B$2:$B$301,"학생237")+COUNTIF(조직행동론_2!$B$2:$B$301,"학생237")+COUNTIF(중급재무회계_1!$B$2:$B$301,"학생237")+COUNTIF(투자론_1!$B$2:$B$300,"학생237")+COUNTIF(경영과학_1!$B$2:$B$301,"학생237")+COUNTIF(세무회계_1!$B$2:$B$301,"학생237")+COUNTIF(스마트경영_1!$B$2:$B$301,"학생237")+COUNTIF(스마트경영_2!$B$2:$B$301,"학생237")+COUNTIF(인적자원관리_1!$B$2:$B$257,"학생237")+COUNTIF(서비스마케팅_1!$B$2:$B$276,"학생237")+COUNTIF(제품관리_1!$B$2:$B$301,"학생237")</f>
        <v>7</v>
      </c>
    </row>
    <row r="241" spans="1:9" hidden="1">
      <c r="A241" s="15">
        <v>238</v>
      </c>
      <c r="B241" s="16" t="s">
        <v>239</v>
      </c>
      <c r="C241" s="16">
        <v>202400238</v>
      </c>
      <c r="I241" s="24">
        <f>COUNTIF(경영학원론_1!$B$3:$B$300,"학생238")+COUNTIF(경영학원론_2!$B$2:$B$301,"학생238")+COUNTIF(경영학원론_3!$B$2:$B$301,"학생238")+COUNTIF(경영학원론_4!$B$2:$B$300,"학생238")+COUNTIF(경제학원론_1!$B$2:$B$295,"학생238")+COUNTIF(경제학원론_2!$B$2:$B$298,"학생238")+COUNTIF(경제학원론_3!$B$2:$B$295,"학생238")+COUNTIF(경영통계학_1!$B$2:$B$299,"학생238")+COUNTIF(경영통계학_2!$B$2:$B$301,"학생238")+COUNTIF(경영통계학_3!$B$2:$B$298,"학생238")+COUNTIF(무역학개론_1!$B$2:$B$301,"학생238")+COUNTIF(회계학원론_1!$B$2:$B$293,"학생238")+COUNTIF(경영정보시스템_1!$B$2:$B$301,"학생238")+COUNTIF(관리회계_1!$B$2:$B$300,"학생238")+COUNTIF(관리회계_2!$B$2:$B$301,"학생238")+COUNTIF(마케팅_1!$B$2:$B$301,"학생238")+COUNTIF(마케팅리서치_1!$B$2:$B$301,"학생238")+COUNTIF(세법개론_1!$B$2:$B$300,"학생238")+COUNTIF(재무관리_1!$B$2:$B$301,"학생238")+COUNTIF(조직행동론_1!$B$2:$B$301,"학생238")+COUNTIF(조직행동론_2!$B$2:$B$301,"학생238")+COUNTIF(중급재무회계_1!$B$2:$B$301,"학생238")+COUNTIF(투자론_1!$B$2:$B$300,"학생238")+COUNTIF(경영과학_1!$B$2:$B$301,"학생238")+COUNTIF(세무회계_1!$B$2:$B$301,"학생238")+COUNTIF(스마트경영_1!$B$2:$B$301,"학생238")+COUNTIF(스마트경영_2!$B$2:$B$301,"학생238")+COUNTIF(인적자원관리_1!$B$2:$B$257,"학생238")+COUNTIF(서비스마케팅_1!$B$2:$B$276,"학생238")+COUNTIF(제품관리_1!$B$2:$B$301,"학생238")</f>
        <v>7</v>
      </c>
    </row>
    <row r="242" spans="1:9" hidden="1">
      <c r="A242" s="15">
        <v>239</v>
      </c>
      <c r="B242" s="16" t="s">
        <v>240</v>
      </c>
      <c r="C242" s="16">
        <v>202400239</v>
      </c>
      <c r="I242" s="24">
        <f>COUNTIF(경영학원론_1!$B$3:$B$300,"학생239")+COUNTIF(경영학원론_2!$B$2:$B$301,"학생239")+COUNTIF(경영학원론_3!$B$2:$B$301,"학생239")+COUNTIF(경영학원론_4!$B$2:$B$300,"학생239")+COUNTIF(경제학원론_1!$B$2:$B$295,"학생239")+COUNTIF(경제학원론_2!$B$2:$B$298,"학생239")+COUNTIF(경제학원론_3!$B$2:$B$295,"학생239")+COUNTIF(경영통계학_1!$B$2:$B$299,"학생239")+COUNTIF(경영통계학_2!$B$2:$B$301,"학생239")+COUNTIF(경영통계학_3!$B$2:$B$298,"학생239")+COUNTIF(무역학개론_1!$B$2:$B$301,"학생239")+COUNTIF(회계학원론_1!$B$2:$B$293,"학생239")+COUNTIF(경영정보시스템_1!$B$2:$B$301,"학생239")+COUNTIF(관리회계_1!$B$2:$B$300,"학생239")+COUNTIF(관리회계_2!$B$2:$B$301,"학생239")+COUNTIF(마케팅_1!$B$2:$B$301,"학생239")+COUNTIF(마케팅리서치_1!$B$2:$B$301,"학생239")+COUNTIF(세법개론_1!$B$2:$B$300,"학생239")+COUNTIF(재무관리_1!$B$2:$B$301,"학생239")+COUNTIF(조직행동론_1!$B$2:$B$301,"학생239")+COUNTIF(조직행동론_2!$B$2:$B$301,"학생239")+COUNTIF(중급재무회계_1!$B$2:$B$301,"학생239")+COUNTIF(투자론_1!$B$2:$B$300,"학생239")+COUNTIF(경영과학_1!$B$2:$B$301,"학생239")+COUNTIF(세무회계_1!$B$2:$B$301,"학생239")+COUNTIF(스마트경영_1!$B$2:$B$301,"학생239")+COUNTIF(스마트경영_2!$B$2:$B$301,"학생239")+COUNTIF(인적자원관리_1!$B$2:$B$257,"학생239")+COUNTIF(서비스마케팅_1!$B$2:$B$276,"학생239")+COUNTIF(제품관리_1!$B$2:$B$301,"학생239")</f>
        <v>7</v>
      </c>
    </row>
    <row r="243" spans="1:9" hidden="1">
      <c r="A243" s="15">
        <v>240</v>
      </c>
      <c r="B243" s="16" t="s">
        <v>241</v>
      </c>
      <c r="C243" s="16">
        <v>202400240</v>
      </c>
      <c r="I243" s="24">
        <f>COUNTIF(경영학원론_1!$B$3:$B$300,"학생240")+COUNTIF(경영학원론_2!$B$2:$B$301,"학생240")+COUNTIF(경영학원론_3!$B$2:$B$301,"학생240")+COUNTIF(경영학원론_4!$B$2:$B$300,"학생240")+COUNTIF(경제학원론_1!$B$2:$B$295,"학생240")+COUNTIF(경제학원론_2!$B$2:$B$298,"학생240")+COUNTIF(경제학원론_3!$B$2:$B$295,"학생240")+COUNTIF(경영통계학_1!$B$2:$B$299,"학생240")+COUNTIF(경영통계학_2!$B$2:$B$301,"학생240")+COUNTIF(경영통계학_3!$B$2:$B$298,"학생240")+COUNTIF(무역학개론_1!$B$2:$B$301,"학생240")+COUNTIF(회계학원론_1!$B$2:$B$293,"학생240")+COUNTIF(경영정보시스템_1!$B$2:$B$301,"학생240")+COUNTIF(관리회계_1!$B$2:$B$300,"학생240")+COUNTIF(관리회계_2!$B$2:$B$301,"학생240")+COUNTIF(마케팅_1!$B$2:$B$301,"학생240")+COUNTIF(마케팅리서치_1!$B$2:$B$301,"학생240")+COUNTIF(세법개론_1!$B$2:$B$300,"학생240")+COUNTIF(재무관리_1!$B$2:$B$301,"학생240")+COUNTIF(조직행동론_1!$B$2:$B$301,"학생240")+COUNTIF(조직행동론_2!$B$2:$B$301,"학생240")+COUNTIF(중급재무회계_1!$B$2:$B$301,"학생240")+COUNTIF(투자론_1!$B$2:$B$300,"학생240")+COUNTIF(경영과학_1!$B$2:$B$301,"학생240")+COUNTIF(세무회계_1!$B$2:$B$301,"학생240")+COUNTIF(스마트경영_1!$B$2:$B$301,"학생240")+COUNTIF(스마트경영_2!$B$2:$B$301,"학생240")+COUNTIF(인적자원관리_1!$B$2:$B$257,"학생240")+COUNTIF(서비스마케팅_1!$B$2:$B$276,"학생240")+COUNTIF(제품관리_1!$B$2:$B$301,"학생240")</f>
        <v>5</v>
      </c>
    </row>
    <row r="244" spans="1:9" hidden="1">
      <c r="A244" s="15">
        <v>241</v>
      </c>
      <c r="B244" s="16" t="s">
        <v>242</v>
      </c>
      <c r="C244" s="16">
        <v>202400241</v>
      </c>
      <c r="I244" s="24">
        <f>COUNTIF(경영학원론_1!$B$3:$B$300,"학생241")+COUNTIF(경영학원론_2!$B$2:$B$301,"학생241")+COUNTIF(경영학원론_3!$B$2:$B$301,"학생241")+COUNTIF(경영학원론_4!$B$2:$B$300,"학생241")+COUNTIF(경제학원론_1!$B$2:$B$295,"학생241")+COUNTIF(경제학원론_2!$B$2:$B$298,"학생241")+COUNTIF(경제학원론_3!$B$2:$B$295,"학생241")+COUNTIF(경영통계학_1!$B$2:$B$299,"학생241")+COUNTIF(경영통계학_2!$B$2:$B$301,"학생241")+COUNTIF(경영통계학_3!$B$2:$B$298,"학생241")+COUNTIF(무역학개론_1!$B$2:$B$301,"학생241")+COUNTIF(회계학원론_1!$B$2:$B$293,"학생241")+COUNTIF(경영정보시스템_1!$B$2:$B$301,"학생241")+COUNTIF(관리회계_1!$B$2:$B$300,"학생241")+COUNTIF(관리회계_2!$B$2:$B$301,"학생241")+COUNTIF(마케팅_1!$B$2:$B$301,"학생241")+COUNTIF(마케팅리서치_1!$B$2:$B$301,"학생241")+COUNTIF(세법개론_1!$B$2:$B$300,"학생241")+COUNTIF(재무관리_1!$B$2:$B$301,"학생241")+COUNTIF(조직행동론_1!$B$2:$B$301,"학생241")+COUNTIF(조직행동론_2!$B$2:$B$301,"학생241")+COUNTIF(중급재무회계_1!$B$2:$B$301,"학생241")+COUNTIF(투자론_1!$B$2:$B$300,"학생241")+COUNTIF(경영과학_1!$B$2:$B$301,"학생241")+COUNTIF(세무회계_1!$B$2:$B$301,"학생241")+COUNTIF(스마트경영_1!$B$2:$B$301,"학생241")+COUNTIF(스마트경영_2!$B$2:$B$301,"학생241")+COUNTIF(인적자원관리_1!$B$2:$B$257,"학생241")+COUNTIF(서비스마케팅_1!$B$2:$B$276,"학생241")+COUNTIF(제품관리_1!$B$2:$B$301,"학생241")</f>
        <v>7</v>
      </c>
    </row>
    <row r="245" spans="1:9" hidden="1">
      <c r="A245" s="15">
        <v>242</v>
      </c>
      <c r="B245" s="16" t="s">
        <v>243</v>
      </c>
      <c r="C245" s="16">
        <v>202400242</v>
      </c>
      <c r="I245" s="24">
        <f>COUNTIF(경영학원론_1!$B$3:$B$300,"학생242")+COUNTIF(경영학원론_2!$B$2:$B$301,"학생242")+COUNTIF(경영학원론_3!$B$2:$B$301,"학생242")+COUNTIF(경영학원론_4!$B$2:$B$300,"학생242")+COUNTIF(경제학원론_1!$B$2:$B$295,"학생242")+COUNTIF(경제학원론_2!$B$2:$B$298,"학생242")+COUNTIF(경제학원론_3!$B$2:$B$295,"학생242")+COUNTIF(경영통계학_1!$B$2:$B$299,"학생242")+COUNTIF(경영통계학_2!$B$2:$B$301,"학생242")+COUNTIF(경영통계학_3!$B$2:$B$298,"학생242")+COUNTIF(무역학개론_1!$B$2:$B$301,"학생242")+COUNTIF(회계학원론_1!$B$2:$B$293,"학생242")+COUNTIF(경영정보시스템_1!$B$2:$B$301,"학생242")+COUNTIF(관리회계_1!$B$2:$B$300,"학생242")+COUNTIF(관리회계_2!$B$2:$B$301,"학생242")+COUNTIF(마케팅_1!$B$2:$B$301,"학생242")+COUNTIF(마케팅리서치_1!$B$2:$B$301,"학생242")+COUNTIF(세법개론_1!$B$2:$B$300,"학생242")+COUNTIF(재무관리_1!$B$2:$B$301,"학생242")+COUNTIF(조직행동론_1!$B$2:$B$301,"학생242")+COUNTIF(조직행동론_2!$B$2:$B$301,"학생242")+COUNTIF(중급재무회계_1!$B$2:$B$301,"학생242")+COUNTIF(투자론_1!$B$2:$B$300,"학생242")+COUNTIF(경영과학_1!$B$2:$B$301,"학생242")+COUNTIF(세무회계_1!$B$2:$B$301,"학생242")+COUNTIF(스마트경영_1!$B$2:$B$301,"학생242")+COUNTIF(스마트경영_2!$B$2:$B$301,"학생242")+COUNTIF(인적자원관리_1!$B$2:$B$257,"학생242")+COUNTIF(서비스마케팅_1!$B$2:$B$276,"학생242")+COUNTIF(제품관리_1!$B$2:$B$301,"학생242")</f>
        <v>6</v>
      </c>
    </row>
    <row r="246" spans="1:9" hidden="1">
      <c r="A246" s="15">
        <v>243</v>
      </c>
      <c r="B246" s="16" t="s">
        <v>244</v>
      </c>
      <c r="C246" s="16">
        <v>202400243</v>
      </c>
      <c r="I246" s="24">
        <f>COUNTIF(경영학원론_1!$B$3:$B$300,"학생243")+COUNTIF(경영학원론_2!$B$2:$B$301,"학생243")+COUNTIF(경영학원론_3!$B$2:$B$301,"학생243")+COUNTIF(경영학원론_4!$B$2:$B$300,"학생243")+COUNTIF(경제학원론_1!$B$2:$B$295,"학생243")+COUNTIF(경제학원론_2!$B$2:$B$298,"학생243")+COUNTIF(경제학원론_3!$B$2:$B$295,"학생243")+COUNTIF(경영통계학_1!$B$2:$B$299,"학생243")+COUNTIF(경영통계학_2!$B$2:$B$301,"학생243")+COUNTIF(경영통계학_3!$B$2:$B$298,"학생243")+COUNTIF(무역학개론_1!$B$2:$B$301,"학생243")+COUNTIF(회계학원론_1!$B$2:$B$293,"학생243")+COUNTIF(경영정보시스템_1!$B$2:$B$301,"학생243")+COUNTIF(관리회계_1!$B$2:$B$300,"학생243")+COUNTIF(관리회계_2!$B$2:$B$301,"학생243")+COUNTIF(마케팅_1!$B$2:$B$301,"학생243")+COUNTIF(마케팅리서치_1!$B$2:$B$301,"학생243")+COUNTIF(세법개론_1!$B$2:$B$300,"학생243")+COUNTIF(재무관리_1!$B$2:$B$301,"학생243")+COUNTIF(조직행동론_1!$B$2:$B$301,"학생243")+COUNTIF(조직행동론_2!$B$2:$B$301,"학생243")+COUNTIF(중급재무회계_1!$B$2:$B$301,"학생243")+COUNTIF(투자론_1!$B$2:$B$300,"학생243")+COUNTIF(경영과학_1!$B$2:$B$301,"학생243")+COUNTIF(세무회계_1!$B$2:$B$301,"학생243")+COUNTIF(스마트경영_1!$B$2:$B$301,"학생243")+COUNTIF(스마트경영_2!$B$2:$B$301,"학생243")+COUNTIF(인적자원관리_1!$B$2:$B$257,"학생243")+COUNTIF(서비스마케팅_1!$B$2:$B$276,"학생243")+COUNTIF(제품관리_1!$B$2:$B$301,"학생243")</f>
        <v>5</v>
      </c>
    </row>
    <row r="247" spans="1:9" hidden="1">
      <c r="A247" s="15">
        <v>244</v>
      </c>
      <c r="B247" s="16" t="s">
        <v>245</v>
      </c>
      <c r="C247" s="16">
        <v>202400244</v>
      </c>
      <c r="I247" s="24">
        <f>COUNTIF(경영학원론_1!$B$3:$B$300,"학생244")+COUNTIF(경영학원론_2!$B$2:$B$301,"학생244")+COUNTIF(경영학원론_3!$B$2:$B$301,"학생244")+COUNTIF(경영학원론_4!$B$2:$B$300,"학생244")+COUNTIF(경제학원론_1!$B$2:$B$295,"학생244")+COUNTIF(경제학원론_2!$B$2:$B$298,"학생244")+COUNTIF(경제학원론_3!$B$2:$B$295,"학생244")+COUNTIF(경영통계학_1!$B$2:$B$299,"학생244")+COUNTIF(경영통계학_2!$B$2:$B$301,"학생244")+COUNTIF(경영통계학_3!$B$2:$B$298,"학생244")+COUNTIF(무역학개론_1!$B$2:$B$301,"학생244")+COUNTIF(회계학원론_1!$B$2:$B$293,"학생244")+COUNTIF(경영정보시스템_1!$B$2:$B$301,"학생244")+COUNTIF(관리회계_1!$B$2:$B$300,"학생244")+COUNTIF(관리회계_2!$B$2:$B$301,"학생244")+COUNTIF(마케팅_1!$B$2:$B$301,"학생244")+COUNTIF(마케팅리서치_1!$B$2:$B$301,"학생244")+COUNTIF(세법개론_1!$B$2:$B$300,"학생244")+COUNTIF(재무관리_1!$B$2:$B$301,"학생244")+COUNTIF(조직행동론_1!$B$2:$B$301,"학생244")+COUNTIF(조직행동론_2!$B$2:$B$301,"학생244")+COUNTIF(중급재무회계_1!$B$2:$B$301,"학생244")+COUNTIF(투자론_1!$B$2:$B$300,"학생244")+COUNTIF(경영과학_1!$B$2:$B$301,"학생244")+COUNTIF(세무회계_1!$B$2:$B$301,"학생244")+COUNTIF(스마트경영_1!$B$2:$B$301,"학생244")+COUNTIF(스마트경영_2!$B$2:$B$301,"학생244")+COUNTIF(인적자원관리_1!$B$2:$B$257,"학생244")+COUNTIF(서비스마케팅_1!$B$2:$B$276,"학생244")+COUNTIF(제품관리_1!$B$2:$B$301,"학생244")</f>
        <v>4</v>
      </c>
    </row>
    <row r="248" spans="1:9" hidden="1">
      <c r="A248" s="15">
        <v>245</v>
      </c>
      <c r="B248" s="16" t="s">
        <v>246</v>
      </c>
      <c r="C248" s="16">
        <v>202400245</v>
      </c>
      <c r="I248" s="24">
        <f>COUNTIF(경영학원론_1!$B$3:$B$300,"학생245")+COUNTIF(경영학원론_2!$B$2:$B$301,"학생245")+COUNTIF(경영학원론_3!$B$2:$B$301,"학생245")+COUNTIF(경영학원론_4!$B$2:$B$300,"학생245")+COUNTIF(경제학원론_1!$B$2:$B$295,"학생245")+COUNTIF(경제학원론_2!$B$2:$B$298,"학생245")+COUNTIF(경제학원론_3!$B$2:$B$295,"학생245")+COUNTIF(경영통계학_1!$B$2:$B$299,"학생245")+COUNTIF(경영통계학_2!$B$2:$B$301,"학생245")+COUNTIF(경영통계학_3!$B$2:$B$298,"학생245")+COUNTIF(무역학개론_1!$B$2:$B$301,"학생245")+COUNTIF(회계학원론_1!$B$2:$B$293,"학생245")+COUNTIF(경영정보시스템_1!$B$2:$B$301,"학생245")+COUNTIF(관리회계_1!$B$2:$B$300,"학생245")+COUNTIF(관리회계_2!$B$2:$B$301,"학생245")+COUNTIF(마케팅_1!$B$2:$B$301,"학생245")+COUNTIF(마케팅리서치_1!$B$2:$B$301,"학생245")+COUNTIF(세법개론_1!$B$2:$B$300,"학생245")+COUNTIF(재무관리_1!$B$2:$B$301,"학생245")+COUNTIF(조직행동론_1!$B$2:$B$301,"학생245")+COUNTIF(조직행동론_2!$B$2:$B$301,"학생245")+COUNTIF(중급재무회계_1!$B$2:$B$301,"학생245")+COUNTIF(투자론_1!$B$2:$B$300,"학생245")+COUNTIF(경영과학_1!$B$2:$B$301,"학생245")+COUNTIF(세무회계_1!$B$2:$B$301,"학생245")+COUNTIF(스마트경영_1!$B$2:$B$301,"학생245")+COUNTIF(스마트경영_2!$B$2:$B$301,"학생245")+COUNTIF(인적자원관리_1!$B$2:$B$257,"학생245")+COUNTIF(서비스마케팅_1!$B$2:$B$276,"학생245")+COUNTIF(제품관리_1!$B$2:$B$301,"학생245")</f>
        <v>7</v>
      </c>
    </row>
    <row r="249" spans="1:9" hidden="1">
      <c r="A249" s="15">
        <v>246</v>
      </c>
      <c r="B249" s="16" t="s">
        <v>247</v>
      </c>
      <c r="C249" s="16">
        <v>202400246</v>
      </c>
      <c r="I249" s="24">
        <f>COUNTIF(경영학원론_1!$B$3:$B$300,"학생246")+COUNTIF(경영학원론_2!$B$2:$B$301,"학생246")+COUNTIF(경영학원론_3!$B$2:$B$301,"학생246")+COUNTIF(경영학원론_4!$B$2:$B$300,"학생246")+COUNTIF(경제학원론_1!$B$2:$B$295,"학생246")+COUNTIF(경제학원론_2!$B$2:$B$298,"학생246")+COUNTIF(경제학원론_3!$B$2:$B$295,"학생246")+COUNTIF(경영통계학_1!$B$2:$B$299,"학생246")+COUNTIF(경영통계학_2!$B$2:$B$301,"학생246")+COUNTIF(경영통계학_3!$B$2:$B$298,"학생246")+COUNTIF(무역학개론_1!$B$2:$B$301,"학생246")+COUNTIF(회계학원론_1!$B$2:$B$293,"학생246")+COUNTIF(경영정보시스템_1!$B$2:$B$301,"학생246")+COUNTIF(관리회계_1!$B$2:$B$300,"학생246")+COUNTIF(관리회계_2!$B$2:$B$301,"학생246")+COUNTIF(마케팅_1!$B$2:$B$301,"학생246")+COUNTIF(마케팅리서치_1!$B$2:$B$301,"학생246")+COUNTIF(세법개론_1!$B$2:$B$300,"학생246")+COUNTIF(재무관리_1!$B$2:$B$301,"학생246")+COUNTIF(조직행동론_1!$B$2:$B$301,"학생246")+COUNTIF(조직행동론_2!$B$2:$B$301,"학생246")+COUNTIF(중급재무회계_1!$B$2:$B$301,"학생246")+COUNTIF(투자론_1!$B$2:$B$300,"학생246")+COUNTIF(경영과학_1!$B$2:$B$301,"학생246")+COUNTIF(세무회계_1!$B$2:$B$301,"학생246")+COUNTIF(스마트경영_1!$B$2:$B$301,"학생246")+COUNTIF(스마트경영_2!$B$2:$B$301,"학생246")+COUNTIF(인적자원관리_1!$B$2:$B$257,"학생246")+COUNTIF(서비스마케팅_1!$B$2:$B$276,"학생246")+COUNTIF(제품관리_1!$B$2:$B$301,"학생246")</f>
        <v>7</v>
      </c>
    </row>
    <row r="250" spans="1:9" hidden="1">
      <c r="A250" s="15">
        <v>247</v>
      </c>
      <c r="B250" s="16" t="s">
        <v>248</v>
      </c>
      <c r="C250" s="16">
        <v>202400247</v>
      </c>
      <c r="I250" s="24">
        <f>COUNTIF(경영학원론_1!$B$3:$B$300,"학생247")+COUNTIF(경영학원론_2!$B$2:$B$301,"학생247")+COUNTIF(경영학원론_3!$B$2:$B$301,"학생247")+COUNTIF(경영학원론_4!$B$2:$B$300,"학생247")+COUNTIF(경제학원론_1!$B$2:$B$295,"학생247")+COUNTIF(경제학원론_2!$B$2:$B$298,"학생247")+COUNTIF(경제학원론_3!$B$2:$B$295,"학생247")+COUNTIF(경영통계학_1!$B$2:$B$299,"학생247")+COUNTIF(경영통계학_2!$B$2:$B$301,"학생247")+COUNTIF(경영통계학_3!$B$2:$B$298,"학생247")+COUNTIF(무역학개론_1!$B$2:$B$301,"학생247")+COUNTIF(회계학원론_1!$B$2:$B$293,"학생247")+COUNTIF(경영정보시스템_1!$B$2:$B$301,"학생247")+COUNTIF(관리회계_1!$B$2:$B$300,"학생247")+COUNTIF(관리회계_2!$B$2:$B$301,"학생247")+COUNTIF(마케팅_1!$B$2:$B$301,"학생247")+COUNTIF(마케팅리서치_1!$B$2:$B$301,"학생247")+COUNTIF(세법개론_1!$B$2:$B$300,"학생247")+COUNTIF(재무관리_1!$B$2:$B$301,"학생247")+COUNTIF(조직행동론_1!$B$2:$B$301,"학생247")+COUNTIF(조직행동론_2!$B$2:$B$301,"학생247")+COUNTIF(중급재무회계_1!$B$2:$B$301,"학생247")+COUNTIF(투자론_1!$B$2:$B$300,"학생247")+COUNTIF(경영과학_1!$B$2:$B$301,"학생247")+COUNTIF(세무회계_1!$B$2:$B$301,"학생247")+COUNTIF(스마트경영_1!$B$2:$B$301,"학생247")+COUNTIF(스마트경영_2!$B$2:$B$301,"학생247")+COUNTIF(인적자원관리_1!$B$2:$B$257,"학생247")+COUNTIF(서비스마케팅_1!$B$2:$B$276,"학생247")+COUNTIF(제품관리_1!$B$2:$B$301,"학생247")</f>
        <v>6</v>
      </c>
    </row>
    <row r="251" spans="1:9" hidden="1">
      <c r="A251" s="15">
        <v>248</v>
      </c>
      <c r="B251" s="16" t="s">
        <v>249</v>
      </c>
      <c r="C251" s="16">
        <v>202400248</v>
      </c>
      <c r="I251" s="24">
        <f>COUNTIF(경영학원론_1!$B$3:$B$300,"학생248")+COUNTIF(경영학원론_2!$B$2:$B$301,"학생248")+COUNTIF(경영학원론_3!$B$2:$B$301,"학생248")+COUNTIF(경영학원론_4!$B$2:$B$300,"학생248")+COUNTIF(경제학원론_1!$B$2:$B$295,"학생248")+COUNTIF(경제학원론_2!$B$2:$B$298,"학생248")+COUNTIF(경제학원론_3!$B$2:$B$295,"학생248")+COUNTIF(경영통계학_1!$B$2:$B$299,"학생248")+COUNTIF(경영통계학_2!$B$2:$B$301,"학생248")+COUNTIF(경영통계학_3!$B$2:$B$298,"학생248")+COUNTIF(무역학개론_1!$B$2:$B$301,"학생248")+COUNTIF(회계학원론_1!$B$2:$B$293,"학생248")+COUNTIF(경영정보시스템_1!$B$2:$B$301,"학생248")+COUNTIF(관리회계_1!$B$2:$B$300,"학생248")+COUNTIF(관리회계_2!$B$2:$B$301,"학생248")+COUNTIF(마케팅_1!$B$2:$B$301,"학생248")+COUNTIF(마케팅리서치_1!$B$2:$B$301,"학생248")+COUNTIF(세법개론_1!$B$2:$B$300,"학생248")+COUNTIF(재무관리_1!$B$2:$B$301,"학생248")+COUNTIF(조직행동론_1!$B$2:$B$301,"학생248")+COUNTIF(조직행동론_2!$B$2:$B$301,"학생248")+COUNTIF(중급재무회계_1!$B$2:$B$301,"학생248")+COUNTIF(투자론_1!$B$2:$B$300,"학생248")+COUNTIF(경영과학_1!$B$2:$B$301,"학생248")+COUNTIF(세무회계_1!$B$2:$B$301,"학생248")+COUNTIF(스마트경영_1!$B$2:$B$301,"학생248")+COUNTIF(스마트경영_2!$B$2:$B$301,"학생248")+COUNTIF(인적자원관리_1!$B$2:$B$257,"학생248")+COUNTIF(서비스마케팅_1!$B$2:$B$276,"학생248")+COUNTIF(제품관리_1!$B$2:$B$301,"학생248")</f>
        <v>7</v>
      </c>
    </row>
    <row r="252" spans="1:9" hidden="1">
      <c r="A252" s="15">
        <v>249</v>
      </c>
      <c r="B252" s="16" t="s">
        <v>250</v>
      </c>
      <c r="C252" s="16">
        <v>202400249</v>
      </c>
      <c r="I252" s="24">
        <f>COUNTIF(경영학원론_1!$B$3:$B$300,"학생249")+COUNTIF(경영학원론_2!$B$2:$B$301,"학생249")+COUNTIF(경영학원론_3!$B$2:$B$301,"학생249")+COUNTIF(경영학원론_4!$B$2:$B$300,"학생249")+COUNTIF(경제학원론_1!$B$2:$B$295,"학생249")+COUNTIF(경제학원론_2!$B$2:$B$298,"학생249")+COUNTIF(경제학원론_3!$B$2:$B$295,"학생249")+COUNTIF(경영통계학_1!$B$2:$B$299,"학생249")+COUNTIF(경영통계학_2!$B$2:$B$301,"학생249")+COUNTIF(경영통계학_3!$B$2:$B$298,"학생249")+COUNTIF(무역학개론_1!$B$2:$B$301,"학생249")+COUNTIF(회계학원론_1!$B$2:$B$293,"학생249")+COUNTIF(경영정보시스템_1!$B$2:$B$301,"학생249")+COUNTIF(관리회계_1!$B$2:$B$300,"학생249")+COUNTIF(관리회계_2!$B$2:$B$301,"학생249")+COUNTIF(마케팅_1!$B$2:$B$301,"학생249")+COUNTIF(마케팅리서치_1!$B$2:$B$301,"학생249")+COUNTIF(세법개론_1!$B$2:$B$300,"학생249")+COUNTIF(재무관리_1!$B$2:$B$301,"학생249")+COUNTIF(조직행동론_1!$B$2:$B$301,"학생249")+COUNTIF(조직행동론_2!$B$2:$B$301,"학생249")+COUNTIF(중급재무회계_1!$B$2:$B$301,"학생249")+COUNTIF(투자론_1!$B$2:$B$300,"학생249")+COUNTIF(경영과학_1!$B$2:$B$301,"학생249")+COUNTIF(세무회계_1!$B$2:$B$301,"학생249")+COUNTIF(스마트경영_1!$B$2:$B$301,"학생249")+COUNTIF(스마트경영_2!$B$2:$B$301,"학생249")+COUNTIF(인적자원관리_1!$B$2:$B$257,"학생249")+COUNTIF(서비스마케팅_1!$B$2:$B$276,"학생249")+COUNTIF(제품관리_1!$B$2:$B$301,"학생249")</f>
        <v>5</v>
      </c>
    </row>
    <row r="253" spans="1:9" hidden="1">
      <c r="A253" s="15">
        <v>250</v>
      </c>
      <c r="B253" s="16" t="s">
        <v>251</v>
      </c>
      <c r="C253" s="16">
        <v>202400250</v>
      </c>
      <c r="I253" s="24">
        <f>COUNTIF(경영학원론_1!$B$3:$B$300,"학생250")+COUNTIF(경영학원론_2!$B$2:$B$301,"학생250")+COUNTIF(경영학원론_3!$B$2:$B$301,"학생250")+COUNTIF(경영학원론_4!$B$2:$B$300,"학생250")+COUNTIF(경제학원론_1!$B$2:$B$295,"학생250")+COUNTIF(경제학원론_2!$B$2:$B$298,"학생250")+COUNTIF(경제학원론_3!$B$2:$B$295,"학생250")+COUNTIF(경영통계학_1!$B$2:$B$299,"학생250")+COUNTIF(경영통계학_2!$B$2:$B$301,"학생250")+COUNTIF(경영통계학_3!$B$2:$B$298,"학생250")+COUNTIF(무역학개론_1!$B$2:$B$301,"학생250")+COUNTIF(회계학원론_1!$B$2:$B$293,"학생250")+COUNTIF(경영정보시스템_1!$B$2:$B$301,"학생250")+COUNTIF(관리회계_1!$B$2:$B$300,"학생250")+COUNTIF(관리회계_2!$B$2:$B$301,"학생250")+COUNTIF(마케팅_1!$B$2:$B$301,"학생250")+COUNTIF(마케팅리서치_1!$B$2:$B$301,"학생250")+COUNTIF(세법개론_1!$B$2:$B$300,"학생250")+COUNTIF(재무관리_1!$B$2:$B$301,"학생250")+COUNTIF(조직행동론_1!$B$2:$B$301,"학생250")+COUNTIF(조직행동론_2!$B$2:$B$301,"학생250")+COUNTIF(중급재무회계_1!$B$2:$B$301,"학생250")+COUNTIF(투자론_1!$B$2:$B$300,"학생250")+COUNTIF(경영과학_1!$B$2:$B$301,"학생250")+COUNTIF(세무회계_1!$B$2:$B$301,"학생250")+COUNTIF(스마트경영_1!$B$2:$B$301,"학생250")+COUNTIF(스마트경영_2!$B$2:$B$301,"학생250")+COUNTIF(인적자원관리_1!$B$2:$B$257,"학생250")+COUNTIF(서비스마케팅_1!$B$2:$B$276,"학생250")+COUNTIF(제품관리_1!$B$2:$B$301,"학생250")</f>
        <v>7</v>
      </c>
    </row>
    <row r="254" spans="1:9" hidden="1">
      <c r="A254" s="15">
        <v>251</v>
      </c>
      <c r="B254" s="16" t="s">
        <v>252</v>
      </c>
      <c r="C254" s="16">
        <v>202400251</v>
      </c>
      <c r="I254" s="24">
        <f>COUNTIF(경영학원론_1!$B$3:$B$300,"학생251")+COUNTIF(경영학원론_2!$B$2:$B$301,"학생251")+COUNTIF(경영학원론_3!$B$2:$B$301,"학생251")+COUNTIF(경영학원론_4!$B$2:$B$300,"학생251")+COUNTIF(경제학원론_1!$B$2:$B$295,"학생251")+COUNTIF(경제학원론_2!$B$2:$B$298,"학생251")+COUNTIF(경제학원론_3!$B$2:$B$295,"학생251")+COUNTIF(경영통계학_1!$B$2:$B$299,"학생251")+COUNTIF(경영통계학_2!$B$2:$B$301,"학생251")+COUNTIF(경영통계학_3!$B$2:$B$298,"학생251")+COUNTIF(무역학개론_1!$B$2:$B$301,"학생251")+COUNTIF(회계학원론_1!$B$2:$B$293,"학생251")+COUNTIF(경영정보시스템_1!$B$2:$B$301,"학생251")+COUNTIF(관리회계_1!$B$2:$B$300,"학생251")+COUNTIF(관리회계_2!$B$2:$B$301,"학생251")+COUNTIF(마케팅_1!$B$2:$B$301,"학생251")+COUNTIF(마케팅리서치_1!$B$2:$B$301,"학생251")+COUNTIF(세법개론_1!$B$2:$B$300,"학생251")+COUNTIF(재무관리_1!$B$2:$B$301,"학생251")+COUNTIF(조직행동론_1!$B$2:$B$301,"학생251")+COUNTIF(조직행동론_2!$B$2:$B$301,"학생251")+COUNTIF(중급재무회계_1!$B$2:$B$301,"학생251")+COUNTIF(투자론_1!$B$2:$B$300,"학생251")+COUNTIF(경영과학_1!$B$2:$B$301,"학생251")+COUNTIF(세무회계_1!$B$2:$B$301,"학생251")+COUNTIF(스마트경영_1!$B$2:$B$301,"학생251")+COUNTIF(스마트경영_2!$B$2:$B$301,"학생251")+COUNTIF(인적자원관리_1!$B$2:$B$257,"학생251")+COUNTIF(서비스마케팅_1!$B$2:$B$276,"학생251")+COUNTIF(제품관리_1!$B$2:$B$301,"학생251")</f>
        <v>7</v>
      </c>
    </row>
    <row r="255" spans="1:9" hidden="1">
      <c r="A255" s="15">
        <v>252</v>
      </c>
      <c r="B255" s="16" t="s">
        <v>253</v>
      </c>
      <c r="C255" s="16">
        <v>202400252</v>
      </c>
      <c r="I255" s="24">
        <f>COUNTIF(경영학원론_1!$B$3:$B$300,"학생252")+COUNTIF(경영학원론_2!$B$2:$B$301,"학생252")+COUNTIF(경영학원론_3!$B$2:$B$301,"학생252")+COUNTIF(경영학원론_4!$B$2:$B$300,"학생252")+COUNTIF(경제학원론_1!$B$2:$B$295,"학생252")+COUNTIF(경제학원론_2!$B$2:$B$298,"학생252")+COUNTIF(경제학원론_3!$B$2:$B$295,"학생252")+COUNTIF(경영통계학_1!$B$2:$B$299,"학생252")+COUNTIF(경영통계학_2!$B$2:$B$301,"학생252")+COUNTIF(경영통계학_3!$B$2:$B$298,"학생252")+COUNTIF(무역학개론_1!$B$2:$B$301,"학생252")+COUNTIF(회계학원론_1!$B$2:$B$293,"학생252")+COUNTIF(경영정보시스템_1!$B$2:$B$301,"학생252")+COUNTIF(관리회계_1!$B$2:$B$300,"학생252")+COUNTIF(관리회계_2!$B$2:$B$301,"학생252")+COUNTIF(마케팅_1!$B$2:$B$301,"학생252")+COUNTIF(마케팅리서치_1!$B$2:$B$301,"학생252")+COUNTIF(세법개론_1!$B$2:$B$300,"학생252")+COUNTIF(재무관리_1!$B$2:$B$301,"학생252")+COUNTIF(조직행동론_1!$B$2:$B$301,"학생252")+COUNTIF(조직행동론_2!$B$2:$B$301,"학생252")+COUNTIF(중급재무회계_1!$B$2:$B$301,"학생252")+COUNTIF(투자론_1!$B$2:$B$300,"학생252")+COUNTIF(경영과학_1!$B$2:$B$301,"학생252")+COUNTIF(세무회계_1!$B$2:$B$301,"학생252")+COUNTIF(스마트경영_1!$B$2:$B$301,"학생252")+COUNTIF(스마트경영_2!$B$2:$B$301,"학생252")+COUNTIF(인적자원관리_1!$B$2:$B$257,"학생252")+COUNTIF(서비스마케팅_1!$B$2:$B$276,"학생252")+COUNTIF(제품관리_1!$B$2:$B$301,"학생252")</f>
        <v>3</v>
      </c>
    </row>
    <row r="256" spans="1:9" hidden="1">
      <c r="A256" s="15">
        <v>253</v>
      </c>
      <c r="B256" s="16" t="s">
        <v>254</v>
      </c>
      <c r="C256" s="16">
        <v>202400253</v>
      </c>
      <c r="I256" s="24">
        <f>COUNTIF(경영학원론_1!$B$3:$B$300,"학생253")+COUNTIF(경영학원론_2!$B$2:$B$301,"학생253")+COUNTIF(경영학원론_3!$B$2:$B$301,"학생253")+COUNTIF(경영학원론_4!$B$2:$B$300,"학생253")+COUNTIF(경제학원론_1!$B$2:$B$295,"학생253")+COUNTIF(경제학원론_2!$B$2:$B$298,"학생253")+COUNTIF(경제학원론_3!$B$2:$B$295,"학생253")+COUNTIF(경영통계학_1!$B$2:$B$299,"학생253")+COUNTIF(경영통계학_2!$B$2:$B$301,"학생253")+COUNTIF(경영통계학_3!$B$2:$B$298,"학생253")+COUNTIF(무역학개론_1!$B$2:$B$301,"학생253")+COUNTIF(회계학원론_1!$B$2:$B$293,"학생253")+COUNTIF(경영정보시스템_1!$B$2:$B$301,"학생253")+COUNTIF(관리회계_1!$B$2:$B$300,"학생253")+COUNTIF(관리회계_2!$B$2:$B$301,"학생253")+COUNTIF(마케팅_1!$B$2:$B$301,"학생253")+COUNTIF(마케팅리서치_1!$B$2:$B$301,"학생253")+COUNTIF(세법개론_1!$B$2:$B$300,"학생253")+COUNTIF(재무관리_1!$B$2:$B$301,"학생253")+COUNTIF(조직행동론_1!$B$2:$B$301,"학생253")+COUNTIF(조직행동론_2!$B$2:$B$301,"학생253")+COUNTIF(중급재무회계_1!$B$2:$B$301,"학생253")+COUNTIF(투자론_1!$B$2:$B$300,"학생253")+COUNTIF(경영과학_1!$B$2:$B$301,"학생253")+COUNTIF(세무회계_1!$B$2:$B$301,"학생253")+COUNTIF(스마트경영_1!$B$2:$B$301,"학생253")+COUNTIF(스마트경영_2!$B$2:$B$301,"학생253")+COUNTIF(인적자원관리_1!$B$2:$B$257,"학생253")+COUNTIF(서비스마케팅_1!$B$2:$B$276,"학생253")+COUNTIF(제품관리_1!$B$2:$B$301,"학생253")</f>
        <v>7</v>
      </c>
    </row>
    <row r="257" spans="1:9" hidden="1">
      <c r="A257" s="15">
        <v>254</v>
      </c>
      <c r="B257" s="16" t="s">
        <v>255</v>
      </c>
      <c r="C257" s="16">
        <v>202400254</v>
      </c>
      <c r="I257" s="24">
        <f>COUNTIF(경영학원론_1!$B$3:$B$300,"학생254")+COUNTIF(경영학원론_2!$B$2:$B$301,"학생254")+COUNTIF(경영학원론_3!$B$2:$B$301,"학생254")+COUNTIF(경영학원론_4!$B$2:$B$300,"학생254")+COUNTIF(경제학원론_1!$B$2:$B$295,"학생254")+COUNTIF(경제학원론_2!$B$2:$B$298,"학생254")+COUNTIF(경제학원론_3!$B$2:$B$295,"학생254")+COUNTIF(경영통계학_1!$B$2:$B$299,"학생254")+COUNTIF(경영통계학_2!$B$2:$B$301,"학생254")+COUNTIF(경영통계학_3!$B$2:$B$298,"학생254")+COUNTIF(무역학개론_1!$B$2:$B$301,"학생254")+COUNTIF(회계학원론_1!$B$2:$B$293,"학생254")+COUNTIF(경영정보시스템_1!$B$2:$B$301,"학생254")+COUNTIF(관리회계_1!$B$2:$B$300,"학생254")+COUNTIF(관리회계_2!$B$2:$B$301,"학생254")+COUNTIF(마케팅_1!$B$2:$B$301,"학생254")+COUNTIF(마케팅리서치_1!$B$2:$B$301,"학생254")+COUNTIF(세법개론_1!$B$2:$B$300,"학생254")+COUNTIF(재무관리_1!$B$2:$B$301,"학생254")+COUNTIF(조직행동론_1!$B$2:$B$301,"학생254")+COUNTIF(조직행동론_2!$B$2:$B$301,"학생254")+COUNTIF(중급재무회계_1!$B$2:$B$301,"학생254")+COUNTIF(투자론_1!$B$2:$B$300,"학생254")+COUNTIF(경영과학_1!$B$2:$B$301,"학생254")+COUNTIF(세무회계_1!$B$2:$B$301,"학생254")+COUNTIF(스마트경영_1!$B$2:$B$301,"학생254")+COUNTIF(스마트경영_2!$B$2:$B$301,"학생254")+COUNTIF(인적자원관리_1!$B$2:$B$257,"학생254")+COUNTIF(서비스마케팅_1!$B$2:$B$276,"학생254")+COUNTIF(제품관리_1!$B$2:$B$301,"학생254")</f>
        <v>5</v>
      </c>
    </row>
    <row r="258" spans="1:9" hidden="1">
      <c r="A258" s="15">
        <v>255</v>
      </c>
      <c r="B258" s="16" t="s">
        <v>256</v>
      </c>
      <c r="C258" s="16">
        <v>202400255</v>
      </c>
      <c r="I258" s="24">
        <f>COUNTIF(경영학원론_1!$B$3:$B$300,"학생255")+COUNTIF(경영학원론_2!$B$2:$B$301,"학생255")+COUNTIF(경영학원론_3!$B$2:$B$301,"학생255")+COUNTIF(경영학원론_4!$B$2:$B$300,"학생255")+COUNTIF(경제학원론_1!$B$2:$B$295,"학생255")+COUNTIF(경제학원론_2!$B$2:$B$298,"학생255")+COUNTIF(경제학원론_3!$B$2:$B$295,"학생255")+COUNTIF(경영통계학_1!$B$2:$B$299,"학생255")+COUNTIF(경영통계학_2!$B$2:$B$301,"학생255")+COUNTIF(경영통계학_3!$B$2:$B$298,"학생255")+COUNTIF(무역학개론_1!$B$2:$B$301,"학생255")+COUNTIF(회계학원론_1!$B$2:$B$293,"학생255")+COUNTIF(경영정보시스템_1!$B$2:$B$301,"학생255")+COUNTIF(관리회계_1!$B$2:$B$300,"학생255")+COUNTIF(관리회계_2!$B$2:$B$301,"학생255")+COUNTIF(마케팅_1!$B$2:$B$301,"학생255")+COUNTIF(마케팅리서치_1!$B$2:$B$301,"학생255")+COUNTIF(세법개론_1!$B$2:$B$300,"학생255")+COUNTIF(재무관리_1!$B$2:$B$301,"학생255")+COUNTIF(조직행동론_1!$B$2:$B$301,"학생255")+COUNTIF(조직행동론_2!$B$2:$B$301,"학생255")+COUNTIF(중급재무회계_1!$B$2:$B$301,"학생255")+COUNTIF(투자론_1!$B$2:$B$300,"학생255")+COUNTIF(경영과학_1!$B$2:$B$301,"학생255")+COUNTIF(세무회계_1!$B$2:$B$301,"학생255")+COUNTIF(스마트경영_1!$B$2:$B$301,"학생255")+COUNTIF(스마트경영_2!$B$2:$B$301,"학생255")+COUNTIF(인적자원관리_1!$B$2:$B$257,"학생255")+COUNTIF(서비스마케팅_1!$B$2:$B$276,"학생255")+COUNTIF(제품관리_1!$B$2:$B$301,"학생255")</f>
        <v>6</v>
      </c>
    </row>
    <row r="259" spans="1:9" hidden="1">
      <c r="A259" s="15">
        <v>256</v>
      </c>
      <c r="B259" s="16" t="s">
        <v>257</v>
      </c>
      <c r="C259" s="16">
        <v>202400256</v>
      </c>
      <c r="I259" s="24">
        <f>COUNTIF(경영학원론_1!$B$3:$B$300,"학생256")+COUNTIF(경영학원론_2!$B$2:$B$301,"학생256")+COUNTIF(경영학원론_3!$B$2:$B$301,"학생256")+COUNTIF(경영학원론_4!$B$2:$B$300,"학생256")+COUNTIF(경제학원론_1!$B$2:$B$295,"학생256")+COUNTIF(경제학원론_2!$B$2:$B$298,"학생256")+COUNTIF(경제학원론_3!$B$2:$B$295,"학생256")+COUNTIF(경영통계학_1!$B$2:$B$299,"학생256")+COUNTIF(경영통계학_2!$B$2:$B$301,"학생256")+COUNTIF(경영통계학_3!$B$2:$B$298,"학생256")+COUNTIF(무역학개론_1!$B$2:$B$301,"학생256")+COUNTIF(회계학원론_1!$B$2:$B$293,"학생256")+COUNTIF(경영정보시스템_1!$B$2:$B$301,"학생256")+COUNTIF(관리회계_1!$B$2:$B$300,"학생256")+COUNTIF(관리회계_2!$B$2:$B$301,"학생256")+COUNTIF(마케팅_1!$B$2:$B$301,"학생256")+COUNTIF(마케팅리서치_1!$B$2:$B$301,"학생256")+COUNTIF(세법개론_1!$B$2:$B$300,"학생256")+COUNTIF(재무관리_1!$B$2:$B$301,"학생256")+COUNTIF(조직행동론_1!$B$2:$B$301,"학생256")+COUNTIF(조직행동론_2!$B$2:$B$301,"학생256")+COUNTIF(중급재무회계_1!$B$2:$B$301,"학생256")+COUNTIF(투자론_1!$B$2:$B$300,"학생256")+COUNTIF(경영과학_1!$B$2:$B$301,"학생256")+COUNTIF(세무회계_1!$B$2:$B$301,"학생256")+COUNTIF(스마트경영_1!$B$2:$B$301,"학생256")+COUNTIF(스마트경영_2!$B$2:$B$301,"학생256")+COUNTIF(인적자원관리_1!$B$2:$B$257,"학생256")+COUNTIF(서비스마케팅_1!$B$2:$B$276,"학생256")+COUNTIF(제품관리_1!$B$2:$B$301,"학생256")</f>
        <v>4</v>
      </c>
    </row>
    <row r="260" spans="1:9" hidden="1">
      <c r="A260" s="15">
        <v>257</v>
      </c>
      <c r="B260" s="16" t="s">
        <v>258</v>
      </c>
      <c r="C260" s="16">
        <v>202400257</v>
      </c>
      <c r="I260" s="24">
        <f>COUNTIF(경영학원론_1!$B$3:$B$300,"학생257")+COUNTIF(경영학원론_2!$B$2:$B$301,"학생257")+COUNTIF(경영학원론_3!$B$2:$B$301,"학생257")+COUNTIF(경영학원론_4!$B$2:$B$300,"학생257")+COUNTIF(경제학원론_1!$B$2:$B$295,"학생257")+COUNTIF(경제학원론_2!$B$2:$B$298,"학생257")+COUNTIF(경제학원론_3!$B$2:$B$295,"학생257")+COUNTIF(경영통계학_1!$B$2:$B$299,"학생257")+COUNTIF(경영통계학_2!$B$2:$B$301,"학생257")+COUNTIF(경영통계학_3!$B$2:$B$298,"학생257")+COUNTIF(무역학개론_1!$B$2:$B$301,"학생257")+COUNTIF(회계학원론_1!$B$2:$B$293,"학생257")+COUNTIF(경영정보시스템_1!$B$2:$B$301,"학생257")+COUNTIF(관리회계_1!$B$2:$B$300,"학생257")+COUNTIF(관리회계_2!$B$2:$B$301,"학생257")+COUNTIF(마케팅_1!$B$2:$B$301,"학생257")+COUNTIF(마케팅리서치_1!$B$2:$B$301,"학생257")+COUNTIF(세법개론_1!$B$2:$B$300,"학생257")+COUNTIF(재무관리_1!$B$2:$B$301,"학생257")+COUNTIF(조직행동론_1!$B$2:$B$301,"학생257")+COUNTIF(조직행동론_2!$B$2:$B$301,"학생257")+COUNTIF(중급재무회계_1!$B$2:$B$301,"학생257")+COUNTIF(투자론_1!$B$2:$B$300,"학생257")+COUNTIF(경영과학_1!$B$2:$B$301,"학생257")+COUNTIF(세무회계_1!$B$2:$B$301,"학생257")+COUNTIF(스마트경영_1!$B$2:$B$301,"학생257")+COUNTIF(스마트경영_2!$B$2:$B$301,"학생257")+COUNTIF(인적자원관리_1!$B$2:$B$257,"학생257")+COUNTIF(서비스마케팅_1!$B$2:$B$276,"학생257")+COUNTIF(제품관리_1!$B$2:$B$301,"학생257")</f>
        <v>6</v>
      </c>
    </row>
    <row r="261" spans="1:9" hidden="1">
      <c r="A261" s="15">
        <v>258</v>
      </c>
      <c r="B261" s="16" t="s">
        <v>259</v>
      </c>
      <c r="C261" s="16">
        <v>202400258</v>
      </c>
      <c r="I261" s="24">
        <f>COUNTIF(경영학원론_1!$B$3:$B$300,"학생258")+COUNTIF(경영학원론_2!$B$2:$B$301,"학생258")+COUNTIF(경영학원론_3!$B$2:$B$301,"학생258")+COUNTIF(경영학원론_4!$B$2:$B$300,"학생258")+COUNTIF(경제학원론_1!$B$2:$B$295,"학생258")+COUNTIF(경제학원론_2!$B$2:$B$298,"학생258")+COUNTIF(경제학원론_3!$B$2:$B$295,"학생258")+COUNTIF(경영통계학_1!$B$2:$B$299,"학생258")+COUNTIF(경영통계학_2!$B$2:$B$301,"학생258")+COUNTIF(경영통계학_3!$B$2:$B$298,"학생258")+COUNTIF(무역학개론_1!$B$2:$B$301,"학생258")+COUNTIF(회계학원론_1!$B$2:$B$293,"학생258")+COUNTIF(경영정보시스템_1!$B$2:$B$301,"학생258")+COUNTIF(관리회계_1!$B$2:$B$300,"학생258")+COUNTIF(관리회계_2!$B$2:$B$301,"학생258")+COUNTIF(마케팅_1!$B$2:$B$301,"학생258")+COUNTIF(마케팅리서치_1!$B$2:$B$301,"학생258")+COUNTIF(세법개론_1!$B$2:$B$300,"학생258")+COUNTIF(재무관리_1!$B$2:$B$301,"학생258")+COUNTIF(조직행동론_1!$B$2:$B$301,"학생258")+COUNTIF(조직행동론_2!$B$2:$B$301,"학생258")+COUNTIF(중급재무회계_1!$B$2:$B$301,"학생258")+COUNTIF(투자론_1!$B$2:$B$300,"학생258")+COUNTIF(경영과학_1!$B$2:$B$301,"학생258")+COUNTIF(세무회계_1!$B$2:$B$301,"학생258")+COUNTIF(스마트경영_1!$B$2:$B$301,"학생258")+COUNTIF(스마트경영_2!$B$2:$B$301,"학생258")+COUNTIF(인적자원관리_1!$B$2:$B$257,"학생258")+COUNTIF(서비스마케팅_1!$B$2:$B$276,"학생258")+COUNTIF(제품관리_1!$B$2:$B$301,"학생258")</f>
        <v>6</v>
      </c>
    </row>
    <row r="262" spans="1:9" hidden="1">
      <c r="A262" s="15">
        <v>259</v>
      </c>
      <c r="B262" s="16" t="s">
        <v>260</v>
      </c>
      <c r="C262" s="16">
        <v>202400259</v>
      </c>
      <c r="I262" s="24">
        <f>COUNTIF(경영학원론_1!$B$3:$B$300,"학생259")+COUNTIF(경영학원론_2!$B$2:$B$301,"학생259")+COUNTIF(경영학원론_3!$B$2:$B$301,"학생259")+COUNTIF(경영학원론_4!$B$2:$B$300,"학생259")+COUNTIF(경제학원론_1!$B$2:$B$295,"학생259")+COUNTIF(경제학원론_2!$B$2:$B$298,"학생259")+COUNTIF(경제학원론_3!$B$2:$B$295,"학생259")+COUNTIF(경영통계학_1!$B$2:$B$299,"학생259")+COUNTIF(경영통계학_2!$B$2:$B$301,"학생259")+COUNTIF(경영통계학_3!$B$2:$B$298,"학생259")+COUNTIF(무역학개론_1!$B$2:$B$301,"학생259")+COUNTIF(회계학원론_1!$B$2:$B$293,"학생259")+COUNTIF(경영정보시스템_1!$B$2:$B$301,"학생259")+COUNTIF(관리회계_1!$B$2:$B$300,"학생259")+COUNTIF(관리회계_2!$B$2:$B$301,"학생259")+COUNTIF(마케팅_1!$B$2:$B$301,"학생259")+COUNTIF(마케팅리서치_1!$B$2:$B$301,"학생259")+COUNTIF(세법개론_1!$B$2:$B$300,"학생259")+COUNTIF(재무관리_1!$B$2:$B$301,"학생259")+COUNTIF(조직행동론_1!$B$2:$B$301,"학생259")+COUNTIF(조직행동론_2!$B$2:$B$301,"학생259")+COUNTIF(중급재무회계_1!$B$2:$B$301,"학생259")+COUNTIF(투자론_1!$B$2:$B$300,"학생259")+COUNTIF(경영과학_1!$B$2:$B$301,"학생259")+COUNTIF(세무회계_1!$B$2:$B$301,"학생259")+COUNTIF(스마트경영_1!$B$2:$B$301,"학생259")+COUNTIF(스마트경영_2!$B$2:$B$301,"학생259")+COUNTIF(인적자원관리_1!$B$2:$B$257,"학생259")+COUNTIF(서비스마케팅_1!$B$2:$B$276,"학생259")+COUNTIF(제품관리_1!$B$2:$B$301,"학생259")</f>
        <v>4</v>
      </c>
    </row>
    <row r="263" spans="1:9" hidden="1">
      <c r="A263" s="15">
        <v>260</v>
      </c>
      <c r="B263" s="16" t="s">
        <v>261</v>
      </c>
      <c r="C263" s="16">
        <v>202400260</v>
      </c>
      <c r="I263" s="24">
        <f>COUNTIF(경영학원론_1!$B$3:$B$300,"학생260")+COUNTIF(경영학원론_2!$B$2:$B$301,"학생260")+COUNTIF(경영학원론_3!$B$2:$B$301,"학생260")+COUNTIF(경영학원론_4!$B$2:$B$300,"학생260")+COUNTIF(경제학원론_1!$B$2:$B$295,"학생260")+COUNTIF(경제학원론_2!$B$2:$B$298,"학생260")+COUNTIF(경제학원론_3!$B$2:$B$295,"학생260")+COUNTIF(경영통계학_1!$B$2:$B$299,"학생260")+COUNTIF(경영통계학_2!$B$2:$B$301,"학생260")+COUNTIF(경영통계학_3!$B$2:$B$298,"학생260")+COUNTIF(무역학개론_1!$B$2:$B$301,"학생260")+COUNTIF(회계학원론_1!$B$2:$B$293,"학생260")+COUNTIF(경영정보시스템_1!$B$2:$B$301,"학생260")+COUNTIF(관리회계_1!$B$2:$B$300,"학생260")+COUNTIF(관리회계_2!$B$2:$B$301,"학생260")+COUNTIF(마케팅_1!$B$2:$B$301,"학생260")+COUNTIF(마케팅리서치_1!$B$2:$B$301,"학생260")+COUNTIF(세법개론_1!$B$2:$B$300,"학생260")+COUNTIF(재무관리_1!$B$2:$B$301,"학생260")+COUNTIF(조직행동론_1!$B$2:$B$301,"학생260")+COUNTIF(조직행동론_2!$B$2:$B$301,"학생260")+COUNTIF(중급재무회계_1!$B$2:$B$301,"학생260")+COUNTIF(투자론_1!$B$2:$B$300,"학생260")+COUNTIF(경영과학_1!$B$2:$B$301,"학생260")+COUNTIF(세무회계_1!$B$2:$B$301,"학생260")+COUNTIF(스마트경영_1!$B$2:$B$301,"학생260")+COUNTIF(스마트경영_2!$B$2:$B$301,"학생260")+COUNTIF(인적자원관리_1!$B$2:$B$257,"학생260")+COUNTIF(서비스마케팅_1!$B$2:$B$276,"학생260")+COUNTIF(제품관리_1!$B$2:$B$301,"학생260")</f>
        <v>7</v>
      </c>
    </row>
    <row r="264" spans="1:9" hidden="1">
      <c r="A264" s="15">
        <v>261</v>
      </c>
      <c r="B264" s="16" t="s">
        <v>262</v>
      </c>
      <c r="C264" s="16">
        <v>202400261</v>
      </c>
      <c r="I264" s="24">
        <f>COUNTIF(경영학원론_1!$B$3:$B$300,"학생261")+COUNTIF(경영학원론_2!$B$2:$B$301,"학생261")+COUNTIF(경영학원론_3!$B$2:$B$301,"학생261")+COUNTIF(경영학원론_4!$B$2:$B$300,"학생261")+COUNTIF(경제학원론_1!$B$2:$B$295,"학생261")+COUNTIF(경제학원론_2!$B$2:$B$298,"학생261")+COUNTIF(경제학원론_3!$B$2:$B$295,"학생261")+COUNTIF(경영통계학_1!$B$2:$B$299,"학생261")+COUNTIF(경영통계학_2!$B$2:$B$301,"학생261")+COUNTIF(경영통계학_3!$B$2:$B$298,"학생261")+COUNTIF(무역학개론_1!$B$2:$B$301,"학생261")+COUNTIF(회계학원론_1!$B$2:$B$293,"학생261")+COUNTIF(경영정보시스템_1!$B$2:$B$301,"학생261")+COUNTIF(관리회계_1!$B$2:$B$300,"학생261")+COUNTIF(관리회계_2!$B$2:$B$301,"학생261")+COUNTIF(마케팅_1!$B$2:$B$301,"학생261")+COUNTIF(마케팅리서치_1!$B$2:$B$301,"학생261")+COUNTIF(세법개론_1!$B$2:$B$300,"학생261")+COUNTIF(재무관리_1!$B$2:$B$301,"학생261")+COUNTIF(조직행동론_1!$B$2:$B$301,"학생261")+COUNTIF(조직행동론_2!$B$2:$B$301,"학생261")+COUNTIF(중급재무회계_1!$B$2:$B$301,"학생261")+COUNTIF(투자론_1!$B$2:$B$300,"학생261")+COUNTIF(경영과학_1!$B$2:$B$301,"학생261")+COUNTIF(세무회계_1!$B$2:$B$301,"학생261")+COUNTIF(스마트경영_1!$B$2:$B$301,"학생261")+COUNTIF(스마트경영_2!$B$2:$B$301,"학생261")+COUNTIF(인적자원관리_1!$B$2:$B$257,"학생261")+COUNTIF(서비스마케팅_1!$B$2:$B$276,"학생261")+COUNTIF(제품관리_1!$B$2:$B$301,"학생261")</f>
        <v>5</v>
      </c>
    </row>
    <row r="265" spans="1:9" hidden="1">
      <c r="A265" s="15">
        <v>262</v>
      </c>
      <c r="B265" s="16" t="s">
        <v>263</v>
      </c>
      <c r="C265" s="16">
        <v>202400262</v>
      </c>
      <c r="I265" s="24">
        <f>COUNTIF(경영학원론_1!$B$3:$B$300,"학생262")+COUNTIF(경영학원론_2!$B$2:$B$301,"학생262")+COUNTIF(경영학원론_3!$B$2:$B$301,"학생262")+COUNTIF(경영학원론_4!$B$2:$B$300,"학생262")+COUNTIF(경제학원론_1!$B$2:$B$295,"학생262")+COUNTIF(경제학원론_2!$B$2:$B$298,"학생262")+COUNTIF(경제학원론_3!$B$2:$B$295,"학생262")+COUNTIF(경영통계학_1!$B$2:$B$299,"학생262")+COUNTIF(경영통계학_2!$B$2:$B$301,"학생262")+COUNTIF(경영통계학_3!$B$2:$B$298,"학생262")+COUNTIF(무역학개론_1!$B$2:$B$301,"학생262")+COUNTIF(회계학원론_1!$B$2:$B$293,"학생262")+COUNTIF(경영정보시스템_1!$B$2:$B$301,"학생262")+COUNTIF(관리회계_1!$B$2:$B$300,"학생262")+COUNTIF(관리회계_2!$B$2:$B$301,"학생262")+COUNTIF(마케팅_1!$B$2:$B$301,"학생262")+COUNTIF(마케팅리서치_1!$B$2:$B$301,"학생262")+COUNTIF(세법개론_1!$B$2:$B$300,"학생262")+COUNTIF(재무관리_1!$B$2:$B$301,"학생262")+COUNTIF(조직행동론_1!$B$2:$B$301,"학생262")+COUNTIF(조직행동론_2!$B$2:$B$301,"학생262")+COUNTIF(중급재무회계_1!$B$2:$B$301,"학생262")+COUNTIF(투자론_1!$B$2:$B$300,"학생262")+COUNTIF(경영과학_1!$B$2:$B$301,"학생262")+COUNTIF(세무회계_1!$B$2:$B$301,"학생262")+COUNTIF(스마트경영_1!$B$2:$B$301,"학생262")+COUNTIF(스마트경영_2!$B$2:$B$301,"학생262")+COUNTIF(인적자원관리_1!$B$2:$B$257,"학생262")+COUNTIF(서비스마케팅_1!$B$2:$B$276,"학생262")+COUNTIF(제품관리_1!$B$2:$B$301,"학생262")</f>
        <v>5</v>
      </c>
    </row>
    <row r="266" spans="1:9" hidden="1">
      <c r="A266" s="15">
        <v>263</v>
      </c>
      <c r="B266" s="16" t="s">
        <v>264</v>
      </c>
      <c r="C266" s="16">
        <v>202400263</v>
      </c>
      <c r="I266" s="24">
        <f>COUNTIF(경영학원론_1!$B$3:$B$300,"학생263")+COUNTIF(경영학원론_2!$B$2:$B$301,"학생263")+COUNTIF(경영학원론_3!$B$2:$B$301,"학생263")+COUNTIF(경영학원론_4!$B$2:$B$300,"학생263")+COUNTIF(경제학원론_1!$B$2:$B$295,"학생263")+COUNTIF(경제학원론_2!$B$2:$B$298,"학생263")+COUNTIF(경제학원론_3!$B$2:$B$295,"학생263")+COUNTIF(경영통계학_1!$B$2:$B$299,"학생263")+COUNTIF(경영통계학_2!$B$2:$B$301,"학생263")+COUNTIF(경영통계학_3!$B$2:$B$298,"학생263")+COUNTIF(무역학개론_1!$B$2:$B$301,"학생263")+COUNTIF(회계학원론_1!$B$2:$B$293,"학생263")+COUNTIF(경영정보시스템_1!$B$2:$B$301,"학생263")+COUNTIF(관리회계_1!$B$2:$B$300,"학생263")+COUNTIF(관리회계_2!$B$2:$B$301,"학생263")+COUNTIF(마케팅_1!$B$2:$B$301,"학생263")+COUNTIF(마케팅리서치_1!$B$2:$B$301,"학생263")+COUNTIF(세법개론_1!$B$2:$B$300,"학생263")+COUNTIF(재무관리_1!$B$2:$B$301,"학생263")+COUNTIF(조직행동론_1!$B$2:$B$301,"학생263")+COUNTIF(조직행동론_2!$B$2:$B$301,"학생263")+COUNTIF(중급재무회계_1!$B$2:$B$301,"학생263")+COUNTIF(투자론_1!$B$2:$B$300,"학생263")+COUNTIF(경영과학_1!$B$2:$B$301,"학생263")+COUNTIF(세무회계_1!$B$2:$B$301,"학생263")+COUNTIF(스마트경영_1!$B$2:$B$301,"학생263")+COUNTIF(스마트경영_2!$B$2:$B$301,"학생263")+COUNTIF(인적자원관리_1!$B$2:$B$257,"학생263")+COUNTIF(서비스마케팅_1!$B$2:$B$276,"학생263")+COUNTIF(제품관리_1!$B$2:$B$301,"학생263")</f>
        <v>6</v>
      </c>
    </row>
    <row r="267" spans="1:9" hidden="1">
      <c r="A267" s="15">
        <v>264</v>
      </c>
      <c r="B267" s="16" t="s">
        <v>265</v>
      </c>
      <c r="C267" s="16">
        <v>202400264</v>
      </c>
      <c r="I267" s="24">
        <f>COUNTIF(경영학원론_1!$B$3:$B$300,"학생264")+COUNTIF(경영학원론_2!$B$2:$B$301,"학생264")+COUNTIF(경영학원론_3!$B$2:$B$301,"학생264")+COUNTIF(경영학원론_4!$B$2:$B$300,"학생264")+COUNTIF(경제학원론_1!$B$2:$B$295,"학생264")+COUNTIF(경제학원론_2!$B$2:$B$298,"학생264")+COUNTIF(경제학원론_3!$B$2:$B$295,"학생264")+COUNTIF(경영통계학_1!$B$2:$B$299,"학생264")+COUNTIF(경영통계학_2!$B$2:$B$301,"학생264")+COUNTIF(경영통계학_3!$B$2:$B$298,"학생264")+COUNTIF(무역학개론_1!$B$2:$B$301,"학생264")+COUNTIF(회계학원론_1!$B$2:$B$293,"학생264")+COUNTIF(경영정보시스템_1!$B$2:$B$301,"학생264")+COUNTIF(관리회계_1!$B$2:$B$300,"학생264")+COUNTIF(관리회계_2!$B$2:$B$301,"학생264")+COUNTIF(마케팅_1!$B$2:$B$301,"학생264")+COUNTIF(마케팅리서치_1!$B$2:$B$301,"학생264")+COUNTIF(세법개론_1!$B$2:$B$300,"학생264")+COUNTIF(재무관리_1!$B$2:$B$301,"학생264")+COUNTIF(조직행동론_1!$B$2:$B$301,"학생264")+COUNTIF(조직행동론_2!$B$2:$B$301,"학생264")+COUNTIF(중급재무회계_1!$B$2:$B$301,"학생264")+COUNTIF(투자론_1!$B$2:$B$300,"학생264")+COUNTIF(경영과학_1!$B$2:$B$301,"학생264")+COUNTIF(세무회계_1!$B$2:$B$301,"학생264")+COUNTIF(스마트경영_1!$B$2:$B$301,"학생264")+COUNTIF(스마트경영_2!$B$2:$B$301,"학생264")+COUNTIF(인적자원관리_1!$B$2:$B$257,"학생264")+COUNTIF(서비스마케팅_1!$B$2:$B$276,"학생264")+COUNTIF(제품관리_1!$B$2:$B$301,"학생264")</f>
        <v>6</v>
      </c>
    </row>
    <row r="268" spans="1:9" hidden="1">
      <c r="A268" s="15">
        <v>265</v>
      </c>
      <c r="B268" s="16" t="s">
        <v>266</v>
      </c>
      <c r="C268" s="16">
        <v>202400265</v>
      </c>
      <c r="I268" s="24">
        <f>COUNTIF(경영학원론_1!$B$3:$B$300,"학생265")+COUNTIF(경영학원론_2!$B$2:$B$301,"학생265")+COUNTIF(경영학원론_3!$B$2:$B$301,"학생265")+COUNTIF(경영학원론_4!$B$2:$B$300,"학생265")+COUNTIF(경제학원론_1!$B$2:$B$295,"학생265")+COUNTIF(경제학원론_2!$B$2:$B$298,"학생265")+COUNTIF(경제학원론_3!$B$2:$B$295,"학생265")+COUNTIF(경영통계학_1!$B$2:$B$299,"학생265")+COUNTIF(경영통계학_2!$B$2:$B$301,"학생265")+COUNTIF(경영통계학_3!$B$2:$B$298,"학생265")+COUNTIF(무역학개론_1!$B$2:$B$301,"학생265")+COUNTIF(회계학원론_1!$B$2:$B$293,"학생265")+COUNTIF(경영정보시스템_1!$B$2:$B$301,"학생265")+COUNTIF(관리회계_1!$B$2:$B$300,"학생265")+COUNTIF(관리회계_2!$B$2:$B$301,"학생265")+COUNTIF(마케팅_1!$B$2:$B$301,"학생265")+COUNTIF(마케팅리서치_1!$B$2:$B$301,"학생265")+COUNTIF(세법개론_1!$B$2:$B$300,"학생265")+COUNTIF(재무관리_1!$B$2:$B$301,"학생265")+COUNTIF(조직행동론_1!$B$2:$B$301,"학생265")+COUNTIF(조직행동론_2!$B$2:$B$301,"학생265")+COUNTIF(중급재무회계_1!$B$2:$B$301,"학생265")+COUNTIF(투자론_1!$B$2:$B$300,"학생265")+COUNTIF(경영과학_1!$B$2:$B$301,"학생265")+COUNTIF(세무회계_1!$B$2:$B$301,"학생265")+COUNTIF(스마트경영_1!$B$2:$B$301,"학생265")+COUNTIF(스마트경영_2!$B$2:$B$301,"학생265")+COUNTIF(인적자원관리_1!$B$2:$B$257,"학생265")+COUNTIF(서비스마케팅_1!$B$2:$B$276,"학생265")+COUNTIF(제품관리_1!$B$2:$B$301,"학생265")</f>
        <v>4</v>
      </c>
    </row>
    <row r="269" spans="1:9" hidden="1">
      <c r="A269" s="15">
        <v>266</v>
      </c>
      <c r="B269" s="16" t="s">
        <v>267</v>
      </c>
      <c r="C269" s="16">
        <v>202400266</v>
      </c>
      <c r="I269" s="24">
        <f>COUNTIF(경영학원론_1!$B$3:$B$300,"학생266")+COUNTIF(경영학원론_2!$B$2:$B$301,"학생266")+COUNTIF(경영학원론_3!$B$2:$B$301,"학생266")+COUNTIF(경영학원론_4!$B$2:$B$300,"학생266")+COUNTIF(경제학원론_1!$B$2:$B$295,"학생266")+COUNTIF(경제학원론_2!$B$2:$B$298,"학생266")+COUNTIF(경제학원론_3!$B$2:$B$295,"학생266")+COUNTIF(경영통계학_1!$B$2:$B$299,"학생266")+COUNTIF(경영통계학_2!$B$2:$B$301,"학생266")+COUNTIF(경영통계학_3!$B$2:$B$298,"학생266")+COUNTIF(무역학개론_1!$B$2:$B$301,"학생266")+COUNTIF(회계학원론_1!$B$2:$B$293,"학생266")+COUNTIF(경영정보시스템_1!$B$2:$B$301,"학생266")+COUNTIF(관리회계_1!$B$2:$B$300,"학생266")+COUNTIF(관리회계_2!$B$2:$B$301,"학생266")+COUNTIF(마케팅_1!$B$2:$B$301,"학생266")+COUNTIF(마케팅리서치_1!$B$2:$B$301,"학생266")+COUNTIF(세법개론_1!$B$2:$B$300,"학생266")+COUNTIF(재무관리_1!$B$2:$B$301,"학생266")+COUNTIF(조직행동론_1!$B$2:$B$301,"학생266")+COUNTIF(조직행동론_2!$B$2:$B$301,"학생266")+COUNTIF(중급재무회계_1!$B$2:$B$301,"학생266")+COUNTIF(투자론_1!$B$2:$B$300,"학생266")+COUNTIF(경영과학_1!$B$2:$B$301,"학생266")+COUNTIF(세무회계_1!$B$2:$B$301,"학생266")+COUNTIF(스마트경영_1!$B$2:$B$301,"학생266")+COUNTIF(스마트경영_2!$B$2:$B$301,"학생266")+COUNTIF(인적자원관리_1!$B$2:$B$257,"학생266")+COUNTIF(서비스마케팅_1!$B$2:$B$276,"학생266")+COUNTIF(제품관리_1!$B$2:$B$301,"학생266")</f>
        <v>3</v>
      </c>
    </row>
    <row r="270" spans="1:9" hidden="1">
      <c r="A270" s="15">
        <v>267</v>
      </c>
      <c r="B270" s="16" t="s">
        <v>268</v>
      </c>
      <c r="C270" s="16">
        <v>202400267</v>
      </c>
      <c r="I270" s="24">
        <f>COUNTIF(경영학원론_1!$B$3:$B$300,"학생267")+COUNTIF(경영학원론_2!$B$2:$B$301,"학생267")+COUNTIF(경영학원론_3!$B$2:$B$301,"학생267")+COUNTIF(경영학원론_4!$B$2:$B$300,"학생267")+COUNTIF(경제학원론_1!$B$2:$B$295,"학생267")+COUNTIF(경제학원론_2!$B$2:$B$298,"학생267")+COUNTIF(경제학원론_3!$B$2:$B$295,"학생267")+COUNTIF(경영통계학_1!$B$2:$B$299,"학생267")+COUNTIF(경영통계학_2!$B$2:$B$301,"학생267")+COUNTIF(경영통계학_3!$B$2:$B$298,"학생267")+COUNTIF(무역학개론_1!$B$2:$B$301,"학생267")+COUNTIF(회계학원론_1!$B$2:$B$293,"학생267")+COUNTIF(경영정보시스템_1!$B$2:$B$301,"학생267")+COUNTIF(관리회계_1!$B$2:$B$300,"학생267")+COUNTIF(관리회계_2!$B$2:$B$301,"학생267")+COUNTIF(마케팅_1!$B$2:$B$301,"학생267")+COUNTIF(마케팅리서치_1!$B$2:$B$301,"학생267")+COUNTIF(세법개론_1!$B$2:$B$300,"학생267")+COUNTIF(재무관리_1!$B$2:$B$301,"학생267")+COUNTIF(조직행동론_1!$B$2:$B$301,"학생267")+COUNTIF(조직행동론_2!$B$2:$B$301,"학생267")+COUNTIF(중급재무회계_1!$B$2:$B$301,"학생267")+COUNTIF(투자론_1!$B$2:$B$300,"학생267")+COUNTIF(경영과학_1!$B$2:$B$301,"학생267")+COUNTIF(세무회계_1!$B$2:$B$301,"학생267")+COUNTIF(스마트경영_1!$B$2:$B$301,"학생267")+COUNTIF(스마트경영_2!$B$2:$B$301,"학생267")+COUNTIF(인적자원관리_1!$B$2:$B$257,"학생267")+COUNTIF(서비스마케팅_1!$B$2:$B$276,"학생267")+COUNTIF(제품관리_1!$B$2:$B$301,"학생267")</f>
        <v>4</v>
      </c>
    </row>
    <row r="271" spans="1:9" hidden="1">
      <c r="A271" s="15">
        <v>268</v>
      </c>
      <c r="B271" s="16" t="s">
        <v>269</v>
      </c>
      <c r="C271" s="16">
        <v>202400268</v>
      </c>
      <c r="I271" s="24">
        <f>COUNTIF(경영학원론_1!$B$3:$B$300,"학생268")+COUNTIF(경영학원론_2!$B$2:$B$301,"학생268")+COUNTIF(경영학원론_3!$B$2:$B$301,"학생268")+COUNTIF(경영학원론_4!$B$2:$B$300,"학생268")+COUNTIF(경제학원론_1!$B$2:$B$295,"학생268")+COUNTIF(경제학원론_2!$B$2:$B$298,"학생268")+COUNTIF(경제학원론_3!$B$2:$B$295,"학생268")+COUNTIF(경영통계학_1!$B$2:$B$299,"학생268")+COUNTIF(경영통계학_2!$B$2:$B$301,"학생268")+COUNTIF(경영통계학_3!$B$2:$B$298,"학생268")+COUNTIF(무역학개론_1!$B$2:$B$301,"학생268")+COUNTIF(회계학원론_1!$B$2:$B$293,"학생268")+COUNTIF(경영정보시스템_1!$B$2:$B$301,"학생268")+COUNTIF(관리회계_1!$B$2:$B$300,"학생268")+COUNTIF(관리회계_2!$B$2:$B$301,"학생268")+COUNTIF(마케팅_1!$B$2:$B$301,"학생268")+COUNTIF(마케팅리서치_1!$B$2:$B$301,"학생268")+COUNTIF(세법개론_1!$B$2:$B$300,"학생268")+COUNTIF(재무관리_1!$B$2:$B$301,"학생268")+COUNTIF(조직행동론_1!$B$2:$B$301,"학생268")+COUNTIF(조직행동론_2!$B$2:$B$301,"학생268")+COUNTIF(중급재무회계_1!$B$2:$B$301,"학생268")+COUNTIF(투자론_1!$B$2:$B$300,"학생268")+COUNTIF(경영과학_1!$B$2:$B$301,"학생268")+COUNTIF(세무회계_1!$B$2:$B$301,"학생268")+COUNTIF(스마트경영_1!$B$2:$B$301,"학생268")+COUNTIF(스마트경영_2!$B$2:$B$301,"학생268")+COUNTIF(인적자원관리_1!$B$2:$B$257,"학생268")+COUNTIF(서비스마케팅_1!$B$2:$B$276,"학생268")+COUNTIF(제품관리_1!$B$2:$B$301,"학생268")</f>
        <v>7</v>
      </c>
    </row>
    <row r="272" spans="1:9" hidden="1">
      <c r="A272" s="15">
        <v>269</v>
      </c>
      <c r="B272" s="16" t="s">
        <v>270</v>
      </c>
      <c r="C272" s="16">
        <v>202400269</v>
      </c>
      <c r="I272" s="24">
        <f>COUNTIF(경영학원론_1!$B$3:$B$300,"학생269")+COUNTIF(경영학원론_2!$B$2:$B$301,"학생269")+COUNTIF(경영학원론_3!$B$2:$B$301,"학생269")+COUNTIF(경영학원론_4!$B$2:$B$300,"학생269")+COUNTIF(경제학원론_1!$B$2:$B$295,"학생269")+COUNTIF(경제학원론_2!$B$2:$B$298,"학생269")+COUNTIF(경제학원론_3!$B$2:$B$295,"학생269")+COUNTIF(경영통계학_1!$B$2:$B$299,"학생269")+COUNTIF(경영통계학_2!$B$2:$B$301,"학생269")+COUNTIF(경영통계학_3!$B$2:$B$298,"학생269")+COUNTIF(무역학개론_1!$B$2:$B$301,"학생269")+COUNTIF(회계학원론_1!$B$2:$B$293,"학생269")+COUNTIF(경영정보시스템_1!$B$2:$B$301,"학생269")+COUNTIF(관리회계_1!$B$2:$B$300,"학생269")+COUNTIF(관리회계_2!$B$2:$B$301,"학생269")+COUNTIF(마케팅_1!$B$2:$B$301,"학생269")+COUNTIF(마케팅리서치_1!$B$2:$B$301,"학생269")+COUNTIF(세법개론_1!$B$2:$B$300,"학생269")+COUNTIF(재무관리_1!$B$2:$B$301,"학생269")+COUNTIF(조직행동론_1!$B$2:$B$301,"학생269")+COUNTIF(조직행동론_2!$B$2:$B$301,"학생269")+COUNTIF(중급재무회계_1!$B$2:$B$301,"학생269")+COUNTIF(투자론_1!$B$2:$B$300,"학생269")+COUNTIF(경영과학_1!$B$2:$B$301,"학생269")+COUNTIF(세무회계_1!$B$2:$B$301,"학생269")+COUNTIF(스마트경영_1!$B$2:$B$301,"학생269")+COUNTIF(스마트경영_2!$B$2:$B$301,"학생269")+COUNTIF(인적자원관리_1!$B$2:$B$257,"학생269")+COUNTIF(서비스마케팅_1!$B$2:$B$276,"학생269")+COUNTIF(제품관리_1!$B$2:$B$301,"학생269")</f>
        <v>6</v>
      </c>
    </row>
    <row r="273" spans="1:9" hidden="1">
      <c r="A273" s="15">
        <v>270</v>
      </c>
      <c r="B273" s="16" t="s">
        <v>271</v>
      </c>
      <c r="C273" s="16">
        <v>202400270</v>
      </c>
      <c r="I273" s="24">
        <f>COUNTIF(경영학원론_1!$B$3:$B$300,"학생270")+COUNTIF(경영학원론_2!$B$2:$B$301,"학생270")+COUNTIF(경영학원론_3!$B$2:$B$301,"학생270")+COUNTIF(경영학원론_4!$B$2:$B$300,"학생270")+COUNTIF(경제학원론_1!$B$2:$B$295,"학생270")+COUNTIF(경제학원론_2!$B$2:$B$298,"학생270")+COUNTIF(경제학원론_3!$B$2:$B$295,"학생270")+COUNTIF(경영통계학_1!$B$2:$B$299,"학생270")+COUNTIF(경영통계학_2!$B$2:$B$301,"학생270")+COUNTIF(경영통계학_3!$B$2:$B$298,"학생270")+COUNTIF(무역학개론_1!$B$2:$B$301,"학생270")+COUNTIF(회계학원론_1!$B$2:$B$293,"학생270")+COUNTIF(경영정보시스템_1!$B$2:$B$301,"학생270")+COUNTIF(관리회계_1!$B$2:$B$300,"학생270")+COUNTIF(관리회계_2!$B$2:$B$301,"학생270")+COUNTIF(마케팅_1!$B$2:$B$301,"학생270")+COUNTIF(마케팅리서치_1!$B$2:$B$301,"학생270")+COUNTIF(세법개론_1!$B$2:$B$300,"학생270")+COUNTIF(재무관리_1!$B$2:$B$301,"학생270")+COUNTIF(조직행동론_1!$B$2:$B$301,"학생270")+COUNTIF(조직행동론_2!$B$2:$B$301,"학생270")+COUNTIF(중급재무회계_1!$B$2:$B$301,"학생270")+COUNTIF(투자론_1!$B$2:$B$300,"학생270")+COUNTIF(경영과학_1!$B$2:$B$301,"학생270")+COUNTIF(세무회계_1!$B$2:$B$301,"학생270")+COUNTIF(스마트경영_1!$B$2:$B$301,"학생270")+COUNTIF(스마트경영_2!$B$2:$B$301,"학생270")+COUNTIF(인적자원관리_1!$B$2:$B$257,"학생270")+COUNTIF(서비스마케팅_1!$B$2:$B$276,"학생270")+COUNTIF(제품관리_1!$B$2:$B$301,"학생270")</f>
        <v>7</v>
      </c>
    </row>
    <row r="274" spans="1:9" hidden="1">
      <c r="A274" s="15">
        <v>271</v>
      </c>
      <c r="B274" s="16" t="s">
        <v>272</v>
      </c>
      <c r="C274" s="16">
        <v>202400271</v>
      </c>
      <c r="I274" s="24">
        <f>COUNTIF(경영학원론_1!$B$3:$B$300,"학생271")+COUNTIF(경영학원론_2!$B$2:$B$301,"학생271")+COUNTIF(경영학원론_3!$B$2:$B$301,"학생271")+COUNTIF(경영학원론_4!$B$2:$B$300,"학생271")+COUNTIF(경제학원론_1!$B$2:$B$295,"학생271")+COUNTIF(경제학원론_2!$B$2:$B$298,"학생271")+COUNTIF(경제학원론_3!$B$2:$B$295,"학생271")+COUNTIF(경영통계학_1!$B$2:$B$299,"학생271")+COUNTIF(경영통계학_2!$B$2:$B$301,"학생271")+COUNTIF(경영통계학_3!$B$2:$B$298,"학생271")+COUNTIF(무역학개론_1!$B$2:$B$301,"학생271")+COUNTIF(회계학원론_1!$B$2:$B$293,"학생271")+COUNTIF(경영정보시스템_1!$B$2:$B$301,"학생271")+COUNTIF(관리회계_1!$B$2:$B$300,"학생271")+COUNTIF(관리회계_2!$B$2:$B$301,"학생271")+COUNTIF(마케팅_1!$B$2:$B$301,"학생271")+COUNTIF(마케팅리서치_1!$B$2:$B$301,"학생271")+COUNTIF(세법개론_1!$B$2:$B$300,"학생271")+COUNTIF(재무관리_1!$B$2:$B$301,"학생271")+COUNTIF(조직행동론_1!$B$2:$B$301,"학생271")+COUNTIF(조직행동론_2!$B$2:$B$301,"학생271")+COUNTIF(중급재무회계_1!$B$2:$B$301,"학생271")+COUNTIF(투자론_1!$B$2:$B$300,"학생271")+COUNTIF(경영과학_1!$B$2:$B$301,"학생271")+COUNTIF(세무회계_1!$B$2:$B$301,"학생271")+COUNTIF(스마트경영_1!$B$2:$B$301,"학생271")+COUNTIF(스마트경영_2!$B$2:$B$301,"학생271")+COUNTIF(인적자원관리_1!$B$2:$B$257,"학생271")+COUNTIF(서비스마케팅_1!$B$2:$B$276,"학생271")+COUNTIF(제품관리_1!$B$2:$B$301,"학생271")</f>
        <v>6</v>
      </c>
    </row>
    <row r="275" spans="1:9" hidden="1">
      <c r="A275" s="15">
        <v>272</v>
      </c>
      <c r="B275" s="16" t="s">
        <v>273</v>
      </c>
      <c r="C275" s="16">
        <v>202400272</v>
      </c>
      <c r="I275" s="24">
        <f>COUNTIF(경영학원론_1!$B$3:$B$300,"학생272")+COUNTIF(경영학원론_2!$B$2:$B$301,"학생272")+COUNTIF(경영학원론_3!$B$2:$B$301,"학생272")+COUNTIF(경영학원론_4!$B$2:$B$300,"학생272")+COUNTIF(경제학원론_1!$B$2:$B$295,"학생272")+COUNTIF(경제학원론_2!$B$2:$B$298,"학생272")+COUNTIF(경제학원론_3!$B$2:$B$295,"학생272")+COUNTIF(경영통계학_1!$B$2:$B$299,"학생272")+COUNTIF(경영통계학_2!$B$2:$B$301,"학생272")+COUNTIF(경영통계학_3!$B$2:$B$298,"학생272")+COUNTIF(무역학개론_1!$B$2:$B$301,"학생272")+COUNTIF(회계학원론_1!$B$2:$B$293,"학생272")+COUNTIF(경영정보시스템_1!$B$2:$B$301,"학생272")+COUNTIF(관리회계_1!$B$2:$B$300,"학생272")+COUNTIF(관리회계_2!$B$2:$B$301,"학생272")+COUNTIF(마케팅_1!$B$2:$B$301,"학생272")+COUNTIF(마케팅리서치_1!$B$2:$B$301,"학생272")+COUNTIF(세법개론_1!$B$2:$B$300,"학생272")+COUNTIF(재무관리_1!$B$2:$B$301,"학생272")+COUNTIF(조직행동론_1!$B$2:$B$301,"학생272")+COUNTIF(조직행동론_2!$B$2:$B$301,"학생272")+COUNTIF(중급재무회계_1!$B$2:$B$301,"학생272")+COUNTIF(투자론_1!$B$2:$B$300,"학생272")+COUNTIF(경영과학_1!$B$2:$B$301,"학생272")+COUNTIF(세무회계_1!$B$2:$B$301,"학생272")+COUNTIF(스마트경영_1!$B$2:$B$301,"학생272")+COUNTIF(스마트경영_2!$B$2:$B$301,"학생272")+COUNTIF(인적자원관리_1!$B$2:$B$257,"학생272")+COUNTIF(서비스마케팅_1!$B$2:$B$276,"학생272")+COUNTIF(제품관리_1!$B$2:$B$301,"학생272")</f>
        <v>7</v>
      </c>
    </row>
    <row r="276" spans="1:9" hidden="1">
      <c r="A276" s="15">
        <v>273</v>
      </c>
      <c r="B276" s="16" t="s">
        <v>274</v>
      </c>
      <c r="C276" s="16">
        <v>202400273</v>
      </c>
      <c r="I276" s="24">
        <f>COUNTIF(경영학원론_1!$B$3:$B$300,"학생273")+COUNTIF(경영학원론_2!$B$2:$B$301,"학생273")+COUNTIF(경영학원론_3!$B$2:$B$301,"학생273")+COUNTIF(경영학원론_4!$B$2:$B$300,"학생273")+COUNTIF(경제학원론_1!$B$2:$B$295,"학생273")+COUNTIF(경제학원론_2!$B$2:$B$298,"학생273")+COUNTIF(경제학원론_3!$B$2:$B$295,"학생273")+COUNTIF(경영통계학_1!$B$2:$B$299,"학생273")+COUNTIF(경영통계학_2!$B$2:$B$301,"학생273")+COUNTIF(경영통계학_3!$B$2:$B$298,"학생273")+COUNTIF(무역학개론_1!$B$2:$B$301,"학생273")+COUNTIF(회계학원론_1!$B$2:$B$293,"학생273")+COUNTIF(경영정보시스템_1!$B$2:$B$301,"학생273")+COUNTIF(관리회계_1!$B$2:$B$300,"학생273")+COUNTIF(관리회계_2!$B$2:$B$301,"학생273")+COUNTIF(마케팅_1!$B$2:$B$301,"학생273")+COUNTIF(마케팅리서치_1!$B$2:$B$301,"학생273")+COUNTIF(세법개론_1!$B$2:$B$300,"학생273")+COUNTIF(재무관리_1!$B$2:$B$301,"학생273")+COUNTIF(조직행동론_1!$B$2:$B$301,"학생273")+COUNTIF(조직행동론_2!$B$2:$B$301,"학생273")+COUNTIF(중급재무회계_1!$B$2:$B$301,"학생273")+COUNTIF(투자론_1!$B$2:$B$300,"학생273")+COUNTIF(경영과학_1!$B$2:$B$301,"학생273")+COUNTIF(세무회계_1!$B$2:$B$301,"학생273")+COUNTIF(스마트경영_1!$B$2:$B$301,"학생273")+COUNTIF(스마트경영_2!$B$2:$B$301,"학생273")+COUNTIF(인적자원관리_1!$B$2:$B$257,"학생273")+COUNTIF(서비스마케팅_1!$B$2:$B$276,"학생273")+COUNTIF(제품관리_1!$B$2:$B$301,"학생273")</f>
        <v>7</v>
      </c>
    </row>
    <row r="277" spans="1:9" hidden="1">
      <c r="A277" s="15">
        <v>274</v>
      </c>
      <c r="B277" s="16" t="s">
        <v>275</v>
      </c>
      <c r="C277" s="16">
        <v>202400274</v>
      </c>
      <c r="I277" s="24">
        <f>COUNTIF(경영학원론_1!$B$3:$B$300,"학생274")+COUNTIF(경영학원론_2!$B$2:$B$301,"학생274")+COUNTIF(경영학원론_3!$B$2:$B$301,"학생274")+COUNTIF(경영학원론_4!$B$2:$B$300,"학생274")+COUNTIF(경제학원론_1!$B$2:$B$295,"학생274")+COUNTIF(경제학원론_2!$B$2:$B$298,"학생274")+COUNTIF(경제학원론_3!$B$2:$B$295,"학생274")+COUNTIF(경영통계학_1!$B$2:$B$299,"학생274")+COUNTIF(경영통계학_2!$B$2:$B$301,"학생274")+COUNTIF(경영통계학_3!$B$2:$B$298,"학생274")+COUNTIF(무역학개론_1!$B$2:$B$301,"학생274")+COUNTIF(회계학원론_1!$B$2:$B$293,"학생274")+COUNTIF(경영정보시스템_1!$B$2:$B$301,"학생274")+COUNTIF(관리회계_1!$B$2:$B$300,"학생274")+COUNTIF(관리회계_2!$B$2:$B$301,"학생274")+COUNTIF(마케팅_1!$B$2:$B$301,"학생274")+COUNTIF(마케팅리서치_1!$B$2:$B$301,"학생274")+COUNTIF(세법개론_1!$B$2:$B$300,"학생274")+COUNTIF(재무관리_1!$B$2:$B$301,"학생274")+COUNTIF(조직행동론_1!$B$2:$B$301,"학생274")+COUNTIF(조직행동론_2!$B$2:$B$301,"학생274")+COUNTIF(중급재무회계_1!$B$2:$B$301,"학생274")+COUNTIF(투자론_1!$B$2:$B$300,"학생274")+COUNTIF(경영과학_1!$B$2:$B$301,"학생274")+COUNTIF(세무회계_1!$B$2:$B$301,"학생274")+COUNTIF(스마트경영_1!$B$2:$B$301,"학생274")+COUNTIF(스마트경영_2!$B$2:$B$301,"학생274")+COUNTIF(인적자원관리_1!$B$2:$B$257,"학생274")+COUNTIF(서비스마케팅_1!$B$2:$B$276,"학생274")+COUNTIF(제품관리_1!$B$2:$B$301,"학생274")</f>
        <v>7</v>
      </c>
    </row>
    <row r="278" spans="1:9" hidden="1">
      <c r="A278" s="15">
        <v>275</v>
      </c>
      <c r="B278" s="16" t="s">
        <v>276</v>
      </c>
      <c r="C278" s="16">
        <v>202400275</v>
      </c>
      <c r="I278" s="24">
        <f>COUNTIF(경영학원론_1!$B$3:$B$300,"학생275")+COUNTIF(경영학원론_2!$B$2:$B$301,"학생275")+COUNTIF(경영학원론_3!$B$2:$B$301,"학생275")+COUNTIF(경영학원론_4!$B$2:$B$300,"학생275")+COUNTIF(경제학원론_1!$B$2:$B$295,"학생275")+COUNTIF(경제학원론_2!$B$2:$B$298,"학생275")+COUNTIF(경제학원론_3!$B$2:$B$295,"학생275")+COUNTIF(경영통계학_1!$B$2:$B$299,"학생275")+COUNTIF(경영통계학_2!$B$2:$B$301,"학생275")+COUNTIF(경영통계학_3!$B$2:$B$298,"학생275")+COUNTIF(무역학개론_1!$B$2:$B$301,"학생275")+COUNTIF(회계학원론_1!$B$2:$B$293,"학생275")+COUNTIF(경영정보시스템_1!$B$2:$B$301,"학생275")+COUNTIF(관리회계_1!$B$2:$B$300,"학생275")+COUNTIF(관리회계_2!$B$2:$B$301,"학생275")+COUNTIF(마케팅_1!$B$2:$B$301,"학생275")+COUNTIF(마케팅리서치_1!$B$2:$B$301,"학생275")+COUNTIF(세법개론_1!$B$2:$B$300,"학생275")+COUNTIF(재무관리_1!$B$2:$B$301,"학생275")+COUNTIF(조직행동론_1!$B$2:$B$301,"학생275")+COUNTIF(조직행동론_2!$B$2:$B$301,"학생275")+COUNTIF(중급재무회계_1!$B$2:$B$301,"학생275")+COUNTIF(투자론_1!$B$2:$B$300,"학생275")+COUNTIF(경영과학_1!$B$2:$B$301,"학생275")+COUNTIF(세무회계_1!$B$2:$B$301,"학생275")+COUNTIF(스마트경영_1!$B$2:$B$301,"학생275")+COUNTIF(스마트경영_2!$B$2:$B$301,"학생275")+COUNTIF(인적자원관리_1!$B$2:$B$257,"학생275")+COUNTIF(서비스마케팅_1!$B$2:$B$276,"학생275")+COUNTIF(제품관리_1!$B$2:$B$301,"학생275")</f>
        <v>7</v>
      </c>
    </row>
    <row r="279" spans="1:9" hidden="1">
      <c r="A279" s="15">
        <v>276</v>
      </c>
      <c r="B279" s="16" t="s">
        <v>277</v>
      </c>
      <c r="C279" s="16">
        <v>202400276</v>
      </c>
      <c r="I279" s="24">
        <f>COUNTIF(경영학원론_1!$B$3:$B$300,"학생276")+COUNTIF(경영학원론_2!$B$2:$B$301,"학생276")+COUNTIF(경영학원론_3!$B$2:$B$301,"학생276")+COUNTIF(경영학원론_4!$B$2:$B$300,"학생276")+COUNTIF(경제학원론_1!$B$2:$B$295,"학생276")+COUNTIF(경제학원론_2!$B$2:$B$298,"학생276")+COUNTIF(경제학원론_3!$B$2:$B$295,"학생276")+COUNTIF(경영통계학_1!$B$2:$B$299,"학생276")+COUNTIF(경영통계학_2!$B$2:$B$301,"학생276")+COUNTIF(경영통계학_3!$B$2:$B$298,"학생276")+COUNTIF(무역학개론_1!$B$2:$B$301,"학생276")+COUNTIF(회계학원론_1!$B$2:$B$293,"학생276")+COUNTIF(경영정보시스템_1!$B$2:$B$301,"학생276")+COUNTIF(관리회계_1!$B$2:$B$300,"학생276")+COUNTIF(관리회계_2!$B$2:$B$301,"학생276")+COUNTIF(마케팅_1!$B$2:$B$301,"학생276")+COUNTIF(마케팅리서치_1!$B$2:$B$301,"학생276")+COUNTIF(세법개론_1!$B$2:$B$300,"학생276")+COUNTIF(재무관리_1!$B$2:$B$301,"학생276")+COUNTIF(조직행동론_1!$B$2:$B$301,"학생276")+COUNTIF(조직행동론_2!$B$2:$B$301,"학생276")+COUNTIF(중급재무회계_1!$B$2:$B$301,"학생276")+COUNTIF(투자론_1!$B$2:$B$300,"학생276")+COUNTIF(경영과학_1!$B$2:$B$301,"학생276")+COUNTIF(세무회계_1!$B$2:$B$301,"학생276")+COUNTIF(스마트경영_1!$B$2:$B$301,"학생276")+COUNTIF(스마트경영_2!$B$2:$B$301,"학생276")+COUNTIF(인적자원관리_1!$B$2:$B$257,"학생276")+COUNTIF(서비스마케팅_1!$B$2:$B$276,"학생276")+COUNTIF(제품관리_1!$B$2:$B$301,"학생276")</f>
        <v>5</v>
      </c>
    </row>
    <row r="280" spans="1:9" hidden="1">
      <c r="A280" s="15">
        <v>277</v>
      </c>
      <c r="B280" s="16" t="s">
        <v>278</v>
      </c>
      <c r="C280" s="16">
        <v>202400277</v>
      </c>
      <c r="I280" s="24">
        <f>COUNTIF(경영학원론_1!$B$3:$B$300,"학생277")+COUNTIF(경영학원론_2!$B$2:$B$301,"학생277")+COUNTIF(경영학원론_3!$B$2:$B$301,"학생277")+COUNTIF(경영학원론_4!$B$2:$B$300,"학생277")+COUNTIF(경제학원론_1!$B$2:$B$295,"학생277")+COUNTIF(경제학원론_2!$B$2:$B$298,"학생277")+COUNTIF(경제학원론_3!$B$2:$B$295,"학생277")+COUNTIF(경영통계학_1!$B$2:$B$299,"학생277")+COUNTIF(경영통계학_2!$B$2:$B$301,"학생277")+COUNTIF(경영통계학_3!$B$2:$B$298,"학생277")+COUNTIF(무역학개론_1!$B$2:$B$301,"학생277")+COUNTIF(회계학원론_1!$B$2:$B$293,"학생277")+COUNTIF(경영정보시스템_1!$B$2:$B$301,"학생277")+COUNTIF(관리회계_1!$B$2:$B$300,"학생277")+COUNTIF(관리회계_2!$B$2:$B$301,"학생277")+COUNTIF(마케팅_1!$B$2:$B$301,"학생277")+COUNTIF(마케팅리서치_1!$B$2:$B$301,"학생277")+COUNTIF(세법개론_1!$B$2:$B$300,"학생277")+COUNTIF(재무관리_1!$B$2:$B$301,"학생277")+COUNTIF(조직행동론_1!$B$2:$B$301,"학생277")+COUNTIF(조직행동론_2!$B$2:$B$301,"학생277")+COUNTIF(중급재무회계_1!$B$2:$B$301,"학생277")+COUNTIF(투자론_1!$B$2:$B$300,"학생277")+COUNTIF(경영과학_1!$B$2:$B$301,"학생277")+COUNTIF(세무회계_1!$B$2:$B$301,"학생277")+COUNTIF(스마트경영_1!$B$2:$B$301,"학생277")+COUNTIF(스마트경영_2!$B$2:$B$301,"학생277")+COUNTIF(인적자원관리_1!$B$2:$B$257,"학생277")+COUNTIF(서비스마케팅_1!$B$2:$B$276,"학생277")+COUNTIF(제품관리_1!$B$2:$B$301,"학생277")</f>
        <v>6</v>
      </c>
    </row>
    <row r="281" spans="1:9" hidden="1">
      <c r="A281" s="15">
        <v>278</v>
      </c>
      <c r="B281" s="16" t="s">
        <v>279</v>
      </c>
      <c r="C281" s="16">
        <v>202400278</v>
      </c>
      <c r="I281" s="24">
        <f>COUNTIF(경영학원론_1!$B$3:$B$300,"학생278")+COUNTIF(경영학원론_2!$B$2:$B$301,"학생278")+COUNTIF(경영학원론_3!$B$2:$B$301,"학생278")+COUNTIF(경영학원론_4!$B$2:$B$300,"학생278")+COUNTIF(경제학원론_1!$B$2:$B$295,"학생278")+COUNTIF(경제학원론_2!$B$2:$B$298,"학생278")+COUNTIF(경제학원론_3!$B$2:$B$295,"학생278")+COUNTIF(경영통계학_1!$B$2:$B$299,"학생278")+COUNTIF(경영통계학_2!$B$2:$B$301,"학생278")+COUNTIF(경영통계학_3!$B$2:$B$298,"학생278")+COUNTIF(무역학개론_1!$B$2:$B$301,"학생278")+COUNTIF(회계학원론_1!$B$2:$B$293,"학생278")+COUNTIF(경영정보시스템_1!$B$2:$B$301,"학생278")+COUNTIF(관리회계_1!$B$2:$B$300,"학생278")+COUNTIF(관리회계_2!$B$2:$B$301,"학생278")+COUNTIF(마케팅_1!$B$2:$B$301,"학생278")+COUNTIF(마케팅리서치_1!$B$2:$B$301,"학생278")+COUNTIF(세법개론_1!$B$2:$B$300,"학생278")+COUNTIF(재무관리_1!$B$2:$B$301,"학생278")+COUNTIF(조직행동론_1!$B$2:$B$301,"학생278")+COUNTIF(조직행동론_2!$B$2:$B$301,"학생278")+COUNTIF(중급재무회계_1!$B$2:$B$301,"학생278")+COUNTIF(투자론_1!$B$2:$B$300,"학생278")+COUNTIF(경영과학_1!$B$2:$B$301,"학생278")+COUNTIF(세무회계_1!$B$2:$B$301,"학생278")+COUNTIF(스마트경영_1!$B$2:$B$301,"학생278")+COUNTIF(스마트경영_2!$B$2:$B$301,"학생278")+COUNTIF(인적자원관리_1!$B$2:$B$257,"학생278")+COUNTIF(서비스마케팅_1!$B$2:$B$276,"학생278")+COUNTIF(제품관리_1!$B$2:$B$301,"학생278")</f>
        <v>4</v>
      </c>
    </row>
    <row r="282" spans="1:9" hidden="1">
      <c r="A282" s="15">
        <v>279</v>
      </c>
      <c r="B282" s="16" t="s">
        <v>280</v>
      </c>
      <c r="C282" s="16">
        <v>202400279</v>
      </c>
      <c r="I282" s="24">
        <f>COUNTIF(경영학원론_1!$B$3:$B$300,"학생279")+COUNTIF(경영학원론_2!$B$2:$B$301,"학생279")+COUNTIF(경영학원론_3!$B$2:$B$301,"학생279")+COUNTIF(경영학원론_4!$B$2:$B$300,"학생279")+COUNTIF(경제학원론_1!$B$2:$B$295,"학생279")+COUNTIF(경제학원론_2!$B$2:$B$298,"학생279")+COUNTIF(경제학원론_3!$B$2:$B$295,"학생279")+COUNTIF(경영통계학_1!$B$2:$B$299,"학생279")+COUNTIF(경영통계학_2!$B$2:$B$301,"학생279")+COUNTIF(경영통계학_3!$B$2:$B$298,"학생279")+COUNTIF(무역학개론_1!$B$2:$B$301,"학생279")+COUNTIF(회계학원론_1!$B$2:$B$293,"학생279")+COUNTIF(경영정보시스템_1!$B$2:$B$301,"학생279")+COUNTIF(관리회계_1!$B$2:$B$300,"학생279")+COUNTIF(관리회계_2!$B$2:$B$301,"학생279")+COUNTIF(마케팅_1!$B$2:$B$301,"학생279")+COUNTIF(마케팅리서치_1!$B$2:$B$301,"학생279")+COUNTIF(세법개론_1!$B$2:$B$300,"학생279")+COUNTIF(재무관리_1!$B$2:$B$301,"학생279")+COUNTIF(조직행동론_1!$B$2:$B$301,"학생279")+COUNTIF(조직행동론_2!$B$2:$B$301,"학생279")+COUNTIF(중급재무회계_1!$B$2:$B$301,"학생279")+COUNTIF(투자론_1!$B$2:$B$300,"학생279")+COUNTIF(경영과학_1!$B$2:$B$301,"학생279")+COUNTIF(세무회계_1!$B$2:$B$301,"학생279")+COUNTIF(스마트경영_1!$B$2:$B$301,"학생279")+COUNTIF(스마트경영_2!$B$2:$B$301,"학생279")+COUNTIF(인적자원관리_1!$B$2:$B$257,"학생279")+COUNTIF(서비스마케팅_1!$B$2:$B$276,"학생279")+COUNTIF(제품관리_1!$B$2:$B$301,"학생279")</f>
        <v>7</v>
      </c>
    </row>
    <row r="283" spans="1:9" hidden="1">
      <c r="A283" s="15">
        <v>280</v>
      </c>
      <c r="B283" s="16" t="s">
        <v>281</v>
      </c>
      <c r="C283" s="16">
        <v>202400280</v>
      </c>
      <c r="I283" s="24">
        <f>COUNTIF(경영학원론_1!$B$3:$B$300,"학생280")+COUNTIF(경영학원론_2!$B$2:$B$301,"학생280")+COUNTIF(경영학원론_3!$B$2:$B$301,"학생280")+COUNTIF(경영학원론_4!$B$2:$B$300,"학생280")+COUNTIF(경제학원론_1!$B$2:$B$295,"학생280")+COUNTIF(경제학원론_2!$B$2:$B$298,"학생280")+COUNTIF(경제학원론_3!$B$2:$B$295,"학생280")+COUNTIF(경영통계학_1!$B$2:$B$299,"학생280")+COUNTIF(경영통계학_2!$B$2:$B$301,"학생280")+COUNTIF(경영통계학_3!$B$2:$B$298,"학생280")+COUNTIF(무역학개론_1!$B$2:$B$301,"학생280")+COUNTIF(회계학원론_1!$B$2:$B$293,"학생280")+COUNTIF(경영정보시스템_1!$B$2:$B$301,"학생280")+COUNTIF(관리회계_1!$B$2:$B$300,"학생280")+COUNTIF(관리회계_2!$B$2:$B$301,"학생280")+COUNTIF(마케팅_1!$B$2:$B$301,"학생280")+COUNTIF(마케팅리서치_1!$B$2:$B$301,"학생280")+COUNTIF(세법개론_1!$B$2:$B$300,"학생280")+COUNTIF(재무관리_1!$B$2:$B$301,"학생280")+COUNTIF(조직행동론_1!$B$2:$B$301,"학생280")+COUNTIF(조직행동론_2!$B$2:$B$301,"학생280")+COUNTIF(중급재무회계_1!$B$2:$B$301,"학생280")+COUNTIF(투자론_1!$B$2:$B$300,"학생280")+COUNTIF(경영과학_1!$B$2:$B$301,"학생280")+COUNTIF(세무회계_1!$B$2:$B$301,"학생280")+COUNTIF(스마트경영_1!$B$2:$B$301,"학생280")+COUNTIF(스마트경영_2!$B$2:$B$301,"학생280")+COUNTIF(인적자원관리_1!$B$2:$B$257,"학생280")+COUNTIF(서비스마케팅_1!$B$2:$B$276,"학생280")+COUNTIF(제품관리_1!$B$2:$B$301,"학생280")</f>
        <v>5</v>
      </c>
    </row>
    <row r="284" spans="1:9" hidden="1">
      <c r="A284" s="15">
        <v>281</v>
      </c>
      <c r="B284" s="16" t="s">
        <v>282</v>
      </c>
      <c r="C284" s="16">
        <v>202400281</v>
      </c>
      <c r="I284" s="24">
        <f>COUNTIF(경영학원론_1!$B$3:$B$300,"학생281")+COUNTIF(경영학원론_2!$B$2:$B$301,"학생281")+COUNTIF(경영학원론_3!$B$2:$B$301,"학생281")+COUNTIF(경영학원론_4!$B$2:$B$300,"학생281")+COUNTIF(경제학원론_1!$B$2:$B$295,"학생281")+COUNTIF(경제학원론_2!$B$2:$B$298,"학생281")+COUNTIF(경제학원론_3!$B$2:$B$295,"학생281")+COUNTIF(경영통계학_1!$B$2:$B$299,"학생281")+COUNTIF(경영통계학_2!$B$2:$B$301,"학생281")+COUNTIF(경영통계학_3!$B$2:$B$298,"학생281")+COUNTIF(무역학개론_1!$B$2:$B$301,"학생281")+COUNTIF(회계학원론_1!$B$2:$B$293,"학생281")+COUNTIF(경영정보시스템_1!$B$2:$B$301,"학생281")+COUNTIF(관리회계_1!$B$2:$B$300,"학생281")+COUNTIF(관리회계_2!$B$2:$B$301,"학생281")+COUNTIF(마케팅_1!$B$2:$B$301,"학생281")+COUNTIF(마케팅리서치_1!$B$2:$B$301,"학생281")+COUNTIF(세법개론_1!$B$2:$B$300,"학생281")+COUNTIF(재무관리_1!$B$2:$B$301,"학생281")+COUNTIF(조직행동론_1!$B$2:$B$301,"학생281")+COUNTIF(조직행동론_2!$B$2:$B$301,"학생281")+COUNTIF(중급재무회계_1!$B$2:$B$301,"학생281")+COUNTIF(투자론_1!$B$2:$B$300,"학생281")+COUNTIF(경영과학_1!$B$2:$B$301,"학생281")+COUNTIF(세무회계_1!$B$2:$B$301,"학생281")+COUNTIF(스마트경영_1!$B$2:$B$301,"학생281")+COUNTIF(스마트경영_2!$B$2:$B$301,"학생281")+COUNTIF(인적자원관리_1!$B$2:$B$257,"학생281")+COUNTIF(서비스마케팅_1!$B$2:$B$276,"학생281")+COUNTIF(제품관리_1!$B$2:$B$301,"학생281")</f>
        <v>6</v>
      </c>
    </row>
    <row r="285" spans="1:9" hidden="1">
      <c r="A285" s="15">
        <v>282</v>
      </c>
      <c r="B285" s="16" t="s">
        <v>283</v>
      </c>
      <c r="C285" s="16">
        <v>202400282</v>
      </c>
      <c r="I285" s="24">
        <f>COUNTIF(경영학원론_1!$B$3:$B$300,"학생282")+COUNTIF(경영학원론_2!$B$2:$B$301,"학생282")+COUNTIF(경영학원론_3!$B$2:$B$301,"학생282")+COUNTIF(경영학원론_4!$B$2:$B$300,"학생282")+COUNTIF(경제학원론_1!$B$2:$B$295,"학생282")+COUNTIF(경제학원론_2!$B$2:$B$298,"학생282")+COUNTIF(경제학원론_3!$B$2:$B$295,"학생282")+COUNTIF(경영통계학_1!$B$2:$B$299,"학생282")+COUNTIF(경영통계학_2!$B$2:$B$301,"학생282")+COUNTIF(경영통계학_3!$B$2:$B$298,"학생282")+COUNTIF(무역학개론_1!$B$2:$B$301,"학생282")+COUNTIF(회계학원론_1!$B$2:$B$293,"학생282")+COUNTIF(경영정보시스템_1!$B$2:$B$301,"학생282")+COUNTIF(관리회계_1!$B$2:$B$300,"학생282")+COUNTIF(관리회계_2!$B$2:$B$301,"학생282")+COUNTIF(마케팅_1!$B$2:$B$301,"학생282")+COUNTIF(마케팅리서치_1!$B$2:$B$301,"학생282")+COUNTIF(세법개론_1!$B$2:$B$300,"학생282")+COUNTIF(재무관리_1!$B$2:$B$301,"학생282")+COUNTIF(조직행동론_1!$B$2:$B$301,"학생282")+COUNTIF(조직행동론_2!$B$2:$B$301,"학생282")+COUNTIF(중급재무회계_1!$B$2:$B$301,"학생282")+COUNTIF(투자론_1!$B$2:$B$300,"학생282")+COUNTIF(경영과학_1!$B$2:$B$301,"학생282")+COUNTIF(세무회계_1!$B$2:$B$301,"학생282")+COUNTIF(스마트경영_1!$B$2:$B$301,"학생282")+COUNTIF(스마트경영_2!$B$2:$B$301,"학생282")+COUNTIF(인적자원관리_1!$B$2:$B$257,"학생282")+COUNTIF(서비스마케팅_1!$B$2:$B$276,"학생282")+COUNTIF(제품관리_1!$B$2:$B$301,"학생282")</f>
        <v>7</v>
      </c>
    </row>
    <row r="286" spans="1:9" hidden="1">
      <c r="A286" s="15">
        <v>283</v>
      </c>
      <c r="B286" s="16" t="s">
        <v>284</v>
      </c>
      <c r="C286" s="16">
        <v>202400283</v>
      </c>
      <c r="I286" s="24">
        <f>COUNTIF(경영학원론_1!$B$3:$B$300,"학생283")+COUNTIF(경영학원론_2!$B$2:$B$301,"학생283")+COUNTIF(경영학원론_3!$B$2:$B$301,"학생283")+COUNTIF(경영학원론_4!$B$2:$B$300,"학생283")+COUNTIF(경제학원론_1!$B$2:$B$295,"학생283")+COUNTIF(경제학원론_2!$B$2:$B$298,"학생283")+COUNTIF(경제학원론_3!$B$2:$B$295,"학생283")+COUNTIF(경영통계학_1!$B$2:$B$299,"학생283")+COUNTIF(경영통계학_2!$B$2:$B$301,"학생283")+COUNTIF(경영통계학_3!$B$2:$B$298,"학생283")+COUNTIF(무역학개론_1!$B$2:$B$301,"학생283")+COUNTIF(회계학원론_1!$B$2:$B$293,"학생283")+COUNTIF(경영정보시스템_1!$B$2:$B$301,"학생283")+COUNTIF(관리회계_1!$B$2:$B$300,"학생283")+COUNTIF(관리회계_2!$B$2:$B$301,"학생283")+COUNTIF(마케팅_1!$B$2:$B$301,"학생283")+COUNTIF(마케팅리서치_1!$B$2:$B$301,"학생283")+COUNTIF(세법개론_1!$B$2:$B$300,"학생283")+COUNTIF(재무관리_1!$B$2:$B$301,"학생283")+COUNTIF(조직행동론_1!$B$2:$B$301,"학생283")+COUNTIF(조직행동론_2!$B$2:$B$301,"학생283")+COUNTIF(중급재무회계_1!$B$2:$B$301,"학생283")+COUNTIF(투자론_1!$B$2:$B$300,"학생283")+COUNTIF(경영과학_1!$B$2:$B$301,"학생283")+COUNTIF(세무회계_1!$B$2:$B$301,"학생283")+COUNTIF(스마트경영_1!$B$2:$B$301,"학생283")+COUNTIF(스마트경영_2!$B$2:$B$301,"학생283")+COUNTIF(인적자원관리_1!$B$2:$B$257,"학생283")+COUNTIF(서비스마케팅_1!$B$2:$B$276,"학생283")+COUNTIF(제품관리_1!$B$2:$B$301,"학생283")</f>
        <v>5</v>
      </c>
    </row>
    <row r="287" spans="1:9" hidden="1">
      <c r="A287" s="15">
        <v>284</v>
      </c>
      <c r="B287" s="16" t="s">
        <v>285</v>
      </c>
      <c r="C287" s="16">
        <v>202400284</v>
      </c>
      <c r="I287" s="24">
        <f>COUNTIF(경영학원론_1!$B$3:$B$300,"학생284")+COUNTIF(경영학원론_2!$B$2:$B$301,"학생284")+COUNTIF(경영학원론_3!$B$2:$B$301,"학생284")+COUNTIF(경영학원론_4!$B$2:$B$300,"학생284")+COUNTIF(경제학원론_1!$B$2:$B$295,"학생284")+COUNTIF(경제학원론_2!$B$2:$B$298,"학생284")+COUNTIF(경제학원론_3!$B$2:$B$295,"학생284")+COUNTIF(경영통계학_1!$B$2:$B$299,"학생284")+COUNTIF(경영통계학_2!$B$2:$B$301,"학생284")+COUNTIF(경영통계학_3!$B$2:$B$298,"학생284")+COUNTIF(무역학개론_1!$B$2:$B$301,"학생284")+COUNTIF(회계학원론_1!$B$2:$B$293,"학생284")+COUNTIF(경영정보시스템_1!$B$2:$B$301,"학생284")+COUNTIF(관리회계_1!$B$2:$B$300,"학생284")+COUNTIF(관리회계_2!$B$2:$B$301,"학생284")+COUNTIF(마케팅_1!$B$2:$B$301,"학생284")+COUNTIF(마케팅리서치_1!$B$2:$B$301,"학생284")+COUNTIF(세법개론_1!$B$2:$B$300,"학생284")+COUNTIF(재무관리_1!$B$2:$B$301,"학생284")+COUNTIF(조직행동론_1!$B$2:$B$301,"학생284")+COUNTIF(조직행동론_2!$B$2:$B$301,"학생284")+COUNTIF(중급재무회계_1!$B$2:$B$301,"학생284")+COUNTIF(투자론_1!$B$2:$B$300,"학생284")+COUNTIF(경영과학_1!$B$2:$B$301,"학생284")+COUNTIF(세무회계_1!$B$2:$B$301,"학생284")+COUNTIF(스마트경영_1!$B$2:$B$301,"학생284")+COUNTIF(스마트경영_2!$B$2:$B$301,"학생284")+COUNTIF(인적자원관리_1!$B$2:$B$257,"학생284")+COUNTIF(서비스마케팅_1!$B$2:$B$276,"학생284")+COUNTIF(제품관리_1!$B$2:$B$301,"학생284")</f>
        <v>4</v>
      </c>
    </row>
    <row r="288" spans="1:9" hidden="1">
      <c r="A288" s="15">
        <v>285</v>
      </c>
      <c r="B288" s="16" t="s">
        <v>286</v>
      </c>
      <c r="C288" s="16">
        <v>202400285</v>
      </c>
      <c r="I288" s="24">
        <f>COUNTIF(경영학원론_1!$B$3:$B$300,"학생285")+COUNTIF(경영학원론_2!$B$2:$B$301,"학생285")+COUNTIF(경영학원론_3!$B$2:$B$301,"학생285")+COUNTIF(경영학원론_4!$B$2:$B$300,"학생285")+COUNTIF(경제학원론_1!$B$2:$B$295,"학생285")+COUNTIF(경제학원론_2!$B$2:$B$298,"학생285")+COUNTIF(경제학원론_3!$B$2:$B$295,"학생285")+COUNTIF(경영통계학_1!$B$2:$B$299,"학생285")+COUNTIF(경영통계학_2!$B$2:$B$301,"학생285")+COUNTIF(경영통계학_3!$B$2:$B$298,"학생285")+COUNTIF(무역학개론_1!$B$2:$B$301,"학생285")+COUNTIF(회계학원론_1!$B$2:$B$293,"학생285")+COUNTIF(경영정보시스템_1!$B$2:$B$301,"학생285")+COUNTIF(관리회계_1!$B$2:$B$300,"학생285")+COUNTIF(관리회계_2!$B$2:$B$301,"학생285")+COUNTIF(마케팅_1!$B$2:$B$301,"학생285")+COUNTIF(마케팅리서치_1!$B$2:$B$301,"학생285")+COUNTIF(세법개론_1!$B$2:$B$300,"학생285")+COUNTIF(재무관리_1!$B$2:$B$301,"학생285")+COUNTIF(조직행동론_1!$B$2:$B$301,"학생285")+COUNTIF(조직행동론_2!$B$2:$B$301,"학생285")+COUNTIF(중급재무회계_1!$B$2:$B$301,"학생285")+COUNTIF(투자론_1!$B$2:$B$300,"학생285")+COUNTIF(경영과학_1!$B$2:$B$301,"학생285")+COUNTIF(세무회계_1!$B$2:$B$301,"학생285")+COUNTIF(스마트경영_1!$B$2:$B$301,"학생285")+COUNTIF(스마트경영_2!$B$2:$B$301,"학생285")+COUNTIF(인적자원관리_1!$B$2:$B$257,"학생285")+COUNTIF(서비스마케팅_1!$B$2:$B$276,"학생285")+COUNTIF(제품관리_1!$B$2:$B$301,"학생285")</f>
        <v>5</v>
      </c>
    </row>
    <row r="289" spans="1:9" hidden="1">
      <c r="A289" s="15">
        <v>286</v>
      </c>
      <c r="B289" s="16" t="s">
        <v>287</v>
      </c>
      <c r="C289" s="16">
        <v>202400286</v>
      </c>
      <c r="I289" s="24">
        <f>COUNTIF(경영학원론_1!$B$3:$B$300,"학생286")+COUNTIF(경영학원론_2!$B$2:$B$301,"학생286")+COUNTIF(경영학원론_3!$B$2:$B$301,"학생286")+COUNTIF(경영학원론_4!$B$2:$B$300,"학생286")+COUNTIF(경제학원론_1!$B$2:$B$295,"학생286")+COUNTIF(경제학원론_2!$B$2:$B$298,"학생286")+COUNTIF(경제학원론_3!$B$2:$B$295,"학생286")+COUNTIF(경영통계학_1!$B$2:$B$299,"학생286")+COUNTIF(경영통계학_2!$B$2:$B$301,"학생286")+COUNTIF(경영통계학_3!$B$2:$B$298,"학생286")+COUNTIF(무역학개론_1!$B$2:$B$301,"학생286")+COUNTIF(회계학원론_1!$B$2:$B$293,"학생286")+COUNTIF(경영정보시스템_1!$B$2:$B$301,"학생286")+COUNTIF(관리회계_1!$B$2:$B$300,"학생286")+COUNTIF(관리회계_2!$B$2:$B$301,"학생286")+COUNTIF(마케팅_1!$B$2:$B$301,"학생286")+COUNTIF(마케팅리서치_1!$B$2:$B$301,"학생286")+COUNTIF(세법개론_1!$B$2:$B$300,"학생286")+COUNTIF(재무관리_1!$B$2:$B$301,"학생286")+COUNTIF(조직행동론_1!$B$2:$B$301,"학생286")+COUNTIF(조직행동론_2!$B$2:$B$301,"학생286")+COUNTIF(중급재무회계_1!$B$2:$B$301,"학생286")+COUNTIF(투자론_1!$B$2:$B$300,"학생286")+COUNTIF(경영과학_1!$B$2:$B$301,"학생286")+COUNTIF(세무회계_1!$B$2:$B$301,"학생286")+COUNTIF(스마트경영_1!$B$2:$B$301,"학생286")+COUNTIF(스마트경영_2!$B$2:$B$301,"학생286")+COUNTIF(인적자원관리_1!$B$2:$B$257,"학생286")+COUNTIF(서비스마케팅_1!$B$2:$B$276,"학생286")+COUNTIF(제품관리_1!$B$2:$B$301,"학생286")</f>
        <v>6</v>
      </c>
    </row>
    <row r="290" spans="1:9" hidden="1">
      <c r="A290" s="15">
        <v>287</v>
      </c>
      <c r="B290" s="16" t="s">
        <v>288</v>
      </c>
      <c r="C290" s="16">
        <v>202400287</v>
      </c>
      <c r="I290" s="24">
        <f>COUNTIF(경영학원론_1!$B$3:$B$300,"학생287")+COUNTIF(경영학원론_2!$B$2:$B$301,"학생287")+COUNTIF(경영학원론_3!$B$2:$B$301,"학생287")+COUNTIF(경영학원론_4!$B$2:$B$300,"학생287")+COUNTIF(경제학원론_1!$B$2:$B$295,"학생287")+COUNTIF(경제학원론_2!$B$2:$B$298,"학생287")+COUNTIF(경제학원론_3!$B$2:$B$295,"학생287")+COUNTIF(경영통계학_1!$B$2:$B$299,"학생287")+COUNTIF(경영통계학_2!$B$2:$B$301,"학생287")+COUNTIF(경영통계학_3!$B$2:$B$298,"학생287")+COUNTIF(무역학개론_1!$B$2:$B$301,"학생287")+COUNTIF(회계학원론_1!$B$2:$B$293,"학생287")+COUNTIF(경영정보시스템_1!$B$2:$B$301,"학생287")+COUNTIF(관리회계_1!$B$2:$B$300,"학생287")+COUNTIF(관리회계_2!$B$2:$B$301,"학생287")+COUNTIF(마케팅_1!$B$2:$B$301,"학생287")+COUNTIF(마케팅리서치_1!$B$2:$B$301,"학생287")+COUNTIF(세법개론_1!$B$2:$B$300,"학생287")+COUNTIF(재무관리_1!$B$2:$B$301,"학생287")+COUNTIF(조직행동론_1!$B$2:$B$301,"학생287")+COUNTIF(조직행동론_2!$B$2:$B$301,"학생287")+COUNTIF(중급재무회계_1!$B$2:$B$301,"학생287")+COUNTIF(투자론_1!$B$2:$B$300,"학생287")+COUNTIF(경영과학_1!$B$2:$B$301,"학생287")+COUNTIF(세무회계_1!$B$2:$B$301,"학생287")+COUNTIF(스마트경영_1!$B$2:$B$301,"학생287")+COUNTIF(스마트경영_2!$B$2:$B$301,"학생287")+COUNTIF(인적자원관리_1!$B$2:$B$257,"학생287")+COUNTIF(서비스마케팅_1!$B$2:$B$276,"학생287")+COUNTIF(제품관리_1!$B$2:$B$301,"학생287")</f>
        <v>6</v>
      </c>
    </row>
    <row r="291" spans="1:9" hidden="1">
      <c r="A291" s="15">
        <v>288</v>
      </c>
      <c r="B291" s="16" t="s">
        <v>289</v>
      </c>
      <c r="C291" s="16">
        <v>202400288</v>
      </c>
      <c r="I291" s="24">
        <f>COUNTIF(경영학원론_1!$B$3:$B$300,"학생288")+COUNTIF(경영학원론_2!$B$2:$B$301,"학생288")+COUNTIF(경영학원론_3!$B$2:$B$301,"학생288")+COUNTIF(경영학원론_4!$B$2:$B$300,"학생288")+COUNTIF(경제학원론_1!$B$2:$B$295,"학생288")+COUNTIF(경제학원론_2!$B$2:$B$298,"학생288")+COUNTIF(경제학원론_3!$B$2:$B$295,"학생288")+COUNTIF(경영통계학_1!$B$2:$B$299,"학생288")+COUNTIF(경영통계학_2!$B$2:$B$301,"학생288")+COUNTIF(경영통계학_3!$B$2:$B$298,"학생288")+COUNTIF(무역학개론_1!$B$2:$B$301,"학생288")+COUNTIF(회계학원론_1!$B$2:$B$293,"학생288")+COUNTIF(경영정보시스템_1!$B$2:$B$301,"학생288")+COUNTIF(관리회계_1!$B$2:$B$300,"학생288")+COUNTIF(관리회계_2!$B$2:$B$301,"학생288")+COUNTIF(마케팅_1!$B$2:$B$301,"학생288")+COUNTIF(마케팅리서치_1!$B$2:$B$301,"학생288")+COUNTIF(세법개론_1!$B$2:$B$300,"학생288")+COUNTIF(재무관리_1!$B$2:$B$301,"학생288")+COUNTIF(조직행동론_1!$B$2:$B$301,"학생288")+COUNTIF(조직행동론_2!$B$2:$B$301,"학생288")+COUNTIF(중급재무회계_1!$B$2:$B$301,"학생288")+COUNTIF(투자론_1!$B$2:$B$300,"학생288")+COUNTIF(경영과학_1!$B$2:$B$301,"학생288")+COUNTIF(세무회계_1!$B$2:$B$301,"학생288")+COUNTIF(스마트경영_1!$B$2:$B$301,"학생288")+COUNTIF(스마트경영_2!$B$2:$B$301,"학생288")+COUNTIF(인적자원관리_1!$B$2:$B$257,"학생288")+COUNTIF(서비스마케팅_1!$B$2:$B$276,"학생288")+COUNTIF(제품관리_1!$B$2:$B$301,"학생288")</f>
        <v>6</v>
      </c>
    </row>
    <row r="292" spans="1:9" hidden="1">
      <c r="A292" s="15">
        <v>289</v>
      </c>
      <c r="B292" s="16" t="s">
        <v>290</v>
      </c>
      <c r="C292" s="16">
        <v>202400289</v>
      </c>
      <c r="I292" s="24">
        <f>COUNTIF(경영학원론_1!$B$3:$B$300,"학생289")+COUNTIF(경영학원론_2!$B$2:$B$301,"학생289")+COUNTIF(경영학원론_3!$B$2:$B$301,"학생289")+COUNTIF(경영학원론_4!$B$2:$B$300,"학생289")+COUNTIF(경제학원론_1!$B$2:$B$295,"학생289")+COUNTIF(경제학원론_2!$B$2:$B$298,"학생289")+COUNTIF(경제학원론_3!$B$2:$B$295,"학생289")+COUNTIF(경영통계학_1!$B$2:$B$299,"학생289")+COUNTIF(경영통계학_2!$B$2:$B$301,"학생289")+COUNTIF(경영통계학_3!$B$2:$B$298,"학생289")+COUNTIF(무역학개론_1!$B$2:$B$301,"학생289")+COUNTIF(회계학원론_1!$B$2:$B$293,"학생289")+COUNTIF(경영정보시스템_1!$B$2:$B$301,"학생289")+COUNTIF(관리회계_1!$B$2:$B$300,"학생289")+COUNTIF(관리회계_2!$B$2:$B$301,"학생289")+COUNTIF(마케팅_1!$B$2:$B$301,"학생289")+COUNTIF(마케팅리서치_1!$B$2:$B$301,"학생289")+COUNTIF(세법개론_1!$B$2:$B$300,"학생289")+COUNTIF(재무관리_1!$B$2:$B$301,"학생289")+COUNTIF(조직행동론_1!$B$2:$B$301,"학생289")+COUNTIF(조직행동론_2!$B$2:$B$301,"학생289")+COUNTIF(중급재무회계_1!$B$2:$B$301,"학생289")+COUNTIF(투자론_1!$B$2:$B$300,"학생289")+COUNTIF(경영과학_1!$B$2:$B$301,"학생289")+COUNTIF(세무회계_1!$B$2:$B$301,"학생289")+COUNTIF(스마트경영_1!$B$2:$B$301,"학생289")+COUNTIF(스마트경영_2!$B$2:$B$301,"학생289")+COUNTIF(인적자원관리_1!$B$2:$B$257,"학생289")+COUNTIF(서비스마케팅_1!$B$2:$B$276,"학생289")+COUNTIF(제품관리_1!$B$2:$B$301,"학생289")</f>
        <v>5</v>
      </c>
    </row>
    <row r="293" spans="1:9" hidden="1">
      <c r="A293" s="15">
        <v>290</v>
      </c>
      <c r="B293" s="16" t="s">
        <v>291</v>
      </c>
      <c r="C293" s="16">
        <v>202400290</v>
      </c>
      <c r="I293" s="24">
        <f>COUNTIF(경영학원론_1!$B$3:$B$300,"학생290")+COUNTIF(경영학원론_2!$B$2:$B$301,"학생290")+COUNTIF(경영학원론_3!$B$2:$B$301,"학생290")+COUNTIF(경영학원론_4!$B$2:$B$300,"학생290")+COUNTIF(경제학원론_1!$B$2:$B$295,"학생290")+COUNTIF(경제학원론_2!$B$2:$B$298,"학생290")+COUNTIF(경제학원론_3!$B$2:$B$295,"학생290")+COUNTIF(경영통계학_1!$B$2:$B$299,"학생290")+COUNTIF(경영통계학_2!$B$2:$B$301,"학생290")+COUNTIF(경영통계학_3!$B$2:$B$298,"학생290")+COUNTIF(무역학개론_1!$B$2:$B$301,"학생290")+COUNTIF(회계학원론_1!$B$2:$B$293,"학생290")+COUNTIF(경영정보시스템_1!$B$2:$B$301,"학생290")+COUNTIF(관리회계_1!$B$2:$B$300,"학생290")+COUNTIF(관리회계_2!$B$2:$B$301,"학생290")+COUNTIF(마케팅_1!$B$2:$B$301,"학생290")+COUNTIF(마케팅리서치_1!$B$2:$B$301,"학생290")+COUNTIF(세법개론_1!$B$2:$B$300,"학생290")+COUNTIF(재무관리_1!$B$2:$B$301,"학생290")+COUNTIF(조직행동론_1!$B$2:$B$301,"학생290")+COUNTIF(조직행동론_2!$B$2:$B$301,"학생290")+COUNTIF(중급재무회계_1!$B$2:$B$301,"학생290")+COUNTIF(투자론_1!$B$2:$B$300,"학생290")+COUNTIF(경영과학_1!$B$2:$B$301,"학생290")+COUNTIF(세무회계_1!$B$2:$B$301,"학생290")+COUNTIF(스마트경영_1!$B$2:$B$301,"학생290")+COUNTIF(스마트경영_2!$B$2:$B$301,"학생290")+COUNTIF(인적자원관리_1!$B$2:$B$257,"학생290")+COUNTIF(서비스마케팅_1!$B$2:$B$276,"학생290")+COUNTIF(제품관리_1!$B$2:$B$301,"학생290")</f>
        <v>6</v>
      </c>
    </row>
    <row r="294" spans="1:9" hidden="1">
      <c r="A294" s="15">
        <v>291</v>
      </c>
      <c r="B294" s="16" t="s">
        <v>292</v>
      </c>
      <c r="C294" s="16">
        <v>202400291</v>
      </c>
      <c r="I294" s="24">
        <f>COUNTIF(경영학원론_1!$B$3:$B$300,"학생291")+COUNTIF(경영학원론_2!$B$2:$B$301,"학생291")+COUNTIF(경영학원론_3!$B$2:$B$301,"학생291")+COUNTIF(경영학원론_4!$B$2:$B$300,"학생291")+COUNTIF(경제학원론_1!$B$2:$B$295,"학생291")+COUNTIF(경제학원론_2!$B$2:$B$298,"학생291")+COUNTIF(경제학원론_3!$B$2:$B$295,"학생291")+COUNTIF(경영통계학_1!$B$2:$B$299,"학생291")+COUNTIF(경영통계학_2!$B$2:$B$301,"학생291")+COUNTIF(경영통계학_3!$B$2:$B$298,"학생291")+COUNTIF(무역학개론_1!$B$2:$B$301,"학생291")+COUNTIF(회계학원론_1!$B$2:$B$293,"학생291")+COUNTIF(경영정보시스템_1!$B$2:$B$301,"학생291")+COUNTIF(관리회계_1!$B$2:$B$300,"학생291")+COUNTIF(관리회계_2!$B$2:$B$301,"학생291")+COUNTIF(마케팅_1!$B$2:$B$301,"학생291")+COUNTIF(마케팅리서치_1!$B$2:$B$301,"학생291")+COUNTIF(세법개론_1!$B$2:$B$300,"학생291")+COUNTIF(재무관리_1!$B$2:$B$301,"학생291")+COUNTIF(조직행동론_1!$B$2:$B$301,"학생291")+COUNTIF(조직행동론_2!$B$2:$B$301,"학생291")+COUNTIF(중급재무회계_1!$B$2:$B$301,"학생291")+COUNTIF(투자론_1!$B$2:$B$300,"학생291")+COUNTIF(경영과학_1!$B$2:$B$301,"학생291")+COUNTIF(세무회계_1!$B$2:$B$301,"학생291")+COUNTIF(스마트경영_1!$B$2:$B$301,"학생291")+COUNTIF(스마트경영_2!$B$2:$B$301,"학생291")+COUNTIF(인적자원관리_1!$B$2:$B$257,"학생291")+COUNTIF(서비스마케팅_1!$B$2:$B$276,"학생291")+COUNTIF(제품관리_1!$B$2:$B$301,"학생291")</f>
        <v>4</v>
      </c>
    </row>
    <row r="295" spans="1:9" hidden="1">
      <c r="A295" s="15">
        <v>292</v>
      </c>
      <c r="B295" s="16" t="s">
        <v>293</v>
      </c>
      <c r="C295" s="16">
        <v>202400292</v>
      </c>
      <c r="I295" s="24">
        <f>COUNTIF(경영학원론_1!$B$3:$B$300,"학생292")+COUNTIF(경영학원론_2!$B$2:$B$301,"학생292")+COUNTIF(경영학원론_3!$B$2:$B$301,"학생292")+COUNTIF(경영학원론_4!$B$2:$B$300,"학생292")+COUNTIF(경제학원론_1!$B$2:$B$295,"학생292")+COUNTIF(경제학원론_2!$B$2:$B$298,"학생292")+COUNTIF(경제학원론_3!$B$2:$B$295,"학생292")+COUNTIF(경영통계학_1!$B$2:$B$299,"학생292")+COUNTIF(경영통계학_2!$B$2:$B$301,"학생292")+COUNTIF(경영통계학_3!$B$2:$B$298,"학생292")+COUNTIF(무역학개론_1!$B$2:$B$301,"학생292")+COUNTIF(회계학원론_1!$B$2:$B$293,"학생292")+COUNTIF(경영정보시스템_1!$B$2:$B$301,"학생292")+COUNTIF(관리회계_1!$B$2:$B$300,"학생292")+COUNTIF(관리회계_2!$B$2:$B$301,"학생292")+COUNTIF(마케팅_1!$B$2:$B$301,"학생292")+COUNTIF(마케팅리서치_1!$B$2:$B$301,"학생292")+COUNTIF(세법개론_1!$B$2:$B$300,"학생292")+COUNTIF(재무관리_1!$B$2:$B$301,"학생292")+COUNTIF(조직행동론_1!$B$2:$B$301,"학생292")+COUNTIF(조직행동론_2!$B$2:$B$301,"학생292")+COUNTIF(중급재무회계_1!$B$2:$B$301,"학생292")+COUNTIF(투자론_1!$B$2:$B$300,"학생292")+COUNTIF(경영과학_1!$B$2:$B$301,"학생292")+COUNTIF(세무회계_1!$B$2:$B$301,"학생292")+COUNTIF(스마트경영_1!$B$2:$B$301,"학생292")+COUNTIF(스마트경영_2!$B$2:$B$301,"학생292")+COUNTIF(인적자원관리_1!$B$2:$B$257,"학생292")+COUNTIF(서비스마케팅_1!$B$2:$B$276,"학생292")+COUNTIF(제품관리_1!$B$2:$B$301,"학생292")</f>
        <v>4</v>
      </c>
    </row>
    <row r="296" spans="1:9" hidden="1">
      <c r="A296" s="15">
        <v>293</v>
      </c>
      <c r="B296" s="16" t="s">
        <v>294</v>
      </c>
      <c r="C296" s="16">
        <v>202400293</v>
      </c>
      <c r="I296" s="24">
        <f>COUNTIF(경영학원론_1!$B$3:$B$300,"학생293")+COUNTIF(경영학원론_2!$B$2:$B$301,"학생293")+COUNTIF(경영학원론_3!$B$2:$B$301,"학생293")+COUNTIF(경영학원론_4!$B$2:$B$300,"학생293")+COUNTIF(경제학원론_1!$B$2:$B$295,"학생293")+COUNTIF(경제학원론_2!$B$2:$B$298,"학생293")+COUNTIF(경제학원론_3!$B$2:$B$295,"학생293")+COUNTIF(경영통계학_1!$B$2:$B$299,"학생293")+COUNTIF(경영통계학_2!$B$2:$B$301,"학생293")+COUNTIF(경영통계학_3!$B$2:$B$298,"학생293")+COUNTIF(무역학개론_1!$B$2:$B$301,"학생293")+COUNTIF(회계학원론_1!$B$2:$B$293,"학생293")+COUNTIF(경영정보시스템_1!$B$2:$B$301,"학생293")+COUNTIF(관리회계_1!$B$2:$B$300,"학생293")+COUNTIF(관리회계_2!$B$2:$B$301,"학생293")+COUNTIF(마케팅_1!$B$2:$B$301,"학생293")+COUNTIF(마케팅리서치_1!$B$2:$B$301,"학생293")+COUNTIF(세법개론_1!$B$2:$B$300,"학생293")+COUNTIF(재무관리_1!$B$2:$B$301,"학생293")+COUNTIF(조직행동론_1!$B$2:$B$301,"학생293")+COUNTIF(조직행동론_2!$B$2:$B$301,"학생293")+COUNTIF(중급재무회계_1!$B$2:$B$301,"학생293")+COUNTIF(투자론_1!$B$2:$B$300,"학생293")+COUNTIF(경영과학_1!$B$2:$B$301,"학생293")+COUNTIF(세무회계_1!$B$2:$B$301,"학생293")+COUNTIF(스마트경영_1!$B$2:$B$301,"학생293")+COUNTIF(스마트경영_2!$B$2:$B$301,"학생293")+COUNTIF(인적자원관리_1!$B$2:$B$257,"학생293")+COUNTIF(서비스마케팅_1!$B$2:$B$276,"학생293")+COUNTIF(제품관리_1!$B$2:$B$301,"학생293")</f>
        <v>6</v>
      </c>
    </row>
    <row r="297" spans="1:9" hidden="1">
      <c r="A297" s="15">
        <v>294</v>
      </c>
      <c r="B297" s="16" t="s">
        <v>295</v>
      </c>
      <c r="C297" s="16">
        <v>202400294</v>
      </c>
      <c r="I297" s="24">
        <f>COUNTIF(경영학원론_1!$B$3:$B$300,"학생294")+COUNTIF(경영학원론_2!$B$2:$B$301,"학생294")+COUNTIF(경영학원론_3!$B$2:$B$301,"학생294")+COUNTIF(경영학원론_4!$B$2:$B$300,"학생294")+COUNTIF(경제학원론_1!$B$2:$B$295,"학생294")+COUNTIF(경제학원론_2!$B$2:$B$298,"학생294")+COUNTIF(경제학원론_3!$B$2:$B$295,"학생294")+COUNTIF(경영통계학_1!$B$2:$B$299,"학생294")+COUNTIF(경영통계학_2!$B$2:$B$301,"학생294")+COUNTIF(경영통계학_3!$B$2:$B$298,"학생294")+COUNTIF(무역학개론_1!$B$2:$B$301,"학생294")+COUNTIF(회계학원론_1!$B$2:$B$293,"학생294")+COUNTIF(경영정보시스템_1!$B$2:$B$301,"학생294")+COUNTIF(관리회계_1!$B$2:$B$300,"학생294")+COUNTIF(관리회계_2!$B$2:$B$301,"학생294")+COUNTIF(마케팅_1!$B$2:$B$301,"학생294")+COUNTIF(마케팅리서치_1!$B$2:$B$301,"학생294")+COUNTIF(세법개론_1!$B$2:$B$300,"학생294")+COUNTIF(재무관리_1!$B$2:$B$301,"학생294")+COUNTIF(조직행동론_1!$B$2:$B$301,"학생294")+COUNTIF(조직행동론_2!$B$2:$B$301,"학생294")+COUNTIF(중급재무회계_1!$B$2:$B$301,"학생294")+COUNTIF(투자론_1!$B$2:$B$300,"학생294")+COUNTIF(경영과학_1!$B$2:$B$301,"학생294")+COUNTIF(세무회계_1!$B$2:$B$301,"학생294")+COUNTIF(스마트경영_1!$B$2:$B$301,"학생294")+COUNTIF(스마트경영_2!$B$2:$B$301,"학생294")+COUNTIF(인적자원관리_1!$B$2:$B$257,"학생294")+COUNTIF(서비스마케팅_1!$B$2:$B$276,"학생294")+COUNTIF(제품관리_1!$B$2:$B$301,"학생294")</f>
        <v>6</v>
      </c>
    </row>
    <row r="298" spans="1:9" hidden="1">
      <c r="A298" s="15">
        <v>295</v>
      </c>
      <c r="B298" s="16" t="s">
        <v>296</v>
      </c>
      <c r="C298" s="16">
        <v>202400295</v>
      </c>
      <c r="I298" s="24">
        <f>COUNTIF(경영학원론_1!$B$3:$B$300,"학생295")+COUNTIF(경영학원론_2!$B$2:$B$301,"학생295")+COUNTIF(경영학원론_3!$B$2:$B$301,"학생295")+COUNTIF(경영학원론_4!$B$2:$B$300,"학생295")+COUNTIF(경제학원론_1!$B$2:$B$295,"학생295")+COUNTIF(경제학원론_2!$B$2:$B$298,"학생295")+COUNTIF(경제학원론_3!$B$2:$B$295,"학생295")+COUNTIF(경영통계학_1!$B$2:$B$299,"학생295")+COUNTIF(경영통계학_2!$B$2:$B$301,"학생295")+COUNTIF(경영통계학_3!$B$2:$B$298,"학생295")+COUNTIF(무역학개론_1!$B$2:$B$301,"학생295")+COUNTIF(회계학원론_1!$B$2:$B$293,"학생295")+COUNTIF(경영정보시스템_1!$B$2:$B$301,"학생295")+COUNTIF(관리회계_1!$B$2:$B$300,"학생295")+COUNTIF(관리회계_2!$B$2:$B$301,"학생295")+COUNTIF(마케팅_1!$B$2:$B$301,"학생295")+COUNTIF(마케팅리서치_1!$B$2:$B$301,"학생295")+COUNTIF(세법개론_1!$B$2:$B$300,"학생295")+COUNTIF(재무관리_1!$B$2:$B$301,"학생295")+COUNTIF(조직행동론_1!$B$2:$B$301,"학생295")+COUNTIF(조직행동론_2!$B$2:$B$301,"학생295")+COUNTIF(중급재무회계_1!$B$2:$B$301,"학생295")+COUNTIF(투자론_1!$B$2:$B$300,"학생295")+COUNTIF(경영과학_1!$B$2:$B$301,"학생295")+COUNTIF(세무회계_1!$B$2:$B$301,"학생295")+COUNTIF(스마트경영_1!$B$2:$B$301,"학생295")+COUNTIF(스마트경영_2!$B$2:$B$301,"학생295")+COUNTIF(인적자원관리_1!$B$2:$B$257,"학생295")+COUNTIF(서비스마케팅_1!$B$2:$B$276,"학생295")+COUNTIF(제품관리_1!$B$2:$B$301,"학생295")</f>
        <v>5</v>
      </c>
    </row>
    <row r="299" spans="1:9" hidden="1">
      <c r="A299" s="15">
        <v>296</v>
      </c>
      <c r="B299" s="16" t="s">
        <v>297</v>
      </c>
      <c r="C299" s="16">
        <v>202400296</v>
      </c>
      <c r="I299" s="24">
        <f>COUNTIF(경영학원론_1!$B$3:$B$300,"학생296")+COUNTIF(경영학원론_2!$B$2:$B$301,"학생296")+COUNTIF(경영학원론_3!$B$2:$B$301,"학생296")+COUNTIF(경영학원론_4!$B$2:$B$300,"학생296")+COUNTIF(경제학원론_1!$B$2:$B$295,"학생296")+COUNTIF(경제학원론_2!$B$2:$B$298,"학생296")+COUNTIF(경제학원론_3!$B$2:$B$295,"학생296")+COUNTIF(경영통계학_1!$B$2:$B$299,"학생296")+COUNTIF(경영통계학_2!$B$2:$B$301,"학생296")+COUNTIF(경영통계학_3!$B$2:$B$298,"학생296")+COUNTIF(무역학개론_1!$B$2:$B$301,"학생296")+COUNTIF(회계학원론_1!$B$2:$B$293,"학생296")+COUNTIF(경영정보시스템_1!$B$2:$B$301,"학생296")+COUNTIF(관리회계_1!$B$2:$B$300,"학생296")+COUNTIF(관리회계_2!$B$2:$B$301,"학생296")+COUNTIF(마케팅_1!$B$2:$B$301,"학생296")+COUNTIF(마케팅리서치_1!$B$2:$B$301,"학생296")+COUNTIF(세법개론_1!$B$2:$B$300,"학생296")+COUNTIF(재무관리_1!$B$2:$B$301,"학생296")+COUNTIF(조직행동론_1!$B$2:$B$301,"학생296")+COUNTIF(조직행동론_2!$B$2:$B$301,"학생296")+COUNTIF(중급재무회계_1!$B$2:$B$301,"학생296")+COUNTIF(투자론_1!$B$2:$B$300,"학생296")+COUNTIF(경영과학_1!$B$2:$B$301,"학생296")+COUNTIF(세무회계_1!$B$2:$B$301,"학생296")+COUNTIF(스마트경영_1!$B$2:$B$301,"학생296")+COUNTIF(스마트경영_2!$B$2:$B$301,"학생296")+COUNTIF(인적자원관리_1!$B$2:$B$257,"학생296")+COUNTIF(서비스마케팅_1!$B$2:$B$276,"학생296")+COUNTIF(제품관리_1!$B$2:$B$301,"학생296")</f>
        <v>5</v>
      </c>
    </row>
    <row r="300" spans="1:9" hidden="1">
      <c r="A300" s="15">
        <v>297</v>
      </c>
      <c r="B300" s="16" t="s">
        <v>298</v>
      </c>
      <c r="C300" s="16">
        <v>202400297</v>
      </c>
      <c r="I300" s="24">
        <f>COUNTIF(경영학원론_1!$B$3:$B$300,"학생297")+COUNTIF(경영학원론_2!$B$2:$B$301,"학생297")+COUNTIF(경영학원론_3!$B$2:$B$301,"학생297")+COUNTIF(경영학원론_4!$B$2:$B$300,"학생297")+COUNTIF(경제학원론_1!$B$2:$B$295,"학생297")+COUNTIF(경제학원론_2!$B$2:$B$298,"학생297")+COUNTIF(경제학원론_3!$B$2:$B$295,"학생297")+COUNTIF(경영통계학_1!$B$2:$B$299,"학생297")+COUNTIF(경영통계학_2!$B$2:$B$301,"학생297")+COUNTIF(경영통계학_3!$B$2:$B$298,"학생297")+COUNTIF(무역학개론_1!$B$2:$B$301,"학생297")+COUNTIF(회계학원론_1!$B$2:$B$293,"학생297")+COUNTIF(경영정보시스템_1!$B$2:$B$301,"학생297")+COUNTIF(관리회계_1!$B$2:$B$300,"학생297")+COUNTIF(관리회계_2!$B$2:$B$301,"학생297")+COUNTIF(마케팅_1!$B$2:$B$301,"학생297")+COUNTIF(마케팅리서치_1!$B$2:$B$301,"학생297")+COUNTIF(세법개론_1!$B$2:$B$300,"학생297")+COUNTIF(재무관리_1!$B$2:$B$301,"학생297")+COUNTIF(조직행동론_1!$B$2:$B$301,"학생297")+COUNTIF(조직행동론_2!$B$2:$B$301,"학생297")+COUNTIF(중급재무회계_1!$B$2:$B$301,"학생297")+COUNTIF(투자론_1!$B$2:$B$300,"학생297")+COUNTIF(경영과학_1!$B$2:$B$301,"학생297")+COUNTIF(세무회계_1!$B$2:$B$301,"학생297")+COUNTIF(스마트경영_1!$B$2:$B$301,"학생297")+COUNTIF(스마트경영_2!$B$2:$B$301,"학생297")+COUNTIF(인적자원관리_1!$B$2:$B$257,"학생297")+COUNTIF(서비스마케팅_1!$B$2:$B$276,"학생297")+COUNTIF(제품관리_1!$B$2:$B$301,"학생297")</f>
        <v>6</v>
      </c>
    </row>
    <row r="301" spans="1:9" hidden="1">
      <c r="A301" s="15">
        <v>298</v>
      </c>
      <c r="B301" s="16" t="s">
        <v>299</v>
      </c>
      <c r="C301" s="16">
        <v>202400298</v>
      </c>
      <c r="I301" s="24">
        <f>COUNTIF(경영학원론_1!$B$3:$B$300,"학생298")+COUNTIF(경영학원론_2!$B$2:$B$301,"학생298")+COUNTIF(경영학원론_3!$B$2:$B$301,"학생298")+COUNTIF(경영학원론_4!$B$2:$B$300,"학생298")+COUNTIF(경제학원론_1!$B$2:$B$295,"학생298")+COUNTIF(경제학원론_2!$B$2:$B$298,"학생298")+COUNTIF(경제학원론_3!$B$2:$B$295,"학생298")+COUNTIF(경영통계학_1!$B$2:$B$299,"학생298")+COUNTIF(경영통계학_2!$B$2:$B$301,"학생298")+COUNTIF(경영통계학_3!$B$2:$B$298,"학생298")+COUNTIF(무역학개론_1!$B$2:$B$301,"학생298")+COUNTIF(회계학원론_1!$B$2:$B$293,"학생298")+COUNTIF(경영정보시스템_1!$B$2:$B$301,"학생298")+COUNTIF(관리회계_1!$B$2:$B$300,"학생298")+COUNTIF(관리회계_2!$B$2:$B$301,"학생298")+COUNTIF(마케팅_1!$B$2:$B$301,"학생298")+COUNTIF(마케팅리서치_1!$B$2:$B$301,"학생298")+COUNTIF(세법개론_1!$B$2:$B$300,"학생298")+COUNTIF(재무관리_1!$B$2:$B$301,"학생298")+COUNTIF(조직행동론_1!$B$2:$B$301,"학생298")+COUNTIF(조직행동론_2!$B$2:$B$301,"학생298")+COUNTIF(중급재무회계_1!$B$2:$B$301,"학생298")+COUNTIF(투자론_1!$B$2:$B$300,"학생298")+COUNTIF(경영과학_1!$B$2:$B$301,"학생298")+COUNTIF(세무회계_1!$B$2:$B$301,"학생298")+COUNTIF(스마트경영_1!$B$2:$B$301,"학생298")+COUNTIF(스마트경영_2!$B$2:$B$301,"학생298")+COUNTIF(인적자원관리_1!$B$2:$B$257,"학생298")+COUNTIF(서비스마케팅_1!$B$2:$B$276,"학생298")+COUNTIF(제품관리_1!$B$2:$B$301,"학생298")</f>
        <v>7</v>
      </c>
    </row>
    <row r="302" spans="1:9" hidden="1">
      <c r="A302" s="15">
        <v>299</v>
      </c>
      <c r="B302" s="16" t="s">
        <v>300</v>
      </c>
      <c r="C302" s="16">
        <v>202400299</v>
      </c>
      <c r="I302" s="24">
        <f>COUNTIF(경영학원론_1!$B$3:$B$300,"학생299")+COUNTIF(경영학원론_2!$B$2:$B$301,"학생299")+COUNTIF(경영학원론_3!$B$2:$B$301,"학생299")+COUNTIF(경영학원론_4!$B$2:$B$300,"학생299")+COUNTIF(경제학원론_1!$B$2:$B$295,"학생299")+COUNTIF(경제학원론_2!$B$2:$B$298,"학생299")+COUNTIF(경제학원론_3!$B$2:$B$295,"학생299")+COUNTIF(경영통계학_1!$B$2:$B$299,"학생299")+COUNTIF(경영통계학_2!$B$2:$B$301,"학생299")+COUNTIF(경영통계학_3!$B$2:$B$298,"학생299")+COUNTIF(무역학개론_1!$B$2:$B$301,"학생299")+COUNTIF(회계학원론_1!$B$2:$B$293,"학생299")+COUNTIF(경영정보시스템_1!$B$2:$B$301,"학생299")+COUNTIF(관리회계_1!$B$2:$B$300,"학생299")+COUNTIF(관리회계_2!$B$2:$B$301,"학생299")+COUNTIF(마케팅_1!$B$2:$B$301,"학생299")+COUNTIF(마케팅리서치_1!$B$2:$B$301,"학생299")+COUNTIF(세법개론_1!$B$2:$B$300,"학생299")+COUNTIF(재무관리_1!$B$2:$B$301,"학생299")+COUNTIF(조직행동론_1!$B$2:$B$301,"학생299")+COUNTIF(조직행동론_2!$B$2:$B$301,"학생299")+COUNTIF(중급재무회계_1!$B$2:$B$301,"학생299")+COUNTIF(투자론_1!$B$2:$B$300,"학생299")+COUNTIF(경영과학_1!$B$2:$B$301,"학생299")+COUNTIF(세무회계_1!$B$2:$B$301,"학생299")+COUNTIF(스마트경영_1!$B$2:$B$301,"학생299")+COUNTIF(스마트경영_2!$B$2:$B$301,"학생299")+COUNTIF(인적자원관리_1!$B$2:$B$257,"학생299")+COUNTIF(서비스마케팅_1!$B$2:$B$276,"학생299")+COUNTIF(제품관리_1!$B$2:$B$301,"학생299")</f>
        <v>7</v>
      </c>
    </row>
    <row r="303" spans="1:9" hidden="1">
      <c r="A303" s="15">
        <v>300</v>
      </c>
      <c r="B303" s="16" t="s">
        <v>301</v>
      </c>
      <c r="C303" s="16">
        <v>202400300</v>
      </c>
      <c r="I303" s="24">
        <f>COUNTIF(경영학원론_1!$B$3:$B$300,"학생300")+COUNTIF(경영학원론_2!$B$2:$B$301,"학생300")+COUNTIF(경영학원론_3!$B$2:$B$301,"학생300")+COUNTIF(경영학원론_4!$B$2:$B$300,"학생300")+COUNTIF(경제학원론_1!$B$2:$B$295,"학생300")+COUNTIF(경제학원론_2!$B$2:$B$298,"학생300")+COUNTIF(경제학원론_3!$B$2:$B$295,"학생300")+COUNTIF(경영통계학_1!$B$2:$B$299,"학생300")+COUNTIF(경영통계학_2!$B$2:$B$301,"학생300")+COUNTIF(경영통계학_3!$B$2:$B$298,"학생300")+COUNTIF(무역학개론_1!$B$2:$B$301,"학생300")+COUNTIF(회계학원론_1!$B$2:$B$293,"학생300")+COUNTIF(경영정보시스템_1!$B$2:$B$301,"학생300")+COUNTIF(관리회계_1!$B$2:$B$300,"학생300")+COUNTIF(관리회계_2!$B$2:$B$301,"학생300")+COUNTIF(마케팅_1!$B$2:$B$301,"학생300")+COUNTIF(마케팅리서치_1!$B$2:$B$301,"학생300")+COUNTIF(세법개론_1!$B$2:$B$300,"학생300")+COUNTIF(재무관리_1!$B$2:$B$301,"학생300")+COUNTIF(조직행동론_1!$B$2:$B$301,"학생300")+COUNTIF(조직행동론_2!$B$2:$B$301,"학생300")+COUNTIF(중급재무회계_1!$B$2:$B$301,"학생300")+COUNTIF(투자론_1!$B$2:$B$300,"학생300")+COUNTIF(경영과학_1!$B$2:$B$301,"학생300")+COUNTIF(세무회계_1!$B$2:$B$301,"학생300")+COUNTIF(스마트경영_1!$B$2:$B$301,"학생300")+COUNTIF(스마트경영_2!$B$2:$B$301,"학생300")+COUNTIF(인적자원관리_1!$B$2:$B$257,"학생300")+COUNTIF(서비스마케팅_1!$B$2:$B$276,"학생300")+COUNTIF(제품관리_1!$B$2:$B$301,"학생300")</f>
        <v>5</v>
      </c>
    </row>
    <row r="304" spans="1:9" hidden="1">
      <c r="A304" s="15">
        <v>301</v>
      </c>
      <c r="B304" s="16" t="s">
        <v>302</v>
      </c>
      <c r="C304" s="16">
        <v>202400301</v>
      </c>
      <c r="I304" s="24">
        <f>COUNTIF(경영학원론_1!$B$3:$B$300,"학생301")+COUNTIF(경영학원론_2!$B$2:$B$301,"학생301")+COUNTIF(경영학원론_3!$B$2:$B$301,"학생301")+COUNTIF(경영학원론_4!$B$2:$B$300,"학생301")+COUNTIF(경제학원론_1!$B$2:$B$295,"학생301")+COUNTIF(경제학원론_2!$B$2:$B$298,"학생301")+COUNTIF(경제학원론_3!$B$2:$B$295,"학생301")+COUNTIF(경영통계학_1!$B$2:$B$299,"학생301")+COUNTIF(경영통계학_2!$B$2:$B$301,"학생301")+COUNTIF(경영통계학_3!$B$2:$B$298,"학생301")+COUNTIF(무역학개론_1!$B$2:$B$301,"학생301")+COUNTIF(회계학원론_1!$B$2:$B$293,"학생301")+COUNTIF(경영정보시스템_1!$B$2:$B$301,"학생301")+COUNTIF(관리회계_1!$B$2:$B$300,"학생301")+COUNTIF(관리회계_2!$B$2:$B$301,"학생301")+COUNTIF(마케팅_1!$B$2:$B$301,"학생301")+COUNTIF(마케팅리서치_1!$B$2:$B$301,"학생301")+COUNTIF(세법개론_1!$B$2:$B$300,"학생301")+COUNTIF(재무관리_1!$B$2:$B$301,"학생301")+COUNTIF(조직행동론_1!$B$2:$B$301,"학생301")+COUNTIF(조직행동론_2!$B$2:$B$301,"학생301")+COUNTIF(중급재무회계_1!$B$2:$B$301,"학생301")+COUNTIF(투자론_1!$B$2:$B$300,"학생301")+COUNTIF(경영과학_1!$B$2:$B$301,"학생301")+COUNTIF(세무회계_1!$B$2:$B$301,"학생301")+COUNTIF(스마트경영_1!$B$2:$B$301,"학생301")+COUNTIF(스마트경영_2!$B$2:$B$301,"학생301")+COUNTIF(인적자원관리_1!$B$2:$B$257,"학생301")+COUNTIF(서비스마케팅_1!$B$2:$B$276,"학생301")+COUNTIF(제품관리_1!$B$2:$B$301,"학생301")</f>
        <v>7</v>
      </c>
    </row>
    <row r="305" spans="1:9" hidden="1">
      <c r="A305" s="15">
        <v>302</v>
      </c>
      <c r="B305" s="16" t="s">
        <v>303</v>
      </c>
      <c r="C305" s="16">
        <v>202400302</v>
      </c>
      <c r="I305" s="24">
        <f>COUNTIF(경영학원론_1!$B$3:$B$300,"학생302")+COUNTIF(경영학원론_2!$B$2:$B$301,"학생302")+COUNTIF(경영학원론_3!$B$2:$B$301,"학생302")+COUNTIF(경영학원론_4!$B$2:$B$300,"학생302")+COUNTIF(경제학원론_1!$B$2:$B$295,"학생302")+COUNTIF(경제학원론_2!$B$2:$B$298,"학생302")+COUNTIF(경제학원론_3!$B$2:$B$295,"학생302")+COUNTIF(경영통계학_1!$B$2:$B$299,"학생302")+COUNTIF(경영통계학_2!$B$2:$B$301,"학생302")+COUNTIF(경영통계학_3!$B$2:$B$298,"학생302")+COUNTIF(무역학개론_1!$B$2:$B$301,"학생302")+COUNTIF(회계학원론_1!$B$2:$B$293,"학생302")+COUNTIF(경영정보시스템_1!$B$2:$B$301,"학생302")+COUNTIF(관리회계_1!$B$2:$B$300,"학생302")+COUNTIF(관리회계_2!$B$2:$B$301,"학생302")+COUNTIF(마케팅_1!$B$2:$B$301,"학생302")+COUNTIF(마케팅리서치_1!$B$2:$B$301,"학생302")+COUNTIF(세법개론_1!$B$2:$B$300,"학생302")+COUNTIF(재무관리_1!$B$2:$B$301,"학생302")+COUNTIF(조직행동론_1!$B$2:$B$301,"학생302")+COUNTIF(조직행동론_2!$B$2:$B$301,"학생302")+COUNTIF(중급재무회계_1!$B$2:$B$301,"학생302")+COUNTIF(투자론_1!$B$2:$B$300,"학생302")+COUNTIF(경영과학_1!$B$2:$B$301,"학생302")+COUNTIF(세무회계_1!$B$2:$B$301,"학생302")+COUNTIF(스마트경영_1!$B$2:$B$301,"학생302")+COUNTIF(스마트경영_2!$B$2:$B$301,"학생302")+COUNTIF(인적자원관리_1!$B$2:$B$257,"학생302")+COUNTIF(서비스마케팅_1!$B$2:$B$276,"학생302")+COUNTIF(제품관리_1!$B$2:$B$301,"학생302")</f>
        <v>6</v>
      </c>
    </row>
    <row r="306" spans="1:9" hidden="1">
      <c r="A306" s="15">
        <v>303</v>
      </c>
      <c r="B306" s="16" t="s">
        <v>304</v>
      </c>
      <c r="C306" s="16">
        <v>202400303</v>
      </c>
      <c r="I306" s="24">
        <f>COUNTIF(경영학원론_1!$B$3:$B$300,"학생303")+COUNTIF(경영학원론_2!$B$2:$B$301,"학생303")+COUNTIF(경영학원론_3!$B$2:$B$301,"학생303")+COUNTIF(경영학원론_4!$B$2:$B$300,"학생303")+COUNTIF(경제학원론_1!$B$2:$B$295,"학생303")+COUNTIF(경제학원론_2!$B$2:$B$298,"학생303")+COUNTIF(경제학원론_3!$B$2:$B$295,"학생303")+COUNTIF(경영통계학_1!$B$2:$B$299,"학생303")+COUNTIF(경영통계학_2!$B$2:$B$301,"학생303")+COUNTIF(경영통계학_3!$B$2:$B$298,"학생303")+COUNTIF(무역학개론_1!$B$2:$B$301,"학생303")+COUNTIF(회계학원론_1!$B$2:$B$293,"학생303")+COUNTIF(경영정보시스템_1!$B$2:$B$301,"학생303")+COUNTIF(관리회계_1!$B$2:$B$300,"학생303")+COUNTIF(관리회계_2!$B$2:$B$301,"학생303")+COUNTIF(마케팅_1!$B$2:$B$301,"학생303")+COUNTIF(마케팅리서치_1!$B$2:$B$301,"학생303")+COUNTIF(세법개론_1!$B$2:$B$300,"학생303")+COUNTIF(재무관리_1!$B$2:$B$301,"학생303")+COUNTIF(조직행동론_1!$B$2:$B$301,"학생303")+COUNTIF(조직행동론_2!$B$2:$B$301,"학생303")+COUNTIF(중급재무회계_1!$B$2:$B$301,"학생303")+COUNTIF(투자론_1!$B$2:$B$300,"학생303")+COUNTIF(경영과학_1!$B$2:$B$301,"학생303")+COUNTIF(세무회계_1!$B$2:$B$301,"학생303")+COUNTIF(스마트경영_1!$B$2:$B$301,"학생303")+COUNTIF(스마트경영_2!$B$2:$B$301,"학생303")+COUNTIF(인적자원관리_1!$B$2:$B$257,"학생303")+COUNTIF(서비스마케팅_1!$B$2:$B$276,"학생303")+COUNTIF(제품관리_1!$B$2:$B$301,"학생303")</f>
        <v>7</v>
      </c>
    </row>
    <row r="307" spans="1:9" hidden="1">
      <c r="A307" s="15">
        <v>304</v>
      </c>
      <c r="B307" s="16" t="s">
        <v>305</v>
      </c>
      <c r="C307" s="16">
        <v>202400304</v>
      </c>
      <c r="I307" s="24">
        <f>COUNTIF(경영학원론_1!$B$3:$B$300,"학생304")+COUNTIF(경영학원론_2!$B$2:$B$301,"학생304")+COUNTIF(경영학원론_3!$B$2:$B$301,"학생304")+COUNTIF(경영학원론_4!$B$2:$B$300,"학생304")+COUNTIF(경제학원론_1!$B$2:$B$295,"학생304")+COUNTIF(경제학원론_2!$B$2:$B$298,"학생304")+COUNTIF(경제학원론_3!$B$2:$B$295,"학생304")+COUNTIF(경영통계학_1!$B$2:$B$299,"학생304")+COUNTIF(경영통계학_2!$B$2:$B$301,"학생304")+COUNTIF(경영통계학_3!$B$2:$B$298,"학생304")+COUNTIF(무역학개론_1!$B$2:$B$301,"학생304")+COUNTIF(회계학원론_1!$B$2:$B$293,"학생304")+COUNTIF(경영정보시스템_1!$B$2:$B$301,"학생304")+COUNTIF(관리회계_1!$B$2:$B$300,"학생304")+COUNTIF(관리회계_2!$B$2:$B$301,"학생304")+COUNTIF(마케팅_1!$B$2:$B$301,"학생304")+COUNTIF(마케팅리서치_1!$B$2:$B$301,"학생304")+COUNTIF(세법개론_1!$B$2:$B$300,"학생304")+COUNTIF(재무관리_1!$B$2:$B$301,"학생304")+COUNTIF(조직행동론_1!$B$2:$B$301,"학생304")+COUNTIF(조직행동론_2!$B$2:$B$301,"학생304")+COUNTIF(중급재무회계_1!$B$2:$B$301,"학생304")+COUNTIF(투자론_1!$B$2:$B$300,"학생304")+COUNTIF(경영과학_1!$B$2:$B$301,"학생304")+COUNTIF(세무회계_1!$B$2:$B$301,"학생304")+COUNTIF(스마트경영_1!$B$2:$B$301,"학생304")+COUNTIF(스마트경영_2!$B$2:$B$301,"학생304")+COUNTIF(인적자원관리_1!$B$2:$B$257,"학생304")+COUNTIF(서비스마케팅_1!$B$2:$B$276,"학생304")+COUNTIF(제품관리_1!$B$2:$B$301,"학생304")</f>
        <v>7</v>
      </c>
    </row>
    <row r="308" spans="1:9" hidden="1">
      <c r="A308" s="15">
        <v>305</v>
      </c>
      <c r="B308" s="16" t="s">
        <v>306</v>
      </c>
      <c r="C308" s="16">
        <v>202400305</v>
      </c>
      <c r="I308" s="24">
        <f>COUNTIF(경영학원론_1!$B$3:$B$300,"학생305")+COUNTIF(경영학원론_2!$B$2:$B$301,"학생305")+COUNTIF(경영학원론_3!$B$2:$B$301,"학생305")+COUNTIF(경영학원론_4!$B$2:$B$300,"학생305")+COUNTIF(경제학원론_1!$B$2:$B$295,"학생305")+COUNTIF(경제학원론_2!$B$2:$B$298,"학생305")+COUNTIF(경제학원론_3!$B$2:$B$295,"학생305")+COUNTIF(경영통계학_1!$B$2:$B$299,"학생305")+COUNTIF(경영통계학_2!$B$2:$B$301,"학생305")+COUNTIF(경영통계학_3!$B$2:$B$298,"학생305")+COUNTIF(무역학개론_1!$B$2:$B$301,"학생305")+COUNTIF(회계학원론_1!$B$2:$B$293,"학생305")+COUNTIF(경영정보시스템_1!$B$2:$B$301,"학생305")+COUNTIF(관리회계_1!$B$2:$B$300,"학생305")+COUNTIF(관리회계_2!$B$2:$B$301,"학생305")+COUNTIF(마케팅_1!$B$2:$B$301,"학생305")+COUNTIF(마케팅리서치_1!$B$2:$B$301,"학생305")+COUNTIF(세법개론_1!$B$2:$B$300,"학생305")+COUNTIF(재무관리_1!$B$2:$B$301,"학생305")+COUNTIF(조직행동론_1!$B$2:$B$301,"학생305")+COUNTIF(조직행동론_2!$B$2:$B$301,"학생305")+COUNTIF(중급재무회계_1!$B$2:$B$301,"학생305")+COUNTIF(투자론_1!$B$2:$B$300,"학생305")+COUNTIF(경영과학_1!$B$2:$B$301,"학생305")+COUNTIF(세무회계_1!$B$2:$B$301,"학생305")+COUNTIF(스마트경영_1!$B$2:$B$301,"학생305")+COUNTIF(스마트경영_2!$B$2:$B$301,"학생305")+COUNTIF(인적자원관리_1!$B$2:$B$257,"학생305")+COUNTIF(서비스마케팅_1!$B$2:$B$276,"학생305")+COUNTIF(제품관리_1!$B$2:$B$301,"학생305")</f>
        <v>6</v>
      </c>
    </row>
    <row r="309" spans="1:9" hidden="1">
      <c r="A309" s="15">
        <v>306</v>
      </c>
      <c r="B309" s="16" t="s">
        <v>307</v>
      </c>
      <c r="C309" s="16">
        <v>202400306</v>
      </c>
      <c r="I309" s="24">
        <f>COUNTIF(경영학원론_1!$B$3:$B$300,"학생306")+COUNTIF(경영학원론_2!$B$2:$B$301,"학생306")+COUNTIF(경영학원론_3!$B$2:$B$301,"학생306")+COUNTIF(경영학원론_4!$B$2:$B$300,"학생306")+COUNTIF(경제학원론_1!$B$2:$B$295,"학생306")+COUNTIF(경제학원론_2!$B$2:$B$298,"학생306")+COUNTIF(경제학원론_3!$B$2:$B$295,"학생306")+COUNTIF(경영통계학_1!$B$2:$B$299,"학생306")+COUNTIF(경영통계학_2!$B$2:$B$301,"학생306")+COUNTIF(경영통계학_3!$B$2:$B$298,"학생306")+COUNTIF(무역학개론_1!$B$2:$B$301,"학생306")+COUNTIF(회계학원론_1!$B$2:$B$293,"학생306")+COUNTIF(경영정보시스템_1!$B$2:$B$301,"학생306")+COUNTIF(관리회계_1!$B$2:$B$300,"학생306")+COUNTIF(관리회계_2!$B$2:$B$301,"학생306")+COUNTIF(마케팅_1!$B$2:$B$301,"학생306")+COUNTIF(마케팅리서치_1!$B$2:$B$301,"학생306")+COUNTIF(세법개론_1!$B$2:$B$300,"학생306")+COUNTIF(재무관리_1!$B$2:$B$301,"학생306")+COUNTIF(조직행동론_1!$B$2:$B$301,"학생306")+COUNTIF(조직행동론_2!$B$2:$B$301,"학생306")+COUNTIF(중급재무회계_1!$B$2:$B$301,"학생306")+COUNTIF(투자론_1!$B$2:$B$300,"학생306")+COUNTIF(경영과학_1!$B$2:$B$301,"학생306")+COUNTIF(세무회계_1!$B$2:$B$301,"학생306")+COUNTIF(스마트경영_1!$B$2:$B$301,"학생306")+COUNTIF(스마트경영_2!$B$2:$B$301,"학생306")+COUNTIF(인적자원관리_1!$B$2:$B$257,"학생306")+COUNTIF(서비스마케팅_1!$B$2:$B$276,"학생306")+COUNTIF(제품관리_1!$B$2:$B$301,"학생306")</f>
        <v>7</v>
      </c>
    </row>
    <row r="310" spans="1:9" hidden="1">
      <c r="A310" s="15">
        <v>307</v>
      </c>
      <c r="B310" s="16" t="s">
        <v>308</v>
      </c>
      <c r="C310" s="16">
        <v>202400307</v>
      </c>
      <c r="I310" s="24">
        <f>COUNTIF(경영학원론_1!$B$3:$B$300,"학생307")+COUNTIF(경영학원론_2!$B$2:$B$301,"학생307")+COUNTIF(경영학원론_3!$B$2:$B$301,"학생307")+COUNTIF(경영학원론_4!$B$2:$B$300,"학생307")+COUNTIF(경제학원론_1!$B$2:$B$295,"학생307")+COUNTIF(경제학원론_2!$B$2:$B$298,"학생307")+COUNTIF(경제학원론_3!$B$2:$B$295,"학생307")+COUNTIF(경영통계학_1!$B$2:$B$299,"학생307")+COUNTIF(경영통계학_2!$B$2:$B$301,"학생307")+COUNTIF(경영통계학_3!$B$2:$B$298,"학생307")+COUNTIF(무역학개론_1!$B$2:$B$301,"학생307")+COUNTIF(회계학원론_1!$B$2:$B$293,"학생307")+COUNTIF(경영정보시스템_1!$B$2:$B$301,"학생307")+COUNTIF(관리회계_1!$B$2:$B$300,"학생307")+COUNTIF(관리회계_2!$B$2:$B$301,"학생307")+COUNTIF(마케팅_1!$B$2:$B$301,"학생307")+COUNTIF(마케팅리서치_1!$B$2:$B$301,"학생307")+COUNTIF(세법개론_1!$B$2:$B$300,"학생307")+COUNTIF(재무관리_1!$B$2:$B$301,"학생307")+COUNTIF(조직행동론_1!$B$2:$B$301,"학생307")+COUNTIF(조직행동론_2!$B$2:$B$301,"학생307")+COUNTIF(중급재무회계_1!$B$2:$B$301,"학생307")+COUNTIF(투자론_1!$B$2:$B$300,"학생307")+COUNTIF(경영과학_1!$B$2:$B$301,"학생307")+COUNTIF(세무회계_1!$B$2:$B$301,"학생307")+COUNTIF(스마트경영_1!$B$2:$B$301,"학생307")+COUNTIF(스마트경영_2!$B$2:$B$301,"학생307")+COUNTIF(인적자원관리_1!$B$2:$B$257,"학생307")+COUNTIF(서비스마케팅_1!$B$2:$B$276,"학생307")+COUNTIF(제품관리_1!$B$2:$B$301,"학생307")</f>
        <v>5</v>
      </c>
    </row>
    <row r="311" spans="1:9" hidden="1">
      <c r="A311" s="15">
        <v>308</v>
      </c>
      <c r="B311" s="16" t="s">
        <v>309</v>
      </c>
      <c r="C311" s="16">
        <v>202400308</v>
      </c>
      <c r="I311" s="24">
        <f>COUNTIF(경영학원론_1!$B$3:$B$300,"학생308")+COUNTIF(경영학원론_2!$B$2:$B$301,"학생308")+COUNTIF(경영학원론_3!$B$2:$B$301,"학생308")+COUNTIF(경영학원론_4!$B$2:$B$300,"학생308")+COUNTIF(경제학원론_1!$B$2:$B$295,"학생308")+COUNTIF(경제학원론_2!$B$2:$B$298,"학생308")+COUNTIF(경제학원론_3!$B$2:$B$295,"학생308")+COUNTIF(경영통계학_1!$B$2:$B$299,"학생308")+COUNTIF(경영통계학_2!$B$2:$B$301,"학생308")+COUNTIF(경영통계학_3!$B$2:$B$298,"학생308")+COUNTIF(무역학개론_1!$B$2:$B$301,"학생308")+COUNTIF(회계학원론_1!$B$2:$B$293,"학생308")+COUNTIF(경영정보시스템_1!$B$2:$B$301,"학생308")+COUNTIF(관리회계_1!$B$2:$B$300,"학생308")+COUNTIF(관리회계_2!$B$2:$B$301,"학생308")+COUNTIF(마케팅_1!$B$2:$B$301,"학생308")+COUNTIF(마케팅리서치_1!$B$2:$B$301,"학생308")+COUNTIF(세법개론_1!$B$2:$B$300,"학생308")+COUNTIF(재무관리_1!$B$2:$B$301,"학생308")+COUNTIF(조직행동론_1!$B$2:$B$301,"학생308")+COUNTIF(조직행동론_2!$B$2:$B$301,"학생308")+COUNTIF(중급재무회계_1!$B$2:$B$301,"학생308")+COUNTIF(투자론_1!$B$2:$B$300,"학생308")+COUNTIF(경영과학_1!$B$2:$B$301,"학생308")+COUNTIF(세무회계_1!$B$2:$B$301,"학생308")+COUNTIF(스마트경영_1!$B$2:$B$301,"학생308")+COUNTIF(스마트경영_2!$B$2:$B$301,"학생308")+COUNTIF(인적자원관리_1!$B$2:$B$257,"학생308")+COUNTIF(서비스마케팅_1!$B$2:$B$276,"학생308")+COUNTIF(제품관리_1!$B$2:$B$301,"학생308")</f>
        <v>7</v>
      </c>
    </row>
    <row r="312" spans="1:9" hidden="1">
      <c r="A312" s="15">
        <v>309</v>
      </c>
      <c r="B312" s="16" t="s">
        <v>310</v>
      </c>
      <c r="C312" s="16">
        <v>202400309</v>
      </c>
      <c r="I312" s="24">
        <f>COUNTIF(경영학원론_1!$B$3:$B$300,"학생309")+COUNTIF(경영학원론_2!$B$2:$B$301,"학생309")+COUNTIF(경영학원론_3!$B$2:$B$301,"학생309")+COUNTIF(경영학원론_4!$B$2:$B$300,"학생309")+COUNTIF(경제학원론_1!$B$2:$B$295,"학생309")+COUNTIF(경제학원론_2!$B$2:$B$298,"학생309")+COUNTIF(경제학원론_3!$B$2:$B$295,"학생309")+COUNTIF(경영통계학_1!$B$2:$B$299,"학생309")+COUNTIF(경영통계학_2!$B$2:$B$301,"학생309")+COUNTIF(경영통계학_3!$B$2:$B$298,"학생309")+COUNTIF(무역학개론_1!$B$2:$B$301,"학생309")+COUNTIF(회계학원론_1!$B$2:$B$293,"학생309")+COUNTIF(경영정보시스템_1!$B$2:$B$301,"학생309")+COUNTIF(관리회계_1!$B$2:$B$300,"학생309")+COUNTIF(관리회계_2!$B$2:$B$301,"학생309")+COUNTIF(마케팅_1!$B$2:$B$301,"학생309")+COUNTIF(마케팅리서치_1!$B$2:$B$301,"학생309")+COUNTIF(세법개론_1!$B$2:$B$300,"학생309")+COUNTIF(재무관리_1!$B$2:$B$301,"학생309")+COUNTIF(조직행동론_1!$B$2:$B$301,"학생309")+COUNTIF(조직행동론_2!$B$2:$B$301,"학생309")+COUNTIF(중급재무회계_1!$B$2:$B$301,"학생309")+COUNTIF(투자론_1!$B$2:$B$300,"학생309")+COUNTIF(경영과학_1!$B$2:$B$301,"학생309")+COUNTIF(세무회계_1!$B$2:$B$301,"학생309")+COUNTIF(스마트경영_1!$B$2:$B$301,"학생309")+COUNTIF(스마트경영_2!$B$2:$B$301,"학생309")+COUNTIF(인적자원관리_1!$B$2:$B$257,"학생309")+COUNTIF(서비스마케팅_1!$B$2:$B$276,"학생309")+COUNTIF(제품관리_1!$B$2:$B$301,"학생309")</f>
        <v>5</v>
      </c>
    </row>
    <row r="313" spans="1:9" hidden="1">
      <c r="A313" s="15">
        <v>310</v>
      </c>
      <c r="B313" s="16" t="s">
        <v>311</v>
      </c>
      <c r="C313" s="16">
        <v>202400310</v>
      </c>
      <c r="I313" s="24">
        <f>COUNTIF(경영학원론_1!$B$3:$B$300,"학생310")+COUNTIF(경영학원론_2!$B$2:$B$301,"학생310")+COUNTIF(경영학원론_3!$B$2:$B$301,"학생310")+COUNTIF(경영학원론_4!$B$2:$B$300,"학생310")+COUNTIF(경제학원론_1!$B$2:$B$295,"학생310")+COUNTIF(경제학원론_2!$B$2:$B$298,"학생310")+COUNTIF(경제학원론_3!$B$2:$B$295,"학생310")+COUNTIF(경영통계학_1!$B$2:$B$299,"학생310")+COUNTIF(경영통계학_2!$B$2:$B$301,"학생310")+COUNTIF(경영통계학_3!$B$2:$B$298,"학생310")+COUNTIF(무역학개론_1!$B$2:$B$301,"학생310")+COUNTIF(회계학원론_1!$B$2:$B$293,"학생310")+COUNTIF(경영정보시스템_1!$B$2:$B$301,"학생310")+COUNTIF(관리회계_1!$B$2:$B$300,"학생310")+COUNTIF(관리회계_2!$B$2:$B$301,"학생310")+COUNTIF(마케팅_1!$B$2:$B$301,"학생310")+COUNTIF(마케팅리서치_1!$B$2:$B$301,"학생310")+COUNTIF(세법개론_1!$B$2:$B$300,"학생310")+COUNTIF(재무관리_1!$B$2:$B$301,"학생310")+COUNTIF(조직행동론_1!$B$2:$B$301,"학생310")+COUNTIF(조직행동론_2!$B$2:$B$301,"학생310")+COUNTIF(중급재무회계_1!$B$2:$B$301,"학생310")+COUNTIF(투자론_1!$B$2:$B$300,"학생310")+COUNTIF(경영과학_1!$B$2:$B$301,"학생310")+COUNTIF(세무회계_1!$B$2:$B$301,"학생310")+COUNTIF(스마트경영_1!$B$2:$B$301,"학생310")+COUNTIF(스마트경영_2!$B$2:$B$301,"학생310")+COUNTIF(인적자원관리_1!$B$2:$B$257,"학생310")+COUNTIF(서비스마케팅_1!$B$2:$B$276,"학생310")+COUNTIF(제품관리_1!$B$2:$B$301,"학생310")</f>
        <v>5</v>
      </c>
    </row>
    <row r="314" spans="1:9" hidden="1">
      <c r="A314" s="15">
        <v>311</v>
      </c>
      <c r="B314" s="16" t="s">
        <v>312</v>
      </c>
      <c r="C314" s="16">
        <v>202400311</v>
      </c>
      <c r="I314" s="24">
        <f>COUNTIF(경영학원론_1!$B$3:$B$300,"학생311")+COUNTIF(경영학원론_2!$B$2:$B$301,"학생311")+COUNTIF(경영학원론_3!$B$2:$B$301,"학생311")+COUNTIF(경영학원론_4!$B$2:$B$300,"학생311")+COUNTIF(경제학원론_1!$B$2:$B$295,"학생311")+COUNTIF(경제학원론_2!$B$2:$B$298,"학생311")+COUNTIF(경제학원론_3!$B$2:$B$295,"학생311")+COUNTIF(경영통계학_1!$B$2:$B$299,"학생311")+COUNTIF(경영통계학_2!$B$2:$B$301,"학생311")+COUNTIF(경영통계학_3!$B$2:$B$298,"학생311")+COUNTIF(무역학개론_1!$B$2:$B$301,"학생311")+COUNTIF(회계학원론_1!$B$2:$B$293,"학생311")+COUNTIF(경영정보시스템_1!$B$2:$B$301,"학생311")+COUNTIF(관리회계_1!$B$2:$B$300,"학생311")+COUNTIF(관리회계_2!$B$2:$B$301,"학생311")+COUNTIF(마케팅_1!$B$2:$B$301,"학생311")+COUNTIF(마케팅리서치_1!$B$2:$B$301,"학생311")+COUNTIF(세법개론_1!$B$2:$B$300,"학생311")+COUNTIF(재무관리_1!$B$2:$B$301,"학생311")+COUNTIF(조직행동론_1!$B$2:$B$301,"학생311")+COUNTIF(조직행동론_2!$B$2:$B$301,"학생311")+COUNTIF(중급재무회계_1!$B$2:$B$301,"학생311")+COUNTIF(투자론_1!$B$2:$B$300,"학생311")+COUNTIF(경영과학_1!$B$2:$B$301,"학생311")+COUNTIF(세무회계_1!$B$2:$B$301,"학생311")+COUNTIF(스마트경영_1!$B$2:$B$301,"학생311")+COUNTIF(스마트경영_2!$B$2:$B$301,"학생311")+COUNTIF(인적자원관리_1!$B$2:$B$257,"학생311")+COUNTIF(서비스마케팅_1!$B$2:$B$276,"학생311")+COUNTIF(제품관리_1!$B$2:$B$301,"학생311")</f>
        <v>6</v>
      </c>
    </row>
    <row r="315" spans="1:9" hidden="1">
      <c r="A315" s="15">
        <v>312</v>
      </c>
      <c r="B315" s="16" t="s">
        <v>313</v>
      </c>
      <c r="C315" s="16">
        <v>202400312</v>
      </c>
      <c r="I315" s="24">
        <f>COUNTIF(경영학원론_1!$B$3:$B$300,"학생312")+COUNTIF(경영학원론_2!$B$2:$B$301,"학생312")+COUNTIF(경영학원론_3!$B$2:$B$301,"학생312")+COUNTIF(경영학원론_4!$B$2:$B$300,"학생312")+COUNTIF(경제학원론_1!$B$2:$B$295,"학생312")+COUNTIF(경제학원론_2!$B$2:$B$298,"학생312")+COUNTIF(경제학원론_3!$B$2:$B$295,"학생312")+COUNTIF(경영통계학_1!$B$2:$B$299,"학생312")+COUNTIF(경영통계학_2!$B$2:$B$301,"학생312")+COUNTIF(경영통계학_3!$B$2:$B$298,"학생312")+COUNTIF(무역학개론_1!$B$2:$B$301,"학생312")+COUNTIF(회계학원론_1!$B$2:$B$293,"학생312")+COUNTIF(경영정보시스템_1!$B$2:$B$301,"학생312")+COUNTIF(관리회계_1!$B$2:$B$300,"학생312")+COUNTIF(관리회계_2!$B$2:$B$301,"학생312")+COUNTIF(마케팅_1!$B$2:$B$301,"학생312")+COUNTIF(마케팅리서치_1!$B$2:$B$301,"학생312")+COUNTIF(세법개론_1!$B$2:$B$300,"학생312")+COUNTIF(재무관리_1!$B$2:$B$301,"학생312")+COUNTIF(조직행동론_1!$B$2:$B$301,"학생312")+COUNTIF(조직행동론_2!$B$2:$B$301,"학생312")+COUNTIF(중급재무회계_1!$B$2:$B$301,"학생312")+COUNTIF(투자론_1!$B$2:$B$300,"학생312")+COUNTIF(경영과학_1!$B$2:$B$301,"학생312")+COUNTIF(세무회계_1!$B$2:$B$301,"학생312")+COUNTIF(스마트경영_1!$B$2:$B$301,"학생312")+COUNTIF(스마트경영_2!$B$2:$B$301,"학생312")+COUNTIF(인적자원관리_1!$B$2:$B$257,"학생312")+COUNTIF(서비스마케팅_1!$B$2:$B$276,"학생312")+COUNTIF(제품관리_1!$B$2:$B$301,"학생312")</f>
        <v>5</v>
      </c>
    </row>
    <row r="316" spans="1:9" hidden="1">
      <c r="A316" s="15">
        <v>313</v>
      </c>
      <c r="B316" s="16" t="s">
        <v>314</v>
      </c>
      <c r="C316" s="16">
        <v>202400313</v>
      </c>
      <c r="I316" s="24">
        <f>COUNTIF(경영학원론_1!$B$3:$B$300,"학생313")+COUNTIF(경영학원론_2!$B$2:$B$301,"학생313")+COUNTIF(경영학원론_3!$B$2:$B$301,"학생313")+COUNTIF(경영학원론_4!$B$2:$B$300,"학생313")+COUNTIF(경제학원론_1!$B$2:$B$295,"학생313")+COUNTIF(경제학원론_2!$B$2:$B$298,"학생313")+COUNTIF(경제학원론_3!$B$2:$B$295,"학생313")+COUNTIF(경영통계학_1!$B$2:$B$299,"학생313")+COUNTIF(경영통계학_2!$B$2:$B$301,"학생313")+COUNTIF(경영통계학_3!$B$2:$B$298,"학생313")+COUNTIF(무역학개론_1!$B$2:$B$301,"학생313")+COUNTIF(회계학원론_1!$B$2:$B$293,"학생313")+COUNTIF(경영정보시스템_1!$B$2:$B$301,"학생313")+COUNTIF(관리회계_1!$B$2:$B$300,"학생313")+COUNTIF(관리회계_2!$B$2:$B$301,"학생313")+COUNTIF(마케팅_1!$B$2:$B$301,"학생313")+COUNTIF(마케팅리서치_1!$B$2:$B$301,"학생313")+COUNTIF(세법개론_1!$B$2:$B$300,"학생313")+COUNTIF(재무관리_1!$B$2:$B$301,"학생313")+COUNTIF(조직행동론_1!$B$2:$B$301,"학생313")+COUNTIF(조직행동론_2!$B$2:$B$301,"학생313")+COUNTIF(중급재무회계_1!$B$2:$B$301,"학생313")+COUNTIF(투자론_1!$B$2:$B$300,"학생313")+COUNTIF(경영과학_1!$B$2:$B$301,"학생313")+COUNTIF(세무회계_1!$B$2:$B$301,"학생313")+COUNTIF(스마트경영_1!$B$2:$B$301,"학생313")+COUNTIF(스마트경영_2!$B$2:$B$301,"학생313")+COUNTIF(인적자원관리_1!$B$2:$B$257,"학생313")+COUNTIF(서비스마케팅_1!$B$2:$B$276,"학생313")+COUNTIF(제품관리_1!$B$2:$B$301,"학생313")</f>
        <v>7</v>
      </c>
    </row>
    <row r="317" spans="1:9" hidden="1">
      <c r="A317" s="15">
        <v>314</v>
      </c>
      <c r="B317" s="16" t="s">
        <v>315</v>
      </c>
      <c r="C317" s="16">
        <v>202400314</v>
      </c>
      <c r="I317" s="24">
        <f>COUNTIF(경영학원론_1!$B$3:$B$300,"학생314")+COUNTIF(경영학원론_2!$B$2:$B$301,"학생314")+COUNTIF(경영학원론_3!$B$2:$B$301,"학생314")+COUNTIF(경영학원론_4!$B$2:$B$300,"학생314")+COUNTIF(경제학원론_1!$B$2:$B$295,"학생314")+COUNTIF(경제학원론_2!$B$2:$B$298,"학생314")+COUNTIF(경제학원론_3!$B$2:$B$295,"학생314")+COUNTIF(경영통계학_1!$B$2:$B$299,"학생314")+COUNTIF(경영통계학_2!$B$2:$B$301,"학생314")+COUNTIF(경영통계학_3!$B$2:$B$298,"학생314")+COUNTIF(무역학개론_1!$B$2:$B$301,"학생314")+COUNTIF(회계학원론_1!$B$2:$B$293,"학생314")+COUNTIF(경영정보시스템_1!$B$2:$B$301,"학생314")+COUNTIF(관리회계_1!$B$2:$B$300,"학생314")+COUNTIF(관리회계_2!$B$2:$B$301,"학생314")+COUNTIF(마케팅_1!$B$2:$B$301,"학생314")+COUNTIF(마케팅리서치_1!$B$2:$B$301,"학생314")+COUNTIF(세법개론_1!$B$2:$B$300,"학생314")+COUNTIF(재무관리_1!$B$2:$B$301,"학생314")+COUNTIF(조직행동론_1!$B$2:$B$301,"학생314")+COUNTIF(조직행동론_2!$B$2:$B$301,"학생314")+COUNTIF(중급재무회계_1!$B$2:$B$301,"학생314")+COUNTIF(투자론_1!$B$2:$B$300,"학생314")+COUNTIF(경영과학_1!$B$2:$B$301,"학생314")+COUNTIF(세무회계_1!$B$2:$B$301,"학생314")+COUNTIF(스마트경영_1!$B$2:$B$301,"학생314")+COUNTIF(스마트경영_2!$B$2:$B$301,"학생314")+COUNTIF(인적자원관리_1!$B$2:$B$257,"학생314")+COUNTIF(서비스마케팅_1!$B$2:$B$276,"학생314")+COUNTIF(제품관리_1!$B$2:$B$301,"학생314")</f>
        <v>5</v>
      </c>
    </row>
    <row r="318" spans="1:9" hidden="1">
      <c r="A318" s="15">
        <v>315</v>
      </c>
      <c r="B318" s="16" t="s">
        <v>316</v>
      </c>
      <c r="C318" s="16">
        <v>202400315</v>
      </c>
      <c r="I318" s="24">
        <f>COUNTIF(경영학원론_1!$B$3:$B$300,"학생315")+COUNTIF(경영학원론_2!$B$2:$B$301,"학생315")+COUNTIF(경영학원론_3!$B$2:$B$301,"학생315")+COUNTIF(경영학원론_4!$B$2:$B$300,"학생315")+COUNTIF(경제학원론_1!$B$2:$B$295,"학생315")+COUNTIF(경제학원론_2!$B$2:$B$298,"학생315")+COUNTIF(경제학원론_3!$B$2:$B$295,"학생315")+COUNTIF(경영통계학_1!$B$2:$B$299,"학생315")+COUNTIF(경영통계학_2!$B$2:$B$301,"학생315")+COUNTIF(경영통계학_3!$B$2:$B$298,"학생315")+COUNTIF(무역학개론_1!$B$2:$B$301,"학생315")+COUNTIF(회계학원론_1!$B$2:$B$293,"학생315")+COUNTIF(경영정보시스템_1!$B$2:$B$301,"학생315")+COUNTIF(관리회계_1!$B$2:$B$300,"학생315")+COUNTIF(관리회계_2!$B$2:$B$301,"학생315")+COUNTIF(마케팅_1!$B$2:$B$301,"학생315")+COUNTIF(마케팅리서치_1!$B$2:$B$301,"학생315")+COUNTIF(세법개론_1!$B$2:$B$300,"학생315")+COUNTIF(재무관리_1!$B$2:$B$301,"학생315")+COUNTIF(조직행동론_1!$B$2:$B$301,"학생315")+COUNTIF(조직행동론_2!$B$2:$B$301,"학생315")+COUNTIF(중급재무회계_1!$B$2:$B$301,"학생315")+COUNTIF(투자론_1!$B$2:$B$300,"학생315")+COUNTIF(경영과학_1!$B$2:$B$301,"학생315")+COUNTIF(세무회계_1!$B$2:$B$301,"학생315")+COUNTIF(스마트경영_1!$B$2:$B$301,"학생315")+COUNTIF(스마트경영_2!$B$2:$B$301,"학생315")+COUNTIF(인적자원관리_1!$B$2:$B$257,"학생315")+COUNTIF(서비스마케팅_1!$B$2:$B$276,"학생315")+COUNTIF(제품관리_1!$B$2:$B$301,"학생315")</f>
        <v>5</v>
      </c>
    </row>
    <row r="319" spans="1:9" hidden="1">
      <c r="A319" s="15">
        <v>316</v>
      </c>
      <c r="B319" s="16" t="s">
        <v>317</v>
      </c>
      <c r="C319" s="16">
        <v>202400316</v>
      </c>
      <c r="I319" s="24">
        <f>COUNTIF(경영학원론_1!$B$3:$B$300,"학생316")+COUNTIF(경영학원론_2!$B$2:$B$301,"학생316")+COUNTIF(경영학원론_3!$B$2:$B$301,"학생316")+COUNTIF(경영학원론_4!$B$2:$B$300,"학생316")+COUNTIF(경제학원론_1!$B$2:$B$295,"학생316")+COUNTIF(경제학원론_2!$B$2:$B$298,"학생316")+COUNTIF(경제학원론_3!$B$2:$B$295,"학생316")+COUNTIF(경영통계학_1!$B$2:$B$299,"학생316")+COUNTIF(경영통계학_2!$B$2:$B$301,"학생316")+COUNTIF(경영통계학_3!$B$2:$B$298,"학생316")+COUNTIF(무역학개론_1!$B$2:$B$301,"학생316")+COUNTIF(회계학원론_1!$B$2:$B$293,"학생316")+COUNTIF(경영정보시스템_1!$B$2:$B$301,"학생316")+COUNTIF(관리회계_1!$B$2:$B$300,"학생316")+COUNTIF(관리회계_2!$B$2:$B$301,"학생316")+COUNTIF(마케팅_1!$B$2:$B$301,"학생316")+COUNTIF(마케팅리서치_1!$B$2:$B$301,"학생316")+COUNTIF(세법개론_1!$B$2:$B$300,"학생316")+COUNTIF(재무관리_1!$B$2:$B$301,"학생316")+COUNTIF(조직행동론_1!$B$2:$B$301,"학생316")+COUNTIF(조직행동론_2!$B$2:$B$301,"학생316")+COUNTIF(중급재무회계_1!$B$2:$B$301,"학생316")+COUNTIF(투자론_1!$B$2:$B$300,"학생316")+COUNTIF(경영과학_1!$B$2:$B$301,"학생316")+COUNTIF(세무회계_1!$B$2:$B$301,"학생316")+COUNTIF(스마트경영_1!$B$2:$B$301,"학생316")+COUNTIF(스마트경영_2!$B$2:$B$301,"학생316")+COUNTIF(인적자원관리_1!$B$2:$B$257,"학생316")+COUNTIF(서비스마케팅_1!$B$2:$B$276,"학생316")+COUNTIF(제품관리_1!$B$2:$B$301,"학생316")</f>
        <v>7</v>
      </c>
    </row>
    <row r="320" spans="1:9" hidden="1">
      <c r="A320" s="15">
        <v>317</v>
      </c>
      <c r="B320" s="16" t="s">
        <v>318</v>
      </c>
      <c r="C320" s="16">
        <v>202400317</v>
      </c>
      <c r="I320" s="24">
        <f>COUNTIF(경영학원론_1!$B$3:$B$300,"학생317")+COUNTIF(경영학원론_2!$B$2:$B$301,"학생317")+COUNTIF(경영학원론_3!$B$2:$B$301,"학생317")+COUNTIF(경영학원론_4!$B$2:$B$300,"학생317")+COUNTIF(경제학원론_1!$B$2:$B$295,"학생317")+COUNTIF(경제학원론_2!$B$2:$B$298,"학생317")+COUNTIF(경제학원론_3!$B$2:$B$295,"학생317")+COUNTIF(경영통계학_1!$B$2:$B$299,"학생317")+COUNTIF(경영통계학_2!$B$2:$B$301,"학생317")+COUNTIF(경영통계학_3!$B$2:$B$298,"학생317")+COUNTIF(무역학개론_1!$B$2:$B$301,"학생317")+COUNTIF(회계학원론_1!$B$2:$B$293,"학생317")+COUNTIF(경영정보시스템_1!$B$2:$B$301,"학생317")+COUNTIF(관리회계_1!$B$2:$B$300,"학생317")+COUNTIF(관리회계_2!$B$2:$B$301,"학생317")+COUNTIF(마케팅_1!$B$2:$B$301,"학생317")+COUNTIF(마케팅리서치_1!$B$2:$B$301,"학생317")+COUNTIF(세법개론_1!$B$2:$B$300,"학생317")+COUNTIF(재무관리_1!$B$2:$B$301,"학생317")+COUNTIF(조직행동론_1!$B$2:$B$301,"학생317")+COUNTIF(조직행동론_2!$B$2:$B$301,"학생317")+COUNTIF(중급재무회계_1!$B$2:$B$301,"학생317")+COUNTIF(투자론_1!$B$2:$B$300,"학생317")+COUNTIF(경영과학_1!$B$2:$B$301,"학생317")+COUNTIF(세무회계_1!$B$2:$B$301,"학생317")+COUNTIF(스마트경영_1!$B$2:$B$301,"학생317")+COUNTIF(스마트경영_2!$B$2:$B$301,"학생317")+COUNTIF(인적자원관리_1!$B$2:$B$257,"학생317")+COUNTIF(서비스마케팅_1!$B$2:$B$276,"학생317")+COUNTIF(제품관리_1!$B$2:$B$301,"학생317")</f>
        <v>5</v>
      </c>
    </row>
    <row r="321" spans="1:9" hidden="1">
      <c r="A321" s="15">
        <v>318</v>
      </c>
      <c r="B321" s="16" t="s">
        <v>319</v>
      </c>
      <c r="C321" s="16">
        <v>202400318</v>
      </c>
      <c r="I321" s="24">
        <f>COUNTIF(경영학원론_1!$B$3:$B$300,"학생318")+COUNTIF(경영학원론_2!$B$2:$B$301,"학생318")+COUNTIF(경영학원론_3!$B$2:$B$301,"학생318")+COUNTIF(경영학원론_4!$B$2:$B$300,"학생318")+COUNTIF(경제학원론_1!$B$2:$B$295,"학생318")+COUNTIF(경제학원론_2!$B$2:$B$298,"학생318")+COUNTIF(경제학원론_3!$B$2:$B$295,"학생318")+COUNTIF(경영통계학_1!$B$2:$B$299,"학생318")+COUNTIF(경영통계학_2!$B$2:$B$301,"학생318")+COUNTIF(경영통계학_3!$B$2:$B$298,"학생318")+COUNTIF(무역학개론_1!$B$2:$B$301,"학생318")+COUNTIF(회계학원론_1!$B$2:$B$293,"학생318")+COUNTIF(경영정보시스템_1!$B$2:$B$301,"학생318")+COUNTIF(관리회계_1!$B$2:$B$300,"학생318")+COUNTIF(관리회계_2!$B$2:$B$301,"학생318")+COUNTIF(마케팅_1!$B$2:$B$301,"학생318")+COUNTIF(마케팅리서치_1!$B$2:$B$301,"학생318")+COUNTIF(세법개론_1!$B$2:$B$300,"학생318")+COUNTIF(재무관리_1!$B$2:$B$301,"학생318")+COUNTIF(조직행동론_1!$B$2:$B$301,"학생318")+COUNTIF(조직행동론_2!$B$2:$B$301,"학생318")+COUNTIF(중급재무회계_1!$B$2:$B$301,"학생318")+COUNTIF(투자론_1!$B$2:$B$300,"학생318")+COUNTIF(경영과학_1!$B$2:$B$301,"학생318")+COUNTIF(세무회계_1!$B$2:$B$301,"학생318")+COUNTIF(스마트경영_1!$B$2:$B$301,"학생318")+COUNTIF(스마트경영_2!$B$2:$B$301,"학생318")+COUNTIF(인적자원관리_1!$B$2:$B$257,"학생318")+COUNTIF(서비스마케팅_1!$B$2:$B$276,"학생318")+COUNTIF(제품관리_1!$B$2:$B$301,"학생318")</f>
        <v>6</v>
      </c>
    </row>
    <row r="322" spans="1:9" hidden="1">
      <c r="A322" s="15">
        <v>319</v>
      </c>
      <c r="B322" s="16" t="s">
        <v>320</v>
      </c>
      <c r="C322" s="16">
        <v>202400319</v>
      </c>
      <c r="I322" s="24">
        <f>COUNTIF(경영학원론_1!$B$3:$B$300,"학생319")+COUNTIF(경영학원론_2!$B$2:$B$301,"학생319")+COUNTIF(경영학원론_3!$B$2:$B$301,"학생319")+COUNTIF(경영학원론_4!$B$2:$B$300,"학생319")+COUNTIF(경제학원론_1!$B$2:$B$295,"학생319")+COUNTIF(경제학원론_2!$B$2:$B$298,"학생319")+COUNTIF(경제학원론_3!$B$2:$B$295,"학생319")+COUNTIF(경영통계학_1!$B$2:$B$299,"학생319")+COUNTIF(경영통계학_2!$B$2:$B$301,"학생319")+COUNTIF(경영통계학_3!$B$2:$B$298,"학생319")+COUNTIF(무역학개론_1!$B$2:$B$301,"학생319")+COUNTIF(회계학원론_1!$B$2:$B$293,"학생319")+COUNTIF(경영정보시스템_1!$B$2:$B$301,"학생319")+COUNTIF(관리회계_1!$B$2:$B$300,"학생319")+COUNTIF(관리회계_2!$B$2:$B$301,"학생319")+COUNTIF(마케팅_1!$B$2:$B$301,"학생319")+COUNTIF(마케팅리서치_1!$B$2:$B$301,"학생319")+COUNTIF(세법개론_1!$B$2:$B$300,"학생319")+COUNTIF(재무관리_1!$B$2:$B$301,"학생319")+COUNTIF(조직행동론_1!$B$2:$B$301,"학생319")+COUNTIF(조직행동론_2!$B$2:$B$301,"학생319")+COUNTIF(중급재무회계_1!$B$2:$B$301,"학생319")+COUNTIF(투자론_1!$B$2:$B$300,"학생319")+COUNTIF(경영과학_1!$B$2:$B$301,"학생319")+COUNTIF(세무회계_1!$B$2:$B$301,"학생319")+COUNTIF(스마트경영_1!$B$2:$B$301,"학생319")+COUNTIF(스마트경영_2!$B$2:$B$301,"학생319")+COUNTIF(인적자원관리_1!$B$2:$B$257,"학생319")+COUNTIF(서비스마케팅_1!$B$2:$B$276,"학생319")+COUNTIF(제품관리_1!$B$2:$B$301,"학생319")</f>
        <v>7</v>
      </c>
    </row>
    <row r="323" spans="1:9" hidden="1">
      <c r="A323" s="15">
        <v>320</v>
      </c>
      <c r="B323" s="16" t="s">
        <v>321</v>
      </c>
      <c r="C323" s="16">
        <v>202400320</v>
      </c>
      <c r="I323" s="24">
        <f>COUNTIF(경영학원론_1!$B$3:$B$300,"학생320")+COUNTIF(경영학원론_2!$B$2:$B$301,"학생320")+COUNTIF(경영학원론_3!$B$2:$B$301,"학생320")+COUNTIF(경영학원론_4!$B$2:$B$300,"학생320")+COUNTIF(경제학원론_1!$B$2:$B$295,"학생320")+COUNTIF(경제학원론_2!$B$2:$B$298,"학생320")+COUNTIF(경제학원론_3!$B$2:$B$295,"학생320")+COUNTIF(경영통계학_1!$B$2:$B$299,"학생320")+COUNTIF(경영통계학_2!$B$2:$B$301,"학생320")+COUNTIF(경영통계학_3!$B$2:$B$298,"학생320")+COUNTIF(무역학개론_1!$B$2:$B$301,"학생320")+COUNTIF(회계학원론_1!$B$2:$B$293,"학생320")+COUNTIF(경영정보시스템_1!$B$2:$B$301,"학생320")+COUNTIF(관리회계_1!$B$2:$B$300,"학생320")+COUNTIF(관리회계_2!$B$2:$B$301,"학생320")+COUNTIF(마케팅_1!$B$2:$B$301,"학생320")+COUNTIF(마케팅리서치_1!$B$2:$B$301,"학생320")+COUNTIF(세법개론_1!$B$2:$B$300,"학생320")+COUNTIF(재무관리_1!$B$2:$B$301,"학생320")+COUNTIF(조직행동론_1!$B$2:$B$301,"학생320")+COUNTIF(조직행동론_2!$B$2:$B$301,"학생320")+COUNTIF(중급재무회계_1!$B$2:$B$301,"학생320")+COUNTIF(투자론_1!$B$2:$B$300,"학생320")+COUNTIF(경영과학_1!$B$2:$B$301,"학생320")+COUNTIF(세무회계_1!$B$2:$B$301,"학생320")+COUNTIF(스마트경영_1!$B$2:$B$301,"학생320")+COUNTIF(스마트경영_2!$B$2:$B$301,"학생320")+COUNTIF(인적자원관리_1!$B$2:$B$257,"학생320")+COUNTIF(서비스마케팅_1!$B$2:$B$276,"학생320")+COUNTIF(제품관리_1!$B$2:$B$301,"학생320")</f>
        <v>6</v>
      </c>
    </row>
    <row r="324" spans="1:9" hidden="1">
      <c r="A324" s="15">
        <v>321</v>
      </c>
      <c r="B324" s="16" t="s">
        <v>322</v>
      </c>
      <c r="C324" s="16">
        <v>202400321</v>
      </c>
      <c r="I324" s="24">
        <f>COUNTIF(경영학원론_1!$B$3:$B$300,"학생321")+COUNTIF(경영학원론_2!$B$2:$B$301,"학생321")+COUNTIF(경영학원론_3!$B$2:$B$301,"학생321")+COUNTIF(경영학원론_4!$B$2:$B$300,"학생321")+COUNTIF(경제학원론_1!$B$2:$B$295,"학생321")+COUNTIF(경제학원론_2!$B$2:$B$298,"학생321")+COUNTIF(경제학원론_3!$B$2:$B$295,"학생321")+COUNTIF(경영통계학_1!$B$2:$B$299,"학생321")+COUNTIF(경영통계학_2!$B$2:$B$301,"학생321")+COUNTIF(경영통계학_3!$B$2:$B$298,"학생321")+COUNTIF(무역학개론_1!$B$2:$B$301,"학생321")+COUNTIF(회계학원론_1!$B$2:$B$293,"학생321")+COUNTIF(경영정보시스템_1!$B$2:$B$301,"학생321")+COUNTIF(관리회계_1!$B$2:$B$300,"학생321")+COUNTIF(관리회계_2!$B$2:$B$301,"학생321")+COUNTIF(마케팅_1!$B$2:$B$301,"학생321")+COUNTIF(마케팅리서치_1!$B$2:$B$301,"학생321")+COUNTIF(세법개론_1!$B$2:$B$300,"학생321")+COUNTIF(재무관리_1!$B$2:$B$301,"학생321")+COUNTIF(조직행동론_1!$B$2:$B$301,"학생321")+COUNTIF(조직행동론_2!$B$2:$B$301,"학생321")+COUNTIF(중급재무회계_1!$B$2:$B$301,"학생321")+COUNTIF(투자론_1!$B$2:$B$300,"학생321")+COUNTIF(경영과학_1!$B$2:$B$301,"학생321")+COUNTIF(세무회계_1!$B$2:$B$301,"학생321")+COUNTIF(스마트경영_1!$B$2:$B$301,"학생321")+COUNTIF(스마트경영_2!$B$2:$B$301,"학생321")+COUNTIF(인적자원관리_1!$B$2:$B$257,"학생321")+COUNTIF(서비스마케팅_1!$B$2:$B$276,"학생321")+COUNTIF(제품관리_1!$B$2:$B$301,"학생321")</f>
        <v>6</v>
      </c>
    </row>
    <row r="325" spans="1:9" hidden="1">
      <c r="A325" s="15">
        <v>322</v>
      </c>
      <c r="B325" s="16" t="s">
        <v>323</v>
      </c>
      <c r="C325" s="16">
        <v>202400322</v>
      </c>
      <c r="I325" s="24">
        <f>COUNTIF(경영학원론_1!$B$3:$B$300,"학생322")+COUNTIF(경영학원론_2!$B$2:$B$301,"학생322")+COUNTIF(경영학원론_3!$B$2:$B$301,"학생322")+COUNTIF(경영학원론_4!$B$2:$B$300,"학생322")+COUNTIF(경제학원론_1!$B$2:$B$295,"학생322")+COUNTIF(경제학원론_2!$B$2:$B$298,"학생322")+COUNTIF(경제학원론_3!$B$2:$B$295,"학생322")+COUNTIF(경영통계학_1!$B$2:$B$299,"학생322")+COUNTIF(경영통계학_2!$B$2:$B$301,"학생322")+COUNTIF(경영통계학_3!$B$2:$B$298,"학생322")+COUNTIF(무역학개론_1!$B$2:$B$301,"학생322")+COUNTIF(회계학원론_1!$B$2:$B$293,"학생322")+COUNTIF(경영정보시스템_1!$B$2:$B$301,"학생322")+COUNTIF(관리회계_1!$B$2:$B$300,"학생322")+COUNTIF(관리회계_2!$B$2:$B$301,"학생322")+COUNTIF(마케팅_1!$B$2:$B$301,"학생322")+COUNTIF(마케팅리서치_1!$B$2:$B$301,"학생322")+COUNTIF(세법개론_1!$B$2:$B$300,"학생322")+COUNTIF(재무관리_1!$B$2:$B$301,"학생322")+COUNTIF(조직행동론_1!$B$2:$B$301,"학생322")+COUNTIF(조직행동론_2!$B$2:$B$301,"학생322")+COUNTIF(중급재무회계_1!$B$2:$B$301,"학생322")+COUNTIF(투자론_1!$B$2:$B$300,"학생322")+COUNTIF(경영과학_1!$B$2:$B$301,"학생322")+COUNTIF(세무회계_1!$B$2:$B$301,"학생322")+COUNTIF(스마트경영_1!$B$2:$B$301,"학생322")+COUNTIF(스마트경영_2!$B$2:$B$301,"학생322")+COUNTIF(인적자원관리_1!$B$2:$B$257,"학생322")+COUNTIF(서비스마케팅_1!$B$2:$B$276,"학생322")+COUNTIF(제품관리_1!$B$2:$B$301,"학생322")</f>
        <v>6</v>
      </c>
    </row>
    <row r="326" spans="1:9" hidden="1">
      <c r="A326" s="15">
        <v>323</v>
      </c>
      <c r="B326" s="16" t="s">
        <v>324</v>
      </c>
      <c r="C326" s="16">
        <v>202400323</v>
      </c>
      <c r="I326" s="24">
        <f>COUNTIF(경영학원론_1!$B$3:$B$300,"학생323")+COUNTIF(경영학원론_2!$B$2:$B$301,"학생323")+COUNTIF(경영학원론_3!$B$2:$B$301,"학생323")+COUNTIF(경영학원론_4!$B$2:$B$300,"학생323")+COUNTIF(경제학원론_1!$B$2:$B$295,"학생323")+COUNTIF(경제학원론_2!$B$2:$B$298,"학생323")+COUNTIF(경제학원론_3!$B$2:$B$295,"학생323")+COUNTIF(경영통계학_1!$B$2:$B$299,"학생323")+COUNTIF(경영통계학_2!$B$2:$B$301,"학생323")+COUNTIF(경영통계학_3!$B$2:$B$298,"학생323")+COUNTIF(무역학개론_1!$B$2:$B$301,"학생323")+COUNTIF(회계학원론_1!$B$2:$B$293,"학생323")+COUNTIF(경영정보시스템_1!$B$2:$B$301,"학생323")+COUNTIF(관리회계_1!$B$2:$B$300,"학생323")+COUNTIF(관리회계_2!$B$2:$B$301,"학생323")+COUNTIF(마케팅_1!$B$2:$B$301,"학생323")+COUNTIF(마케팅리서치_1!$B$2:$B$301,"학생323")+COUNTIF(세법개론_1!$B$2:$B$300,"학생323")+COUNTIF(재무관리_1!$B$2:$B$301,"학생323")+COUNTIF(조직행동론_1!$B$2:$B$301,"학생323")+COUNTIF(조직행동론_2!$B$2:$B$301,"학생323")+COUNTIF(중급재무회계_1!$B$2:$B$301,"학생323")+COUNTIF(투자론_1!$B$2:$B$300,"학생323")+COUNTIF(경영과학_1!$B$2:$B$301,"학생323")+COUNTIF(세무회계_1!$B$2:$B$301,"학생323")+COUNTIF(스마트경영_1!$B$2:$B$301,"학생323")+COUNTIF(스마트경영_2!$B$2:$B$301,"학생323")+COUNTIF(인적자원관리_1!$B$2:$B$257,"학생323")+COUNTIF(서비스마케팅_1!$B$2:$B$276,"학생323")+COUNTIF(제품관리_1!$B$2:$B$301,"학생323")</f>
        <v>6</v>
      </c>
    </row>
    <row r="327" spans="1:9" hidden="1">
      <c r="A327" s="15">
        <v>324</v>
      </c>
      <c r="B327" s="16" t="s">
        <v>325</v>
      </c>
      <c r="C327" s="16">
        <v>202400324</v>
      </c>
      <c r="I327" s="24">
        <f>COUNTIF(경영학원론_1!$B$3:$B$300,"학생324")+COUNTIF(경영학원론_2!$B$2:$B$301,"학생324")+COUNTIF(경영학원론_3!$B$2:$B$301,"학생324")+COUNTIF(경영학원론_4!$B$2:$B$300,"학생324")+COUNTIF(경제학원론_1!$B$2:$B$295,"학생324")+COUNTIF(경제학원론_2!$B$2:$B$298,"학생324")+COUNTIF(경제학원론_3!$B$2:$B$295,"학생324")+COUNTIF(경영통계학_1!$B$2:$B$299,"학생324")+COUNTIF(경영통계학_2!$B$2:$B$301,"학생324")+COUNTIF(경영통계학_3!$B$2:$B$298,"학생324")+COUNTIF(무역학개론_1!$B$2:$B$301,"학생324")+COUNTIF(회계학원론_1!$B$2:$B$293,"학생324")+COUNTIF(경영정보시스템_1!$B$2:$B$301,"학생324")+COUNTIF(관리회계_1!$B$2:$B$300,"학생324")+COUNTIF(관리회계_2!$B$2:$B$301,"학생324")+COUNTIF(마케팅_1!$B$2:$B$301,"학생324")+COUNTIF(마케팅리서치_1!$B$2:$B$301,"학생324")+COUNTIF(세법개론_1!$B$2:$B$300,"학생324")+COUNTIF(재무관리_1!$B$2:$B$301,"학생324")+COUNTIF(조직행동론_1!$B$2:$B$301,"학생324")+COUNTIF(조직행동론_2!$B$2:$B$301,"학생324")+COUNTIF(중급재무회계_1!$B$2:$B$301,"학생324")+COUNTIF(투자론_1!$B$2:$B$300,"학생324")+COUNTIF(경영과학_1!$B$2:$B$301,"학생324")+COUNTIF(세무회계_1!$B$2:$B$301,"학생324")+COUNTIF(스마트경영_1!$B$2:$B$301,"학생324")+COUNTIF(스마트경영_2!$B$2:$B$301,"학생324")+COUNTIF(인적자원관리_1!$B$2:$B$257,"학생324")+COUNTIF(서비스마케팅_1!$B$2:$B$276,"학생324")+COUNTIF(제품관리_1!$B$2:$B$301,"학생324")</f>
        <v>6</v>
      </c>
    </row>
    <row r="328" spans="1:9" hidden="1">
      <c r="A328" s="15">
        <v>325</v>
      </c>
      <c r="B328" s="16" t="s">
        <v>326</v>
      </c>
      <c r="C328" s="16">
        <v>202400325</v>
      </c>
      <c r="I328" s="24">
        <f>COUNTIF(경영학원론_1!$B$3:$B$300,"학생325")+COUNTIF(경영학원론_2!$B$2:$B$301,"학생325")+COUNTIF(경영학원론_3!$B$2:$B$301,"학생325")+COUNTIF(경영학원론_4!$B$2:$B$300,"학생325")+COUNTIF(경제학원론_1!$B$2:$B$295,"학생325")+COUNTIF(경제학원론_2!$B$2:$B$298,"학생325")+COUNTIF(경제학원론_3!$B$2:$B$295,"학생325")+COUNTIF(경영통계학_1!$B$2:$B$299,"학생325")+COUNTIF(경영통계학_2!$B$2:$B$301,"학생325")+COUNTIF(경영통계학_3!$B$2:$B$298,"학생325")+COUNTIF(무역학개론_1!$B$2:$B$301,"학생325")+COUNTIF(회계학원론_1!$B$2:$B$293,"학생325")+COUNTIF(경영정보시스템_1!$B$2:$B$301,"학생325")+COUNTIF(관리회계_1!$B$2:$B$300,"학생325")+COUNTIF(관리회계_2!$B$2:$B$301,"학생325")+COUNTIF(마케팅_1!$B$2:$B$301,"학생325")+COUNTIF(마케팅리서치_1!$B$2:$B$301,"학생325")+COUNTIF(세법개론_1!$B$2:$B$300,"학생325")+COUNTIF(재무관리_1!$B$2:$B$301,"학생325")+COUNTIF(조직행동론_1!$B$2:$B$301,"학생325")+COUNTIF(조직행동론_2!$B$2:$B$301,"학생325")+COUNTIF(중급재무회계_1!$B$2:$B$301,"학생325")+COUNTIF(투자론_1!$B$2:$B$300,"학생325")+COUNTIF(경영과학_1!$B$2:$B$301,"학생325")+COUNTIF(세무회계_1!$B$2:$B$301,"학생325")+COUNTIF(스마트경영_1!$B$2:$B$301,"학생325")+COUNTIF(스마트경영_2!$B$2:$B$301,"학생325")+COUNTIF(인적자원관리_1!$B$2:$B$257,"학생325")+COUNTIF(서비스마케팅_1!$B$2:$B$276,"학생325")+COUNTIF(제품관리_1!$B$2:$B$301,"학생325")</f>
        <v>6</v>
      </c>
    </row>
    <row r="329" spans="1:9" hidden="1">
      <c r="A329" s="15">
        <v>326</v>
      </c>
      <c r="B329" s="16" t="s">
        <v>327</v>
      </c>
      <c r="C329" s="16">
        <v>202400326</v>
      </c>
      <c r="I329" s="24">
        <f>COUNTIF(경영학원론_1!$B$3:$B$300,"학생326")+COUNTIF(경영학원론_2!$B$2:$B$301,"학생326")+COUNTIF(경영학원론_3!$B$2:$B$301,"학생326")+COUNTIF(경영학원론_4!$B$2:$B$300,"학생326")+COUNTIF(경제학원론_1!$B$2:$B$295,"학생326")+COUNTIF(경제학원론_2!$B$2:$B$298,"학생326")+COUNTIF(경제학원론_3!$B$2:$B$295,"학생326")+COUNTIF(경영통계학_1!$B$2:$B$299,"학생326")+COUNTIF(경영통계학_2!$B$2:$B$301,"학생326")+COUNTIF(경영통계학_3!$B$2:$B$298,"학생326")+COUNTIF(무역학개론_1!$B$2:$B$301,"학생326")+COUNTIF(회계학원론_1!$B$2:$B$293,"학생326")+COUNTIF(경영정보시스템_1!$B$2:$B$301,"학생326")+COUNTIF(관리회계_1!$B$2:$B$300,"학생326")+COUNTIF(관리회계_2!$B$2:$B$301,"학생326")+COUNTIF(마케팅_1!$B$2:$B$301,"학생326")+COUNTIF(마케팅리서치_1!$B$2:$B$301,"학생326")+COUNTIF(세법개론_1!$B$2:$B$300,"학생326")+COUNTIF(재무관리_1!$B$2:$B$301,"학생326")+COUNTIF(조직행동론_1!$B$2:$B$301,"학생326")+COUNTIF(조직행동론_2!$B$2:$B$301,"학생326")+COUNTIF(중급재무회계_1!$B$2:$B$301,"학생326")+COUNTIF(투자론_1!$B$2:$B$300,"학생326")+COUNTIF(경영과학_1!$B$2:$B$301,"학생326")+COUNTIF(세무회계_1!$B$2:$B$301,"학생326")+COUNTIF(스마트경영_1!$B$2:$B$301,"학생326")+COUNTIF(스마트경영_2!$B$2:$B$301,"학생326")+COUNTIF(인적자원관리_1!$B$2:$B$257,"학생326")+COUNTIF(서비스마케팅_1!$B$2:$B$276,"학생326")+COUNTIF(제품관리_1!$B$2:$B$301,"학생326")</f>
        <v>6</v>
      </c>
    </row>
    <row r="330" spans="1:9" hidden="1">
      <c r="A330" s="15">
        <v>327</v>
      </c>
      <c r="B330" s="16" t="s">
        <v>328</v>
      </c>
      <c r="C330" s="16">
        <v>202400327</v>
      </c>
      <c r="I330" s="24">
        <f>COUNTIF(경영학원론_1!$B$3:$B$300,"학생327")+COUNTIF(경영학원론_2!$B$2:$B$301,"학생327")+COUNTIF(경영학원론_3!$B$2:$B$301,"학생327")+COUNTIF(경영학원론_4!$B$2:$B$300,"학생327")+COUNTIF(경제학원론_1!$B$2:$B$295,"학생327")+COUNTIF(경제학원론_2!$B$2:$B$298,"학생327")+COUNTIF(경제학원론_3!$B$2:$B$295,"학생327")+COUNTIF(경영통계학_1!$B$2:$B$299,"학생327")+COUNTIF(경영통계학_2!$B$2:$B$301,"학생327")+COUNTIF(경영통계학_3!$B$2:$B$298,"학생327")+COUNTIF(무역학개론_1!$B$2:$B$301,"학생327")+COUNTIF(회계학원론_1!$B$2:$B$293,"학생327")+COUNTIF(경영정보시스템_1!$B$2:$B$301,"학생327")+COUNTIF(관리회계_1!$B$2:$B$300,"학생327")+COUNTIF(관리회계_2!$B$2:$B$301,"학생327")+COUNTIF(마케팅_1!$B$2:$B$301,"학생327")+COUNTIF(마케팅리서치_1!$B$2:$B$301,"학생327")+COUNTIF(세법개론_1!$B$2:$B$300,"학생327")+COUNTIF(재무관리_1!$B$2:$B$301,"학생327")+COUNTIF(조직행동론_1!$B$2:$B$301,"학생327")+COUNTIF(조직행동론_2!$B$2:$B$301,"학생327")+COUNTIF(중급재무회계_1!$B$2:$B$301,"학생327")+COUNTIF(투자론_1!$B$2:$B$300,"학생327")+COUNTIF(경영과학_1!$B$2:$B$301,"학생327")+COUNTIF(세무회계_1!$B$2:$B$301,"학생327")+COUNTIF(스마트경영_1!$B$2:$B$301,"학생327")+COUNTIF(스마트경영_2!$B$2:$B$301,"학생327")+COUNTIF(인적자원관리_1!$B$2:$B$257,"학생327")+COUNTIF(서비스마케팅_1!$B$2:$B$276,"학생327")+COUNTIF(제품관리_1!$B$2:$B$301,"학생327")</f>
        <v>6</v>
      </c>
    </row>
    <row r="331" spans="1:9" hidden="1">
      <c r="A331" s="15">
        <v>328</v>
      </c>
      <c r="B331" s="16" t="s">
        <v>329</v>
      </c>
      <c r="C331" s="16">
        <v>202400328</v>
      </c>
      <c r="I331" s="24">
        <f>COUNTIF(경영학원론_1!$B$3:$B$300,"학생328")+COUNTIF(경영학원론_2!$B$2:$B$301,"학생328")+COUNTIF(경영학원론_3!$B$2:$B$301,"학생328")+COUNTIF(경영학원론_4!$B$2:$B$300,"학생328")+COUNTIF(경제학원론_1!$B$2:$B$295,"학생328")+COUNTIF(경제학원론_2!$B$2:$B$298,"학생328")+COUNTIF(경제학원론_3!$B$2:$B$295,"학생328")+COUNTIF(경영통계학_1!$B$2:$B$299,"학생328")+COUNTIF(경영통계학_2!$B$2:$B$301,"학생328")+COUNTIF(경영통계학_3!$B$2:$B$298,"학생328")+COUNTIF(무역학개론_1!$B$2:$B$301,"학생328")+COUNTIF(회계학원론_1!$B$2:$B$293,"학생328")+COUNTIF(경영정보시스템_1!$B$2:$B$301,"학생328")+COUNTIF(관리회계_1!$B$2:$B$300,"학생328")+COUNTIF(관리회계_2!$B$2:$B$301,"학생328")+COUNTIF(마케팅_1!$B$2:$B$301,"학생328")+COUNTIF(마케팅리서치_1!$B$2:$B$301,"학생328")+COUNTIF(세법개론_1!$B$2:$B$300,"학생328")+COUNTIF(재무관리_1!$B$2:$B$301,"학생328")+COUNTIF(조직행동론_1!$B$2:$B$301,"학생328")+COUNTIF(조직행동론_2!$B$2:$B$301,"학생328")+COUNTIF(중급재무회계_1!$B$2:$B$301,"학생328")+COUNTIF(투자론_1!$B$2:$B$300,"학생328")+COUNTIF(경영과학_1!$B$2:$B$301,"학생328")+COUNTIF(세무회계_1!$B$2:$B$301,"학생328")+COUNTIF(스마트경영_1!$B$2:$B$301,"학생328")+COUNTIF(스마트경영_2!$B$2:$B$301,"학생328")+COUNTIF(인적자원관리_1!$B$2:$B$257,"학생328")+COUNTIF(서비스마케팅_1!$B$2:$B$276,"학생328")+COUNTIF(제품관리_1!$B$2:$B$301,"학생328")</f>
        <v>6</v>
      </c>
    </row>
    <row r="332" spans="1:9" hidden="1">
      <c r="A332" s="15">
        <v>329</v>
      </c>
      <c r="B332" s="16" t="s">
        <v>330</v>
      </c>
      <c r="C332" s="16">
        <v>202400329</v>
      </c>
      <c r="I332" s="24">
        <f>COUNTIF(경영학원론_1!$B$3:$B$300,"학생329")+COUNTIF(경영학원론_2!$B$2:$B$301,"학생329")+COUNTIF(경영학원론_3!$B$2:$B$301,"학생329")+COUNTIF(경영학원론_4!$B$2:$B$300,"학생329")+COUNTIF(경제학원론_1!$B$2:$B$295,"학생329")+COUNTIF(경제학원론_2!$B$2:$B$298,"학생329")+COUNTIF(경제학원론_3!$B$2:$B$295,"학생329")+COUNTIF(경영통계학_1!$B$2:$B$299,"학생329")+COUNTIF(경영통계학_2!$B$2:$B$301,"학생329")+COUNTIF(경영통계학_3!$B$2:$B$298,"학생329")+COUNTIF(무역학개론_1!$B$2:$B$301,"학생329")+COUNTIF(회계학원론_1!$B$2:$B$293,"학생329")+COUNTIF(경영정보시스템_1!$B$2:$B$301,"학생329")+COUNTIF(관리회계_1!$B$2:$B$300,"학생329")+COUNTIF(관리회계_2!$B$2:$B$301,"학생329")+COUNTIF(마케팅_1!$B$2:$B$301,"학생329")+COUNTIF(마케팅리서치_1!$B$2:$B$301,"학생329")+COUNTIF(세법개론_1!$B$2:$B$300,"학생329")+COUNTIF(재무관리_1!$B$2:$B$301,"학생329")+COUNTIF(조직행동론_1!$B$2:$B$301,"학생329")+COUNTIF(조직행동론_2!$B$2:$B$301,"학생329")+COUNTIF(중급재무회계_1!$B$2:$B$301,"학생329")+COUNTIF(투자론_1!$B$2:$B$300,"학생329")+COUNTIF(경영과학_1!$B$2:$B$301,"학생329")+COUNTIF(세무회계_1!$B$2:$B$301,"학생329")+COUNTIF(스마트경영_1!$B$2:$B$301,"학생329")+COUNTIF(스마트경영_2!$B$2:$B$301,"학생329")+COUNTIF(인적자원관리_1!$B$2:$B$257,"학생329")+COUNTIF(서비스마케팅_1!$B$2:$B$276,"학생329")+COUNTIF(제품관리_1!$B$2:$B$301,"학생329")</f>
        <v>6</v>
      </c>
    </row>
    <row r="333" spans="1:9" hidden="1">
      <c r="A333" s="15">
        <v>330</v>
      </c>
      <c r="B333" s="16" t="s">
        <v>331</v>
      </c>
      <c r="C333" s="16">
        <v>202400330</v>
      </c>
      <c r="I333" s="24">
        <f>COUNTIF(경영학원론_1!$B$3:$B$300,"학생330")+COUNTIF(경영학원론_2!$B$2:$B$301,"학생330")+COUNTIF(경영학원론_3!$B$2:$B$301,"학생330")+COUNTIF(경영학원론_4!$B$2:$B$300,"학생330")+COUNTIF(경제학원론_1!$B$2:$B$295,"학생330")+COUNTIF(경제학원론_2!$B$2:$B$298,"학생330")+COUNTIF(경제학원론_3!$B$2:$B$295,"학생330")+COUNTIF(경영통계학_1!$B$2:$B$299,"학생330")+COUNTIF(경영통계학_2!$B$2:$B$301,"학생330")+COUNTIF(경영통계학_3!$B$2:$B$298,"학생330")+COUNTIF(무역학개론_1!$B$2:$B$301,"학생330")+COUNTIF(회계학원론_1!$B$2:$B$293,"학생330")+COUNTIF(경영정보시스템_1!$B$2:$B$301,"학생330")+COUNTIF(관리회계_1!$B$2:$B$300,"학생330")+COUNTIF(관리회계_2!$B$2:$B$301,"학생330")+COUNTIF(마케팅_1!$B$2:$B$301,"학생330")+COUNTIF(마케팅리서치_1!$B$2:$B$301,"학생330")+COUNTIF(세법개론_1!$B$2:$B$300,"학생330")+COUNTIF(재무관리_1!$B$2:$B$301,"학생330")+COUNTIF(조직행동론_1!$B$2:$B$301,"학생330")+COUNTIF(조직행동론_2!$B$2:$B$301,"학생330")+COUNTIF(중급재무회계_1!$B$2:$B$301,"학생330")+COUNTIF(투자론_1!$B$2:$B$300,"학생330")+COUNTIF(경영과학_1!$B$2:$B$301,"학생330")+COUNTIF(세무회계_1!$B$2:$B$301,"학생330")+COUNTIF(스마트경영_1!$B$2:$B$301,"학생330")+COUNTIF(스마트경영_2!$B$2:$B$301,"학생330")+COUNTIF(인적자원관리_1!$B$2:$B$257,"학생330")+COUNTIF(서비스마케팅_1!$B$2:$B$276,"학생330")+COUNTIF(제품관리_1!$B$2:$B$301,"학생330")</f>
        <v>6</v>
      </c>
    </row>
    <row r="334" spans="1:9" hidden="1">
      <c r="A334" s="15">
        <v>331</v>
      </c>
      <c r="B334" s="16" t="s">
        <v>332</v>
      </c>
      <c r="C334" s="16">
        <v>202400331</v>
      </c>
      <c r="I334" s="24">
        <f>COUNTIF(경영학원론_1!$B$3:$B$300,"학생331")+COUNTIF(경영학원론_2!$B$2:$B$301,"학생331")+COUNTIF(경영학원론_3!$B$2:$B$301,"학생331")+COUNTIF(경영학원론_4!$B$2:$B$300,"학생331")+COUNTIF(경제학원론_1!$B$2:$B$295,"학생331")+COUNTIF(경제학원론_2!$B$2:$B$298,"학생331")+COUNTIF(경제학원론_3!$B$2:$B$295,"학생331")+COUNTIF(경영통계학_1!$B$2:$B$299,"학생331")+COUNTIF(경영통계학_2!$B$2:$B$301,"학생331")+COUNTIF(경영통계학_3!$B$2:$B$298,"학생331")+COUNTIF(무역학개론_1!$B$2:$B$301,"학생331")+COUNTIF(회계학원론_1!$B$2:$B$293,"학생331")+COUNTIF(경영정보시스템_1!$B$2:$B$301,"학생331")+COUNTIF(관리회계_1!$B$2:$B$300,"학생331")+COUNTIF(관리회계_2!$B$2:$B$301,"학생331")+COUNTIF(마케팅_1!$B$2:$B$301,"학생331")+COUNTIF(마케팅리서치_1!$B$2:$B$301,"학생331")+COUNTIF(세법개론_1!$B$2:$B$300,"학생331")+COUNTIF(재무관리_1!$B$2:$B$301,"학생331")+COUNTIF(조직행동론_1!$B$2:$B$301,"학생331")+COUNTIF(조직행동론_2!$B$2:$B$301,"학생331")+COUNTIF(중급재무회계_1!$B$2:$B$301,"학생331")+COUNTIF(투자론_1!$B$2:$B$300,"학생331")+COUNTIF(경영과학_1!$B$2:$B$301,"학생331")+COUNTIF(세무회계_1!$B$2:$B$301,"학생331")+COUNTIF(스마트경영_1!$B$2:$B$301,"학생331")+COUNTIF(스마트경영_2!$B$2:$B$301,"학생331")+COUNTIF(인적자원관리_1!$B$2:$B$257,"학생331")+COUNTIF(서비스마케팅_1!$B$2:$B$276,"학생331")+COUNTIF(제품관리_1!$B$2:$B$301,"학생331")</f>
        <v>6</v>
      </c>
    </row>
    <row r="335" spans="1:9" hidden="1">
      <c r="A335" s="15">
        <v>332</v>
      </c>
      <c r="B335" s="16" t="s">
        <v>333</v>
      </c>
      <c r="C335" s="16">
        <v>202400332</v>
      </c>
      <c r="I335" s="24">
        <f>COUNTIF(경영학원론_1!$B$3:$B$300,"학생332")+COUNTIF(경영학원론_2!$B$2:$B$301,"학생332")+COUNTIF(경영학원론_3!$B$2:$B$301,"학생332")+COUNTIF(경영학원론_4!$B$2:$B$300,"학생332")+COUNTIF(경제학원론_1!$B$2:$B$295,"학생332")+COUNTIF(경제학원론_2!$B$2:$B$298,"학생332")+COUNTIF(경제학원론_3!$B$2:$B$295,"학생332")+COUNTIF(경영통계학_1!$B$2:$B$299,"학생332")+COUNTIF(경영통계학_2!$B$2:$B$301,"학생332")+COUNTIF(경영통계학_3!$B$2:$B$298,"학생332")+COUNTIF(무역학개론_1!$B$2:$B$301,"학생332")+COUNTIF(회계학원론_1!$B$2:$B$293,"학생332")+COUNTIF(경영정보시스템_1!$B$2:$B$301,"학생332")+COUNTIF(관리회계_1!$B$2:$B$300,"학생332")+COUNTIF(관리회계_2!$B$2:$B$301,"학생332")+COUNTIF(마케팅_1!$B$2:$B$301,"학생332")+COUNTIF(마케팅리서치_1!$B$2:$B$301,"학생332")+COUNTIF(세법개론_1!$B$2:$B$300,"학생332")+COUNTIF(재무관리_1!$B$2:$B$301,"학생332")+COUNTIF(조직행동론_1!$B$2:$B$301,"학생332")+COUNTIF(조직행동론_2!$B$2:$B$301,"학생332")+COUNTIF(중급재무회계_1!$B$2:$B$301,"학생332")+COUNTIF(투자론_1!$B$2:$B$300,"학생332")+COUNTIF(경영과학_1!$B$2:$B$301,"학생332")+COUNTIF(세무회계_1!$B$2:$B$301,"학생332")+COUNTIF(스마트경영_1!$B$2:$B$301,"학생332")+COUNTIF(스마트경영_2!$B$2:$B$301,"학생332")+COUNTIF(인적자원관리_1!$B$2:$B$257,"학생332")+COUNTIF(서비스마케팅_1!$B$2:$B$276,"학생332")+COUNTIF(제품관리_1!$B$2:$B$301,"학생332")</f>
        <v>7</v>
      </c>
    </row>
    <row r="336" spans="1:9" hidden="1">
      <c r="A336" s="15">
        <v>333</v>
      </c>
      <c r="B336" s="16" t="s">
        <v>334</v>
      </c>
      <c r="C336" s="16">
        <v>202400333</v>
      </c>
      <c r="I336" s="24">
        <f>COUNTIF(경영학원론_1!$B$3:$B$300,"학생333")+COUNTIF(경영학원론_2!$B$2:$B$301,"학생333")+COUNTIF(경영학원론_3!$B$2:$B$301,"학생333")+COUNTIF(경영학원론_4!$B$2:$B$300,"학생333")+COUNTIF(경제학원론_1!$B$2:$B$295,"학생333")+COUNTIF(경제학원론_2!$B$2:$B$298,"학생333")+COUNTIF(경제학원론_3!$B$2:$B$295,"학생333")+COUNTIF(경영통계학_1!$B$2:$B$299,"학생333")+COUNTIF(경영통계학_2!$B$2:$B$301,"학생333")+COUNTIF(경영통계학_3!$B$2:$B$298,"학생333")+COUNTIF(무역학개론_1!$B$2:$B$301,"학생333")+COUNTIF(회계학원론_1!$B$2:$B$293,"학생333")+COUNTIF(경영정보시스템_1!$B$2:$B$301,"학생333")+COUNTIF(관리회계_1!$B$2:$B$300,"학생333")+COUNTIF(관리회계_2!$B$2:$B$301,"학생333")+COUNTIF(마케팅_1!$B$2:$B$301,"학생333")+COUNTIF(마케팅리서치_1!$B$2:$B$301,"학생333")+COUNTIF(세법개론_1!$B$2:$B$300,"학생333")+COUNTIF(재무관리_1!$B$2:$B$301,"학생333")+COUNTIF(조직행동론_1!$B$2:$B$301,"학생333")+COUNTIF(조직행동론_2!$B$2:$B$301,"학생333")+COUNTIF(중급재무회계_1!$B$2:$B$301,"학생333")+COUNTIF(투자론_1!$B$2:$B$300,"학생333")+COUNTIF(경영과학_1!$B$2:$B$301,"학생333")+COUNTIF(세무회계_1!$B$2:$B$301,"학생333")+COUNTIF(스마트경영_1!$B$2:$B$301,"학생333")+COUNTIF(스마트경영_2!$B$2:$B$301,"학생333")+COUNTIF(인적자원관리_1!$B$2:$B$257,"학생333")+COUNTIF(서비스마케팅_1!$B$2:$B$276,"학생333")+COUNTIF(제품관리_1!$B$2:$B$301,"학생333")</f>
        <v>6</v>
      </c>
    </row>
    <row r="337" spans="1:9" hidden="1">
      <c r="A337" s="15">
        <v>334</v>
      </c>
      <c r="B337" s="16" t="s">
        <v>335</v>
      </c>
      <c r="C337" s="16">
        <v>202400334</v>
      </c>
      <c r="I337" s="24">
        <f>COUNTIF(경영학원론_1!$B$3:$B$300,"학생334")+COUNTIF(경영학원론_2!$B$2:$B$301,"학생334")+COUNTIF(경영학원론_3!$B$2:$B$301,"학생334")+COUNTIF(경영학원론_4!$B$2:$B$300,"학생334")+COUNTIF(경제학원론_1!$B$2:$B$295,"학생334")+COUNTIF(경제학원론_2!$B$2:$B$298,"학생334")+COUNTIF(경제학원론_3!$B$2:$B$295,"학생334")+COUNTIF(경영통계학_1!$B$2:$B$299,"학생334")+COUNTIF(경영통계학_2!$B$2:$B$301,"학생334")+COUNTIF(경영통계학_3!$B$2:$B$298,"학생334")+COUNTIF(무역학개론_1!$B$2:$B$301,"학생334")+COUNTIF(회계학원론_1!$B$2:$B$293,"학생334")+COUNTIF(경영정보시스템_1!$B$2:$B$301,"학생334")+COUNTIF(관리회계_1!$B$2:$B$300,"학생334")+COUNTIF(관리회계_2!$B$2:$B$301,"학생334")+COUNTIF(마케팅_1!$B$2:$B$301,"학생334")+COUNTIF(마케팅리서치_1!$B$2:$B$301,"학생334")+COUNTIF(세법개론_1!$B$2:$B$300,"학생334")+COUNTIF(재무관리_1!$B$2:$B$301,"학생334")+COUNTIF(조직행동론_1!$B$2:$B$301,"학생334")+COUNTIF(조직행동론_2!$B$2:$B$301,"학생334")+COUNTIF(중급재무회계_1!$B$2:$B$301,"학생334")+COUNTIF(투자론_1!$B$2:$B$300,"학생334")+COUNTIF(경영과학_1!$B$2:$B$301,"학생334")+COUNTIF(세무회계_1!$B$2:$B$301,"학생334")+COUNTIF(스마트경영_1!$B$2:$B$301,"학생334")+COUNTIF(스마트경영_2!$B$2:$B$301,"학생334")+COUNTIF(인적자원관리_1!$B$2:$B$257,"학생334")+COUNTIF(서비스마케팅_1!$B$2:$B$276,"학생334")+COUNTIF(제품관리_1!$B$2:$B$301,"학생334")</f>
        <v>7</v>
      </c>
    </row>
    <row r="338" spans="1:9" hidden="1">
      <c r="A338" s="15">
        <v>335</v>
      </c>
      <c r="B338" s="16" t="s">
        <v>336</v>
      </c>
      <c r="C338" s="16">
        <v>202400335</v>
      </c>
      <c r="I338" s="24">
        <f>COUNTIF(경영학원론_1!$B$3:$B$300,"학생335")+COUNTIF(경영학원론_2!$B$2:$B$301,"학생335")+COUNTIF(경영학원론_3!$B$2:$B$301,"학생335")+COUNTIF(경영학원론_4!$B$2:$B$300,"학생335")+COUNTIF(경제학원론_1!$B$2:$B$295,"학생335")+COUNTIF(경제학원론_2!$B$2:$B$298,"학생335")+COUNTIF(경제학원론_3!$B$2:$B$295,"학생335")+COUNTIF(경영통계학_1!$B$2:$B$299,"학생335")+COUNTIF(경영통계학_2!$B$2:$B$301,"학생335")+COUNTIF(경영통계학_3!$B$2:$B$298,"학생335")+COUNTIF(무역학개론_1!$B$2:$B$301,"학생335")+COUNTIF(회계학원론_1!$B$2:$B$293,"학생335")+COUNTIF(경영정보시스템_1!$B$2:$B$301,"학생335")+COUNTIF(관리회계_1!$B$2:$B$300,"학생335")+COUNTIF(관리회계_2!$B$2:$B$301,"학생335")+COUNTIF(마케팅_1!$B$2:$B$301,"학생335")+COUNTIF(마케팅리서치_1!$B$2:$B$301,"학생335")+COUNTIF(세법개론_1!$B$2:$B$300,"학생335")+COUNTIF(재무관리_1!$B$2:$B$301,"학생335")+COUNTIF(조직행동론_1!$B$2:$B$301,"학생335")+COUNTIF(조직행동론_2!$B$2:$B$301,"학생335")+COUNTIF(중급재무회계_1!$B$2:$B$301,"학생335")+COUNTIF(투자론_1!$B$2:$B$300,"학생335")+COUNTIF(경영과학_1!$B$2:$B$301,"학생335")+COUNTIF(세무회계_1!$B$2:$B$301,"학생335")+COUNTIF(스마트경영_1!$B$2:$B$301,"학생335")+COUNTIF(스마트경영_2!$B$2:$B$301,"학생335")+COUNTIF(인적자원관리_1!$B$2:$B$257,"학생335")+COUNTIF(서비스마케팅_1!$B$2:$B$276,"학생335")+COUNTIF(제품관리_1!$B$2:$B$301,"학생335")</f>
        <v>5</v>
      </c>
    </row>
    <row r="339" spans="1:9" hidden="1">
      <c r="A339" s="15">
        <v>336</v>
      </c>
      <c r="B339" s="16" t="s">
        <v>337</v>
      </c>
      <c r="C339" s="16">
        <v>202400336</v>
      </c>
      <c r="I339" s="24">
        <f>COUNTIF(경영학원론_1!$B$3:$B$300,"학생336")+COUNTIF(경영학원론_2!$B$2:$B$301,"학생336")+COUNTIF(경영학원론_3!$B$2:$B$301,"학생336")+COUNTIF(경영학원론_4!$B$2:$B$300,"학생336")+COUNTIF(경제학원론_1!$B$2:$B$295,"학생336")+COUNTIF(경제학원론_2!$B$2:$B$298,"학생336")+COUNTIF(경제학원론_3!$B$2:$B$295,"학생336")+COUNTIF(경영통계학_1!$B$2:$B$299,"학생336")+COUNTIF(경영통계학_2!$B$2:$B$301,"학생336")+COUNTIF(경영통계학_3!$B$2:$B$298,"학생336")+COUNTIF(무역학개론_1!$B$2:$B$301,"학생336")+COUNTIF(회계학원론_1!$B$2:$B$293,"학생336")+COUNTIF(경영정보시스템_1!$B$2:$B$301,"학생336")+COUNTIF(관리회계_1!$B$2:$B$300,"학생336")+COUNTIF(관리회계_2!$B$2:$B$301,"학생336")+COUNTIF(마케팅_1!$B$2:$B$301,"학생336")+COUNTIF(마케팅리서치_1!$B$2:$B$301,"학생336")+COUNTIF(세법개론_1!$B$2:$B$300,"학생336")+COUNTIF(재무관리_1!$B$2:$B$301,"학생336")+COUNTIF(조직행동론_1!$B$2:$B$301,"학생336")+COUNTIF(조직행동론_2!$B$2:$B$301,"학생336")+COUNTIF(중급재무회계_1!$B$2:$B$301,"학생336")+COUNTIF(투자론_1!$B$2:$B$300,"학생336")+COUNTIF(경영과학_1!$B$2:$B$301,"학생336")+COUNTIF(세무회계_1!$B$2:$B$301,"학생336")+COUNTIF(스마트경영_1!$B$2:$B$301,"학생336")+COUNTIF(스마트경영_2!$B$2:$B$301,"학생336")+COUNTIF(인적자원관리_1!$B$2:$B$257,"학생336")+COUNTIF(서비스마케팅_1!$B$2:$B$276,"학생336")+COUNTIF(제품관리_1!$B$2:$B$301,"학생336")</f>
        <v>5</v>
      </c>
    </row>
    <row r="340" spans="1:9" hidden="1">
      <c r="A340" s="15">
        <v>337</v>
      </c>
      <c r="B340" s="16" t="s">
        <v>338</v>
      </c>
      <c r="C340" s="16">
        <v>202400337</v>
      </c>
      <c r="I340" s="24">
        <f>COUNTIF(경영학원론_1!$B$3:$B$300,"학생337")+COUNTIF(경영학원론_2!$B$2:$B$301,"학생337")+COUNTIF(경영학원론_3!$B$2:$B$301,"학생337")+COUNTIF(경영학원론_4!$B$2:$B$300,"학생337")+COUNTIF(경제학원론_1!$B$2:$B$295,"학생337")+COUNTIF(경제학원론_2!$B$2:$B$298,"학생337")+COUNTIF(경제학원론_3!$B$2:$B$295,"학생337")+COUNTIF(경영통계학_1!$B$2:$B$299,"학생337")+COUNTIF(경영통계학_2!$B$2:$B$301,"학생337")+COUNTIF(경영통계학_3!$B$2:$B$298,"학생337")+COUNTIF(무역학개론_1!$B$2:$B$301,"학생337")+COUNTIF(회계학원론_1!$B$2:$B$293,"학생337")+COUNTIF(경영정보시스템_1!$B$2:$B$301,"학생337")+COUNTIF(관리회계_1!$B$2:$B$300,"학생337")+COUNTIF(관리회계_2!$B$2:$B$301,"학생337")+COUNTIF(마케팅_1!$B$2:$B$301,"학생337")+COUNTIF(마케팅리서치_1!$B$2:$B$301,"학생337")+COUNTIF(세법개론_1!$B$2:$B$300,"학생337")+COUNTIF(재무관리_1!$B$2:$B$301,"학생337")+COUNTIF(조직행동론_1!$B$2:$B$301,"학생337")+COUNTIF(조직행동론_2!$B$2:$B$301,"학생337")+COUNTIF(중급재무회계_1!$B$2:$B$301,"학생337")+COUNTIF(투자론_1!$B$2:$B$300,"학생337")+COUNTIF(경영과학_1!$B$2:$B$301,"학생337")+COUNTIF(세무회계_1!$B$2:$B$301,"학생337")+COUNTIF(스마트경영_1!$B$2:$B$301,"학생337")+COUNTIF(스마트경영_2!$B$2:$B$301,"학생337")+COUNTIF(인적자원관리_1!$B$2:$B$257,"학생337")+COUNTIF(서비스마케팅_1!$B$2:$B$276,"학생337")+COUNTIF(제품관리_1!$B$2:$B$301,"학생337")</f>
        <v>6</v>
      </c>
    </row>
    <row r="341" spans="1:9" hidden="1">
      <c r="A341" s="15">
        <v>338</v>
      </c>
      <c r="B341" s="16" t="s">
        <v>339</v>
      </c>
      <c r="C341" s="16">
        <v>202400338</v>
      </c>
      <c r="I341" s="24">
        <f>COUNTIF(경영학원론_1!$B$3:$B$300,"학생338")+COUNTIF(경영학원론_2!$B$2:$B$301,"학생338")+COUNTIF(경영학원론_3!$B$2:$B$301,"학생338")+COUNTIF(경영학원론_4!$B$2:$B$300,"학생338")+COUNTIF(경제학원론_1!$B$2:$B$295,"학생338")+COUNTIF(경제학원론_2!$B$2:$B$298,"학생338")+COUNTIF(경제학원론_3!$B$2:$B$295,"학생338")+COUNTIF(경영통계학_1!$B$2:$B$299,"학생338")+COUNTIF(경영통계학_2!$B$2:$B$301,"학생338")+COUNTIF(경영통계학_3!$B$2:$B$298,"학생338")+COUNTIF(무역학개론_1!$B$2:$B$301,"학생338")+COUNTIF(회계학원론_1!$B$2:$B$293,"학생338")+COUNTIF(경영정보시스템_1!$B$2:$B$301,"학생338")+COUNTIF(관리회계_1!$B$2:$B$300,"학생338")+COUNTIF(관리회계_2!$B$2:$B$301,"학생338")+COUNTIF(마케팅_1!$B$2:$B$301,"학생338")+COUNTIF(마케팅리서치_1!$B$2:$B$301,"학생338")+COUNTIF(세법개론_1!$B$2:$B$300,"학생338")+COUNTIF(재무관리_1!$B$2:$B$301,"학생338")+COUNTIF(조직행동론_1!$B$2:$B$301,"학생338")+COUNTIF(조직행동론_2!$B$2:$B$301,"학생338")+COUNTIF(중급재무회계_1!$B$2:$B$301,"학생338")+COUNTIF(투자론_1!$B$2:$B$300,"학생338")+COUNTIF(경영과학_1!$B$2:$B$301,"학생338")+COUNTIF(세무회계_1!$B$2:$B$301,"학생338")+COUNTIF(스마트경영_1!$B$2:$B$301,"학생338")+COUNTIF(스마트경영_2!$B$2:$B$301,"학생338")+COUNTIF(인적자원관리_1!$B$2:$B$257,"학생338")+COUNTIF(서비스마케팅_1!$B$2:$B$276,"학생338")+COUNTIF(제품관리_1!$B$2:$B$301,"학생338")</f>
        <v>7</v>
      </c>
    </row>
    <row r="342" spans="1:9" hidden="1">
      <c r="A342" s="15">
        <v>339</v>
      </c>
      <c r="B342" s="16" t="s">
        <v>340</v>
      </c>
      <c r="C342" s="16">
        <v>202400339</v>
      </c>
      <c r="I342" s="24">
        <f>COUNTIF(경영학원론_1!$B$3:$B$300,"학생339")+COUNTIF(경영학원론_2!$B$2:$B$301,"학생339")+COUNTIF(경영학원론_3!$B$2:$B$301,"학생339")+COUNTIF(경영학원론_4!$B$2:$B$300,"학생339")+COUNTIF(경제학원론_1!$B$2:$B$295,"학생339")+COUNTIF(경제학원론_2!$B$2:$B$298,"학생339")+COUNTIF(경제학원론_3!$B$2:$B$295,"학생339")+COUNTIF(경영통계학_1!$B$2:$B$299,"학생339")+COUNTIF(경영통계학_2!$B$2:$B$301,"학생339")+COUNTIF(경영통계학_3!$B$2:$B$298,"학생339")+COUNTIF(무역학개론_1!$B$2:$B$301,"학생339")+COUNTIF(회계학원론_1!$B$2:$B$293,"학생339")+COUNTIF(경영정보시스템_1!$B$2:$B$301,"학생339")+COUNTIF(관리회계_1!$B$2:$B$300,"학생339")+COUNTIF(관리회계_2!$B$2:$B$301,"학생339")+COUNTIF(마케팅_1!$B$2:$B$301,"학생339")+COUNTIF(마케팅리서치_1!$B$2:$B$301,"학생339")+COUNTIF(세법개론_1!$B$2:$B$300,"학생339")+COUNTIF(재무관리_1!$B$2:$B$301,"학생339")+COUNTIF(조직행동론_1!$B$2:$B$301,"학생339")+COUNTIF(조직행동론_2!$B$2:$B$301,"학생339")+COUNTIF(중급재무회계_1!$B$2:$B$301,"학생339")+COUNTIF(투자론_1!$B$2:$B$300,"학생339")+COUNTIF(경영과학_1!$B$2:$B$301,"학생339")+COUNTIF(세무회계_1!$B$2:$B$301,"학생339")+COUNTIF(스마트경영_1!$B$2:$B$301,"학생339")+COUNTIF(스마트경영_2!$B$2:$B$301,"학생339")+COUNTIF(인적자원관리_1!$B$2:$B$257,"학생339")+COUNTIF(서비스마케팅_1!$B$2:$B$276,"학생339")+COUNTIF(제품관리_1!$B$2:$B$301,"학생339")</f>
        <v>6</v>
      </c>
    </row>
    <row r="343" spans="1:9" hidden="1">
      <c r="A343" s="15">
        <v>340</v>
      </c>
      <c r="B343" s="16" t="s">
        <v>341</v>
      </c>
      <c r="C343" s="16">
        <v>202400340</v>
      </c>
      <c r="I343" s="24">
        <f>COUNTIF(경영학원론_1!$B$3:$B$300,"학생340")+COUNTIF(경영학원론_2!$B$2:$B$301,"학생340")+COUNTIF(경영학원론_3!$B$2:$B$301,"학생340")+COUNTIF(경영학원론_4!$B$2:$B$300,"학생340")+COUNTIF(경제학원론_1!$B$2:$B$295,"학생340")+COUNTIF(경제학원론_2!$B$2:$B$298,"학생340")+COUNTIF(경제학원론_3!$B$2:$B$295,"학생340")+COUNTIF(경영통계학_1!$B$2:$B$299,"학생340")+COUNTIF(경영통계학_2!$B$2:$B$301,"학생340")+COUNTIF(경영통계학_3!$B$2:$B$298,"학생340")+COUNTIF(무역학개론_1!$B$2:$B$301,"학생340")+COUNTIF(회계학원론_1!$B$2:$B$293,"학생340")+COUNTIF(경영정보시스템_1!$B$2:$B$301,"학생340")+COUNTIF(관리회계_1!$B$2:$B$300,"학생340")+COUNTIF(관리회계_2!$B$2:$B$301,"학생340")+COUNTIF(마케팅_1!$B$2:$B$301,"학생340")+COUNTIF(마케팅리서치_1!$B$2:$B$301,"학생340")+COUNTIF(세법개론_1!$B$2:$B$300,"학생340")+COUNTIF(재무관리_1!$B$2:$B$301,"학생340")+COUNTIF(조직행동론_1!$B$2:$B$301,"학생340")+COUNTIF(조직행동론_2!$B$2:$B$301,"학생340")+COUNTIF(중급재무회계_1!$B$2:$B$301,"학생340")+COUNTIF(투자론_1!$B$2:$B$300,"학생340")+COUNTIF(경영과학_1!$B$2:$B$301,"학생340")+COUNTIF(세무회계_1!$B$2:$B$301,"학생340")+COUNTIF(스마트경영_1!$B$2:$B$301,"학생340")+COUNTIF(스마트경영_2!$B$2:$B$301,"학생340")+COUNTIF(인적자원관리_1!$B$2:$B$257,"학생340")+COUNTIF(서비스마케팅_1!$B$2:$B$276,"학생340")+COUNTIF(제품관리_1!$B$2:$B$301,"학생340")</f>
        <v>7</v>
      </c>
    </row>
    <row r="344" spans="1:9" hidden="1">
      <c r="A344" s="15">
        <v>341</v>
      </c>
      <c r="B344" s="16" t="s">
        <v>342</v>
      </c>
      <c r="C344" s="16">
        <v>202400341</v>
      </c>
      <c r="I344" s="24">
        <f>COUNTIF(경영학원론_1!$B$3:$B$300,"학생341")+COUNTIF(경영학원론_2!$B$2:$B$301,"학생341")+COUNTIF(경영학원론_3!$B$2:$B$301,"학생341")+COUNTIF(경영학원론_4!$B$2:$B$300,"학생341")+COUNTIF(경제학원론_1!$B$2:$B$295,"학생341")+COUNTIF(경제학원론_2!$B$2:$B$298,"학생341")+COUNTIF(경제학원론_3!$B$2:$B$295,"학생341")+COUNTIF(경영통계학_1!$B$2:$B$299,"학생341")+COUNTIF(경영통계학_2!$B$2:$B$301,"학생341")+COUNTIF(경영통계학_3!$B$2:$B$298,"학생341")+COUNTIF(무역학개론_1!$B$2:$B$301,"학생341")+COUNTIF(회계학원론_1!$B$2:$B$293,"학생341")+COUNTIF(경영정보시스템_1!$B$2:$B$301,"학생341")+COUNTIF(관리회계_1!$B$2:$B$300,"학생341")+COUNTIF(관리회계_2!$B$2:$B$301,"학생341")+COUNTIF(마케팅_1!$B$2:$B$301,"학생341")+COUNTIF(마케팅리서치_1!$B$2:$B$301,"학생341")+COUNTIF(세법개론_1!$B$2:$B$300,"학생341")+COUNTIF(재무관리_1!$B$2:$B$301,"학생341")+COUNTIF(조직행동론_1!$B$2:$B$301,"학생341")+COUNTIF(조직행동론_2!$B$2:$B$301,"학생341")+COUNTIF(중급재무회계_1!$B$2:$B$301,"학생341")+COUNTIF(투자론_1!$B$2:$B$300,"학생341")+COUNTIF(경영과학_1!$B$2:$B$301,"학생341")+COUNTIF(세무회계_1!$B$2:$B$301,"학생341")+COUNTIF(스마트경영_1!$B$2:$B$301,"학생341")+COUNTIF(스마트경영_2!$B$2:$B$301,"학생341")+COUNTIF(인적자원관리_1!$B$2:$B$257,"학생341")+COUNTIF(서비스마케팅_1!$B$2:$B$276,"학생341")+COUNTIF(제품관리_1!$B$2:$B$301,"학생341")</f>
        <v>6</v>
      </c>
    </row>
    <row r="345" spans="1:9" hidden="1">
      <c r="A345" s="15">
        <v>342</v>
      </c>
      <c r="B345" s="16" t="s">
        <v>343</v>
      </c>
      <c r="C345" s="16">
        <v>202400342</v>
      </c>
      <c r="I345" s="24">
        <f>COUNTIF(경영학원론_1!$B$3:$B$300,"학생342")+COUNTIF(경영학원론_2!$B$2:$B$301,"학생342")+COUNTIF(경영학원론_3!$B$2:$B$301,"학생342")+COUNTIF(경영학원론_4!$B$2:$B$300,"학생342")+COUNTIF(경제학원론_1!$B$2:$B$295,"학생342")+COUNTIF(경제학원론_2!$B$2:$B$298,"학생342")+COUNTIF(경제학원론_3!$B$2:$B$295,"학생342")+COUNTIF(경영통계학_1!$B$2:$B$299,"학생342")+COUNTIF(경영통계학_2!$B$2:$B$301,"학생342")+COUNTIF(경영통계학_3!$B$2:$B$298,"학생342")+COUNTIF(무역학개론_1!$B$2:$B$301,"학생342")+COUNTIF(회계학원론_1!$B$2:$B$293,"학생342")+COUNTIF(경영정보시스템_1!$B$2:$B$301,"학생342")+COUNTIF(관리회계_1!$B$2:$B$300,"학생342")+COUNTIF(관리회계_2!$B$2:$B$301,"학생342")+COUNTIF(마케팅_1!$B$2:$B$301,"학생342")+COUNTIF(마케팅리서치_1!$B$2:$B$301,"학생342")+COUNTIF(세법개론_1!$B$2:$B$300,"학생342")+COUNTIF(재무관리_1!$B$2:$B$301,"학생342")+COUNTIF(조직행동론_1!$B$2:$B$301,"학생342")+COUNTIF(조직행동론_2!$B$2:$B$301,"학생342")+COUNTIF(중급재무회계_1!$B$2:$B$301,"학생342")+COUNTIF(투자론_1!$B$2:$B$300,"학생342")+COUNTIF(경영과학_1!$B$2:$B$301,"학생342")+COUNTIF(세무회계_1!$B$2:$B$301,"학생342")+COUNTIF(스마트경영_1!$B$2:$B$301,"학생342")+COUNTIF(스마트경영_2!$B$2:$B$301,"학생342")+COUNTIF(인적자원관리_1!$B$2:$B$257,"학생342")+COUNTIF(서비스마케팅_1!$B$2:$B$276,"학생342")+COUNTIF(제품관리_1!$B$2:$B$301,"학생342")</f>
        <v>7</v>
      </c>
    </row>
    <row r="346" spans="1:9" hidden="1">
      <c r="A346" s="15">
        <v>343</v>
      </c>
      <c r="B346" s="16" t="s">
        <v>344</v>
      </c>
      <c r="C346" s="16">
        <v>202400343</v>
      </c>
      <c r="I346" s="24">
        <f>COUNTIF(경영학원론_1!$B$3:$B$300,"학생343")+COUNTIF(경영학원론_2!$B$2:$B$301,"학생343")+COUNTIF(경영학원론_3!$B$2:$B$301,"학생343")+COUNTIF(경영학원론_4!$B$2:$B$300,"학생343")+COUNTIF(경제학원론_1!$B$2:$B$295,"학생343")+COUNTIF(경제학원론_2!$B$2:$B$298,"학생343")+COUNTIF(경제학원론_3!$B$2:$B$295,"학생343")+COUNTIF(경영통계학_1!$B$2:$B$299,"학생343")+COUNTIF(경영통계학_2!$B$2:$B$301,"학생343")+COUNTIF(경영통계학_3!$B$2:$B$298,"학생343")+COUNTIF(무역학개론_1!$B$2:$B$301,"학생343")+COUNTIF(회계학원론_1!$B$2:$B$293,"학생343")+COUNTIF(경영정보시스템_1!$B$2:$B$301,"학생343")+COUNTIF(관리회계_1!$B$2:$B$300,"학생343")+COUNTIF(관리회계_2!$B$2:$B$301,"학생343")+COUNTIF(마케팅_1!$B$2:$B$301,"학생343")+COUNTIF(마케팅리서치_1!$B$2:$B$301,"학생343")+COUNTIF(세법개론_1!$B$2:$B$300,"학생343")+COUNTIF(재무관리_1!$B$2:$B$301,"학생343")+COUNTIF(조직행동론_1!$B$2:$B$301,"학생343")+COUNTIF(조직행동론_2!$B$2:$B$301,"학생343")+COUNTIF(중급재무회계_1!$B$2:$B$301,"학생343")+COUNTIF(투자론_1!$B$2:$B$300,"학생343")+COUNTIF(경영과학_1!$B$2:$B$301,"학생343")+COUNTIF(세무회계_1!$B$2:$B$301,"학생343")+COUNTIF(스마트경영_1!$B$2:$B$301,"학생343")+COUNTIF(스마트경영_2!$B$2:$B$301,"학생343")+COUNTIF(인적자원관리_1!$B$2:$B$257,"학생343")+COUNTIF(서비스마케팅_1!$B$2:$B$276,"학생343")+COUNTIF(제품관리_1!$B$2:$B$301,"학생343")</f>
        <v>7</v>
      </c>
    </row>
    <row r="347" spans="1:9" hidden="1">
      <c r="A347" s="15">
        <v>344</v>
      </c>
      <c r="B347" s="16" t="s">
        <v>345</v>
      </c>
      <c r="C347" s="16">
        <v>202400344</v>
      </c>
      <c r="I347" s="24">
        <f>COUNTIF(경영학원론_1!$B$3:$B$300,"학생344")+COUNTIF(경영학원론_2!$B$2:$B$301,"학생344")+COUNTIF(경영학원론_3!$B$2:$B$301,"학생344")+COUNTIF(경영학원론_4!$B$2:$B$300,"학생344")+COUNTIF(경제학원론_1!$B$2:$B$295,"학생344")+COUNTIF(경제학원론_2!$B$2:$B$298,"학생344")+COUNTIF(경제학원론_3!$B$2:$B$295,"학생344")+COUNTIF(경영통계학_1!$B$2:$B$299,"학생344")+COUNTIF(경영통계학_2!$B$2:$B$301,"학생344")+COUNTIF(경영통계학_3!$B$2:$B$298,"학생344")+COUNTIF(무역학개론_1!$B$2:$B$301,"학생344")+COUNTIF(회계학원론_1!$B$2:$B$293,"학생344")+COUNTIF(경영정보시스템_1!$B$2:$B$301,"학생344")+COUNTIF(관리회계_1!$B$2:$B$300,"학생344")+COUNTIF(관리회계_2!$B$2:$B$301,"학생344")+COUNTIF(마케팅_1!$B$2:$B$301,"학생344")+COUNTIF(마케팅리서치_1!$B$2:$B$301,"학생344")+COUNTIF(세법개론_1!$B$2:$B$300,"학생344")+COUNTIF(재무관리_1!$B$2:$B$301,"학생344")+COUNTIF(조직행동론_1!$B$2:$B$301,"학생344")+COUNTIF(조직행동론_2!$B$2:$B$301,"학생344")+COUNTIF(중급재무회계_1!$B$2:$B$301,"학생344")+COUNTIF(투자론_1!$B$2:$B$300,"학생344")+COUNTIF(경영과학_1!$B$2:$B$301,"학생344")+COUNTIF(세무회계_1!$B$2:$B$301,"학생344")+COUNTIF(스마트경영_1!$B$2:$B$301,"학생344")+COUNTIF(스마트경영_2!$B$2:$B$301,"학생344")+COUNTIF(인적자원관리_1!$B$2:$B$257,"학생344")+COUNTIF(서비스마케팅_1!$B$2:$B$276,"학생344")+COUNTIF(제품관리_1!$B$2:$B$301,"학생344")</f>
        <v>6</v>
      </c>
    </row>
    <row r="348" spans="1:9" hidden="1">
      <c r="A348" s="15">
        <v>345</v>
      </c>
      <c r="B348" s="16" t="s">
        <v>346</v>
      </c>
      <c r="C348" s="16">
        <v>202400345</v>
      </c>
      <c r="I348" s="24">
        <f>COUNTIF(경영학원론_1!$B$3:$B$300,"학생345")+COUNTIF(경영학원론_2!$B$2:$B$301,"학생345")+COUNTIF(경영학원론_3!$B$2:$B$301,"학생345")+COUNTIF(경영학원론_4!$B$2:$B$300,"학생345")+COUNTIF(경제학원론_1!$B$2:$B$295,"학생345")+COUNTIF(경제학원론_2!$B$2:$B$298,"학생345")+COUNTIF(경제학원론_3!$B$2:$B$295,"학생345")+COUNTIF(경영통계학_1!$B$2:$B$299,"학생345")+COUNTIF(경영통계학_2!$B$2:$B$301,"학생345")+COUNTIF(경영통계학_3!$B$2:$B$298,"학생345")+COUNTIF(무역학개론_1!$B$2:$B$301,"학생345")+COUNTIF(회계학원론_1!$B$2:$B$293,"학생345")+COUNTIF(경영정보시스템_1!$B$2:$B$301,"학생345")+COUNTIF(관리회계_1!$B$2:$B$300,"학생345")+COUNTIF(관리회계_2!$B$2:$B$301,"학생345")+COUNTIF(마케팅_1!$B$2:$B$301,"학생345")+COUNTIF(마케팅리서치_1!$B$2:$B$301,"학생345")+COUNTIF(세법개론_1!$B$2:$B$300,"학생345")+COUNTIF(재무관리_1!$B$2:$B$301,"학생345")+COUNTIF(조직행동론_1!$B$2:$B$301,"학생345")+COUNTIF(조직행동론_2!$B$2:$B$301,"학생345")+COUNTIF(중급재무회계_1!$B$2:$B$301,"학생345")+COUNTIF(투자론_1!$B$2:$B$300,"학생345")+COUNTIF(경영과학_1!$B$2:$B$301,"학생345")+COUNTIF(세무회계_1!$B$2:$B$301,"학생345")+COUNTIF(스마트경영_1!$B$2:$B$301,"학생345")+COUNTIF(스마트경영_2!$B$2:$B$301,"학생345")+COUNTIF(인적자원관리_1!$B$2:$B$257,"학생345")+COUNTIF(서비스마케팅_1!$B$2:$B$276,"학생345")+COUNTIF(제품관리_1!$B$2:$B$301,"학생345")</f>
        <v>6</v>
      </c>
    </row>
    <row r="349" spans="1:9" hidden="1">
      <c r="A349" s="15">
        <v>346</v>
      </c>
      <c r="B349" s="16" t="s">
        <v>347</v>
      </c>
      <c r="C349" s="16">
        <v>202400346</v>
      </c>
      <c r="I349" s="24">
        <f>COUNTIF(경영학원론_1!$B$3:$B$300,"학생346")+COUNTIF(경영학원론_2!$B$2:$B$301,"학생346")+COUNTIF(경영학원론_3!$B$2:$B$301,"학생346")+COUNTIF(경영학원론_4!$B$2:$B$300,"학생346")+COUNTIF(경제학원론_1!$B$2:$B$295,"학생346")+COUNTIF(경제학원론_2!$B$2:$B$298,"학생346")+COUNTIF(경제학원론_3!$B$2:$B$295,"학생346")+COUNTIF(경영통계학_1!$B$2:$B$299,"학생346")+COUNTIF(경영통계학_2!$B$2:$B$301,"학생346")+COUNTIF(경영통계학_3!$B$2:$B$298,"학생346")+COUNTIF(무역학개론_1!$B$2:$B$301,"학생346")+COUNTIF(회계학원론_1!$B$2:$B$293,"학생346")+COUNTIF(경영정보시스템_1!$B$2:$B$301,"학생346")+COUNTIF(관리회계_1!$B$2:$B$300,"학생346")+COUNTIF(관리회계_2!$B$2:$B$301,"학생346")+COUNTIF(마케팅_1!$B$2:$B$301,"학생346")+COUNTIF(마케팅리서치_1!$B$2:$B$301,"학생346")+COUNTIF(세법개론_1!$B$2:$B$300,"학생346")+COUNTIF(재무관리_1!$B$2:$B$301,"학생346")+COUNTIF(조직행동론_1!$B$2:$B$301,"학생346")+COUNTIF(조직행동론_2!$B$2:$B$301,"학생346")+COUNTIF(중급재무회계_1!$B$2:$B$301,"학생346")+COUNTIF(투자론_1!$B$2:$B$300,"학생346")+COUNTIF(경영과학_1!$B$2:$B$301,"학생346")+COUNTIF(세무회계_1!$B$2:$B$301,"학생346")+COUNTIF(스마트경영_1!$B$2:$B$301,"학생346")+COUNTIF(스마트경영_2!$B$2:$B$301,"학생346")+COUNTIF(인적자원관리_1!$B$2:$B$257,"학생346")+COUNTIF(서비스마케팅_1!$B$2:$B$276,"학생346")+COUNTIF(제품관리_1!$B$2:$B$301,"학생346")</f>
        <v>6</v>
      </c>
    </row>
    <row r="350" spans="1:9" hidden="1">
      <c r="A350" s="15">
        <v>347</v>
      </c>
      <c r="B350" s="16" t="s">
        <v>348</v>
      </c>
      <c r="C350" s="16">
        <v>202400347</v>
      </c>
      <c r="I350" s="24">
        <f>COUNTIF(경영학원론_1!$B$3:$B$300,"학생347")+COUNTIF(경영학원론_2!$B$2:$B$301,"학생347")+COUNTIF(경영학원론_3!$B$2:$B$301,"학생347")+COUNTIF(경영학원론_4!$B$2:$B$300,"학생347")+COUNTIF(경제학원론_1!$B$2:$B$295,"학생347")+COUNTIF(경제학원론_2!$B$2:$B$298,"학생347")+COUNTIF(경제학원론_3!$B$2:$B$295,"학생347")+COUNTIF(경영통계학_1!$B$2:$B$299,"학생347")+COUNTIF(경영통계학_2!$B$2:$B$301,"학생347")+COUNTIF(경영통계학_3!$B$2:$B$298,"학생347")+COUNTIF(무역학개론_1!$B$2:$B$301,"학생347")+COUNTIF(회계학원론_1!$B$2:$B$293,"학생347")+COUNTIF(경영정보시스템_1!$B$2:$B$301,"학생347")+COUNTIF(관리회계_1!$B$2:$B$300,"학생347")+COUNTIF(관리회계_2!$B$2:$B$301,"학생347")+COUNTIF(마케팅_1!$B$2:$B$301,"학생347")+COUNTIF(마케팅리서치_1!$B$2:$B$301,"학생347")+COUNTIF(세법개론_1!$B$2:$B$300,"학생347")+COUNTIF(재무관리_1!$B$2:$B$301,"학생347")+COUNTIF(조직행동론_1!$B$2:$B$301,"학생347")+COUNTIF(조직행동론_2!$B$2:$B$301,"학생347")+COUNTIF(중급재무회계_1!$B$2:$B$301,"학생347")+COUNTIF(투자론_1!$B$2:$B$300,"학생347")+COUNTIF(경영과학_1!$B$2:$B$301,"학생347")+COUNTIF(세무회계_1!$B$2:$B$301,"학생347")+COUNTIF(스마트경영_1!$B$2:$B$301,"학생347")+COUNTIF(스마트경영_2!$B$2:$B$301,"학생347")+COUNTIF(인적자원관리_1!$B$2:$B$257,"학생347")+COUNTIF(서비스마케팅_1!$B$2:$B$276,"학생347")+COUNTIF(제품관리_1!$B$2:$B$301,"학생347")</f>
        <v>4</v>
      </c>
    </row>
    <row r="351" spans="1:9" hidden="1">
      <c r="A351" s="15">
        <v>348</v>
      </c>
      <c r="B351" s="16" t="s">
        <v>349</v>
      </c>
      <c r="C351" s="16">
        <v>202400348</v>
      </c>
      <c r="I351" s="24">
        <f>COUNTIF(경영학원론_1!$B$3:$B$300,"학생348")+COUNTIF(경영학원론_2!$B$2:$B$301,"학생348")+COUNTIF(경영학원론_3!$B$2:$B$301,"학생348")+COUNTIF(경영학원론_4!$B$2:$B$300,"학생348")+COUNTIF(경제학원론_1!$B$2:$B$295,"학생348")+COUNTIF(경제학원론_2!$B$2:$B$298,"학생348")+COUNTIF(경제학원론_3!$B$2:$B$295,"학생348")+COUNTIF(경영통계학_1!$B$2:$B$299,"학생348")+COUNTIF(경영통계학_2!$B$2:$B$301,"학생348")+COUNTIF(경영통계학_3!$B$2:$B$298,"학생348")+COUNTIF(무역학개론_1!$B$2:$B$301,"학생348")+COUNTIF(회계학원론_1!$B$2:$B$293,"학생348")+COUNTIF(경영정보시스템_1!$B$2:$B$301,"학생348")+COUNTIF(관리회계_1!$B$2:$B$300,"학생348")+COUNTIF(관리회계_2!$B$2:$B$301,"학생348")+COUNTIF(마케팅_1!$B$2:$B$301,"학생348")+COUNTIF(마케팅리서치_1!$B$2:$B$301,"학생348")+COUNTIF(세법개론_1!$B$2:$B$300,"학생348")+COUNTIF(재무관리_1!$B$2:$B$301,"학생348")+COUNTIF(조직행동론_1!$B$2:$B$301,"학생348")+COUNTIF(조직행동론_2!$B$2:$B$301,"학생348")+COUNTIF(중급재무회계_1!$B$2:$B$301,"학생348")+COUNTIF(투자론_1!$B$2:$B$300,"학생348")+COUNTIF(경영과학_1!$B$2:$B$301,"학생348")+COUNTIF(세무회계_1!$B$2:$B$301,"학생348")+COUNTIF(스마트경영_1!$B$2:$B$301,"학생348")+COUNTIF(스마트경영_2!$B$2:$B$301,"학생348")+COUNTIF(인적자원관리_1!$B$2:$B$257,"학생348")+COUNTIF(서비스마케팅_1!$B$2:$B$276,"학생348")+COUNTIF(제품관리_1!$B$2:$B$301,"학생348")</f>
        <v>7</v>
      </c>
    </row>
    <row r="352" spans="1:9" hidden="1">
      <c r="A352" s="15">
        <v>349</v>
      </c>
      <c r="B352" s="16" t="s">
        <v>350</v>
      </c>
      <c r="C352" s="16">
        <v>202400349</v>
      </c>
      <c r="I352" s="24">
        <f>COUNTIF(경영학원론_1!$B$3:$B$300,"학생349")+COUNTIF(경영학원론_2!$B$2:$B$301,"학생349")+COUNTIF(경영학원론_3!$B$2:$B$301,"학생349")+COUNTIF(경영학원론_4!$B$2:$B$300,"학생349")+COUNTIF(경제학원론_1!$B$2:$B$295,"학생349")+COUNTIF(경제학원론_2!$B$2:$B$298,"학생349")+COUNTIF(경제학원론_3!$B$2:$B$295,"학생349")+COUNTIF(경영통계학_1!$B$2:$B$299,"학생349")+COUNTIF(경영통계학_2!$B$2:$B$301,"학생349")+COUNTIF(경영통계학_3!$B$2:$B$298,"학생349")+COUNTIF(무역학개론_1!$B$2:$B$301,"학생349")+COUNTIF(회계학원론_1!$B$2:$B$293,"학생349")+COUNTIF(경영정보시스템_1!$B$2:$B$301,"학생349")+COUNTIF(관리회계_1!$B$2:$B$300,"학생349")+COUNTIF(관리회계_2!$B$2:$B$301,"학생349")+COUNTIF(마케팅_1!$B$2:$B$301,"학생349")+COUNTIF(마케팅리서치_1!$B$2:$B$301,"학생349")+COUNTIF(세법개론_1!$B$2:$B$300,"학생349")+COUNTIF(재무관리_1!$B$2:$B$301,"학생349")+COUNTIF(조직행동론_1!$B$2:$B$301,"학생349")+COUNTIF(조직행동론_2!$B$2:$B$301,"학생349")+COUNTIF(중급재무회계_1!$B$2:$B$301,"학생349")+COUNTIF(투자론_1!$B$2:$B$300,"학생349")+COUNTIF(경영과학_1!$B$2:$B$301,"학생349")+COUNTIF(세무회계_1!$B$2:$B$301,"학생349")+COUNTIF(스마트경영_1!$B$2:$B$301,"학생349")+COUNTIF(스마트경영_2!$B$2:$B$301,"학생349")+COUNTIF(인적자원관리_1!$B$2:$B$257,"학생349")+COUNTIF(서비스마케팅_1!$B$2:$B$276,"학생349")+COUNTIF(제품관리_1!$B$2:$B$301,"학생349")</f>
        <v>6</v>
      </c>
    </row>
    <row r="353" spans="1:9" hidden="1">
      <c r="A353" s="15">
        <v>350</v>
      </c>
      <c r="B353" s="16" t="s">
        <v>351</v>
      </c>
      <c r="C353" s="16">
        <v>202400350</v>
      </c>
      <c r="I353" s="24">
        <f>COUNTIF(경영학원론_1!$B$3:$B$300,"학생350")+COUNTIF(경영학원론_2!$B$2:$B$301,"학생350")+COUNTIF(경영학원론_3!$B$2:$B$301,"학생350")+COUNTIF(경영학원론_4!$B$2:$B$300,"학생350")+COUNTIF(경제학원론_1!$B$2:$B$295,"학생350")+COUNTIF(경제학원론_2!$B$2:$B$298,"학생350")+COUNTIF(경제학원론_3!$B$2:$B$295,"학생350")+COUNTIF(경영통계학_1!$B$2:$B$299,"학생350")+COUNTIF(경영통계학_2!$B$2:$B$301,"학생350")+COUNTIF(경영통계학_3!$B$2:$B$298,"학생350")+COUNTIF(무역학개론_1!$B$2:$B$301,"학생350")+COUNTIF(회계학원론_1!$B$2:$B$293,"학생350")+COUNTIF(경영정보시스템_1!$B$2:$B$301,"학생350")+COUNTIF(관리회계_1!$B$2:$B$300,"학생350")+COUNTIF(관리회계_2!$B$2:$B$301,"학생350")+COUNTIF(마케팅_1!$B$2:$B$301,"학생350")+COUNTIF(마케팅리서치_1!$B$2:$B$301,"학생350")+COUNTIF(세법개론_1!$B$2:$B$300,"학생350")+COUNTIF(재무관리_1!$B$2:$B$301,"학생350")+COUNTIF(조직행동론_1!$B$2:$B$301,"학생350")+COUNTIF(조직행동론_2!$B$2:$B$301,"학생350")+COUNTIF(중급재무회계_1!$B$2:$B$301,"학생350")+COUNTIF(투자론_1!$B$2:$B$300,"학생350")+COUNTIF(경영과학_1!$B$2:$B$301,"학생350")+COUNTIF(세무회계_1!$B$2:$B$301,"학생350")+COUNTIF(스마트경영_1!$B$2:$B$301,"학생350")+COUNTIF(스마트경영_2!$B$2:$B$301,"학생350")+COUNTIF(인적자원관리_1!$B$2:$B$257,"학생350")+COUNTIF(서비스마케팅_1!$B$2:$B$276,"학생350")+COUNTIF(제품관리_1!$B$2:$B$301,"학생350")</f>
        <v>5</v>
      </c>
    </row>
    <row r="354" spans="1:9" hidden="1">
      <c r="A354" s="15">
        <v>351</v>
      </c>
      <c r="B354" s="16" t="s">
        <v>352</v>
      </c>
      <c r="C354" s="16">
        <v>202400351</v>
      </c>
      <c r="I354" s="24">
        <f>COUNTIF(경영학원론_1!$B$3:$B$300,"학생351")+COUNTIF(경영학원론_2!$B$2:$B$301,"학생351")+COUNTIF(경영학원론_3!$B$2:$B$301,"학생351")+COUNTIF(경영학원론_4!$B$2:$B$300,"학생351")+COUNTIF(경제학원론_1!$B$2:$B$295,"학생351")+COUNTIF(경제학원론_2!$B$2:$B$298,"학생351")+COUNTIF(경제학원론_3!$B$2:$B$295,"학생351")+COUNTIF(경영통계학_1!$B$2:$B$299,"학생351")+COUNTIF(경영통계학_2!$B$2:$B$301,"학생351")+COUNTIF(경영통계학_3!$B$2:$B$298,"학생351")+COUNTIF(무역학개론_1!$B$2:$B$301,"학생351")+COUNTIF(회계학원론_1!$B$2:$B$293,"학생351")+COUNTIF(경영정보시스템_1!$B$2:$B$301,"학생351")+COUNTIF(관리회계_1!$B$2:$B$300,"학생351")+COUNTIF(관리회계_2!$B$2:$B$301,"학생351")+COUNTIF(마케팅_1!$B$2:$B$301,"학생351")+COUNTIF(마케팅리서치_1!$B$2:$B$301,"학생351")+COUNTIF(세법개론_1!$B$2:$B$300,"학생351")+COUNTIF(재무관리_1!$B$2:$B$301,"학생351")+COUNTIF(조직행동론_1!$B$2:$B$301,"학생351")+COUNTIF(조직행동론_2!$B$2:$B$301,"학생351")+COUNTIF(중급재무회계_1!$B$2:$B$301,"학생351")+COUNTIF(투자론_1!$B$2:$B$300,"학생351")+COUNTIF(경영과학_1!$B$2:$B$301,"학생351")+COUNTIF(세무회계_1!$B$2:$B$301,"학생351")+COUNTIF(스마트경영_1!$B$2:$B$301,"학생351")+COUNTIF(스마트경영_2!$B$2:$B$301,"학생351")+COUNTIF(인적자원관리_1!$B$2:$B$257,"학생351")+COUNTIF(서비스마케팅_1!$B$2:$B$276,"학생351")+COUNTIF(제품관리_1!$B$2:$B$301,"학생351")</f>
        <v>7</v>
      </c>
    </row>
    <row r="355" spans="1:9" hidden="1">
      <c r="A355" s="15">
        <v>352</v>
      </c>
      <c r="B355" s="16" t="s">
        <v>353</v>
      </c>
      <c r="C355" s="16">
        <v>202400352</v>
      </c>
      <c r="I355" s="24">
        <f>COUNTIF(경영학원론_1!$B$3:$B$300,"학생352")+COUNTIF(경영학원론_2!$B$2:$B$301,"학생352")+COUNTIF(경영학원론_3!$B$2:$B$301,"학생352")+COUNTIF(경영학원론_4!$B$2:$B$300,"학생352")+COUNTIF(경제학원론_1!$B$2:$B$295,"학생352")+COUNTIF(경제학원론_2!$B$2:$B$298,"학생352")+COUNTIF(경제학원론_3!$B$2:$B$295,"학생352")+COUNTIF(경영통계학_1!$B$2:$B$299,"학생352")+COUNTIF(경영통계학_2!$B$2:$B$301,"학생352")+COUNTIF(경영통계학_3!$B$2:$B$298,"학생352")+COUNTIF(무역학개론_1!$B$2:$B$301,"학생352")+COUNTIF(회계학원론_1!$B$2:$B$293,"학생352")+COUNTIF(경영정보시스템_1!$B$2:$B$301,"학생352")+COUNTIF(관리회계_1!$B$2:$B$300,"학생352")+COUNTIF(관리회계_2!$B$2:$B$301,"학생352")+COUNTIF(마케팅_1!$B$2:$B$301,"학생352")+COUNTIF(마케팅리서치_1!$B$2:$B$301,"학생352")+COUNTIF(세법개론_1!$B$2:$B$300,"학생352")+COUNTIF(재무관리_1!$B$2:$B$301,"학생352")+COUNTIF(조직행동론_1!$B$2:$B$301,"학생352")+COUNTIF(조직행동론_2!$B$2:$B$301,"학생352")+COUNTIF(중급재무회계_1!$B$2:$B$301,"학생352")+COUNTIF(투자론_1!$B$2:$B$300,"학생352")+COUNTIF(경영과학_1!$B$2:$B$301,"학생352")+COUNTIF(세무회계_1!$B$2:$B$301,"학생352")+COUNTIF(스마트경영_1!$B$2:$B$301,"학생352")+COUNTIF(스마트경영_2!$B$2:$B$301,"학생352")+COUNTIF(인적자원관리_1!$B$2:$B$257,"학생352")+COUNTIF(서비스마케팅_1!$B$2:$B$276,"학생352")+COUNTIF(제품관리_1!$B$2:$B$301,"학생352")</f>
        <v>5</v>
      </c>
    </row>
    <row r="356" spans="1:9" hidden="1">
      <c r="A356" s="15">
        <v>353</v>
      </c>
      <c r="B356" s="16" t="s">
        <v>354</v>
      </c>
      <c r="C356" s="16">
        <v>202400353</v>
      </c>
      <c r="I356" s="24">
        <f>COUNTIF(경영학원론_1!$B$3:$B$300,"학생353")+COUNTIF(경영학원론_2!$B$2:$B$301,"학생353")+COUNTIF(경영학원론_3!$B$2:$B$301,"학생353")+COUNTIF(경영학원론_4!$B$2:$B$300,"학생353")+COUNTIF(경제학원론_1!$B$2:$B$295,"학생353")+COUNTIF(경제학원론_2!$B$2:$B$298,"학생353")+COUNTIF(경제학원론_3!$B$2:$B$295,"학생353")+COUNTIF(경영통계학_1!$B$2:$B$299,"학생353")+COUNTIF(경영통계학_2!$B$2:$B$301,"학생353")+COUNTIF(경영통계학_3!$B$2:$B$298,"학생353")+COUNTIF(무역학개론_1!$B$2:$B$301,"학생353")+COUNTIF(회계학원론_1!$B$2:$B$293,"학생353")+COUNTIF(경영정보시스템_1!$B$2:$B$301,"학생353")+COUNTIF(관리회계_1!$B$2:$B$300,"학생353")+COUNTIF(관리회계_2!$B$2:$B$301,"학생353")+COUNTIF(마케팅_1!$B$2:$B$301,"학생353")+COUNTIF(마케팅리서치_1!$B$2:$B$301,"학생353")+COUNTIF(세법개론_1!$B$2:$B$300,"학생353")+COUNTIF(재무관리_1!$B$2:$B$301,"학생353")+COUNTIF(조직행동론_1!$B$2:$B$301,"학생353")+COUNTIF(조직행동론_2!$B$2:$B$301,"학생353")+COUNTIF(중급재무회계_1!$B$2:$B$301,"학생353")+COUNTIF(투자론_1!$B$2:$B$300,"학생353")+COUNTIF(경영과학_1!$B$2:$B$301,"학생353")+COUNTIF(세무회계_1!$B$2:$B$301,"학생353")+COUNTIF(스마트경영_1!$B$2:$B$301,"학생353")+COUNTIF(스마트경영_2!$B$2:$B$301,"학생353")+COUNTIF(인적자원관리_1!$B$2:$B$257,"학생353")+COUNTIF(서비스마케팅_1!$B$2:$B$276,"학생353")+COUNTIF(제품관리_1!$B$2:$B$301,"학생353")</f>
        <v>7</v>
      </c>
    </row>
    <row r="357" spans="1:9" hidden="1">
      <c r="A357" s="15">
        <v>354</v>
      </c>
      <c r="B357" s="16" t="s">
        <v>355</v>
      </c>
      <c r="C357" s="16">
        <v>202400354</v>
      </c>
      <c r="I357" s="24">
        <f>COUNTIF(경영학원론_1!$B$3:$B$300,"학생354")+COUNTIF(경영학원론_2!$B$2:$B$301,"학생354")+COUNTIF(경영학원론_3!$B$2:$B$301,"학생354")+COUNTIF(경영학원론_4!$B$2:$B$300,"학생354")+COUNTIF(경제학원론_1!$B$2:$B$295,"학생354")+COUNTIF(경제학원론_2!$B$2:$B$298,"학생354")+COUNTIF(경제학원론_3!$B$2:$B$295,"학생354")+COUNTIF(경영통계학_1!$B$2:$B$299,"학생354")+COUNTIF(경영통계학_2!$B$2:$B$301,"학생354")+COUNTIF(경영통계학_3!$B$2:$B$298,"학생354")+COUNTIF(무역학개론_1!$B$2:$B$301,"학생354")+COUNTIF(회계학원론_1!$B$2:$B$293,"학생354")+COUNTIF(경영정보시스템_1!$B$2:$B$301,"학생354")+COUNTIF(관리회계_1!$B$2:$B$300,"학생354")+COUNTIF(관리회계_2!$B$2:$B$301,"학생354")+COUNTIF(마케팅_1!$B$2:$B$301,"학생354")+COUNTIF(마케팅리서치_1!$B$2:$B$301,"학생354")+COUNTIF(세법개론_1!$B$2:$B$300,"학생354")+COUNTIF(재무관리_1!$B$2:$B$301,"학생354")+COUNTIF(조직행동론_1!$B$2:$B$301,"학생354")+COUNTIF(조직행동론_2!$B$2:$B$301,"학생354")+COUNTIF(중급재무회계_1!$B$2:$B$301,"학생354")+COUNTIF(투자론_1!$B$2:$B$300,"학생354")+COUNTIF(경영과학_1!$B$2:$B$301,"학생354")+COUNTIF(세무회계_1!$B$2:$B$301,"학생354")+COUNTIF(스마트경영_1!$B$2:$B$301,"학생354")+COUNTIF(스마트경영_2!$B$2:$B$301,"학생354")+COUNTIF(인적자원관리_1!$B$2:$B$257,"학생354")+COUNTIF(서비스마케팅_1!$B$2:$B$276,"학생354")+COUNTIF(제품관리_1!$B$2:$B$301,"학생354")</f>
        <v>5</v>
      </c>
    </row>
    <row r="358" spans="1:9" hidden="1">
      <c r="A358" s="15">
        <v>355</v>
      </c>
      <c r="B358" s="16" t="s">
        <v>356</v>
      </c>
      <c r="C358" s="16">
        <v>202400355</v>
      </c>
      <c r="I358" s="24">
        <f>COUNTIF(경영학원론_1!$B$3:$B$300,"학생355")+COUNTIF(경영학원론_2!$B$2:$B$301,"학생355")+COUNTIF(경영학원론_3!$B$2:$B$301,"학생355")+COUNTIF(경영학원론_4!$B$2:$B$300,"학생355")+COUNTIF(경제학원론_1!$B$2:$B$295,"학생355")+COUNTIF(경제학원론_2!$B$2:$B$298,"학생355")+COUNTIF(경제학원론_3!$B$2:$B$295,"학생355")+COUNTIF(경영통계학_1!$B$2:$B$299,"학생355")+COUNTIF(경영통계학_2!$B$2:$B$301,"학생355")+COUNTIF(경영통계학_3!$B$2:$B$298,"학생355")+COUNTIF(무역학개론_1!$B$2:$B$301,"학생355")+COUNTIF(회계학원론_1!$B$2:$B$293,"학생355")+COUNTIF(경영정보시스템_1!$B$2:$B$301,"학생355")+COUNTIF(관리회계_1!$B$2:$B$300,"학생355")+COUNTIF(관리회계_2!$B$2:$B$301,"학생355")+COUNTIF(마케팅_1!$B$2:$B$301,"학생355")+COUNTIF(마케팅리서치_1!$B$2:$B$301,"학생355")+COUNTIF(세법개론_1!$B$2:$B$300,"학생355")+COUNTIF(재무관리_1!$B$2:$B$301,"학생355")+COUNTIF(조직행동론_1!$B$2:$B$301,"학생355")+COUNTIF(조직행동론_2!$B$2:$B$301,"학생355")+COUNTIF(중급재무회계_1!$B$2:$B$301,"학생355")+COUNTIF(투자론_1!$B$2:$B$300,"학생355")+COUNTIF(경영과학_1!$B$2:$B$301,"학생355")+COUNTIF(세무회계_1!$B$2:$B$301,"학생355")+COUNTIF(스마트경영_1!$B$2:$B$301,"학생355")+COUNTIF(스마트경영_2!$B$2:$B$301,"학생355")+COUNTIF(인적자원관리_1!$B$2:$B$257,"학생355")+COUNTIF(서비스마케팅_1!$B$2:$B$276,"학생355")+COUNTIF(제품관리_1!$B$2:$B$301,"학생355")</f>
        <v>4</v>
      </c>
    </row>
    <row r="359" spans="1:9" hidden="1">
      <c r="A359" s="15">
        <v>356</v>
      </c>
      <c r="B359" s="16" t="s">
        <v>357</v>
      </c>
      <c r="C359" s="16">
        <v>202400356</v>
      </c>
      <c r="I359" s="24">
        <f>COUNTIF(경영학원론_1!$B$3:$B$300,"학생356")+COUNTIF(경영학원론_2!$B$2:$B$301,"학생356")+COUNTIF(경영학원론_3!$B$2:$B$301,"학생356")+COUNTIF(경영학원론_4!$B$2:$B$300,"학생356")+COUNTIF(경제학원론_1!$B$2:$B$295,"학생356")+COUNTIF(경제학원론_2!$B$2:$B$298,"학생356")+COUNTIF(경제학원론_3!$B$2:$B$295,"학생356")+COUNTIF(경영통계학_1!$B$2:$B$299,"학생356")+COUNTIF(경영통계학_2!$B$2:$B$301,"학생356")+COUNTIF(경영통계학_3!$B$2:$B$298,"학생356")+COUNTIF(무역학개론_1!$B$2:$B$301,"학생356")+COUNTIF(회계학원론_1!$B$2:$B$293,"학생356")+COUNTIF(경영정보시스템_1!$B$2:$B$301,"학생356")+COUNTIF(관리회계_1!$B$2:$B$300,"학생356")+COUNTIF(관리회계_2!$B$2:$B$301,"학생356")+COUNTIF(마케팅_1!$B$2:$B$301,"학생356")+COUNTIF(마케팅리서치_1!$B$2:$B$301,"학생356")+COUNTIF(세법개론_1!$B$2:$B$300,"학생356")+COUNTIF(재무관리_1!$B$2:$B$301,"학생356")+COUNTIF(조직행동론_1!$B$2:$B$301,"학생356")+COUNTIF(조직행동론_2!$B$2:$B$301,"학생356")+COUNTIF(중급재무회계_1!$B$2:$B$301,"학생356")+COUNTIF(투자론_1!$B$2:$B$300,"학생356")+COUNTIF(경영과학_1!$B$2:$B$301,"학생356")+COUNTIF(세무회계_1!$B$2:$B$301,"학생356")+COUNTIF(스마트경영_1!$B$2:$B$301,"학생356")+COUNTIF(스마트경영_2!$B$2:$B$301,"학생356")+COUNTIF(인적자원관리_1!$B$2:$B$257,"학생356")+COUNTIF(서비스마케팅_1!$B$2:$B$276,"학생356")+COUNTIF(제품관리_1!$B$2:$B$301,"학생356")</f>
        <v>6</v>
      </c>
    </row>
    <row r="360" spans="1:9" hidden="1">
      <c r="A360" s="15">
        <v>357</v>
      </c>
      <c r="B360" s="16" t="s">
        <v>358</v>
      </c>
      <c r="C360" s="16">
        <v>202400357</v>
      </c>
      <c r="I360" s="24">
        <f>COUNTIF(경영학원론_1!$B$3:$B$300,"학생357")+COUNTIF(경영학원론_2!$B$2:$B$301,"학생357")+COUNTIF(경영학원론_3!$B$2:$B$301,"학생357")+COUNTIF(경영학원론_4!$B$2:$B$300,"학생357")+COUNTIF(경제학원론_1!$B$2:$B$295,"학생357")+COUNTIF(경제학원론_2!$B$2:$B$298,"학생357")+COUNTIF(경제학원론_3!$B$2:$B$295,"학생357")+COUNTIF(경영통계학_1!$B$2:$B$299,"학생357")+COUNTIF(경영통계학_2!$B$2:$B$301,"학생357")+COUNTIF(경영통계학_3!$B$2:$B$298,"학생357")+COUNTIF(무역학개론_1!$B$2:$B$301,"학생357")+COUNTIF(회계학원론_1!$B$2:$B$293,"학생357")+COUNTIF(경영정보시스템_1!$B$2:$B$301,"학생357")+COUNTIF(관리회계_1!$B$2:$B$300,"학생357")+COUNTIF(관리회계_2!$B$2:$B$301,"학생357")+COUNTIF(마케팅_1!$B$2:$B$301,"학생357")+COUNTIF(마케팅리서치_1!$B$2:$B$301,"학생357")+COUNTIF(세법개론_1!$B$2:$B$300,"학생357")+COUNTIF(재무관리_1!$B$2:$B$301,"학생357")+COUNTIF(조직행동론_1!$B$2:$B$301,"학생357")+COUNTIF(조직행동론_2!$B$2:$B$301,"학생357")+COUNTIF(중급재무회계_1!$B$2:$B$301,"학생357")+COUNTIF(투자론_1!$B$2:$B$300,"학생357")+COUNTIF(경영과학_1!$B$2:$B$301,"학생357")+COUNTIF(세무회계_1!$B$2:$B$301,"학생357")+COUNTIF(스마트경영_1!$B$2:$B$301,"학생357")+COUNTIF(스마트경영_2!$B$2:$B$301,"학생357")+COUNTIF(인적자원관리_1!$B$2:$B$257,"학생357")+COUNTIF(서비스마케팅_1!$B$2:$B$276,"학생357")+COUNTIF(제품관리_1!$B$2:$B$301,"학생357")</f>
        <v>5</v>
      </c>
    </row>
    <row r="361" spans="1:9" hidden="1">
      <c r="A361" s="15">
        <v>358</v>
      </c>
      <c r="B361" s="16" t="s">
        <v>359</v>
      </c>
      <c r="C361" s="16">
        <v>202400358</v>
      </c>
      <c r="I361" s="24">
        <f>COUNTIF(경영학원론_1!$B$3:$B$300,"학생358")+COUNTIF(경영학원론_2!$B$2:$B$301,"학생358")+COUNTIF(경영학원론_3!$B$2:$B$301,"학생358")+COUNTIF(경영학원론_4!$B$2:$B$300,"학생358")+COUNTIF(경제학원론_1!$B$2:$B$295,"학생358")+COUNTIF(경제학원론_2!$B$2:$B$298,"학생358")+COUNTIF(경제학원론_3!$B$2:$B$295,"학생358")+COUNTIF(경영통계학_1!$B$2:$B$299,"학생358")+COUNTIF(경영통계학_2!$B$2:$B$301,"학생358")+COUNTIF(경영통계학_3!$B$2:$B$298,"학생358")+COUNTIF(무역학개론_1!$B$2:$B$301,"학생358")+COUNTIF(회계학원론_1!$B$2:$B$293,"학생358")+COUNTIF(경영정보시스템_1!$B$2:$B$301,"학생358")+COUNTIF(관리회계_1!$B$2:$B$300,"학생358")+COUNTIF(관리회계_2!$B$2:$B$301,"학생358")+COUNTIF(마케팅_1!$B$2:$B$301,"학생358")+COUNTIF(마케팅리서치_1!$B$2:$B$301,"학생358")+COUNTIF(세법개론_1!$B$2:$B$300,"학생358")+COUNTIF(재무관리_1!$B$2:$B$301,"학생358")+COUNTIF(조직행동론_1!$B$2:$B$301,"학생358")+COUNTIF(조직행동론_2!$B$2:$B$301,"학생358")+COUNTIF(중급재무회계_1!$B$2:$B$301,"학생358")+COUNTIF(투자론_1!$B$2:$B$300,"학생358")+COUNTIF(경영과학_1!$B$2:$B$301,"학생358")+COUNTIF(세무회계_1!$B$2:$B$301,"학생358")+COUNTIF(스마트경영_1!$B$2:$B$301,"학생358")+COUNTIF(스마트경영_2!$B$2:$B$301,"학생358")+COUNTIF(인적자원관리_1!$B$2:$B$257,"학생358")+COUNTIF(서비스마케팅_1!$B$2:$B$276,"학생358")+COUNTIF(제품관리_1!$B$2:$B$301,"학생358")</f>
        <v>4</v>
      </c>
    </row>
    <row r="362" spans="1:9" hidden="1">
      <c r="A362" s="15">
        <v>359</v>
      </c>
      <c r="B362" s="16" t="s">
        <v>360</v>
      </c>
      <c r="C362" s="16">
        <v>202400359</v>
      </c>
      <c r="I362" s="24">
        <f>COUNTIF(경영학원론_1!$B$3:$B$300,"학생359")+COUNTIF(경영학원론_2!$B$2:$B$301,"학생359")+COUNTIF(경영학원론_3!$B$2:$B$301,"학생359")+COUNTIF(경영학원론_4!$B$2:$B$300,"학생359")+COUNTIF(경제학원론_1!$B$2:$B$295,"학생359")+COUNTIF(경제학원론_2!$B$2:$B$298,"학생359")+COUNTIF(경제학원론_3!$B$2:$B$295,"학생359")+COUNTIF(경영통계학_1!$B$2:$B$299,"학생359")+COUNTIF(경영통계학_2!$B$2:$B$301,"학생359")+COUNTIF(경영통계학_3!$B$2:$B$298,"학생359")+COUNTIF(무역학개론_1!$B$2:$B$301,"학생359")+COUNTIF(회계학원론_1!$B$2:$B$293,"학생359")+COUNTIF(경영정보시스템_1!$B$2:$B$301,"학생359")+COUNTIF(관리회계_1!$B$2:$B$300,"학생359")+COUNTIF(관리회계_2!$B$2:$B$301,"학생359")+COUNTIF(마케팅_1!$B$2:$B$301,"학생359")+COUNTIF(마케팅리서치_1!$B$2:$B$301,"학생359")+COUNTIF(세법개론_1!$B$2:$B$300,"학생359")+COUNTIF(재무관리_1!$B$2:$B$301,"학생359")+COUNTIF(조직행동론_1!$B$2:$B$301,"학생359")+COUNTIF(조직행동론_2!$B$2:$B$301,"학생359")+COUNTIF(중급재무회계_1!$B$2:$B$301,"학생359")+COUNTIF(투자론_1!$B$2:$B$300,"학생359")+COUNTIF(경영과학_1!$B$2:$B$301,"학생359")+COUNTIF(세무회계_1!$B$2:$B$301,"학생359")+COUNTIF(스마트경영_1!$B$2:$B$301,"학생359")+COUNTIF(스마트경영_2!$B$2:$B$301,"학생359")+COUNTIF(인적자원관리_1!$B$2:$B$257,"학생359")+COUNTIF(서비스마케팅_1!$B$2:$B$276,"학생359")+COUNTIF(제품관리_1!$B$2:$B$301,"학생359")</f>
        <v>5</v>
      </c>
    </row>
    <row r="363" spans="1:9" hidden="1">
      <c r="A363" s="15">
        <v>360</v>
      </c>
      <c r="B363" s="16" t="s">
        <v>361</v>
      </c>
      <c r="C363" s="16">
        <v>202400360</v>
      </c>
      <c r="I363" s="24">
        <f>COUNTIF(경영학원론_1!$B$3:$B$300,"학생360")+COUNTIF(경영학원론_2!$B$2:$B$301,"학생360")+COUNTIF(경영학원론_3!$B$2:$B$301,"학생360")+COUNTIF(경영학원론_4!$B$2:$B$300,"학생360")+COUNTIF(경제학원론_1!$B$2:$B$295,"학생360")+COUNTIF(경제학원론_2!$B$2:$B$298,"학생360")+COUNTIF(경제학원론_3!$B$2:$B$295,"학생360")+COUNTIF(경영통계학_1!$B$2:$B$299,"학생360")+COUNTIF(경영통계학_2!$B$2:$B$301,"학생360")+COUNTIF(경영통계학_3!$B$2:$B$298,"학생360")+COUNTIF(무역학개론_1!$B$2:$B$301,"학생360")+COUNTIF(회계학원론_1!$B$2:$B$293,"학생360")+COUNTIF(경영정보시스템_1!$B$2:$B$301,"학생360")+COUNTIF(관리회계_1!$B$2:$B$300,"학생360")+COUNTIF(관리회계_2!$B$2:$B$301,"학생360")+COUNTIF(마케팅_1!$B$2:$B$301,"학생360")+COUNTIF(마케팅리서치_1!$B$2:$B$301,"학생360")+COUNTIF(세법개론_1!$B$2:$B$300,"학생360")+COUNTIF(재무관리_1!$B$2:$B$301,"학생360")+COUNTIF(조직행동론_1!$B$2:$B$301,"학생360")+COUNTIF(조직행동론_2!$B$2:$B$301,"학생360")+COUNTIF(중급재무회계_1!$B$2:$B$301,"학생360")+COUNTIF(투자론_1!$B$2:$B$300,"학생360")+COUNTIF(경영과학_1!$B$2:$B$301,"학생360")+COUNTIF(세무회계_1!$B$2:$B$301,"학생360")+COUNTIF(스마트경영_1!$B$2:$B$301,"학생360")+COUNTIF(스마트경영_2!$B$2:$B$301,"학생360")+COUNTIF(인적자원관리_1!$B$2:$B$257,"학생360")+COUNTIF(서비스마케팅_1!$B$2:$B$276,"학생360")+COUNTIF(제품관리_1!$B$2:$B$301,"학생360")</f>
        <v>6</v>
      </c>
    </row>
    <row r="364" spans="1:9" hidden="1">
      <c r="A364" s="15">
        <v>361</v>
      </c>
      <c r="B364" s="16" t="s">
        <v>362</v>
      </c>
      <c r="C364" s="16">
        <v>202400361</v>
      </c>
      <c r="I364" s="24">
        <f>COUNTIF(경영학원론_1!$B$3:$B$300,"학생361")+COUNTIF(경영학원론_2!$B$2:$B$301,"학생361")+COUNTIF(경영학원론_3!$B$2:$B$301,"학생361")+COUNTIF(경영학원론_4!$B$2:$B$300,"학생361")+COUNTIF(경제학원론_1!$B$2:$B$295,"학생361")+COUNTIF(경제학원론_2!$B$2:$B$298,"학생361")+COUNTIF(경제학원론_3!$B$2:$B$295,"학생361")+COUNTIF(경영통계학_1!$B$2:$B$299,"학생361")+COUNTIF(경영통계학_2!$B$2:$B$301,"학생361")+COUNTIF(경영통계학_3!$B$2:$B$298,"학생361")+COUNTIF(무역학개론_1!$B$2:$B$301,"학생361")+COUNTIF(회계학원론_1!$B$2:$B$293,"학생361")+COUNTIF(경영정보시스템_1!$B$2:$B$301,"학생361")+COUNTIF(관리회계_1!$B$2:$B$300,"학생361")+COUNTIF(관리회계_2!$B$2:$B$301,"학생361")+COUNTIF(마케팅_1!$B$2:$B$301,"학생361")+COUNTIF(마케팅리서치_1!$B$2:$B$301,"학생361")+COUNTIF(세법개론_1!$B$2:$B$300,"학생361")+COUNTIF(재무관리_1!$B$2:$B$301,"학생361")+COUNTIF(조직행동론_1!$B$2:$B$301,"학생361")+COUNTIF(조직행동론_2!$B$2:$B$301,"학생361")+COUNTIF(중급재무회계_1!$B$2:$B$301,"학생361")+COUNTIF(투자론_1!$B$2:$B$300,"학생361")+COUNTIF(경영과학_1!$B$2:$B$301,"학생361")+COUNTIF(세무회계_1!$B$2:$B$301,"학생361")+COUNTIF(스마트경영_1!$B$2:$B$301,"학생361")+COUNTIF(스마트경영_2!$B$2:$B$301,"학생361")+COUNTIF(인적자원관리_1!$B$2:$B$257,"학생361")+COUNTIF(서비스마케팅_1!$B$2:$B$276,"학생361")+COUNTIF(제품관리_1!$B$2:$B$301,"학생361")</f>
        <v>6</v>
      </c>
    </row>
    <row r="365" spans="1:9" hidden="1">
      <c r="A365" s="15">
        <v>362</v>
      </c>
      <c r="B365" s="16" t="s">
        <v>363</v>
      </c>
      <c r="C365" s="16">
        <v>202400362</v>
      </c>
      <c r="I365" s="24">
        <f>COUNTIF(경영학원론_1!$B$3:$B$300,"학생362")+COUNTIF(경영학원론_2!$B$2:$B$301,"학생362")+COUNTIF(경영학원론_3!$B$2:$B$301,"학생362")+COUNTIF(경영학원론_4!$B$2:$B$300,"학생362")+COUNTIF(경제학원론_1!$B$2:$B$295,"학생362")+COUNTIF(경제학원론_2!$B$2:$B$298,"학생362")+COUNTIF(경제학원론_3!$B$2:$B$295,"학생362")+COUNTIF(경영통계학_1!$B$2:$B$299,"학생362")+COUNTIF(경영통계학_2!$B$2:$B$301,"학생362")+COUNTIF(경영통계학_3!$B$2:$B$298,"학생362")+COUNTIF(무역학개론_1!$B$2:$B$301,"학생362")+COUNTIF(회계학원론_1!$B$2:$B$293,"학생362")+COUNTIF(경영정보시스템_1!$B$2:$B$301,"학생362")+COUNTIF(관리회계_1!$B$2:$B$300,"학생362")+COUNTIF(관리회계_2!$B$2:$B$301,"학생362")+COUNTIF(마케팅_1!$B$2:$B$301,"학생362")+COUNTIF(마케팅리서치_1!$B$2:$B$301,"학생362")+COUNTIF(세법개론_1!$B$2:$B$300,"학생362")+COUNTIF(재무관리_1!$B$2:$B$301,"학생362")+COUNTIF(조직행동론_1!$B$2:$B$301,"학생362")+COUNTIF(조직행동론_2!$B$2:$B$301,"학생362")+COUNTIF(중급재무회계_1!$B$2:$B$301,"학생362")+COUNTIF(투자론_1!$B$2:$B$300,"학생362")+COUNTIF(경영과학_1!$B$2:$B$301,"학생362")+COUNTIF(세무회계_1!$B$2:$B$301,"학생362")+COUNTIF(스마트경영_1!$B$2:$B$301,"학생362")+COUNTIF(스마트경영_2!$B$2:$B$301,"학생362")+COUNTIF(인적자원관리_1!$B$2:$B$257,"학생362")+COUNTIF(서비스마케팅_1!$B$2:$B$276,"학생362")+COUNTIF(제품관리_1!$B$2:$B$301,"학생362")</f>
        <v>4</v>
      </c>
    </row>
    <row r="366" spans="1:9" hidden="1">
      <c r="A366" s="15">
        <v>363</v>
      </c>
      <c r="B366" s="16" t="s">
        <v>364</v>
      </c>
      <c r="C366" s="16">
        <v>202400363</v>
      </c>
      <c r="I366" s="24">
        <f>COUNTIF(경영학원론_1!$B$3:$B$300,"학생363")+COUNTIF(경영학원론_2!$B$2:$B$301,"학생363")+COUNTIF(경영학원론_3!$B$2:$B$301,"학생363")+COUNTIF(경영학원론_4!$B$2:$B$300,"학생363")+COUNTIF(경제학원론_1!$B$2:$B$295,"학생363")+COUNTIF(경제학원론_2!$B$2:$B$298,"학생363")+COUNTIF(경제학원론_3!$B$2:$B$295,"학생363")+COUNTIF(경영통계학_1!$B$2:$B$299,"학생363")+COUNTIF(경영통계학_2!$B$2:$B$301,"학생363")+COUNTIF(경영통계학_3!$B$2:$B$298,"학생363")+COUNTIF(무역학개론_1!$B$2:$B$301,"학생363")+COUNTIF(회계학원론_1!$B$2:$B$293,"학생363")+COUNTIF(경영정보시스템_1!$B$2:$B$301,"학생363")+COUNTIF(관리회계_1!$B$2:$B$300,"학생363")+COUNTIF(관리회계_2!$B$2:$B$301,"학생363")+COUNTIF(마케팅_1!$B$2:$B$301,"학생363")+COUNTIF(마케팅리서치_1!$B$2:$B$301,"학생363")+COUNTIF(세법개론_1!$B$2:$B$300,"학생363")+COUNTIF(재무관리_1!$B$2:$B$301,"학생363")+COUNTIF(조직행동론_1!$B$2:$B$301,"학생363")+COUNTIF(조직행동론_2!$B$2:$B$301,"학생363")+COUNTIF(중급재무회계_1!$B$2:$B$301,"학생363")+COUNTIF(투자론_1!$B$2:$B$300,"학생363")+COUNTIF(경영과학_1!$B$2:$B$301,"학생363")+COUNTIF(세무회계_1!$B$2:$B$301,"학생363")+COUNTIF(스마트경영_1!$B$2:$B$301,"학생363")+COUNTIF(스마트경영_2!$B$2:$B$301,"학생363")+COUNTIF(인적자원관리_1!$B$2:$B$257,"학생363")+COUNTIF(서비스마케팅_1!$B$2:$B$276,"학생363")+COUNTIF(제품관리_1!$B$2:$B$301,"학생363")</f>
        <v>5</v>
      </c>
    </row>
    <row r="367" spans="1:9" hidden="1">
      <c r="A367" s="15">
        <v>364</v>
      </c>
      <c r="B367" s="16" t="s">
        <v>365</v>
      </c>
      <c r="C367" s="16">
        <v>202400364</v>
      </c>
      <c r="I367" s="24">
        <f>COUNTIF(경영학원론_1!$B$3:$B$300,"학생364")+COUNTIF(경영학원론_2!$B$2:$B$301,"학생364")+COUNTIF(경영학원론_3!$B$2:$B$301,"학생364")+COUNTIF(경영학원론_4!$B$2:$B$300,"학생364")+COUNTIF(경제학원론_1!$B$2:$B$295,"학생364")+COUNTIF(경제학원론_2!$B$2:$B$298,"학생364")+COUNTIF(경제학원론_3!$B$2:$B$295,"학생364")+COUNTIF(경영통계학_1!$B$2:$B$299,"학생364")+COUNTIF(경영통계학_2!$B$2:$B$301,"학생364")+COUNTIF(경영통계학_3!$B$2:$B$298,"학생364")+COUNTIF(무역학개론_1!$B$2:$B$301,"학생364")+COUNTIF(회계학원론_1!$B$2:$B$293,"학생364")+COUNTIF(경영정보시스템_1!$B$2:$B$301,"학생364")+COUNTIF(관리회계_1!$B$2:$B$300,"학생364")+COUNTIF(관리회계_2!$B$2:$B$301,"학생364")+COUNTIF(마케팅_1!$B$2:$B$301,"학생364")+COUNTIF(마케팅리서치_1!$B$2:$B$301,"학생364")+COUNTIF(세법개론_1!$B$2:$B$300,"학생364")+COUNTIF(재무관리_1!$B$2:$B$301,"학생364")+COUNTIF(조직행동론_1!$B$2:$B$301,"학생364")+COUNTIF(조직행동론_2!$B$2:$B$301,"학생364")+COUNTIF(중급재무회계_1!$B$2:$B$301,"학생364")+COUNTIF(투자론_1!$B$2:$B$300,"학생364")+COUNTIF(경영과학_1!$B$2:$B$301,"학생364")+COUNTIF(세무회계_1!$B$2:$B$301,"학생364")+COUNTIF(스마트경영_1!$B$2:$B$301,"학생364")+COUNTIF(스마트경영_2!$B$2:$B$301,"학생364")+COUNTIF(인적자원관리_1!$B$2:$B$257,"학생364")+COUNTIF(서비스마케팅_1!$B$2:$B$276,"학생364")+COUNTIF(제품관리_1!$B$2:$B$301,"학생364")</f>
        <v>5</v>
      </c>
    </row>
    <row r="368" spans="1:9" hidden="1">
      <c r="A368" s="15">
        <v>365</v>
      </c>
      <c r="B368" s="16" t="s">
        <v>366</v>
      </c>
      <c r="C368" s="16">
        <v>202400365</v>
      </c>
      <c r="I368" s="24">
        <f>COUNTIF(경영학원론_1!$B$3:$B$300,"학생365")+COUNTIF(경영학원론_2!$B$2:$B$301,"학생365")+COUNTIF(경영학원론_3!$B$2:$B$301,"학생365")+COUNTIF(경영학원론_4!$B$2:$B$300,"학생365")+COUNTIF(경제학원론_1!$B$2:$B$295,"학생365")+COUNTIF(경제학원론_2!$B$2:$B$298,"학생365")+COUNTIF(경제학원론_3!$B$2:$B$295,"학생365")+COUNTIF(경영통계학_1!$B$2:$B$299,"학생365")+COUNTIF(경영통계학_2!$B$2:$B$301,"학생365")+COUNTIF(경영통계학_3!$B$2:$B$298,"학생365")+COUNTIF(무역학개론_1!$B$2:$B$301,"학생365")+COUNTIF(회계학원론_1!$B$2:$B$293,"학생365")+COUNTIF(경영정보시스템_1!$B$2:$B$301,"학생365")+COUNTIF(관리회계_1!$B$2:$B$300,"학생365")+COUNTIF(관리회계_2!$B$2:$B$301,"학생365")+COUNTIF(마케팅_1!$B$2:$B$301,"학생365")+COUNTIF(마케팅리서치_1!$B$2:$B$301,"학생365")+COUNTIF(세법개론_1!$B$2:$B$300,"학생365")+COUNTIF(재무관리_1!$B$2:$B$301,"학생365")+COUNTIF(조직행동론_1!$B$2:$B$301,"학생365")+COUNTIF(조직행동론_2!$B$2:$B$301,"학생365")+COUNTIF(중급재무회계_1!$B$2:$B$301,"학생365")+COUNTIF(투자론_1!$B$2:$B$300,"학생365")+COUNTIF(경영과학_1!$B$2:$B$301,"학생365")+COUNTIF(세무회계_1!$B$2:$B$301,"학생365")+COUNTIF(스마트경영_1!$B$2:$B$301,"학생365")+COUNTIF(스마트경영_2!$B$2:$B$301,"학생365")+COUNTIF(인적자원관리_1!$B$2:$B$257,"학생365")+COUNTIF(서비스마케팅_1!$B$2:$B$276,"학생365")+COUNTIF(제품관리_1!$B$2:$B$301,"학생365")</f>
        <v>7</v>
      </c>
    </row>
    <row r="369" spans="1:9" hidden="1">
      <c r="A369" s="15">
        <v>366</v>
      </c>
      <c r="B369" s="16" t="s">
        <v>367</v>
      </c>
      <c r="C369" s="16">
        <v>202400366</v>
      </c>
      <c r="I369" s="24">
        <f>COUNTIF(경영학원론_1!$B$3:$B$300,"학생366")+COUNTIF(경영학원론_2!$B$2:$B$301,"학생366")+COUNTIF(경영학원론_3!$B$2:$B$301,"학생366")+COUNTIF(경영학원론_4!$B$2:$B$300,"학생366")+COUNTIF(경제학원론_1!$B$2:$B$295,"학생366")+COUNTIF(경제학원론_2!$B$2:$B$298,"학생366")+COUNTIF(경제학원론_3!$B$2:$B$295,"학생366")+COUNTIF(경영통계학_1!$B$2:$B$299,"학생366")+COUNTIF(경영통계학_2!$B$2:$B$301,"학생366")+COUNTIF(경영통계학_3!$B$2:$B$298,"학생366")+COUNTIF(무역학개론_1!$B$2:$B$301,"학생366")+COUNTIF(회계학원론_1!$B$2:$B$293,"학생366")+COUNTIF(경영정보시스템_1!$B$2:$B$301,"학생366")+COUNTIF(관리회계_1!$B$2:$B$300,"학생366")+COUNTIF(관리회계_2!$B$2:$B$301,"학생366")+COUNTIF(마케팅_1!$B$2:$B$301,"학생366")+COUNTIF(마케팅리서치_1!$B$2:$B$301,"학생366")+COUNTIF(세법개론_1!$B$2:$B$300,"학생366")+COUNTIF(재무관리_1!$B$2:$B$301,"학생366")+COUNTIF(조직행동론_1!$B$2:$B$301,"학생366")+COUNTIF(조직행동론_2!$B$2:$B$301,"학생366")+COUNTIF(중급재무회계_1!$B$2:$B$301,"학생366")+COUNTIF(투자론_1!$B$2:$B$300,"학생366")+COUNTIF(경영과학_1!$B$2:$B$301,"학생366")+COUNTIF(세무회계_1!$B$2:$B$301,"학생366")+COUNTIF(스마트경영_1!$B$2:$B$301,"학생366")+COUNTIF(스마트경영_2!$B$2:$B$301,"학생366")+COUNTIF(인적자원관리_1!$B$2:$B$257,"학생366")+COUNTIF(서비스마케팅_1!$B$2:$B$276,"학생366")+COUNTIF(제품관리_1!$B$2:$B$301,"학생366")</f>
        <v>4</v>
      </c>
    </row>
    <row r="370" spans="1:9" hidden="1">
      <c r="A370" s="15">
        <v>367</v>
      </c>
      <c r="B370" s="16" t="s">
        <v>368</v>
      </c>
      <c r="C370" s="16">
        <v>202400367</v>
      </c>
      <c r="I370" s="24">
        <f>COUNTIF(경영학원론_1!$B$3:$B$300,"학생367")+COUNTIF(경영학원론_2!$B$2:$B$301,"학생367")+COUNTIF(경영학원론_3!$B$2:$B$301,"학생367")+COUNTIF(경영학원론_4!$B$2:$B$300,"학생367")+COUNTIF(경제학원론_1!$B$2:$B$295,"학생367")+COUNTIF(경제학원론_2!$B$2:$B$298,"학생367")+COUNTIF(경제학원론_3!$B$2:$B$295,"학생367")+COUNTIF(경영통계학_1!$B$2:$B$299,"학생367")+COUNTIF(경영통계학_2!$B$2:$B$301,"학생367")+COUNTIF(경영통계학_3!$B$2:$B$298,"학생367")+COUNTIF(무역학개론_1!$B$2:$B$301,"학생367")+COUNTIF(회계학원론_1!$B$2:$B$293,"학생367")+COUNTIF(경영정보시스템_1!$B$2:$B$301,"학생367")+COUNTIF(관리회계_1!$B$2:$B$300,"학생367")+COUNTIF(관리회계_2!$B$2:$B$301,"학생367")+COUNTIF(마케팅_1!$B$2:$B$301,"학생367")+COUNTIF(마케팅리서치_1!$B$2:$B$301,"학생367")+COUNTIF(세법개론_1!$B$2:$B$300,"학생367")+COUNTIF(재무관리_1!$B$2:$B$301,"학생367")+COUNTIF(조직행동론_1!$B$2:$B$301,"학생367")+COUNTIF(조직행동론_2!$B$2:$B$301,"학생367")+COUNTIF(중급재무회계_1!$B$2:$B$301,"학생367")+COUNTIF(투자론_1!$B$2:$B$300,"학생367")+COUNTIF(경영과학_1!$B$2:$B$301,"학생367")+COUNTIF(세무회계_1!$B$2:$B$301,"학생367")+COUNTIF(스마트경영_1!$B$2:$B$301,"학생367")+COUNTIF(스마트경영_2!$B$2:$B$301,"학생367")+COUNTIF(인적자원관리_1!$B$2:$B$257,"학생367")+COUNTIF(서비스마케팅_1!$B$2:$B$276,"학생367")+COUNTIF(제품관리_1!$B$2:$B$301,"학생367")</f>
        <v>5</v>
      </c>
    </row>
    <row r="371" spans="1:9" hidden="1">
      <c r="A371" s="15">
        <v>368</v>
      </c>
      <c r="B371" s="16" t="s">
        <v>369</v>
      </c>
      <c r="C371" s="16">
        <v>202400368</v>
      </c>
      <c r="I371" s="24">
        <f>COUNTIF(경영학원론_1!$B$3:$B$300,"학생368")+COUNTIF(경영학원론_2!$B$2:$B$301,"학생368")+COUNTIF(경영학원론_3!$B$2:$B$301,"학생368")+COUNTIF(경영학원론_4!$B$2:$B$300,"학생368")+COUNTIF(경제학원론_1!$B$2:$B$295,"학생368")+COUNTIF(경제학원론_2!$B$2:$B$298,"학생368")+COUNTIF(경제학원론_3!$B$2:$B$295,"학생368")+COUNTIF(경영통계학_1!$B$2:$B$299,"학생368")+COUNTIF(경영통계학_2!$B$2:$B$301,"학생368")+COUNTIF(경영통계학_3!$B$2:$B$298,"학생368")+COUNTIF(무역학개론_1!$B$2:$B$301,"학생368")+COUNTIF(회계학원론_1!$B$2:$B$293,"학생368")+COUNTIF(경영정보시스템_1!$B$2:$B$301,"학생368")+COUNTIF(관리회계_1!$B$2:$B$300,"학생368")+COUNTIF(관리회계_2!$B$2:$B$301,"학생368")+COUNTIF(마케팅_1!$B$2:$B$301,"학생368")+COUNTIF(마케팅리서치_1!$B$2:$B$301,"학생368")+COUNTIF(세법개론_1!$B$2:$B$300,"학생368")+COUNTIF(재무관리_1!$B$2:$B$301,"학생368")+COUNTIF(조직행동론_1!$B$2:$B$301,"학생368")+COUNTIF(조직행동론_2!$B$2:$B$301,"학생368")+COUNTIF(중급재무회계_1!$B$2:$B$301,"학생368")+COUNTIF(투자론_1!$B$2:$B$300,"학생368")+COUNTIF(경영과학_1!$B$2:$B$301,"학생368")+COUNTIF(세무회계_1!$B$2:$B$301,"학생368")+COUNTIF(스마트경영_1!$B$2:$B$301,"학생368")+COUNTIF(스마트경영_2!$B$2:$B$301,"학생368")+COUNTIF(인적자원관리_1!$B$2:$B$257,"학생368")+COUNTIF(서비스마케팅_1!$B$2:$B$276,"학생368")+COUNTIF(제품관리_1!$B$2:$B$301,"학생368")</f>
        <v>6</v>
      </c>
    </row>
    <row r="372" spans="1:9" hidden="1">
      <c r="A372" s="15">
        <v>369</v>
      </c>
      <c r="B372" s="16" t="s">
        <v>370</v>
      </c>
      <c r="C372" s="16">
        <v>202400369</v>
      </c>
      <c r="I372" s="24">
        <f>COUNTIF(경영학원론_1!$B$3:$B$300,"학생369")+COUNTIF(경영학원론_2!$B$2:$B$301,"학생369")+COUNTIF(경영학원론_3!$B$2:$B$301,"학생369")+COUNTIF(경영학원론_4!$B$2:$B$300,"학생369")+COUNTIF(경제학원론_1!$B$2:$B$295,"학생369")+COUNTIF(경제학원론_2!$B$2:$B$298,"학생369")+COUNTIF(경제학원론_3!$B$2:$B$295,"학생369")+COUNTIF(경영통계학_1!$B$2:$B$299,"학생369")+COUNTIF(경영통계학_2!$B$2:$B$301,"학생369")+COUNTIF(경영통계학_3!$B$2:$B$298,"학생369")+COUNTIF(무역학개론_1!$B$2:$B$301,"학생369")+COUNTIF(회계학원론_1!$B$2:$B$293,"학생369")+COUNTIF(경영정보시스템_1!$B$2:$B$301,"학생369")+COUNTIF(관리회계_1!$B$2:$B$300,"학생369")+COUNTIF(관리회계_2!$B$2:$B$301,"학생369")+COUNTIF(마케팅_1!$B$2:$B$301,"학생369")+COUNTIF(마케팅리서치_1!$B$2:$B$301,"학생369")+COUNTIF(세법개론_1!$B$2:$B$300,"학생369")+COUNTIF(재무관리_1!$B$2:$B$301,"학생369")+COUNTIF(조직행동론_1!$B$2:$B$301,"학생369")+COUNTIF(조직행동론_2!$B$2:$B$301,"학생369")+COUNTIF(중급재무회계_1!$B$2:$B$301,"학생369")+COUNTIF(투자론_1!$B$2:$B$300,"학생369")+COUNTIF(경영과학_1!$B$2:$B$301,"학생369")+COUNTIF(세무회계_1!$B$2:$B$301,"학생369")+COUNTIF(스마트경영_1!$B$2:$B$301,"학생369")+COUNTIF(스마트경영_2!$B$2:$B$301,"학생369")+COUNTIF(인적자원관리_1!$B$2:$B$257,"학생369")+COUNTIF(서비스마케팅_1!$B$2:$B$276,"학생369")+COUNTIF(제품관리_1!$B$2:$B$301,"학생369")</f>
        <v>7</v>
      </c>
    </row>
    <row r="373" spans="1:9" hidden="1">
      <c r="A373" s="15">
        <v>370</v>
      </c>
      <c r="B373" s="16" t="s">
        <v>371</v>
      </c>
      <c r="C373" s="16">
        <v>202400370</v>
      </c>
      <c r="I373" s="24">
        <f>COUNTIF(경영학원론_1!$B$3:$B$300,"학생370")+COUNTIF(경영학원론_2!$B$2:$B$301,"학생370")+COUNTIF(경영학원론_3!$B$2:$B$301,"학생370")+COUNTIF(경영학원론_4!$B$2:$B$300,"학생370")+COUNTIF(경제학원론_1!$B$2:$B$295,"학생370")+COUNTIF(경제학원론_2!$B$2:$B$298,"학생370")+COUNTIF(경제학원론_3!$B$2:$B$295,"학생370")+COUNTIF(경영통계학_1!$B$2:$B$299,"학생370")+COUNTIF(경영통계학_2!$B$2:$B$301,"학생370")+COUNTIF(경영통계학_3!$B$2:$B$298,"학생370")+COUNTIF(무역학개론_1!$B$2:$B$301,"학생370")+COUNTIF(회계학원론_1!$B$2:$B$293,"학생370")+COUNTIF(경영정보시스템_1!$B$2:$B$301,"학생370")+COUNTIF(관리회계_1!$B$2:$B$300,"학생370")+COUNTIF(관리회계_2!$B$2:$B$301,"학생370")+COUNTIF(마케팅_1!$B$2:$B$301,"학생370")+COUNTIF(마케팅리서치_1!$B$2:$B$301,"학생370")+COUNTIF(세법개론_1!$B$2:$B$300,"학생370")+COUNTIF(재무관리_1!$B$2:$B$301,"학생370")+COUNTIF(조직행동론_1!$B$2:$B$301,"학생370")+COUNTIF(조직행동론_2!$B$2:$B$301,"학생370")+COUNTIF(중급재무회계_1!$B$2:$B$301,"학생370")+COUNTIF(투자론_1!$B$2:$B$300,"학생370")+COUNTIF(경영과학_1!$B$2:$B$301,"학생370")+COUNTIF(세무회계_1!$B$2:$B$301,"학생370")+COUNTIF(스마트경영_1!$B$2:$B$301,"학생370")+COUNTIF(스마트경영_2!$B$2:$B$301,"학생370")+COUNTIF(인적자원관리_1!$B$2:$B$257,"학생370")+COUNTIF(서비스마케팅_1!$B$2:$B$276,"학생370")+COUNTIF(제품관리_1!$B$2:$B$301,"학생370")</f>
        <v>5</v>
      </c>
    </row>
    <row r="374" spans="1:9" hidden="1">
      <c r="A374" s="15">
        <v>371</v>
      </c>
      <c r="B374" s="16" t="s">
        <v>372</v>
      </c>
      <c r="C374" s="16">
        <v>202400371</v>
      </c>
      <c r="I374" s="24">
        <f>COUNTIF(경영학원론_1!$B$3:$B$300,"학생371")+COUNTIF(경영학원론_2!$B$2:$B$301,"학생371")+COUNTIF(경영학원론_3!$B$2:$B$301,"학생371")+COUNTIF(경영학원론_4!$B$2:$B$300,"학생371")+COUNTIF(경제학원론_1!$B$2:$B$295,"학생371")+COUNTIF(경제학원론_2!$B$2:$B$298,"학생371")+COUNTIF(경제학원론_3!$B$2:$B$295,"학생371")+COUNTIF(경영통계학_1!$B$2:$B$299,"학생371")+COUNTIF(경영통계학_2!$B$2:$B$301,"학생371")+COUNTIF(경영통계학_3!$B$2:$B$298,"학생371")+COUNTIF(무역학개론_1!$B$2:$B$301,"학생371")+COUNTIF(회계학원론_1!$B$2:$B$293,"학생371")+COUNTIF(경영정보시스템_1!$B$2:$B$301,"학생371")+COUNTIF(관리회계_1!$B$2:$B$300,"학생371")+COUNTIF(관리회계_2!$B$2:$B$301,"학생371")+COUNTIF(마케팅_1!$B$2:$B$301,"학생371")+COUNTIF(마케팅리서치_1!$B$2:$B$301,"학생371")+COUNTIF(세법개론_1!$B$2:$B$300,"학생371")+COUNTIF(재무관리_1!$B$2:$B$301,"학생371")+COUNTIF(조직행동론_1!$B$2:$B$301,"학생371")+COUNTIF(조직행동론_2!$B$2:$B$301,"학생371")+COUNTIF(중급재무회계_1!$B$2:$B$301,"학생371")+COUNTIF(투자론_1!$B$2:$B$300,"학생371")+COUNTIF(경영과학_1!$B$2:$B$301,"학생371")+COUNTIF(세무회계_1!$B$2:$B$301,"학생371")+COUNTIF(스마트경영_1!$B$2:$B$301,"학생371")+COUNTIF(스마트경영_2!$B$2:$B$301,"학생371")+COUNTIF(인적자원관리_1!$B$2:$B$257,"학생371")+COUNTIF(서비스마케팅_1!$B$2:$B$276,"학생371")+COUNTIF(제품관리_1!$B$2:$B$301,"학생371")</f>
        <v>7</v>
      </c>
    </row>
    <row r="375" spans="1:9" hidden="1">
      <c r="A375" s="15">
        <v>372</v>
      </c>
      <c r="B375" s="16" t="s">
        <v>373</v>
      </c>
      <c r="C375" s="16">
        <v>202400372</v>
      </c>
      <c r="I375" s="24">
        <f>COUNTIF(경영학원론_1!$B$3:$B$300,"학생372")+COUNTIF(경영학원론_2!$B$2:$B$301,"학생372")+COUNTIF(경영학원론_3!$B$2:$B$301,"학생372")+COUNTIF(경영학원론_4!$B$2:$B$300,"학생372")+COUNTIF(경제학원론_1!$B$2:$B$295,"학생372")+COUNTIF(경제학원론_2!$B$2:$B$298,"학생372")+COUNTIF(경제학원론_3!$B$2:$B$295,"학생372")+COUNTIF(경영통계학_1!$B$2:$B$299,"학생372")+COUNTIF(경영통계학_2!$B$2:$B$301,"학생372")+COUNTIF(경영통계학_3!$B$2:$B$298,"학생372")+COUNTIF(무역학개론_1!$B$2:$B$301,"학생372")+COUNTIF(회계학원론_1!$B$2:$B$293,"학생372")+COUNTIF(경영정보시스템_1!$B$2:$B$301,"학생372")+COUNTIF(관리회계_1!$B$2:$B$300,"학생372")+COUNTIF(관리회계_2!$B$2:$B$301,"학생372")+COUNTIF(마케팅_1!$B$2:$B$301,"학생372")+COUNTIF(마케팅리서치_1!$B$2:$B$301,"학생372")+COUNTIF(세법개론_1!$B$2:$B$300,"학생372")+COUNTIF(재무관리_1!$B$2:$B$301,"학생372")+COUNTIF(조직행동론_1!$B$2:$B$301,"학생372")+COUNTIF(조직행동론_2!$B$2:$B$301,"학생372")+COUNTIF(중급재무회계_1!$B$2:$B$301,"학생372")+COUNTIF(투자론_1!$B$2:$B$300,"학생372")+COUNTIF(경영과학_1!$B$2:$B$301,"학생372")+COUNTIF(세무회계_1!$B$2:$B$301,"학생372")+COUNTIF(스마트경영_1!$B$2:$B$301,"학생372")+COUNTIF(스마트경영_2!$B$2:$B$301,"학생372")+COUNTIF(인적자원관리_1!$B$2:$B$257,"학생372")+COUNTIF(서비스마케팅_1!$B$2:$B$276,"학생372")+COUNTIF(제품관리_1!$B$2:$B$301,"학생372")</f>
        <v>5</v>
      </c>
    </row>
    <row r="376" spans="1:9" hidden="1">
      <c r="A376" s="15">
        <v>373</v>
      </c>
      <c r="B376" s="16" t="s">
        <v>374</v>
      </c>
      <c r="C376" s="16">
        <v>202400373</v>
      </c>
      <c r="I376" s="24">
        <f>COUNTIF(경영학원론_1!$B$3:$B$300,"학생373")+COUNTIF(경영학원론_2!$B$2:$B$301,"학생373")+COUNTIF(경영학원론_3!$B$2:$B$301,"학생373")+COUNTIF(경영학원론_4!$B$2:$B$300,"학생373")+COUNTIF(경제학원론_1!$B$2:$B$295,"학생373")+COUNTIF(경제학원론_2!$B$2:$B$298,"학생373")+COUNTIF(경제학원론_3!$B$2:$B$295,"학생373")+COUNTIF(경영통계학_1!$B$2:$B$299,"학생373")+COUNTIF(경영통계학_2!$B$2:$B$301,"학생373")+COUNTIF(경영통계학_3!$B$2:$B$298,"학생373")+COUNTIF(무역학개론_1!$B$2:$B$301,"학생373")+COUNTIF(회계학원론_1!$B$2:$B$293,"학생373")+COUNTIF(경영정보시스템_1!$B$2:$B$301,"학생373")+COUNTIF(관리회계_1!$B$2:$B$300,"학생373")+COUNTIF(관리회계_2!$B$2:$B$301,"학생373")+COUNTIF(마케팅_1!$B$2:$B$301,"학생373")+COUNTIF(마케팅리서치_1!$B$2:$B$301,"학생373")+COUNTIF(세법개론_1!$B$2:$B$300,"학생373")+COUNTIF(재무관리_1!$B$2:$B$301,"학생373")+COUNTIF(조직행동론_1!$B$2:$B$301,"학생373")+COUNTIF(조직행동론_2!$B$2:$B$301,"학생373")+COUNTIF(중급재무회계_1!$B$2:$B$301,"학생373")+COUNTIF(투자론_1!$B$2:$B$300,"학생373")+COUNTIF(경영과학_1!$B$2:$B$301,"학생373")+COUNTIF(세무회계_1!$B$2:$B$301,"학생373")+COUNTIF(스마트경영_1!$B$2:$B$301,"학생373")+COUNTIF(스마트경영_2!$B$2:$B$301,"학생373")+COUNTIF(인적자원관리_1!$B$2:$B$257,"학생373")+COUNTIF(서비스마케팅_1!$B$2:$B$276,"학생373")+COUNTIF(제품관리_1!$B$2:$B$301,"학생373")</f>
        <v>5</v>
      </c>
    </row>
    <row r="377" spans="1:9" hidden="1">
      <c r="A377" s="15">
        <v>374</v>
      </c>
      <c r="B377" s="16" t="s">
        <v>375</v>
      </c>
      <c r="C377" s="16">
        <v>202400374</v>
      </c>
      <c r="I377" s="24">
        <f>COUNTIF(경영학원론_1!$B$3:$B$300,"학생374")+COUNTIF(경영학원론_2!$B$2:$B$301,"학생374")+COUNTIF(경영학원론_3!$B$2:$B$301,"학생374")+COUNTIF(경영학원론_4!$B$2:$B$300,"학생374")+COUNTIF(경제학원론_1!$B$2:$B$295,"학생374")+COUNTIF(경제학원론_2!$B$2:$B$298,"학생374")+COUNTIF(경제학원론_3!$B$2:$B$295,"학생374")+COUNTIF(경영통계학_1!$B$2:$B$299,"학생374")+COUNTIF(경영통계학_2!$B$2:$B$301,"학생374")+COUNTIF(경영통계학_3!$B$2:$B$298,"학생374")+COUNTIF(무역학개론_1!$B$2:$B$301,"학생374")+COUNTIF(회계학원론_1!$B$2:$B$293,"학생374")+COUNTIF(경영정보시스템_1!$B$2:$B$301,"학생374")+COUNTIF(관리회계_1!$B$2:$B$300,"학생374")+COUNTIF(관리회계_2!$B$2:$B$301,"학생374")+COUNTIF(마케팅_1!$B$2:$B$301,"학생374")+COUNTIF(마케팅리서치_1!$B$2:$B$301,"학생374")+COUNTIF(세법개론_1!$B$2:$B$300,"학생374")+COUNTIF(재무관리_1!$B$2:$B$301,"학생374")+COUNTIF(조직행동론_1!$B$2:$B$301,"학생374")+COUNTIF(조직행동론_2!$B$2:$B$301,"학생374")+COUNTIF(중급재무회계_1!$B$2:$B$301,"학생374")+COUNTIF(투자론_1!$B$2:$B$300,"학생374")+COUNTIF(경영과학_1!$B$2:$B$301,"학생374")+COUNTIF(세무회계_1!$B$2:$B$301,"학생374")+COUNTIF(스마트경영_1!$B$2:$B$301,"학생374")+COUNTIF(스마트경영_2!$B$2:$B$301,"학생374")+COUNTIF(인적자원관리_1!$B$2:$B$257,"학생374")+COUNTIF(서비스마케팅_1!$B$2:$B$276,"학생374")+COUNTIF(제품관리_1!$B$2:$B$301,"학생374")</f>
        <v>7</v>
      </c>
    </row>
    <row r="378" spans="1:9" hidden="1">
      <c r="A378" s="15">
        <v>375</v>
      </c>
      <c r="B378" s="16" t="s">
        <v>376</v>
      </c>
      <c r="C378" s="16">
        <v>202400375</v>
      </c>
      <c r="I378" s="24">
        <f>COUNTIF(경영학원론_1!$B$3:$B$300,"학생375")+COUNTIF(경영학원론_2!$B$2:$B$301,"학생375")+COUNTIF(경영학원론_3!$B$2:$B$301,"학생375")+COUNTIF(경영학원론_4!$B$2:$B$300,"학생375")+COUNTIF(경제학원론_1!$B$2:$B$295,"학생375")+COUNTIF(경제학원론_2!$B$2:$B$298,"학생375")+COUNTIF(경제학원론_3!$B$2:$B$295,"학생375")+COUNTIF(경영통계학_1!$B$2:$B$299,"학생375")+COUNTIF(경영통계학_2!$B$2:$B$301,"학생375")+COUNTIF(경영통계학_3!$B$2:$B$298,"학생375")+COUNTIF(무역학개론_1!$B$2:$B$301,"학생375")+COUNTIF(회계학원론_1!$B$2:$B$293,"학생375")+COUNTIF(경영정보시스템_1!$B$2:$B$301,"학생375")+COUNTIF(관리회계_1!$B$2:$B$300,"학생375")+COUNTIF(관리회계_2!$B$2:$B$301,"학생375")+COUNTIF(마케팅_1!$B$2:$B$301,"학생375")+COUNTIF(마케팅리서치_1!$B$2:$B$301,"학생375")+COUNTIF(세법개론_1!$B$2:$B$300,"학생375")+COUNTIF(재무관리_1!$B$2:$B$301,"학생375")+COUNTIF(조직행동론_1!$B$2:$B$301,"학생375")+COUNTIF(조직행동론_2!$B$2:$B$301,"학생375")+COUNTIF(중급재무회계_1!$B$2:$B$301,"학생375")+COUNTIF(투자론_1!$B$2:$B$300,"학생375")+COUNTIF(경영과학_1!$B$2:$B$301,"학생375")+COUNTIF(세무회계_1!$B$2:$B$301,"학생375")+COUNTIF(스마트경영_1!$B$2:$B$301,"학생375")+COUNTIF(스마트경영_2!$B$2:$B$301,"학생375")+COUNTIF(인적자원관리_1!$B$2:$B$257,"학생375")+COUNTIF(서비스마케팅_1!$B$2:$B$276,"학생375")+COUNTIF(제품관리_1!$B$2:$B$301,"학생375")</f>
        <v>6</v>
      </c>
    </row>
    <row r="379" spans="1:9" hidden="1">
      <c r="A379" s="15">
        <v>376</v>
      </c>
      <c r="B379" s="16" t="s">
        <v>377</v>
      </c>
      <c r="C379" s="16">
        <v>202400376</v>
      </c>
      <c r="I379" s="24">
        <f>COUNTIF(경영학원론_1!$B$3:$B$300,"학생376")+COUNTIF(경영학원론_2!$B$2:$B$301,"학생376")+COUNTIF(경영학원론_3!$B$2:$B$301,"학생376")+COUNTIF(경영학원론_4!$B$2:$B$300,"학생376")+COUNTIF(경제학원론_1!$B$2:$B$295,"학생376")+COUNTIF(경제학원론_2!$B$2:$B$298,"학생376")+COUNTIF(경제학원론_3!$B$2:$B$295,"학생376")+COUNTIF(경영통계학_1!$B$2:$B$299,"학생376")+COUNTIF(경영통계학_2!$B$2:$B$301,"학생376")+COUNTIF(경영통계학_3!$B$2:$B$298,"학생376")+COUNTIF(무역학개론_1!$B$2:$B$301,"학생376")+COUNTIF(회계학원론_1!$B$2:$B$293,"학생376")+COUNTIF(경영정보시스템_1!$B$2:$B$301,"학생376")+COUNTIF(관리회계_1!$B$2:$B$300,"학생376")+COUNTIF(관리회계_2!$B$2:$B$301,"학생376")+COUNTIF(마케팅_1!$B$2:$B$301,"학생376")+COUNTIF(마케팅리서치_1!$B$2:$B$301,"학생376")+COUNTIF(세법개론_1!$B$2:$B$300,"학생376")+COUNTIF(재무관리_1!$B$2:$B$301,"학생376")+COUNTIF(조직행동론_1!$B$2:$B$301,"학생376")+COUNTIF(조직행동론_2!$B$2:$B$301,"학생376")+COUNTIF(중급재무회계_1!$B$2:$B$301,"학생376")+COUNTIF(투자론_1!$B$2:$B$300,"학생376")+COUNTIF(경영과학_1!$B$2:$B$301,"학생376")+COUNTIF(세무회계_1!$B$2:$B$301,"학생376")+COUNTIF(스마트경영_1!$B$2:$B$301,"학생376")+COUNTIF(스마트경영_2!$B$2:$B$301,"학생376")+COUNTIF(인적자원관리_1!$B$2:$B$257,"학생376")+COUNTIF(서비스마케팅_1!$B$2:$B$276,"학생376")+COUNTIF(제품관리_1!$B$2:$B$301,"학생376")</f>
        <v>5</v>
      </c>
    </row>
    <row r="380" spans="1:9" hidden="1">
      <c r="A380" s="15">
        <v>377</v>
      </c>
      <c r="B380" s="16" t="s">
        <v>378</v>
      </c>
      <c r="C380" s="16">
        <v>202400377</v>
      </c>
      <c r="I380" s="24">
        <f>COUNTIF(경영학원론_1!$B$3:$B$300,"학생377")+COUNTIF(경영학원론_2!$B$2:$B$301,"학생377")+COUNTIF(경영학원론_3!$B$2:$B$301,"학생377")+COUNTIF(경영학원론_4!$B$2:$B$300,"학생377")+COUNTIF(경제학원론_1!$B$2:$B$295,"학생377")+COUNTIF(경제학원론_2!$B$2:$B$298,"학생377")+COUNTIF(경제학원론_3!$B$2:$B$295,"학생377")+COUNTIF(경영통계학_1!$B$2:$B$299,"학생377")+COUNTIF(경영통계학_2!$B$2:$B$301,"학생377")+COUNTIF(경영통계학_3!$B$2:$B$298,"학생377")+COUNTIF(무역학개론_1!$B$2:$B$301,"학생377")+COUNTIF(회계학원론_1!$B$2:$B$293,"학생377")+COUNTIF(경영정보시스템_1!$B$2:$B$301,"학생377")+COUNTIF(관리회계_1!$B$2:$B$300,"학생377")+COUNTIF(관리회계_2!$B$2:$B$301,"학생377")+COUNTIF(마케팅_1!$B$2:$B$301,"학생377")+COUNTIF(마케팅리서치_1!$B$2:$B$301,"학생377")+COUNTIF(세법개론_1!$B$2:$B$300,"학생377")+COUNTIF(재무관리_1!$B$2:$B$301,"학생377")+COUNTIF(조직행동론_1!$B$2:$B$301,"학생377")+COUNTIF(조직행동론_2!$B$2:$B$301,"학생377")+COUNTIF(중급재무회계_1!$B$2:$B$301,"학생377")+COUNTIF(투자론_1!$B$2:$B$300,"학생377")+COUNTIF(경영과학_1!$B$2:$B$301,"학생377")+COUNTIF(세무회계_1!$B$2:$B$301,"학생377")+COUNTIF(스마트경영_1!$B$2:$B$301,"학생377")+COUNTIF(스마트경영_2!$B$2:$B$301,"학생377")+COUNTIF(인적자원관리_1!$B$2:$B$257,"학생377")+COUNTIF(서비스마케팅_1!$B$2:$B$276,"학생377")+COUNTIF(제품관리_1!$B$2:$B$301,"학생377")</f>
        <v>6</v>
      </c>
    </row>
    <row r="381" spans="1:9" hidden="1">
      <c r="A381" s="15">
        <v>378</v>
      </c>
      <c r="B381" s="16" t="s">
        <v>379</v>
      </c>
      <c r="C381" s="16">
        <v>202400378</v>
      </c>
      <c r="I381" s="24">
        <f>COUNTIF(경영학원론_1!$B$3:$B$300,"학생378")+COUNTIF(경영학원론_2!$B$2:$B$301,"학생378")+COUNTIF(경영학원론_3!$B$2:$B$301,"학생378")+COUNTIF(경영학원론_4!$B$2:$B$300,"학생378")+COUNTIF(경제학원론_1!$B$2:$B$295,"학생378")+COUNTIF(경제학원론_2!$B$2:$B$298,"학생378")+COUNTIF(경제학원론_3!$B$2:$B$295,"학생378")+COUNTIF(경영통계학_1!$B$2:$B$299,"학생378")+COUNTIF(경영통계학_2!$B$2:$B$301,"학생378")+COUNTIF(경영통계학_3!$B$2:$B$298,"학생378")+COUNTIF(무역학개론_1!$B$2:$B$301,"학생378")+COUNTIF(회계학원론_1!$B$2:$B$293,"학생378")+COUNTIF(경영정보시스템_1!$B$2:$B$301,"학생378")+COUNTIF(관리회계_1!$B$2:$B$300,"학생378")+COUNTIF(관리회계_2!$B$2:$B$301,"학생378")+COUNTIF(마케팅_1!$B$2:$B$301,"학생378")+COUNTIF(마케팅리서치_1!$B$2:$B$301,"학생378")+COUNTIF(세법개론_1!$B$2:$B$300,"학생378")+COUNTIF(재무관리_1!$B$2:$B$301,"학생378")+COUNTIF(조직행동론_1!$B$2:$B$301,"학생378")+COUNTIF(조직행동론_2!$B$2:$B$301,"학생378")+COUNTIF(중급재무회계_1!$B$2:$B$301,"학생378")+COUNTIF(투자론_1!$B$2:$B$300,"학생378")+COUNTIF(경영과학_1!$B$2:$B$301,"학생378")+COUNTIF(세무회계_1!$B$2:$B$301,"학생378")+COUNTIF(스마트경영_1!$B$2:$B$301,"학생378")+COUNTIF(스마트경영_2!$B$2:$B$301,"학생378")+COUNTIF(인적자원관리_1!$B$2:$B$257,"학생378")+COUNTIF(서비스마케팅_1!$B$2:$B$276,"학생378")+COUNTIF(제품관리_1!$B$2:$B$301,"학생378")</f>
        <v>6</v>
      </c>
    </row>
    <row r="382" spans="1:9" hidden="1">
      <c r="A382" s="15">
        <v>379</v>
      </c>
      <c r="B382" s="16" t="s">
        <v>380</v>
      </c>
      <c r="C382" s="16">
        <v>202400379</v>
      </c>
      <c r="I382" s="24">
        <f>COUNTIF(경영학원론_1!$B$3:$B$300,"학생379")+COUNTIF(경영학원론_2!$B$2:$B$301,"학생379")+COUNTIF(경영학원론_3!$B$2:$B$301,"학생379")+COUNTIF(경영학원론_4!$B$2:$B$300,"학생379")+COUNTIF(경제학원론_1!$B$2:$B$295,"학생379")+COUNTIF(경제학원론_2!$B$2:$B$298,"학생379")+COUNTIF(경제학원론_3!$B$2:$B$295,"학생379")+COUNTIF(경영통계학_1!$B$2:$B$299,"학생379")+COUNTIF(경영통계학_2!$B$2:$B$301,"학생379")+COUNTIF(경영통계학_3!$B$2:$B$298,"학생379")+COUNTIF(무역학개론_1!$B$2:$B$301,"학생379")+COUNTIF(회계학원론_1!$B$2:$B$293,"학생379")+COUNTIF(경영정보시스템_1!$B$2:$B$301,"학생379")+COUNTIF(관리회계_1!$B$2:$B$300,"학생379")+COUNTIF(관리회계_2!$B$2:$B$301,"학생379")+COUNTIF(마케팅_1!$B$2:$B$301,"학생379")+COUNTIF(마케팅리서치_1!$B$2:$B$301,"학생379")+COUNTIF(세법개론_1!$B$2:$B$300,"학생379")+COUNTIF(재무관리_1!$B$2:$B$301,"학생379")+COUNTIF(조직행동론_1!$B$2:$B$301,"학생379")+COUNTIF(조직행동론_2!$B$2:$B$301,"학생379")+COUNTIF(중급재무회계_1!$B$2:$B$301,"학생379")+COUNTIF(투자론_1!$B$2:$B$300,"학생379")+COUNTIF(경영과학_1!$B$2:$B$301,"학생379")+COUNTIF(세무회계_1!$B$2:$B$301,"학생379")+COUNTIF(스마트경영_1!$B$2:$B$301,"학생379")+COUNTIF(스마트경영_2!$B$2:$B$301,"학생379")+COUNTIF(인적자원관리_1!$B$2:$B$257,"학생379")+COUNTIF(서비스마케팅_1!$B$2:$B$276,"학생379")+COUNTIF(제품관리_1!$B$2:$B$301,"학생379")</f>
        <v>5</v>
      </c>
    </row>
    <row r="383" spans="1:9" hidden="1">
      <c r="A383" s="15">
        <v>380</v>
      </c>
      <c r="B383" s="16" t="s">
        <v>381</v>
      </c>
      <c r="C383" s="16">
        <v>202400380</v>
      </c>
      <c r="I383" s="24">
        <f>COUNTIF(경영학원론_1!$B$3:$B$300,"학생380")+COUNTIF(경영학원론_2!$B$2:$B$301,"학생380")+COUNTIF(경영학원론_3!$B$2:$B$301,"학생380")+COUNTIF(경영학원론_4!$B$2:$B$300,"학생380")+COUNTIF(경제학원론_1!$B$2:$B$295,"학생380")+COUNTIF(경제학원론_2!$B$2:$B$298,"학생380")+COUNTIF(경제학원론_3!$B$2:$B$295,"학생380")+COUNTIF(경영통계학_1!$B$2:$B$299,"학생380")+COUNTIF(경영통계학_2!$B$2:$B$301,"학생380")+COUNTIF(경영통계학_3!$B$2:$B$298,"학생380")+COUNTIF(무역학개론_1!$B$2:$B$301,"학생380")+COUNTIF(회계학원론_1!$B$2:$B$293,"학생380")+COUNTIF(경영정보시스템_1!$B$2:$B$301,"학생380")+COUNTIF(관리회계_1!$B$2:$B$300,"학생380")+COUNTIF(관리회계_2!$B$2:$B$301,"학생380")+COUNTIF(마케팅_1!$B$2:$B$301,"학생380")+COUNTIF(마케팅리서치_1!$B$2:$B$301,"학생380")+COUNTIF(세법개론_1!$B$2:$B$300,"학생380")+COUNTIF(재무관리_1!$B$2:$B$301,"학생380")+COUNTIF(조직행동론_1!$B$2:$B$301,"학생380")+COUNTIF(조직행동론_2!$B$2:$B$301,"학생380")+COUNTIF(중급재무회계_1!$B$2:$B$301,"학생380")+COUNTIF(투자론_1!$B$2:$B$300,"학생380")+COUNTIF(경영과학_1!$B$2:$B$301,"학생380")+COUNTIF(세무회계_1!$B$2:$B$301,"학생380")+COUNTIF(스마트경영_1!$B$2:$B$301,"학생380")+COUNTIF(스마트경영_2!$B$2:$B$301,"학생380")+COUNTIF(인적자원관리_1!$B$2:$B$257,"학생380")+COUNTIF(서비스마케팅_1!$B$2:$B$276,"학생380")+COUNTIF(제품관리_1!$B$2:$B$301,"학생380")</f>
        <v>6</v>
      </c>
    </row>
    <row r="384" spans="1:9" hidden="1">
      <c r="A384" s="15">
        <v>381</v>
      </c>
      <c r="B384" s="16" t="s">
        <v>382</v>
      </c>
      <c r="C384" s="16">
        <v>202400381</v>
      </c>
      <c r="I384" s="24">
        <f>COUNTIF(경영학원론_1!$B$3:$B$300,"학생381")+COUNTIF(경영학원론_2!$B$2:$B$301,"학생381")+COUNTIF(경영학원론_3!$B$2:$B$301,"학생381")+COUNTIF(경영학원론_4!$B$2:$B$300,"학생381")+COUNTIF(경제학원론_1!$B$2:$B$295,"학생381")+COUNTIF(경제학원론_2!$B$2:$B$298,"학생381")+COUNTIF(경제학원론_3!$B$2:$B$295,"학생381")+COUNTIF(경영통계학_1!$B$2:$B$299,"학생381")+COUNTIF(경영통계학_2!$B$2:$B$301,"학생381")+COUNTIF(경영통계학_3!$B$2:$B$298,"학생381")+COUNTIF(무역학개론_1!$B$2:$B$301,"학생381")+COUNTIF(회계학원론_1!$B$2:$B$293,"학생381")+COUNTIF(경영정보시스템_1!$B$2:$B$301,"학생381")+COUNTIF(관리회계_1!$B$2:$B$300,"학생381")+COUNTIF(관리회계_2!$B$2:$B$301,"학생381")+COUNTIF(마케팅_1!$B$2:$B$301,"학생381")+COUNTIF(마케팅리서치_1!$B$2:$B$301,"학생381")+COUNTIF(세법개론_1!$B$2:$B$300,"학생381")+COUNTIF(재무관리_1!$B$2:$B$301,"학생381")+COUNTIF(조직행동론_1!$B$2:$B$301,"학생381")+COUNTIF(조직행동론_2!$B$2:$B$301,"학생381")+COUNTIF(중급재무회계_1!$B$2:$B$301,"학생381")+COUNTIF(투자론_1!$B$2:$B$300,"학생381")+COUNTIF(경영과학_1!$B$2:$B$301,"학생381")+COUNTIF(세무회계_1!$B$2:$B$301,"학생381")+COUNTIF(스마트경영_1!$B$2:$B$301,"학생381")+COUNTIF(스마트경영_2!$B$2:$B$301,"학생381")+COUNTIF(인적자원관리_1!$B$2:$B$257,"학생381")+COUNTIF(서비스마케팅_1!$B$2:$B$276,"학생381")+COUNTIF(제품관리_1!$B$2:$B$301,"학생381")</f>
        <v>7</v>
      </c>
    </row>
    <row r="385" spans="1:9" hidden="1">
      <c r="A385" s="15">
        <v>382</v>
      </c>
      <c r="B385" s="16" t="s">
        <v>383</v>
      </c>
      <c r="C385" s="16">
        <v>202400382</v>
      </c>
      <c r="I385" s="24">
        <f>COUNTIF(경영학원론_1!$B$3:$B$300,"학생382")+COUNTIF(경영학원론_2!$B$2:$B$301,"학생382")+COUNTIF(경영학원론_3!$B$2:$B$301,"학생382")+COUNTIF(경영학원론_4!$B$2:$B$300,"학생382")+COUNTIF(경제학원론_1!$B$2:$B$295,"학생382")+COUNTIF(경제학원론_2!$B$2:$B$298,"학생382")+COUNTIF(경제학원론_3!$B$2:$B$295,"학생382")+COUNTIF(경영통계학_1!$B$2:$B$299,"학생382")+COUNTIF(경영통계학_2!$B$2:$B$301,"학생382")+COUNTIF(경영통계학_3!$B$2:$B$298,"학생382")+COUNTIF(무역학개론_1!$B$2:$B$301,"학생382")+COUNTIF(회계학원론_1!$B$2:$B$293,"학생382")+COUNTIF(경영정보시스템_1!$B$2:$B$301,"학생382")+COUNTIF(관리회계_1!$B$2:$B$300,"학생382")+COUNTIF(관리회계_2!$B$2:$B$301,"학생382")+COUNTIF(마케팅_1!$B$2:$B$301,"학생382")+COUNTIF(마케팅리서치_1!$B$2:$B$301,"학생382")+COUNTIF(세법개론_1!$B$2:$B$300,"학생382")+COUNTIF(재무관리_1!$B$2:$B$301,"학생382")+COUNTIF(조직행동론_1!$B$2:$B$301,"학생382")+COUNTIF(조직행동론_2!$B$2:$B$301,"학생382")+COUNTIF(중급재무회계_1!$B$2:$B$301,"학생382")+COUNTIF(투자론_1!$B$2:$B$300,"학생382")+COUNTIF(경영과학_1!$B$2:$B$301,"학생382")+COUNTIF(세무회계_1!$B$2:$B$301,"학생382")+COUNTIF(스마트경영_1!$B$2:$B$301,"학생382")+COUNTIF(스마트경영_2!$B$2:$B$301,"학생382")+COUNTIF(인적자원관리_1!$B$2:$B$257,"학생382")+COUNTIF(서비스마케팅_1!$B$2:$B$276,"학생382")+COUNTIF(제품관리_1!$B$2:$B$301,"학생382")</f>
        <v>6</v>
      </c>
    </row>
    <row r="386" spans="1:9" hidden="1">
      <c r="A386" s="15">
        <v>383</v>
      </c>
      <c r="B386" s="16" t="s">
        <v>384</v>
      </c>
      <c r="C386" s="16">
        <v>202400383</v>
      </c>
      <c r="I386" s="24">
        <f>COUNTIF(경영학원론_1!$B$3:$B$300,"학생383")+COUNTIF(경영학원론_2!$B$2:$B$301,"학생383")+COUNTIF(경영학원론_3!$B$2:$B$301,"학생383")+COUNTIF(경영학원론_4!$B$2:$B$300,"학생383")+COUNTIF(경제학원론_1!$B$2:$B$295,"학생383")+COUNTIF(경제학원론_2!$B$2:$B$298,"학생383")+COUNTIF(경제학원론_3!$B$2:$B$295,"학생383")+COUNTIF(경영통계학_1!$B$2:$B$299,"학생383")+COUNTIF(경영통계학_2!$B$2:$B$301,"학생383")+COUNTIF(경영통계학_3!$B$2:$B$298,"학생383")+COUNTIF(무역학개론_1!$B$2:$B$301,"학생383")+COUNTIF(회계학원론_1!$B$2:$B$293,"학생383")+COUNTIF(경영정보시스템_1!$B$2:$B$301,"학생383")+COUNTIF(관리회계_1!$B$2:$B$300,"학생383")+COUNTIF(관리회계_2!$B$2:$B$301,"학생383")+COUNTIF(마케팅_1!$B$2:$B$301,"학생383")+COUNTIF(마케팅리서치_1!$B$2:$B$301,"학생383")+COUNTIF(세법개론_1!$B$2:$B$300,"학생383")+COUNTIF(재무관리_1!$B$2:$B$301,"학생383")+COUNTIF(조직행동론_1!$B$2:$B$301,"학생383")+COUNTIF(조직행동론_2!$B$2:$B$301,"학생383")+COUNTIF(중급재무회계_1!$B$2:$B$301,"학생383")+COUNTIF(투자론_1!$B$2:$B$300,"학생383")+COUNTIF(경영과학_1!$B$2:$B$301,"학생383")+COUNTIF(세무회계_1!$B$2:$B$301,"학생383")+COUNTIF(스마트경영_1!$B$2:$B$301,"학생383")+COUNTIF(스마트경영_2!$B$2:$B$301,"학생383")+COUNTIF(인적자원관리_1!$B$2:$B$257,"학생383")+COUNTIF(서비스마케팅_1!$B$2:$B$276,"학생383")+COUNTIF(제품관리_1!$B$2:$B$301,"학생383")</f>
        <v>6</v>
      </c>
    </row>
    <row r="387" spans="1:9" hidden="1">
      <c r="A387" s="15">
        <v>384</v>
      </c>
      <c r="B387" s="16" t="s">
        <v>385</v>
      </c>
      <c r="C387" s="16">
        <v>202400384</v>
      </c>
      <c r="I387" s="24">
        <f>COUNTIF(경영학원론_1!$B$3:$B$300,"학생384")+COUNTIF(경영학원론_2!$B$2:$B$301,"학생384")+COUNTIF(경영학원론_3!$B$2:$B$301,"학생384")+COUNTIF(경영학원론_4!$B$2:$B$300,"학생384")+COUNTIF(경제학원론_1!$B$2:$B$295,"학생384")+COUNTIF(경제학원론_2!$B$2:$B$298,"학생384")+COUNTIF(경제학원론_3!$B$2:$B$295,"학생384")+COUNTIF(경영통계학_1!$B$2:$B$299,"학생384")+COUNTIF(경영통계학_2!$B$2:$B$301,"학생384")+COUNTIF(경영통계학_3!$B$2:$B$298,"학생384")+COUNTIF(무역학개론_1!$B$2:$B$301,"학생384")+COUNTIF(회계학원론_1!$B$2:$B$293,"학생384")+COUNTIF(경영정보시스템_1!$B$2:$B$301,"학생384")+COUNTIF(관리회계_1!$B$2:$B$300,"학생384")+COUNTIF(관리회계_2!$B$2:$B$301,"학생384")+COUNTIF(마케팅_1!$B$2:$B$301,"학생384")+COUNTIF(마케팅리서치_1!$B$2:$B$301,"학생384")+COUNTIF(세법개론_1!$B$2:$B$300,"학생384")+COUNTIF(재무관리_1!$B$2:$B$301,"학생384")+COUNTIF(조직행동론_1!$B$2:$B$301,"학생384")+COUNTIF(조직행동론_2!$B$2:$B$301,"학생384")+COUNTIF(중급재무회계_1!$B$2:$B$301,"학생384")+COUNTIF(투자론_1!$B$2:$B$300,"학생384")+COUNTIF(경영과학_1!$B$2:$B$301,"학생384")+COUNTIF(세무회계_1!$B$2:$B$301,"학생384")+COUNTIF(스마트경영_1!$B$2:$B$301,"학생384")+COUNTIF(스마트경영_2!$B$2:$B$301,"학생384")+COUNTIF(인적자원관리_1!$B$2:$B$257,"학생384")+COUNTIF(서비스마케팅_1!$B$2:$B$276,"학생384")+COUNTIF(제품관리_1!$B$2:$B$301,"학생384")</f>
        <v>7</v>
      </c>
    </row>
    <row r="388" spans="1:9" hidden="1">
      <c r="A388" s="15">
        <v>385</v>
      </c>
      <c r="B388" s="16" t="s">
        <v>386</v>
      </c>
      <c r="C388" s="16">
        <v>202400385</v>
      </c>
      <c r="I388" s="24">
        <f>COUNTIF(경영학원론_1!$B$3:$B$300,"학생385")+COUNTIF(경영학원론_2!$B$2:$B$301,"학생385")+COUNTIF(경영학원론_3!$B$2:$B$301,"학생385")+COUNTIF(경영학원론_4!$B$2:$B$300,"학생385")+COUNTIF(경제학원론_1!$B$2:$B$295,"학생385")+COUNTIF(경제학원론_2!$B$2:$B$298,"학생385")+COUNTIF(경제학원론_3!$B$2:$B$295,"학생385")+COUNTIF(경영통계학_1!$B$2:$B$299,"학생385")+COUNTIF(경영통계학_2!$B$2:$B$301,"학생385")+COUNTIF(경영통계학_3!$B$2:$B$298,"학생385")+COUNTIF(무역학개론_1!$B$2:$B$301,"학생385")+COUNTIF(회계학원론_1!$B$2:$B$293,"학생385")+COUNTIF(경영정보시스템_1!$B$2:$B$301,"학생385")+COUNTIF(관리회계_1!$B$2:$B$300,"학생385")+COUNTIF(관리회계_2!$B$2:$B$301,"학생385")+COUNTIF(마케팅_1!$B$2:$B$301,"학생385")+COUNTIF(마케팅리서치_1!$B$2:$B$301,"학생385")+COUNTIF(세법개론_1!$B$2:$B$300,"학생385")+COUNTIF(재무관리_1!$B$2:$B$301,"학생385")+COUNTIF(조직행동론_1!$B$2:$B$301,"학생385")+COUNTIF(조직행동론_2!$B$2:$B$301,"학생385")+COUNTIF(중급재무회계_1!$B$2:$B$301,"학생385")+COUNTIF(투자론_1!$B$2:$B$300,"학생385")+COUNTIF(경영과학_1!$B$2:$B$301,"학생385")+COUNTIF(세무회계_1!$B$2:$B$301,"학생385")+COUNTIF(스마트경영_1!$B$2:$B$301,"학생385")+COUNTIF(스마트경영_2!$B$2:$B$301,"학생385")+COUNTIF(인적자원관리_1!$B$2:$B$257,"학생385")+COUNTIF(서비스마케팅_1!$B$2:$B$276,"학생385")+COUNTIF(제품관리_1!$B$2:$B$301,"학생385")</f>
        <v>4</v>
      </c>
    </row>
    <row r="389" spans="1:9" hidden="1">
      <c r="A389" s="15">
        <v>386</v>
      </c>
      <c r="B389" s="16" t="s">
        <v>387</v>
      </c>
      <c r="C389" s="16">
        <v>202400386</v>
      </c>
      <c r="I389" s="24">
        <f>COUNTIF(경영학원론_1!$B$3:$B$300,"학생386")+COUNTIF(경영학원론_2!$B$2:$B$301,"학생386")+COUNTIF(경영학원론_3!$B$2:$B$301,"학생386")+COUNTIF(경영학원론_4!$B$2:$B$300,"학생386")+COUNTIF(경제학원론_1!$B$2:$B$295,"학생386")+COUNTIF(경제학원론_2!$B$2:$B$298,"학생386")+COUNTIF(경제학원론_3!$B$2:$B$295,"학생386")+COUNTIF(경영통계학_1!$B$2:$B$299,"학생386")+COUNTIF(경영통계학_2!$B$2:$B$301,"학생386")+COUNTIF(경영통계학_3!$B$2:$B$298,"학생386")+COUNTIF(무역학개론_1!$B$2:$B$301,"학생386")+COUNTIF(회계학원론_1!$B$2:$B$293,"학생386")+COUNTIF(경영정보시스템_1!$B$2:$B$301,"학생386")+COUNTIF(관리회계_1!$B$2:$B$300,"학생386")+COUNTIF(관리회계_2!$B$2:$B$301,"학생386")+COUNTIF(마케팅_1!$B$2:$B$301,"학생386")+COUNTIF(마케팅리서치_1!$B$2:$B$301,"학생386")+COUNTIF(세법개론_1!$B$2:$B$300,"학생386")+COUNTIF(재무관리_1!$B$2:$B$301,"학생386")+COUNTIF(조직행동론_1!$B$2:$B$301,"학생386")+COUNTIF(조직행동론_2!$B$2:$B$301,"학생386")+COUNTIF(중급재무회계_1!$B$2:$B$301,"학생386")+COUNTIF(투자론_1!$B$2:$B$300,"학생386")+COUNTIF(경영과학_1!$B$2:$B$301,"학생386")+COUNTIF(세무회계_1!$B$2:$B$301,"학생386")+COUNTIF(스마트경영_1!$B$2:$B$301,"학생386")+COUNTIF(스마트경영_2!$B$2:$B$301,"학생386")+COUNTIF(인적자원관리_1!$B$2:$B$257,"학생386")+COUNTIF(서비스마케팅_1!$B$2:$B$276,"학생386")+COUNTIF(제품관리_1!$B$2:$B$301,"학생386")</f>
        <v>6</v>
      </c>
    </row>
    <row r="390" spans="1:9" hidden="1">
      <c r="A390" s="15">
        <v>387</v>
      </c>
      <c r="B390" s="16" t="s">
        <v>388</v>
      </c>
      <c r="C390" s="16">
        <v>202400387</v>
      </c>
      <c r="I390" s="24">
        <f>COUNTIF(경영학원론_1!$B$3:$B$300,"학생387")+COUNTIF(경영학원론_2!$B$2:$B$301,"학생387")+COUNTIF(경영학원론_3!$B$2:$B$301,"학생387")+COUNTIF(경영학원론_4!$B$2:$B$300,"학생387")+COUNTIF(경제학원론_1!$B$2:$B$295,"학생387")+COUNTIF(경제학원론_2!$B$2:$B$298,"학생387")+COUNTIF(경제학원론_3!$B$2:$B$295,"학생387")+COUNTIF(경영통계학_1!$B$2:$B$299,"학생387")+COUNTIF(경영통계학_2!$B$2:$B$301,"학생387")+COUNTIF(경영통계학_3!$B$2:$B$298,"학생387")+COUNTIF(무역학개론_1!$B$2:$B$301,"학생387")+COUNTIF(회계학원론_1!$B$2:$B$293,"학생387")+COUNTIF(경영정보시스템_1!$B$2:$B$301,"학생387")+COUNTIF(관리회계_1!$B$2:$B$300,"학생387")+COUNTIF(관리회계_2!$B$2:$B$301,"학생387")+COUNTIF(마케팅_1!$B$2:$B$301,"학생387")+COUNTIF(마케팅리서치_1!$B$2:$B$301,"학생387")+COUNTIF(세법개론_1!$B$2:$B$300,"학생387")+COUNTIF(재무관리_1!$B$2:$B$301,"학생387")+COUNTIF(조직행동론_1!$B$2:$B$301,"학생387")+COUNTIF(조직행동론_2!$B$2:$B$301,"학생387")+COUNTIF(중급재무회계_1!$B$2:$B$301,"학생387")+COUNTIF(투자론_1!$B$2:$B$300,"학생387")+COUNTIF(경영과학_1!$B$2:$B$301,"학생387")+COUNTIF(세무회계_1!$B$2:$B$301,"학생387")+COUNTIF(스마트경영_1!$B$2:$B$301,"학생387")+COUNTIF(스마트경영_2!$B$2:$B$301,"학생387")+COUNTIF(인적자원관리_1!$B$2:$B$257,"학생387")+COUNTIF(서비스마케팅_1!$B$2:$B$276,"학생387")+COUNTIF(제품관리_1!$B$2:$B$301,"학생387")</f>
        <v>6</v>
      </c>
    </row>
    <row r="391" spans="1:9" hidden="1">
      <c r="A391" s="15">
        <v>388</v>
      </c>
      <c r="B391" s="16" t="s">
        <v>389</v>
      </c>
      <c r="C391" s="16">
        <v>202400388</v>
      </c>
      <c r="I391" s="24">
        <f>COUNTIF(경영학원론_1!$B$3:$B$300,"학생388")+COUNTIF(경영학원론_2!$B$2:$B$301,"학생388")+COUNTIF(경영학원론_3!$B$2:$B$301,"학생388")+COUNTIF(경영학원론_4!$B$2:$B$300,"학생388")+COUNTIF(경제학원론_1!$B$2:$B$295,"학생388")+COUNTIF(경제학원론_2!$B$2:$B$298,"학생388")+COUNTIF(경제학원론_3!$B$2:$B$295,"학생388")+COUNTIF(경영통계학_1!$B$2:$B$299,"학생388")+COUNTIF(경영통계학_2!$B$2:$B$301,"학생388")+COUNTIF(경영통계학_3!$B$2:$B$298,"학생388")+COUNTIF(무역학개론_1!$B$2:$B$301,"학생388")+COUNTIF(회계학원론_1!$B$2:$B$293,"학생388")+COUNTIF(경영정보시스템_1!$B$2:$B$301,"학생388")+COUNTIF(관리회계_1!$B$2:$B$300,"학생388")+COUNTIF(관리회계_2!$B$2:$B$301,"학생388")+COUNTIF(마케팅_1!$B$2:$B$301,"학생388")+COUNTIF(마케팅리서치_1!$B$2:$B$301,"학생388")+COUNTIF(세법개론_1!$B$2:$B$300,"학생388")+COUNTIF(재무관리_1!$B$2:$B$301,"학생388")+COUNTIF(조직행동론_1!$B$2:$B$301,"학생388")+COUNTIF(조직행동론_2!$B$2:$B$301,"학생388")+COUNTIF(중급재무회계_1!$B$2:$B$301,"학생388")+COUNTIF(투자론_1!$B$2:$B$300,"학생388")+COUNTIF(경영과학_1!$B$2:$B$301,"학생388")+COUNTIF(세무회계_1!$B$2:$B$301,"학생388")+COUNTIF(스마트경영_1!$B$2:$B$301,"학생388")+COUNTIF(스마트경영_2!$B$2:$B$301,"학생388")+COUNTIF(인적자원관리_1!$B$2:$B$257,"학생388")+COUNTIF(서비스마케팅_1!$B$2:$B$276,"학생388")+COUNTIF(제품관리_1!$B$2:$B$301,"학생388")</f>
        <v>5</v>
      </c>
    </row>
    <row r="392" spans="1:9" hidden="1">
      <c r="A392" s="15">
        <v>389</v>
      </c>
      <c r="B392" s="16" t="s">
        <v>390</v>
      </c>
      <c r="C392" s="16">
        <v>202400389</v>
      </c>
      <c r="I392" s="24">
        <f>COUNTIF(경영학원론_1!$B$3:$B$300,"학생389")+COUNTIF(경영학원론_2!$B$2:$B$301,"학생389")+COUNTIF(경영학원론_3!$B$2:$B$301,"학생389")+COUNTIF(경영학원론_4!$B$2:$B$300,"학생389")+COUNTIF(경제학원론_1!$B$2:$B$295,"학생389")+COUNTIF(경제학원론_2!$B$2:$B$298,"학생389")+COUNTIF(경제학원론_3!$B$2:$B$295,"학생389")+COUNTIF(경영통계학_1!$B$2:$B$299,"학생389")+COUNTIF(경영통계학_2!$B$2:$B$301,"학생389")+COUNTIF(경영통계학_3!$B$2:$B$298,"학생389")+COUNTIF(무역학개론_1!$B$2:$B$301,"학생389")+COUNTIF(회계학원론_1!$B$2:$B$293,"학생389")+COUNTIF(경영정보시스템_1!$B$2:$B$301,"학생389")+COUNTIF(관리회계_1!$B$2:$B$300,"학생389")+COUNTIF(관리회계_2!$B$2:$B$301,"학생389")+COUNTIF(마케팅_1!$B$2:$B$301,"학생389")+COUNTIF(마케팅리서치_1!$B$2:$B$301,"학생389")+COUNTIF(세법개론_1!$B$2:$B$300,"학생389")+COUNTIF(재무관리_1!$B$2:$B$301,"학생389")+COUNTIF(조직행동론_1!$B$2:$B$301,"학생389")+COUNTIF(조직행동론_2!$B$2:$B$301,"학생389")+COUNTIF(중급재무회계_1!$B$2:$B$301,"학생389")+COUNTIF(투자론_1!$B$2:$B$300,"학생389")+COUNTIF(경영과학_1!$B$2:$B$301,"학생389")+COUNTIF(세무회계_1!$B$2:$B$301,"학생389")+COUNTIF(스마트경영_1!$B$2:$B$301,"학생389")+COUNTIF(스마트경영_2!$B$2:$B$301,"학생389")+COUNTIF(인적자원관리_1!$B$2:$B$257,"학생389")+COUNTIF(서비스마케팅_1!$B$2:$B$276,"학생389")+COUNTIF(제품관리_1!$B$2:$B$301,"학생389")</f>
        <v>7</v>
      </c>
    </row>
    <row r="393" spans="1:9" hidden="1">
      <c r="A393" s="15">
        <v>390</v>
      </c>
      <c r="B393" s="16" t="s">
        <v>391</v>
      </c>
      <c r="C393" s="16">
        <v>202400390</v>
      </c>
      <c r="I393" s="24">
        <f>COUNTIF(경영학원론_1!$B$3:$B$300,"학생390")+COUNTIF(경영학원론_2!$B$2:$B$301,"학생390")+COUNTIF(경영학원론_3!$B$2:$B$301,"학생390")+COUNTIF(경영학원론_4!$B$2:$B$300,"학생390")+COUNTIF(경제학원론_1!$B$2:$B$295,"학생390")+COUNTIF(경제학원론_2!$B$2:$B$298,"학생390")+COUNTIF(경제학원론_3!$B$2:$B$295,"학생390")+COUNTIF(경영통계학_1!$B$2:$B$299,"학생390")+COUNTIF(경영통계학_2!$B$2:$B$301,"학생390")+COUNTIF(경영통계학_3!$B$2:$B$298,"학생390")+COUNTIF(무역학개론_1!$B$2:$B$301,"학생390")+COUNTIF(회계학원론_1!$B$2:$B$293,"학생390")+COUNTIF(경영정보시스템_1!$B$2:$B$301,"학생390")+COUNTIF(관리회계_1!$B$2:$B$300,"학생390")+COUNTIF(관리회계_2!$B$2:$B$301,"학생390")+COUNTIF(마케팅_1!$B$2:$B$301,"학생390")+COUNTIF(마케팅리서치_1!$B$2:$B$301,"학생390")+COUNTIF(세법개론_1!$B$2:$B$300,"학생390")+COUNTIF(재무관리_1!$B$2:$B$301,"학생390")+COUNTIF(조직행동론_1!$B$2:$B$301,"학생390")+COUNTIF(조직행동론_2!$B$2:$B$301,"학생390")+COUNTIF(중급재무회계_1!$B$2:$B$301,"학생390")+COUNTIF(투자론_1!$B$2:$B$300,"학생390")+COUNTIF(경영과학_1!$B$2:$B$301,"학생390")+COUNTIF(세무회계_1!$B$2:$B$301,"학생390")+COUNTIF(스마트경영_1!$B$2:$B$301,"학생390")+COUNTIF(스마트경영_2!$B$2:$B$301,"학생390")+COUNTIF(인적자원관리_1!$B$2:$B$257,"학생390")+COUNTIF(서비스마케팅_1!$B$2:$B$276,"학생390")+COUNTIF(제품관리_1!$B$2:$B$301,"학생390")</f>
        <v>5</v>
      </c>
    </row>
    <row r="394" spans="1:9" hidden="1">
      <c r="A394" s="15">
        <v>391</v>
      </c>
      <c r="B394" s="16" t="s">
        <v>392</v>
      </c>
      <c r="C394" s="16">
        <v>202400391</v>
      </c>
      <c r="I394" s="24">
        <f>COUNTIF(경영학원론_1!$B$3:$B$300,"학생391")+COUNTIF(경영학원론_2!$B$2:$B$301,"학생391")+COUNTIF(경영학원론_3!$B$2:$B$301,"학생391")+COUNTIF(경영학원론_4!$B$2:$B$300,"학생391")+COUNTIF(경제학원론_1!$B$2:$B$295,"학생391")+COUNTIF(경제학원론_2!$B$2:$B$298,"학생391")+COUNTIF(경제학원론_3!$B$2:$B$295,"학생391")+COUNTIF(경영통계학_1!$B$2:$B$299,"학생391")+COUNTIF(경영통계학_2!$B$2:$B$301,"학생391")+COUNTIF(경영통계학_3!$B$2:$B$298,"학생391")+COUNTIF(무역학개론_1!$B$2:$B$301,"학생391")+COUNTIF(회계학원론_1!$B$2:$B$293,"학생391")+COUNTIF(경영정보시스템_1!$B$2:$B$301,"학생391")+COUNTIF(관리회계_1!$B$2:$B$300,"학생391")+COUNTIF(관리회계_2!$B$2:$B$301,"학생391")+COUNTIF(마케팅_1!$B$2:$B$301,"학생391")+COUNTIF(마케팅리서치_1!$B$2:$B$301,"학생391")+COUNTIF(세법개론_1!$B$2:$B$300,"학생391")+COUNTIF(재무관리_1!$B$2:$B$301,"학생391")+COUNTIF(조직행동론_1!$B$2:$B$301,"학생391")+COUNTIF(조직행동론_2!$B$2:$B$301,"학생391")+COUNTIF(중급재무회계_1!$B$2:$B$301,"학생391")+COUNTIF(투자론_1!$B$2:$B$300,"학생391")+COUNTIF(경영과학_1!$B$2:$B$301,"학생391")+COUNTIF(세무회계_1!$B$2:$B$301,"학생391")+COUNTIF(스마트경영_1!$B$2:$B$301,"학생391")+COUNTIF(스마트경영_2!$B$2:$B$301,"학생391")+COUNTIF(인적자원관리_1!$B$2:$B$257,"학생391")+COUNTIF(서비스마케팅_1!$B$2:$B$276,"학생391")+COUNTIF(제품관리_1!$B$2:$B$301,"학생391")</f>
        <v>7</v>
      </c>
    </row>
    <row r="395" spans="1:9" hidden="1">
      <c r="A395" s="15">
        <v>392</v>
      </c>
      <c r="B395" s="16" t="s">
        <v>393</v>
      </c>
      <c r="C395" s="16">
        <v>202400392</v>
      </c>
      <c r="I395" s="24">
        <f>COUNTIF(경영학원론_1!$B$3:$B$300,"학생392")+COUNTIF(경영학원론_2!$B$2:$B$301,"학생392")+COUNTIF(경영학원론_3!$B$2:$B$301,"학생392")+COUNTIF(경영학원론_4!$B$2:$B$300,"학생392")+COUNTIF(경제학원론_1!$B$2:$B$295,"학생392")+COUNTIF(경제학원론_2!$B$2:$B$298,"학생392")+COUNTIF(경제학원론_3!$B$2:$B$295,"학생392")+COUNTIF(경영통계학_1!$B$2:$B$299,"학생392")+COUNTIF(경영통계학_2!$B$2:$B$301,"학생392")+COUNTIF(경영통계학_3!$B$2:$B$298,"학생392")+COUNTIF(무역학개론_1!$B$2:$B$301,"학생392")+COUNTIF(회계학원론_1!$B$2:$B$293,"학생392")+COUNTIF(경영정보시스템_1!$B$2:$B$301,"학생392")+COUNTIF(관리회계_1!$B$2:$B$300,"학생392")+COUNTIF(관리회계_2!$B$2:$B$301,"학생392")+COUNTIF(마케팅_1!$B$2:$B$301,"학생392")+COUNTIF(마케팅리서치_1!$B$2:$B$301,"학생392")+COUNTIF(세법개론_1!$B$2:$B$300,"학생392")+COUNTIF(재무관리_1!$B$2:$B$301,"학생392")+COUNTIF(조직행동론_1!$B$2:$B$301,"학생392")+COUNTIF(조직행동론_2!$B$2:$B$301,"학생392")+COUNTIF(중급재무회계_1!$B$2:$B$301,"학생392")+COUNTIF(투자론_1!$B$2:$B$300,"학생392")+COUNTIF(경영과학_1!$B$2:$B$301,"학생392")+COUNTIF(세무회계_1!$B$2:$B$301,"학생392")+COUNTIF(스마트경영_1!$B$2:$B$301,"학생392")+COUNTIF(스마트경영_2!$B$2:$B$301,"학생392")+COUNTIF(인적자원관리_1!$B$2:$B$257,"학생392")+COUNTIF(서비스마케팅_1!$B$2:$B$276,"학생392")+COUNTIF(제품관리_1!$B$2:$B$301,"학생392")</f>
        <v>7</v>
      </c>
    </row>
    <row r="396" spans="1:9" hidden="1">
      <c r="A396" s="15">
        <v>393</v>
      </c>
      <c r="B396" s="16" t="s">
        <v>394</v>
      </c>
      <c r="C396" s="16">
        <v>202400393</v>
      </c>
      <c r="I396" s="24">
        <f>COUNTIF(경영학원론_1!$B$3:$B$300,"학생393")+COUNTIF(경영학원론_2!$B$2:$B$301,"학생393")+COUNTIF(경영학원론_3!$B$2:$B$301,"학생393")+COUNTIF(경영학원론_4!$B$2:$B$300,"학생393")+COUNTIF(경제학원론_1!$B$2:$B$295,"학생393")+COUNTIF(경제학원론_2!$B$2:$B$298,"학생393")+COUNTIF(경제학원론_3!$B$2:$B$295,"학생393")+COUNTIF(경영통계학_1!$B$2:$B$299,"학생393")+COUNTIF(경영통계학_2!$B$2:$B$301,"학생393")+COUNTIF(경영통계학_3!$B$2:$B$298,"학생393")+COUNTIF(무역학개론_1!$B$2:$B$301,"학생393")+COUNTIF(회계학원론_1!$B$2:$B$293,"학생393")+COUNTIF(경영정보시스템_1!$B$2:$B$301,"학생393")+COUNTIF(관리회계_1!$B$2:$B$300,"학생393")+COUNTIF(관리회계_2!$B$2:$B$301,"학생393")+COUNTIF(마케팅_1!$B$2:$B$301,"학생393")+COUNTIF(마케팅리서치_1!$B$2:$B$301,"학생393")+COUNTIF(세법개론_1!$B$2:$B$300,"학생393")+COUNTIF(재무관리_1!$B$2:$B$301,"학생393")+COUNTIF(조직행동론_1!$B$2:$B$301,"학생393")+COUNTIF(조직행동론_2!$B$2:$B$301,"학생393")+COUNTIF(중급재무회계_1!$B$2:$B$301,"학생393")+COUNTIF(투자론_1!$B$2:$B$300,"학생393")+COUNTIF(경영과학_1!$B$2:$B$301,"학생393")+COUNTIF(세무회계_1!$B$2:$B$301,"학생393")+COUNTIF(스마트경영_1!$B$2:$B$301,"학생393")+COUNTIF(스마트경영_2!$B$2:$B$301,"학생393")+COUNTIF(인적자원관리_1!$B$2:$B$257,"학생393")+COUNTIF(서비스마케팅_1!$B$2:$B$276,"학생393")+COUNTIF(제품관리_1!$B$2:$B$301,"학생393")</f>
        <v>4</v>
      </c>
    </row>
    <row r="397" spans="1:9" hidden="1">
      <c r="A397" s="15">
        <v>394</v>
      </c>
      <c r="B397" s="16" t="s">
        <v>395</v>
      </c>
      <c r="C397" s="16">
        <v>202400394</v>
      </c>
      <c r="I397" s="24">
        <f>COUNTIF(경영학원론_1!$B$3:$B$300,"학생394")+COUNTIF(경영학원론_2!$B$2:$B$301,"학생394")+COUNTIF(경영학원론_3!$B$2:$B$301,"학생394")+COUNTIF(경영학원론_4!$B$2:$B$300,"학생394")+COUNTIF(경제학원론_1!$B$2:$B$295,"학생394")+COUNTIF(경제학원론_2!$B$2:$B$298,"학생394")+COUNTIF(경제학원론_3!$B$2:$B$295,"학생394")+COUNTIF(경영통계학_1!$B$2:$B$299,"학생394")+COUNTIF(경영통계학_2!$B$2:$B$301,"학생394")+COUNTIF(경영통계학_3!$B$2:$B$298,"학생394")+COUNTIF(무역학개론_1!$B$2:$B$301,"학생394")+COUNTIF(회계학원론_1!$B$2:$B$293,"학생394")+COUNTIF(경영정보시스템_1!$B$2:$B$301,"학생394")+COUNTIF(관리회계_1!$B$2:$B$300,"학생394")+COUNTIF(관리회계_2!$B$2:$B$301,"학생394")+COUNTIF(마케팅_1!$B$2:$B$301,"학생394")+COUNTIF(마케팅리서치_1!$B$2:$B$301,"학생394")+COUNTIF(세법개론_1!$B$2:$B$300,"학생394")+COUNTIF(재무관리_1!$B$2:$B$301,"학생394")+COUNTIF(조직행동론_1!$B$2:$B$301,"학생394")+COUNTIF(조직행동론_2!$B$2:$B$301,"학생394")+COUNTIF(중급재무회계_1!$B$2:$B$301,"학생394")+COUNTIF(투자론_1!$B$2:$B$300,"학생394")+COUNTIF(경영과학_1!$B$2:$B$301,"학생394")+COUNTIF(세무회계_1!$B$2:$B$301,"학생394")+COUNTIF(스마트경영_1!$B$2:$B$301,"학생394")+COUNTIF(스마트경영_2!$B$2:$B$301,"학생394")+COUNTIF(인적자원관리_1!$B$2:$B$257,"학생394")+COUNTIF(서비스마케팅_1!$B$2:$B$276,"학생394")+COUNTIF(제품관리_1!$B$2:$B$301,"학생394")</f>
        <v>4</v>
      </c>
    </row>
    <row r="398" spans="1:9" hidden="1">
      <c r="A398" s="15">
        <v>395</v>
      </c>
      <c r="B398" s="16" t="s">
        <v>396</v>
      </c>
      <c r="C398" s="16">
        <v>202400395</v>
      </c>
      <c r="I398" s="24">
        <f>COUNTIF(경영학원론_1!$B$3:$B$300,"학생395")+COUNTIF(경영학원론_2!$B$2:$B$301,"학생395")+COUNTIF(경영학원론_3!$B$2:$B$301,"학생395")+COUNTIF(경영학원론_4!$B$2:$B$300,"학생395")+COUNTIF(경제학원론_1!$B$2:$B$295,"학생395")+COUNTIF(경제학원론_2!$B$2:$B$298,"학생395")+COUNTIF(경제학원론_3!$B$2:$B$295,"학생395")+COUNTIF(경영통계학_1!$B$2:$B$299,"학생395")+COUNTIF(경영통계학_2!$B$2:$B$301,"학생395")+COUNTIF(경영통계학_3!$B$2:$B$298,"학생395")+COUNTIF(무역학개론_1!$B$2:$B$301,"학생395")+COUNTIF(회계학원론_1!$B$2:$B$293,"학생395")+COUNTIF(경영정보시스템_1!$B$2:$B$301,"학생395")+COUNTIF(관리회계_1!$B$2:$B$300,"학생395")+COUNTIF(관리회계_2!$B$2:$B$301,"학생395")+COUNTIF(마케팅_1!$B$2:$B$301,"학생395")+COUNTIF(마케팅리서치_1!$B$2:$B$301,"학생395")+COUNTIF(세법개론_1!$B$2:$B$300,"학생395")+COUNTIF(재무관리_1!$B$2:$B$301,"학생395")+COUNTIF(조직행동론_1!$B$2:$B$301,"학생395")+COUNTIF(조직행동론_2!$B$2:$B$301,"학생395")+COUNTIF(중급재무회계_1!$B$2:$B$301,"학생395")+COUNTIF(투자론_1!$B$2:$B$300,"학생395")+COUNTIF(경영과학_1!$B$2:$B$301,"학생395")+COUNTIF(세무회계_1!$B$2:$B$301,"학생395")+COUNTIF(스마트경영_1!$B$2:$B$301,"학생395")+COUNTIF(스마트경영_2!$B$2:$B$301,"학생395")+COUNTIF(인적자원관리_1!$B$2:$B$257,"학생395")+COUNTIF(서비스마케팅_1!$B$2:$B$276,"학생395")+COUNTIF(제품관리_1!$B$2:$B$301,"학생395")</f>
        <v>6</v>
      </c>
    </row>
    <row r="399" spans="1:9" hidden="1">
      <c r="A399" s="15">
        <v>396</v>
      </c>
      <c r="B399" s="16" t="s">
        <v>397</v>
      </c>
      <c r="C399" s="16">
        <v>202400396</v>
      </c>
      <c r="I399" s="24">
        <f>COUNTIF(경영학원론_1!$B$3:$B$300,"학생396")+COUNTIF(경영학원론_2!$B$2:$B$301,"학생396")+COUNTIF(경영학원론_3!$B$2:$B$301,"학생396")+COUNTIF(경영학원론_4!$B$2:$B$300,"학생396")+COUNTIF(경제학원론_1!$B$2:$B$295,"학생396")+COUNTIF(경제학원론_2!$B$2:$B$298,"학생396")+COUNTIF(경제학원론_3!$B$2:$B$295,"학생396")+COUNTIF(경영통계학_1!$B$2:$B$299,"학생396")+COUNTIF(경영통계학_2!$B$2:$B$301,"학생396")+COUNTIF(경영통계학_3!$B$2:$B$298,"학생396")+COUNTIF(무역학개론_1!$B$2:$B$301,"학생396")+COUNTIF(회계학원론_1!$B$2:$B$293,"학생396")+COUNTIF(경영정보시스템_1!$B$2:$B$301,"학생396")+COUNTIF(관리회계_1!$B$2:$B$300,"학생396")+COUNTIF(관리회계_2!$B$2:$B$301,"학생396")+COUNTIF(마케팅_1!$B$2:$B$301,"학생396")+COUNTIF(마케팅리서치_1!$B$2:$B$301,"학생396")+COUNTIF(세법개론_1!$B$2:$B$300,"학생396")+COUNTIF(재무관리_1!$B$2:$B$301,"학생396")+COUNTIF(조직행동론_1!$B$2:$B$301,"학생396")+COUNTIF(조직행동론_2!$B$2:$B$301,"학생396")+COUNTIF(중급재무회계_1!$B$2:$B$301,"학생396")+COUNTIF(투자론_1!$B$2:$B$300,"학생396")+COUNTIF(경영과학_1!$B$2:$B$301,"학생396")+COUNTIF(세무회계_1!$B$2:$B$301,"학생396")+COUNTIF(스마트경영_1!$B$2:$B$301,"학생396")+COUNTIF(스마트경영_2!$B$2:$B$301,"학생396")+COUNTIF(인적자원관리_1!$B$2:$B$257,"학생396")+COUNTIF(서비스마케팅_1!$B$2:$B$276,"학생396")+COUNTIF(제품관리_1!$B$2:$B$301,"학생396")</f>
        <v>7</v>
      </c>
    </row>
    <row r="400" spans="1:9" hidden="1">
      <c r="A400" s="15">
        <v>397</v>
      </c>
      <c r="B400" s="16" t="s">
        <v>398</v>
      </c>
      <c r="C400" s="16">
        <v>202400397</v>
      </c>
      <c r="I400" s="24">
        <f>COUNTIF(경영학원론_1!$B$3:$B$300,"학생397")+COUNTIF(경영학원론_2!$B$2:$B$301,"학생397")+COUNTIF(경영학원론_3!$B$2:$B$301,"학생397")+COUNTIF(경영학원론_4!$B$2:$B$300,"학생397")+COUNTIF(경제학원론_1!$B$2:$B$295,"학생397")+COUNTIF(경제학원론_2!$B$2:$B$298,"학생397")+COUNTIF(경제학원론_3!$B$2:$B$295,"학생397")+COUNTIF(경영통계학_1!$B$2:$B$299,"학생397")+COUNTIF(경영통계학_2!$B$2:$B$301,"학생397")+COUNTIF(경영통계학_3!$B$2:$B$298,"학생397")+COUNTIF(무역학개론_1!$B$2:$B$301,"학생397")+COUNTIF(회계학원론_1!$B$2:$B$293,"학생397")+COUNTIF(경영정보시스템_1!$B$2:$B$301,"학생397")+COUNTIF(관리회계_1!$B$2:$B$300,"학생397")+COUNTIF(관리회계_2!$B$2:$B$301,"학생397")+COUNTIF(마케팅_1!$B$2:$B$301,"학생397")+COUNTIF(마케팅리서치_1!$B$2:$B$301,"학생397")+COUNTIF(세법개론_1!$B$2:$B$300,"학생397")+COUNTIF(재무관리_1!$B$2:$B$301,"학생397")+COUNTIF(조직행동론_1!$B$2:$B$301,"학생397")+COUNTIF(조직행동론_2!$B$2:$B$301,"학생397")+COUNTIF(중급재무회계_1!$B$2:$B$301,"학생397")+COUNTIF(투자론_1!$B$2:$B$300,"학생397")+COUNTIF(경영과학_1!$B$2:$B$301,"학생397")+COUNTIF(세무회계_1!$B$2:$B$301,"학생397")+COUNTIF(스마트경영_1!$B$2:$B$301,"학생397")+COUNTIF(스마트경영_2!$B$2:$B$301,"학생397")+COUNTIF(인적자원관리_1!$B$2:$B$257,"학생397")+COUNTIF(서비스마케팅_1!$B$2:$B$276,"학생397")+COUNTIF(제품관리_1!$B$2:$B$301,"학생397")</f>
        <v>5</v>
      </c>
    </row>
    <row r="401" spans="1:21" hidden="1">
      <c r="A401" s="15">
        <v>398</v>
      </c>
      <c r="B401" s="16" t="s">
        <v>399</v>
      </c>
      <c r="C401" s="16">
        <v>202400398</v>
      </c>
      <c r="I401" s="24">
        <f>COUNTIF(경영학원론_1!$B$3:$B$300,"학생398")+COUNTIF(경영학원론_2!$B$2:$B$301,"학생398")+COUNTIF(경영학원론_3!$B$2:$B$301,"학생398")+COUNTIF(경영학원론_4!$B$2:$B$300,"학생398")+COUNTIF(경제학원론_1!$B$2:$B$295,"학생398")+COUNTIF(경제학원론_2!$B$2:$B$298,"학생398")+COUNTIF(경제학원론_3!$B$2:$B$295,"학생398")+COUNTIF(경영통계학_1!$B$2:$B$299,"학생398")+COUNTIF(경영통계학_2!$B$2:$B$301,"학생398")+COUNTIF(경영통계학_3!$B$2:$B$298,"학생398")+COUNTIF(무역학개론_1!$B$2:$B$301,"학생398")+COUNTIF(회계학원론_1!$B$2:$B$293,"학생398")+COUNTIF(경영정보시스템_1!$B$2:$B$301,"학생398")+COUNTIF(관리회계_1!$B$2:$B$300,"학생398")+COUNTIF(관리회계_2!$B$2:$B$301,"학생398")+COUNTIF(마케팅_1!$B$2:$B$301,"학생398")+COUNTIF(마케팅리서치_1!$B$2:$B$301,"학생398")+COUNTIF(세법개론_1!$B$2:$B$300,"학생398")+COUNTIF(재무관리_1!$B$2:$B$301,"학생398")+COUNTIF(조직행동론_1!$B$2:$B$301,"학생398")+COUNTIF(조직행동론_2!$B$2:$B$301,"학생398")+COUNTIF(중급재무회계_1!$B$2:$B$301,"학생398")+COUNTIF(투자론_1!$B$2:$B$300,"학생398")+COUNTIF(경영과학_1!$B$2:$B$301,"학생398")+COUNTIF(세무회계_1!$B$2:$B$301,"학생398")+COUNTIF(스마트경영_1!$B$2:$B$301,"학생398")+COUNTIF(스마트경영_2!$B$2:$B$301,"학생398")+COUNTIF(인적자원관리_1!$B$2:$B$257,"학생398")+COUNTIF(서비스마케팅_1!$B$2:$B$276,"학생398")+COUNTIF(제품관리_1!$B$2:$B$301,"학생398")</f>
        <v>7</v>
      </c>
    </row>
    <row r="402" spans="1:21" hidden="1">
      <c r="A402" s="15">
        <v>399</v>
      </c>
      <c r="B402" s="16" t="s">
        <v>400</v>
      </c>
      <c r="C402" s="16">
        <v>202400399</v>
      </c>
      <c r="I402" s="24">
        <f>COUNTIF(경영학원론_1!$B$3:$B$300,"학생399")+COUNTIF(경영학원론_2!$B$2:$B$301,"학생399")+COUNTIF(경영학원론_3!$B$2:$B$301,"학생399")+COUNTIF(경영학원론_4!$B$2:$B$300,"학생399")+COUNTIF(경제학원론_1!$B$2:$B$295,"학생399")+COUNTIF(경제학원론_2!$B$2:$B$298,"학생399")+COUNTIF(경제학원론_3!$B$2:$B$295,"학생399")+COUNTIF(경영통계학_1!$B$2:$B$299,"학생399")+COUNTIF(경영통계학_2!$B$2:$B$301,"학생399")+COUNTIF(경영통계학_3!$B$2:$B$298,"학생399")+COUNTIF(무역학개론_1!$B$2:$B$301,"학생399")+COUNTIF(회계학원론_1!$B$2:$B$293,"학생399")+COUNTIF(경영정보시스템_1!$B$2:$B$301,"학생399")+COUNTIF(관리회계_1!$B$2:$B$300,"학생399")+COUNTIF(관리회계_2!$B$2:$B$301,"학생399")+COUNTIF(마케팅_1!$B$2:$B$301,"학생399")+COUNTIF(마케팅리서치_1!$B$2:$B$301,"학생399")+COUNTIF(세법개론_1!$B$2:$B$300,"학생399")+COUNTIF(재무관리_1!$B$2:$B$301,"학생399")+COUNTIF(조직행동론_1!$B$2:$B$301,"학생399")+COUNTIF(조직행동론_2!$B$2:$B$301,"학생399")+COUNTIF(중급재무회계_1!$B$2:$B$301,"학생399")+COUNTIF(투자론_1!$B$2:$B$300,"학생399")+COUNTIF(경영과학_1!$B$2:$B$301,"학생399")+COUNTIF(세무회계_1!$B$2:$B$301,"학생399")+COUNTIF(스마트경영_1!$B$2:$B$301,"학생399")+COUNTIF(스마트경영_2!$B$2:$B$301,"학생399")+COUNTIF(인적자원관리_1!$B$2:$B$257,"학생399")+COUNTIF(서비스마케팅_1!$B$2:$B$276,"학생399")+COUNTIF(제품관리_1!$B$2:$B$301,"학생399")</f>
        <v>7</v>
      </c>
    </row>
    <row r="403" spans="1:21" ht="19" thickBot="1">
      <c r="A403" s="32">
        <v>400</v>
      </c>
      <c r="B403" s="17" t="s">
        <v>401</v>
      </c>
      <c r="C403" s="17">
        <v>202400400</v>
      </c>
      <c r="D403" s="5"/>
      <c r="E403" s="5"/>
      <c r="F403" s="5"/>
      <c r="G403" s="5"/>
      <c r="H403" s="5"/>
      <c r="I403" s="25">
        <f>COUNTIF(경영학원론_1!$B$3:$B$300,"학생400")+COUNTIF(경영학원론_2!$B$2:$B$301,"학생400")+COUNTIF(경영학원론_3!$B$2:$B$301,"학생400")+COUNTIF(경영학원론_4!$B$2:$B$300,"학생400")+COUNTIF(경제학원론_1!$B$2:$B$295,"학생400")+COUNTIF(경제학원론_2!$B$2:$B$298,"학생400")+COUNTIF(경제학원론_3!$B$2:$B$295,"학생400")+COUNTIF(경영통계학_1!$B$2:$B$299,"학생400")+COUNTIF(경영통계학_2!$B$2:$B$301,"학생400")+COUNTIF(경영통계학_3!$B$2:$B$298,"학생400")+COUNTIF(무역학개론_1!$B$2:$B$301,"학생400")+COUNTIF(회계학원론_1!$B$2:$B$293,"학생400")+COUNTIF(경영정보시스템_1!$B$2:$B$301,"학생400")+COUNTIF(관리회계_1!$B$2:$B$300,"학생400")+COUNTIF(관리회계_2!$B$2:$B$301,"학생400")+COUNTIF(마케팅_1!$B$2:$B$301,"학생400")+COUNTIF(마케팅리서치_1!$B$2:$B$301,"학생400")+COUNTIF(세법개론_1!$B$2:$B$300,"학생400")+COUNTIF(재무관리_1!$B$2:$B$301,"학생400")+COUNTIF(조직행동론_1!$B$2:$B$301,"학생400")+COUNTIF(조직행동론_2!$B$2:$B$301,"학생400")+COUNTIF(중급재무회계_1!$B$2:$B$301,"학생400")+COUNTIF(투자론_1!$B$2:$B$300,"학생400")+COUNTIF(경영과학_1!$B$2:$B$301,"학생400")+COUNTIF(세무회계_1!$B$2:$B$301,"학생400")+COUNTIF(스마트경영_1!$B$2:$B$301,"학생400")+COUNTIF(스마트경영_2!$B$2:$B$301,"학생400")+COUNTIF(인적자원관리_1!$B$2:$B$257,"학생400")+COUNTIF(서비스마케팅_1!$B$2:$B$276,"학생400")+COUNTIF(제품관리_1!$B$2:$B$301,"학생400")</f>
        <v>7</v>
      </c>
      <c r="T403" s="8"/>
      <c r="U403" s="39"/>
    </row>
    <row r="404" spans="1:21" ht="19" thickBot="1">
      <c r="C404" s="29" t="s">
        <v>461</v>
      </c>
      <c r="D404" s="30"/>
      <c r="E404" s="30"/>
      <c r="F404" s="30"/>
      <c r="G404" s="30"/>
      <c r="H404" s="30"/>
      <c r="I404" s="31">
        <f>SUM(I4:I403)</f>
        <v>2274</v>
      </c>
      <c r="T404" s="33" t="s">
        <v>462</v>
      </c>
      <c r="U404" s="36">
        <f>AVERAGE(U4:U33)</f>
        <v>67.099999999999994</v>
      </c>
    </row>
    <row r="405" spans="1:21" ht="19" thickBot="1">
      <c r="C405" s="7"/>
      <c r="D405" s="7"/>
      <c r="E405" s="7"/>
      <c r="F405" s="7"/>
      <c r="G405" s="7"/>
      <c r="H405" s="7"/>
      <c r="I405" s="9"/>
      <c r="T405" s="34" t="s">
        <v>463</v>
      </c>
      <c r="U405" s="36">
        <f>MAX(U4:U33)</f>
        <v>156</v>
      </c>
    </row>
    <row r="406" spans="1:21" ht="19" thickBot="1">
      <c r="C406" s="33" t="s">
        <v>462</v>
      </c>
      <c r="I406" s="36">
        <f>AVERAGE(I4:I403)</f>
        <v>5.6849999999999996</v>
      </c>
      <c r="T406" s="35" t="s">
        <v>464</v>
      </c>
      <c r="U406" s="37">
        <f>MIN(U4:U33)</f>
        <v>1</v>
      </c>
    </row>
    <row r="407" spans="1:21">
      <c r="C407" s="34" t="s">
        <v>463</v>
      </c>
      <c r="I407" s="36">
        <f>MAX(I4:I403)</f>
        <v>7</v>
      </c>
    </row>
    <row r="408" spans="1:21" ht="19" thickBot="1">
      <c r="C408" s="35" t="s">
        <v>464</v>
      </c>
      <c r="D408" s="8"/>
      <c r="E408" s="8"/>
      <c r="F408" s="8"/>
      <c r="G408" s="8"/>
      <c r="H408" s="8"/>
      <c r="I408" s="37">
        <f>MIN(I4:I403)</f>
        <v>3</v>
      </c>
    </row>
  </sheetData>
  <autoFilter ref="A2:I404" xr:uid="{B609DC90-4AFC-DF42-8DF6-4BFA88A3923B}"/>
  <phoneticPr fontId="2" type="noConversion"/>
  <pageMargins left="0.7" right="0.7" top="0.75" bottom="0.75" header="0.3" footer="0.3"/>
  <pageSetup paperSize="9" scale="40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895C-F00F-4E43-B896-6089A6C9F72B}">
  <sheetPr>
    <tabColor theme="3" tint="0.89999084444715716"/>
  </sheetPr>
  <dimension ref="B1:M97"/>
  <sheetViews>
    <sheetView topLeftCell="A56" workbookViewId="0">
      <selection activeCell="H4" sqref="H4:H97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492</v>
      </c>
      <c r="C2">
        <v>1</v>
      </c>
      <c r="D2" t="s">
        <v>402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s="1" t="s">
        <v>134</v>
      </c>
      <c r="C4" s="1">
        <v>202400133</v>
      </c>
      <c r="D4" s="1">
        <v>27</v>
      </c>
      <c r="E4" s="1">
        <v>89</v>
      </c>
      <c r="F4" s="1">
        <v>10</v>
      </c>
      <c r="G4">
        <v>9</v>
      </c>
      <c r="H4">
        <v>0</v>
      </c>
      <c r="I4" s="1"/>
      <c r="J4" s="1"/>
    </row>
    <row r="5" spans="2:13">
      <c r="B5" s="1" t="s">
        <v>165</v>
      </c>
      <c r="C5" s="1">
        <v>202400164</v>
      </c>
      <c r="D5" s="1">
        <v>20</v>
      </c>
      <c r="E5" s="1">
        <v>71</v>
      </c>
      <c r="F5" s="1">
        <v>3</v>
      </c>
      <c r="G5">
        <v>10</v>
      </c>
      <c r="H5">
        <v>0</v>
      </c>
      <c r="I5" s="1"/>
      <c r="J5" s="1"/>
    </row>
    <row r="6" spans="2:13">
      <c r="B6" s="1" t="s">
        <v>130</v>
      </c>
      <c r="C6" s="1">
        <v>202400129</v>
      </c>
      <c r="D6" s="1">
        <v>22</v>
      </c>
      <c r="E6" s="1">
        <v>50</v>
      </c>
      <c r="F6" s="1">
        <v>5</v>
      </c>
      <c r="G6">
        <v>8</v>
      </c>
      <c r="H6">
        <v>0</v>
      </c>
      <c r="I6" s="1"/>
      <c r="J6" s="1"/>
    </row>
    <row r="7" spans="2:13">
      <c r="B7" s="1" t="s">
        <v>42</v>
      </c>
      <c r="C7" s="1">
        <v>202400041</v>
      </c>
      <c r="D7" s="1">
        <v>21</v>
      </c>
      <c r="E7" s="1">
        <v>70</v>
      </c>
      <c r="F7" s="1">
        <v>4</v>
      </c>
      <c r="G7">
        <v>9</v>
      </c>
      <c r="H7">
        <v>0</v>
      </c>
      <c r="I7" s="1"/>
      <c r="J7" s="1"/>
    </row>
    <row r="8" spans="2:13">
      <c r="B8" s="1" t="s">
        <v>383</v>
      </c>
      <c r="C8" s="1">
        <v>202400382</v>
      </c>
      <c r="D8" s="1">
        <v>26</v>
      </c>
      <c r="E8" s="1">
        <v>61</v>
      </c>
      <c r="F8" s="1">
        <v>4</v>
      </c>
      <c r="G8">
        <v>8</v>
      </c>
      <c r="H8">
        <v>0</v>
      </c>
      <c r="I8" s="1"/>
      <c r="J8" s="1"/>
    </row>
    <row r="9" spans="2:13">
      <c r="B9" s="1" t="s">
        <v>2</v>
      </c>
      <c r="C9" s="1">
        <v>202400002</v>
      </c>
      <c r="D9" s="1">
        <v>17</v>
      </c>
      <c r="E9" s="1">
        <v>72</v>
      </c>
      <c r="F9" s="1">
        <v>8</v>
      </c>
      <c r="G9">
        <v>8</v>
      </c>
      <c r="H9">
        <v>0</v>
      </c>
      <c r="I9" s="1"/>
      <c r="J9" s="1"/>
    </row>
    <row r="10" spans="2:13">
      <c r="B10" s="1" t="s">
        <v>82</v>
      </c>
      <c r="C10" s="1">
        <v>202400081</v>
      </c>
      <c r="D10" s="1">
        <v>27</v>
      </c>
      <c r="E10" s="1">
        <v>79</v>
      </c>
      <c r="F10" s="1">
        <v>6</v>
      </c>
      <c r="G10">
        <v>8</v>
      </c>
      <c r="H10">
        <v>0</v>
      </c>
      <c r="I10" s="1"/>
      <c r="J10" s="1"/>
    </row>
    <row r="11" spans="2:13">
      <c r="B11" s="1" t="s">
        <v>302</v>
      </c>
      <c r="C11" s="1">
        <v>202400301</v>
      </c>
      <c r="D11" s="1">
        <v>29</v>
      </c>
      <c r="E11" s="1">
        <v>68</v>
      </c>
      <c r="F11" s="1">
        <v>8</v>
      </c>
      <c r="G11">
        <v>9</v>
      </c>
      <c r="H11">
        <v>0</v>
      </c>
      <c r="I11" s="1"/>
      <c r="J11" s="1"/>
    </row>
    <row r="12" spans="2:13">
      <c r="B12" s="1" t="s">
        <v>277</v>
      </c>
      <c r="C12" s="1">
        <v>202400276</v>
      </c>
      <c r="D12" s="1">
        <v>28</v>
      </c>
      <c r="E12" s="1">
        <v>97</v>
      </c>
      <c r="F12" s="1">
        <v>4</v>
      </c>
      <c r="G12">
        <v>8</v>
      </c>
      <c r="H12">
        <v>0</v>
      </c>
      <c r="I12" s="1"/>
      <c r="J12" s="1"/>
    </row>
    <row r="13" spans="2:13">
      <c r="B13" s="1" t="s">
        <v>135</v>
      </c>
      <c r="C13" s="1">
        <v>202400134</v>
      </c>
      <c r="D13" s="1">
        <v>18</v>
      </c>
      <c r="E13" s="1">
        <v>55</v>
      </c>
      <c r="F13" s="1">
        <v>4</v>
      </c>
      <c r="G13">
        <v>9</v>
      </c>
      <c r="H13">
        <v>0</v>
      </c>
      <c r="I13" s="1"/>
      <c r="J13" s="1"/>
    </row>
    <row r="14" spans="2:13">
      <c r="B14" s="1" t="s">
        <v>322</v>
      </c>
      <c r="C14" s="1">
        <v>202400321</v>
      </c>
      <c r="D14" s="1">
        <v>22</v>
      </c>
      <c r="E14" s="1">
        <v>72</v>
      </c>
      <c r="F14" s="1">
        <v>6</v>
      </c>
      <c r="G14">
        <v>10</v>
      </c>
      <c r="H14">
        <v>0</v>
      </c>
      <c r="I14" s="1"/>
      <c r="J14" s="1"/>
    </row>
    <row r="15" spans="2:13">
      <c r="B15" s="1" t="s">
        <v>161</v>
      </c>
      <c r="C15" s="1">
        <v>202400160</v>
      </c>
      <c r="D15" s="1">
        <v>15</v>
      </c>
      <c r="E15" s="1">
        <v>70</v>
      </c>
      <c r="F15" s="1">
        <v>6</v>
      </c>
      <c r="G15">
        <v>9</v>
      </c>
      <c r="H15">
        <v>0</v>
      </c>
      <c r="I15" s="1"/>
      <c r="J15" s="1"/>
    </row>
    <row r="16" spans="2:13">
      <c r="B16" s="1" t="s">
        <v>102</v>
      </c>
      <c r="C16" s="1">
        <v>202400101</v>
      </c>
      <c r="D16" s="1">
        <v>15</v>
      </c>
      <c r="E16" s="1">
        <v>97</v>
      </c>
      <c r="F16" s="1">
        <v>10</v>
      </c>
      <c r="G16">
        <v>9</v>
      </c>
      <c r="H16">
        <v>0</v>
      </c>
      <c r="I16" s="1"/>
      <c r="J16" s="1"/>
    </row>
    <row r="17" spans="2:10">
      <c r="B17" s="1" t="s">
        <v>158</v>
      </c>
      <c r="C17" s="1">
        <v>202400157</v>
      </c>
      <c r="D17" s="1">
        <v>30</v>
      </c>
      <c r="E17" s="1">
        <v>53</v>
      </c>
      <c r="F17" s="1">
        <v>10</v>
      </c>
      <c r="G17">
        <v>10</v>
      </c>
      <c r="H17">
        <v>0</v>
      </c>
      <c r="I17" s="1"/>
      <c r="J17" s="1"/>
    </row>
    <row r="18" spans="2:10">
      <c r="B18" s="1" t="s">
        <v>317</v>
      </c>
      <c r="C18" s="1">
        <v>202400316</v>
      </c>
      <c r="D18" s="1">
        <v>16</v>
      </c>
      <c r="E18" s="1">
        <v>93</v>
      </c>
      <c r="F18" s="1">
        <v>6</v>
      </c>
      <c r="G18">
        <v>10</v>
      </c>
      <c r="H18">
        <v>0</v>
      </c>
      <c r="I18" s="1"/>
      <c r="J18" s="1"/>
    </row>
    <row r="19" spans="2:10">
      <c r="B19" s="1" t="s">
        <v>284</v>
      </c>
      <c r="C19" s="1">
        <v>202400283</v>
      </c>
      <c r="D19" s="1">
        <v>21</v>
      </c>
      <c r="E19" s="1">
        <v>67</v>
      </c>
      <c r="F19" s="1">
        <v>8</v>
      </c>
      <c r="G19">
        <v>9</v>
      </c>
      <c r="H19">
        <v>0</v>
      </c>
      <c r="I19" s="1"/>
      <c r="J19" s="1"/>
    </row>
    <row r="20" spans="2:10">
      <c r="B20" s="1" t="s">
        <v>149</v>
      </c>
      <c r="C20" s="1">
        <v>202400148</v>
      </c>
      <c r="D20" s="1">
        <v>17</v>
      </c>
      <c r="E20" s="1">
        <v>91</v>
      </c>
      <c r="F20" s="1">
        <v>6</v>
      </c>
      <c r="G20">
        <v>9</v>
      </c>
      <c r="H20">
        <v>0</v>
      </c>
      <c r="I20" s="1"/>
      <c r="J20" s="1"/>
    </row>
    <row r="21" spans="2:10">
      <c r="B21" s="1" t="s">
        <v>150</v>
      </c>
      <c r="C21" s="1">
        <v>202400149</v>
      </c>
      <c r="D21" s="1">
        <v>21</v>
      </c>
      <c r="E21" s="1">
        <v>85</v>
      </c>
      <c r="F21" s="1">
        <v>8</v>
      </c>
      <c r="G21">
        <v>10</v>
      </c>
      <c r="H21">
        <v>0</v>
      </c>
      <c r="I21" s="1"/>
      <c r="J21" s="1"/>
    </row>
    <row r="22" spans="2:10">
      <c r="B22" s="1" t="s">
        <v>137</v>
      </c>
      <c r="C22" s="1">
        <v>202400136</v>
      </c>
      <c r="D22" s="1">
        <v>21</v>
      </c>
      <c r="E22" s="1">
        <v>55</v>
      </c>
      <c r="F22" s="1">
        <v>5</v>
      </c>
      <c r="G22">
        <v>9</v>
      </c>
      <c r="H22">
        <v>0</v>
      </c>
      <c r="I22" s="1"/>
      <c r="J22" s="1"/>
    </row>
    <row r="23" spans="2:10">
      <c r="B23" s="1" t="s">
        <v>160</v>
      </c>
      <c r="C23" s="1">
        <v>202400159</v>
      </c>
      <c r="D23" s="1">
        <v>19</v>
      </c>
      <c r="E23" s="1">
        <v>77</v>
      </c>
      <c r="F23" s="1">
        <v>8</v>
      </c>
      <c r="G23">
        <v>9</v>
      </c>
      <c r="H23">
        <v>0</v>
      </c>
      <c r="I23" s="1"/>
      <c r="J23" s="1"/>
    </row>
    <row r="24" spans="2:10">
      <c r="B24" s="1" t="s">
        <v>175</v>
      </c>
      <c r="C24" s="1">
        <v>202400174</v>
      </c>
      <c r="D24" s="1">
        <v>19</v>
      </c>
      <c r="E24" s="1">
        <v>89</v>
      </c>
      <c r="F24" s="1">
        <v>8</v>
      </c>
      <c r="G24">
        <v>8</v>
      </c>
      <c r="H24">
        <v>0</v>
      </c>
      <c r="I24" s="1"/>
      <c r="J24" s="1"/>
    </row>
    <row r="25" spans="2:10">
      <c r="B25" s="1" t="s">
        <v>195</v>
      </c>
      <c r="C25" s="1">
        <v>202400194</v>
      </c>
      <c r="D25" s="1">
        <v>23</v>
      </c>
      <c r="E25" s="1">
        <v>88</v>
      </c>
      <c r="F25" s="1">
        <v>3</v>
      </c>
      <c r="G25">
        <v>9</v>
      </c>
      <c r="H25">
        <v>0</v>
      </c>
      <c r="I25" s="1"/>
      <c r="J25" s="1"/>
    </row>
    <row r="26" spans="2:10">
      <c r="B26" s="1" t="s">
        <v>118</v>
      </c>
      <c r="C26" s="1">
        <v>202400117</v>
      </c>
      <c r="D26" s="1">
        <v>18</v>
      </c>
      <c r="E26" s="1">
        <v>66</v>
      </c>
      <c r="F26" s="1">
        <v>4</v>
      </c>
      <c r="G26">
        <v>8</v>
      </c>
      <c r="H26">
        <v>0</v>
      </c>
      <c r="I26" s="1"/>
      <c r="J26" s="1"/>
    </row>
    <row r="27" spans="2:10">
      <c r="B27" s="1" t="s">
        <v>344</v>
      </c>
      <c r="C27" s="1">
        <v>202400343</v>
      </c>
      <c r="D27" s="1">
        <v>30</v>
      </c>
      <c r="E27" s="1">
        <v>90</v>
      </c>
      <c r="F27" s="1">
        <v>10</v>
      </c>
      <c r="G27">
        <v>10</v>
      </c>
      <c r="H27">
        <v>0</v>
      </c>
      <c r="I27" s="1"/>
      <c r="J27" s="1"/>
    </row>
    <row r="28" spans="2:10">
      <c r="B28" s="1" t="s">
        <v>228</v>
      </c>
      <c r="C28" s="1">
        <v>202400227</v>
      </c>
      <c r="D28" s="1">
        <v>29</v>
      </c>
      <c r="E28" s="1">
        <v>52</v>
      </c>
      <c r="F28" s="1">
        <v>4</v>
      </c>
      <c r="G28">
        <v>10</v>
      </c>
      <c r="H28">
        <v>0</v>
      </c>
      <c r="I28" s="1"/>
      <c r="J28" s="1"/>
    </row>
    <row r="29" spans="2:10">
      <c r="B29" s="1" t="s">
        <v>224</v>
      </c>
      <c r="C29" s="1">
        <v>202400223</v>
      </c>
      <c r="D29" s="1">
        <v>26</v>
      </c>
      <c r="E29" s="1">
        <v>69</v>
      </c>
      <c r="F29" s="1">
        <v>3</v>
      </c>
      <c r="G29">
        <v>8</v>
      </c>
      <c r="H29">
        <v>0</v>
      </c>
      <c r="I29" s="1"/>
      <c r="J29" s="1"/>
    </row>
    <row r="30" spans="2:10">
      <c r="B30" s="1" t="s">
        <v>251</v>
      </c>
      <c r="C30" s="1">
        <v>202400250</v>
      </c>
      <c r="D30" s="1">
        <v>26</v>
      </c>
      <c r="E30" s="1">
        <v>75</v>
      </c>
      <c r="F30" s="1">
        <v>6</v>
      </c>
      <c r="G30">
        <v>10</v>
      </c>
      <c r="H30">
        <v>0</v>
      </c>
      <c r="I30" s="1"/>
      <c r="J30" s="1"/>
    </row>
    <row r="31" spans="2:10">
      <c r="B31" s="1" t="s">
        <v>307</v>
      </c>
      <c r="C31" s="1">
        <v>202400306</v>
      </c>
      <c r="D31" s="1">
        <v>28</v>
      </c>
      <c r="E31" s="1">
        <v>54</v>
      </c>
      <c r="F31" s="1">
        <v>10</v>
      </c>
      <c r="G31">
        <v>8</v>
      </c>
      <c r="H31">
        <v>0</v>
      </c>
      <c r="I31" s="1"/>
      <c r="J31" s="1"/>
    </row>
    <row r="32" spans="2:10">
      <c r="B32" s="1" t="s">
        <v>88</v>
      </c>
      <c r="C32" s="1">
        <v>202400087</v>
      </c>
      <c r="D32" s="1">
        <v>26</v>
      </c>
      <c r="E32" s="1">
        <v>63</v>
      </c>
      <c r="F32" s="1">
        <v>3</v>
      </c>
      <c r="G32">
        <v>9</v>
      </c>
      <c r="H32">
        <v>0</v>
      </c>
      <c r="I32" s="1"/>
      <c r="J32" s="1"/>
    </row>
    <row r="33" spans="2:10">
      <c r="B33" s="1" t="s">
        <v>71</v>
      </c>
      <c r="C33" s="1">
        <v>202400070</v>
      </c>
      <c r="D33" s="1">
        <v>16</v>
      </c>
      <c r="E33" s="1">
        <v>94</v>
      </c>
      <c r="F33" s="1">
        <v>10</v>
      </c>
      <c r="G33">
        <v>9</v>
      </c>
      <c r="H33">
        <v>0</v>
      </c>
      <c r="I33" s="1"/>
      <c r="J33" s="1"/>
    </row>
    <row r="34" spans="2:10">
      <c r="B34" s="1" t="s">
        <v>375</v>
      </c>
      <c r="C34" s="1">
        <v>202400374</v>
      </c>
      <c r="D34" s="1">
        <v>24</v>
      </c>
      <c r="E34" s="1">
        <v>63</v>
      </c>
      <c r="F34" s="1">
        <v>8</v>
      </c>
      <c r="G34">
        <v>9</v>
      </c>
      <c r="H34">
        <v>0</v>
      </c>
      <c r="I34" s="1"/>
      <c r="J34" s="1"/>
    </row>
    <row r="35" spans="2:10">
      <c r="B35" s="1" t="s">
        <v>31</v>
      </c>
      <c r="C35" s="1">
        <v>202400030</v>
      </c>
      <c r="D35" s="1">
        <v>16</v>
      </c>
      <c r="E35" s="1">
        <v>72</v>
      </c>
      <c r="F35" s="1">
        <v>3</v>
      </c>
      <c r="G35">
        <v>8</v>
      </c>
      <c r="H35">
        <v>0</v>
      </c>
      <c r="I35" s="1"/>
      <c r="J35" s="1"/>
    </row>
    <row r="36" spans="2:10">
      <c r="B36" s="1" t="s">
        <v>12</v>
      </c>
      <c r="C36" s="1">
        <v>202400011</v>
      </c>
      <c r="D36" s="1">
        <v>25</v>
      </c>
      <c r="E36" s="1">
        <v>57</v>
      </c>
      <c r="F36" s="1">
        <v>3</v>
      </c>
      <c r="G36">
        <v>9</v>
      </c>
      <c r="H36">
        <v>0</v>
      </c>
      <c r="I36" s="1"/>
      <c r="J36" s="1"/>
    </row>
    <row r="37" spans="2:10">
      <c r="B37" s="1" t="s">
        <v>39</v>
      </c>
      <c r="C37" s="1">
        <v>202400038</v>
      </c>
      <c r="D37" s="1">
        <v>30</v>
      </c>
      <c r="E37" s="1">
        <v>76</v>
      </c>
      <c r="F37" s="1">
        <v>8</v>
      </c>
      <c r="G37">
        <v>10</v>
      </c>
      <c r="H37">
        <v>0</v>
      </c>
      <c r="I37" s="1"/>
      <c r="J37" s="1"/>
    </row>
    <row r="38" spans="2:10">
      <c r="B38" s="1" t="s">
        <v>326</v>
      </c>
      <c r="C38" s="1">
        <v>202400325</v>
      </c>
      <c r="D38" s="1">
        <v>20</v>
      </c>
      <c r="E38" s="1">
        <v>89</v>
      </c>
      <c r="F38" s="1">
        <v>8</v>
      </c>
      <c r="G38">
        <v>9</v>
      </c>
      <c r="H38">
        <v>0</v>
      </c>
      <c r="I38" s="1"/>
      <c r="J38" s="1"/>
    </row>
    <row r="39" spans="2:10">
      <c r="B39" s="1" t="s">
        <v>286</v>
      </c>
      <c r="C39" s="1">
        <v>202400285</v>
      </c>
      <c r="D39" s="1">
        <v>19</v>
      </c>
      <c r="E39" s="1">
        <v>94</v>
      </c>
      <c r="F39" s="1">
        <v>7</v>
      </c>
      <c r="G39">
        <v>9</v>
      </c>
      <c r="H39">
        <v>0</v>
      </c>
      <c r="I39" s="1"/>
      <c r="J39" s="1"/>
    </row>
    <row r="40" spans="2:10">
      <c r="B40" s="1" t="s">
        <v>364</v>
      </c>
      <c r="C40" s="1">
        <v>202400363</v>
      </c>
      <c r="D40" s="1">
        <v>26</v>
      </c>
      <c r="E40" s="1">
        <v>98</v>
      </c>
      <c r="F40" s="1">
        <v>3</v>
      </c>
      <c r="G40">
        <v>10</v>
      </c>
      <c r="H40">
        <v>0</v>
      </c>
      <c r="I40" s="1"/>
      <c r="J40" s="1"/>
    </row>
    <row r="41" spans="2:10">
      <c r="B41" s="1" t="s">
        <v>154</v>
      </c>
      <c r="C41" s="1">
        <v>202400153</v>
      </c>
      <c r="D41" s="1">
        <v>20</v>
      </c>
      <c r="E41" s="1">
        <v>81</v>
      </c>
      <c r="F41" s="1">
        <v>4</v>
      </c>
      <c r="G41">
        <v>9</v>
      </c>
      <c r="H41">
        <v>0</v>
      </c>
      <c r="I41" s="1"/>
      <c r="J41" s="1"/>
    </row>
    <row r="42" spans="2:10">
      <c r="B42" s="1" t="s">
        <v>76</v>
      </c>
      <c r="C42" s="1">
        <v>202400075</v>
      </c>
      <c r="D42" s="1">
        <v>28</v>
      </c>
      <c r="E42" s="1">
        <v>98</v>
      </c>
      <c r="F42" s="1">
        <v>4</v>
      </c>
      <c r="G42">
        <v>10</v>
      </c>
      <c r="H42">
        <v>0</v>
      </c>
      <c r="I42" s="1"/>
      <c r="J42" s="1"/>
    </row>
    <row r="43" spans="2:10">
      <c r="B43" s="1" t="s">
        <v>197</v>
      </c>
      <c r="C43" s="1">
        <v>202400196</v>
      </c>
      <c r="D43" s="1">
        <v>21</v>
      </c>
      <c r="E43" s="1">
        <v>76</v>
      </c>
      <c r="F43" s="1">
        <v>4</v>
      </c>
      <c r="G43">
        <v>10</v>
      </c>
      <c r="H43">
        <v>0</v>
      </c>
      <c r="I43" s="1"/>
      <c r="J43" s="1"/>
    </row>
    <row r="44" spans="2:10">
      <c r="B44" s="1" t="s">
        <v>94</v>
      </c>
      <c r="C44" s="1">
        <v>202400093</v>
      </c>
      <c r="D44" s="1">
        <v>19</v>
      </c>
      <c r="E44" s="1">
        <v>80</v>
      </c>
      <c r="F44" s="1">
        <v>6</v>
      </c>
      <c r="G44">
        <v>8</v>
      </c>
      <c r="H44">
        <v>0</v>
      </c>
      <c r="I44" s="1"/>
      <c r="J44" s="1"/>
    </row>
    <row r="45" spans="2:10">
      <c r="B45" s="1" t="s">
        <v>378</v>
      </c>
      <c r="C45" s="1">
        <v>202400377</v>
      </c>
      <c r="D45" s="1">
        <v>27</v>
      </c>
      <c r="E45" s="1">
        <v>94</v>
      </c>
      <c r="F45" s="1">
        <v>8</v>
      </c>
      <c r="G45">
        <v>8</v>
      </c>
      <c r="H45">
        <v>0</v>
      </c>
      <c r="I45" s="1"/>
      <c r="J45" s="1"/>
    </row>
    <row r="46" spans="2:10">
      <c r="B46" s="1" t="s">
        <v>11</v>
      </c>
      <c r="C46" s="1">
        <v>202400010</v>
      </c>
      <c r="D46" s="1">
        <v>29</v>
      </c>
      <c r="E46" s="1">
        <v>60</v>
      </c>
      <c r="F46" s="1">
        <v>7</v>
      </c>
      <c r="G46">
        <v>8</v>
      </c>
      <c r="H46">
        <v>0</v>
      </c>
      <c r="I46" s="1"/>
      <c r="J46" s="1"/>
    </row>
    <row r="47" spans="2:10">
      <c r="B47" s="1" t="s">
        <v>128</v>
      </c>
      <c r="C47" s="1">
        <v>202400127</v>
      </c>
      <c r="D47" s="1">
        <v>18</v>
      </c>
      <c r="E47" s="1">
        <v>63</v>
      </c>
      <c r="F47" s="1">
        <v>3</v>
      </c>
      <c r="G47">
        <v>9</v>
      </c>
      <c r="H47">
        <v>0</v>
      </c>
      <c r="I47" s="1"/>
      <c r="J47" s="1"/>
    </row>
    <row r="48" spans="2:10">
      <c r="B48" s="1" t="s">
        <v>298</v>
      </c>
      <c r="C48" s="1">
        <v>202400297</v>
      </c>
      <c r="D48" s="1">
        <v>30</v>
      </c>
      <c r="E48" s="1">
        <v>84</v>
      </c>
      <c r="F48" s="1">
        <v>9</v>
      </c>
      <c r="G48">
        <v>9</v>
      </c>
      <c r="H48">
        <v>0</v>
      </c>
      <c r="I48" s="1"/>
      <c r="J48" s="1"/>
    </row>
    <row r="49" spans="2:10">
      <c r="B49" s="1" t="s">
        <v>306</v>
      </c>
      <c r="C49" s="1">
        <v>202400305</v>
      </c>
      <c r="D49" s="1">
        <v>29</v>
      </c>
      <c r="E49" s="1">
        <v>96</v>
      </c>
      <c r="F49" s="1">
        <v>9</v>
      </c>
      <c r="G49">
        <v>10</v>
      </c>
      <c r="H49">
        <v>0</v>
      </c>
      <c r="I49" s="1"/>
      <c r="J49" s="1"/>
    </row>
    <row r="50" spans="2:10">
      <c r="B50" s="1" t="s">
        <v>269</v>
      </c>
      <c r="C50" s="1">
        <v>202400268</v>
      </c>
      <c r="D50" s="1">
        <v>21</v>
      </c>
      <c r="E50" s="1">
        <v>53</v>
      </c>
      <c r="F50" s="1">
        <v>7</v>
      </c>
      <c r="G50">
        <v>8</v>
      </c>
      <c r="H50">
        <v>0</v>
      </c>
      <c r="I50" s="1"/>
      <c r="J50" s="1"/>
    </row>
    <row r="51" spans="2:10">
      <c r="B51" s="1" t="s">
        <v>126</v>
      </c>
      <c r="C51" s="1">
        <v>202400125</v>
      </c>
      <c r="D51" s="1">
        <v>18</v>
      </c>
      <c r="E51" s="1">
        <v>82</v>
      </c>
      <c r="F51" s="1">
        <v>4</v>
      </c>
      <c r="G51">
        <v>10</v>
      </c>
      <c r="H51">
        <v>0</v>
      </c>
      <c r="I51" s="1"/>
      <c r="J51" s="1"/>
    </row>
    <row r="52" spans="2:10">
      <c r="B52" s="1" t="s">
        <v>343</v>
      </c>
      <c r="C52" s="1">
        <v>202400342</v>
      </c>
      <c r="D52" s="1">
        <v>15</v>
      </c>
      <c r="E52" s="1">
        <v>51</v>
      </c>
      <c r="F52" s="1">
        <v>6</v>
      </c>
      <c r="G52">
        <v>10</v>
      </c>
      <c r="H52">
        <v>0</v>
      </c>
      <c r="I52" s="1"/>
      <c r="J52" s="1"/>
    </row>
    <row r="53" spans="2:10">
      <c r="B53" s="1" t="s">
        <v>79</v>
      </c>
      <c r="C53" s="1">
        <v>202400078</v>
      </c>
      <c r="D53" s="1">
        <v>26</v>
      </c>
      <c r="E53" s="1">
        <v>64</v>
      </c>
      <c r="F53" s="1">
        <v>9</v>
      </c>
      <c r="G53">
        <v>9</v>
      </c>
      <c r="H53">
        <v>0</v>
      </c>
      <c r="I53" s="1"/>
      <c r="J53" s="1"/>
    </row>
    <row r="54" spans="2:10">
      <c r="B54" s="1" t="s">
        <v>393</v>
      </c>
      <c r="C54" s="1">
        <v>202400392</v>
      </c>
      <c r="D54" s="1">
        <v>19</v>
      </c>
      <c r="E54" s="1">
        <v>76</v>
      </c>
      <c r="F54" s="1">
        <v>3</v>
      </c>
      <c r="G54">
        <v>8</v>
      </c>
      <c r="H54">
        <v>0</v>
      </c>
      <c r="I54" s="1"/>
      <c r="J54" s="1"/>
    </row>
    <row r="55" spans="2:10">
      <c r="B55" s="1" t="s">
        <v>223</v>
      </c>
      <c r="C55" s="1">
        <v>202400222</v>
      </c>
      <c r="D55" s="1">
        <v>28</v>
      </c>
      <c r="E55" s="1">
        <v>89</v>
      </c>
      <c r="F55" s="1">
        <v>5</v>
      </c>
      <c r="G55">
        <v>10</v>
      </c>
      <c r="H55">
        <v>0</v>
      </c>
      <c r="I55" s="1"/>
      <c r="J55" s="1"/>
    </row>
    <row r="56" spans="2:10">
      <c r="B56" s="1" t="s">
        <v>10</v>
      </c>
      <c r="C56" s="1">
        <v>202400009</v>
      </c>
      <c r="D56" s="1">
        <v>28</v>
      </c>
      <c r="E56" s="1">
        <v>83</v>
      </c>
      <c r="F56" s="1">
        <v>3</v>
      </c>
      <c r="G56">
        <v>8</v>
      </c>
      <c r="H56">
        <v>0</v>
      </c>
      <c r="I56" s="1"/>
      <c r="J56" s="1"/>
    </row>
    <row r="57" spans="2:10">
      <c r="B57" s="1" t="s">
        <v>215</v>
      </c>
      <c r="C57" s="1">
        <v>202400214</v>
      </c>
      <c r="D57" s="1">
        <v>26</v>
      </c>
      <c r="E57" s="1">
        <v>85</v>
      </c>
      <c r="F57" s="1">
        <v>3</v>
      </c>
      <c r="G57">
        <v>8</v>
      </c>
      <c r="H57">
        <v>0</v>
      </c>
      <c r="I57" s="1"/>
      <c r="J57" s="1"/>
    </row>
    <row r="58" spans="2:10">
      <c r="B58" s="1" t="s">
        <v>229</v>
      </c>
      <c r="C58" s="1">
        <v>202400228</v>
      </c>
      <c r="D58" s="1">
        <v>29</v>
      </c>
      <c r="E58" s="1">
        <v>69</v>
      </c>
      <c r="F58" s="1">
        <v>7</v>
      </c>
      <c r="G58">
        <v>9</v>
      </c>
      <c r="H58">
        <v>0</v>
      </c>
      <c r="I58" s="1"/>
      <c r="J58" s="1"/>
    </row>
    <row r="59" spans="2:10">
      <c r="B59" s="1" t="s">
        <v>268</v>
      </c>
      <c r="C59" s="1">
        <v>202400267</v>
      </c>
      <c r="D59" s="1">
        <v>20</v>
      </c>
      <c r="E59" s="1">
        <v>51</v>
      </c>
      <c r="F59" s="1">
        <v>9</v>
      </c>
      <c r="G59">
        <v>9</v>
      </c>
      <c r="H59">
        <v>0</v>
      </c>
      <c r="I59" s="1"/>
      <c r="J59" s="1"/>
    </row>
    <row r="60" spans="2:10">
      <c r="B60" s="1" t="s">
        <v>61</v>
      </c>
      <c r="C60" s="1">
        <v>202400060</v>
      </c>
      <c r="D60" s="1">
        <v>17</v>
      </c>
      <c r="E60" s="1">
        <v>79</v>
      </c>
      <c r="F60" s="1">
        <v>9</v>
      </c>
      <c r="G60">
        <v>8</v>
      </c>
      <c r="H60">
        <v>0</v>
      </c>
      <c r="I60" s="1"/>
      <c r="J60" s="1"/>
    </row>
    <row r="61" spans="2:10">
      <c r="B61" s="1" t="s">
        <v>221</v>
      </c>
      <c r="C61" s="1">
        <v>202400220</v>
      </c>
      <c r="D61" s="1">
        <v>16</v>
      </c>
      <c r="E61" s="1">
        <v>95</v>
      </c>
      <c r="F61" s="1">
        <v>4</v>
      </c>
      <c r="G61">
        <v>10</v>
      </c>
      <c r="H61">
        <v>0</v>
      </c>
      <c r="I61" s="1"/>
      <c r="J61" s="1"/>
    </row>
    <row r="62" spans="2:10">
      <c r="B62" s="1" t="s">
        <v>270</v>
      </c>
      <c r="C62" s="1">
        <v>202400269</v>
      </c>
      <c r="D62" s="1">
        <v>28</v>
      </c>
      <c r="E62" s="1">
        <v>61</v>
      </c>
      <c r="F62" s="1">
        <v>9</v>
      </c>
      <c r="G62">
        <v>8</v>
      </c>
      <c r="H62">
        <v>0</v>
      </c>
      <c r="I62" s="1"/>
      <c r="J62" s="1"/>
    </row>
    <row r="63" spans="2:10">
      <c r="B63" s="1" t="s">
        <v>113</v>
      </c>
      <c r="C63" s="1">
        <v>202400112</v>
      </c>
      <c r="D63" s="1">
        <v>25</v>
      </c>
      <c r="E63" s="1">
        <v>75</v>
      </c>
      <c r="F63" s="1">
        <v>8</v>
      </c>
      <c r="G63">
        <v>10</v>
      </c>
      <c r="H63">
        <v>0</v>
      </c>
      <c r="I63" s="1"/>
      <c r="J63" s="1"/>
    </row>
    <row r="64" spans="2:10">
      <c r="B64" s="1" t="s">
        <v>281</v>
      </c>
      <c r="C64" s="1">
        <v>202400280</v>
      </c>
      <c r="D64" s="1">
        <v>16</v>
      </c>
      <c r="E64" s="1">
        <v>73</v>
      </c>
      <c r="F64" s="1">
        <v>9</v>
      </c>
      <c r="G64">
        <v>9</v>
      </c>
      <c r="H64">
        <v>0</v>
      </c>
      <c r="I64" s="1"/>
      <c r="J64" s="1"/>
    </row>
    <row r="65" spans="2:10">
      <c r="B65" s="1" t="s">
        <v>272</v>
      </c>
      <c r="C65" s="1">
        <v>202400271</v>
      </c>
      <c r="D65" s="1">
        <v>30</v>
      </c>
      <c r="E65" s="1">
        <v>51</v>
      </c>
      <c r="F65" s="1">
        <v>7</v>
      </c>
      <c r="G65">
        <v>10</v>
      </c>
      <c r="H65">
        <v>0</v>
      </c>
      <c r="I65" s="1"/>
      <c r="J65" s="1"/>
    </row>
    <row r="66" spans="2:10">
      <c r="B66" s="1" t="s">
        <v>204</v>
      </c>
      <c r="C66" s="1">
        <v>202400203</v>
      </c>
      <c r="D66" s="1">
        <v>18</v>
      </c>
      <c r="E66" s="1">
        <v>51</v>
      </c>
      <c r="F66" s="1">
        <v>7</v>
      </c>
      <c r="G66">
        <v>9</v>
      </c>
      <c r="H66">
        <v>0</v>
      </c>
      <c r="I66" s="1"/>
      <c r="J66" s="1"/>
    </row>
    <row r="67" spans="2:10">
      <c r="B67" s="1" t="s">
        <v>14</v>
      </c>
      <c r="C67" s="1">
        <v>202400013</v>
      </c>
      <c r="D67" s="1">
        <v>23</v>
      </c>
      <c r="E67" s="1">
        <v>53</v>
      </c>
      <c r="F67" s="1">
        <v>4</v>
      </c>
      <c r="G67">
        <v>10</v>
      </c>
      <c r="H67">
        <v>0</v>
      </c>
      <c r="I67" s="1"/>
      <c r="J67" s="1"/>
    </row>
    <row r="68" spans="2:10">
      <c r="B68" s="1" t="s">
        <v>359</v>
      </c>
      <c r="C68" s="1">
        <v>202400358</v>
      </c>
      <c r="D68" s="1">
        <v>22</v>
      </c>
      <c r="E68" s="1">
        <v>95</v>
      </c>
      <c r="F68" s="1">
        <v>9</v>
      </c>
      <c r="G68">
        <v>10</v>
      </c>
      <c r="H68">
        <v>0</v>
      </c>
      <c r="I68" s="1"/>
      <c r="J68" s="1"/>
    </row>
    <row r="69" spans="2:10">
      <c r="B69" s="1" t="s">
        <v>212</v>
      </c>
      <c r="C69" s="1">
        <v>202400211</v>
      </c>
      <c r="D69" s="1">
        <v>18</v>
      </c>
      <c r="E69" s="1">
        <v>61</v>
      </c>
      <c r="F69" s="1">
        <v>6</v>
      </c>
      <c r="G69">
        <v>10</v>
      </c>
      <c r="H69">
        <v>0</v>
      </c>
      <c r="I69" s="1"/>
      <c r="J69" s="1"/>
    </row>
    <row r="70" spans="2:10">
      <c r="B70" s="1" t="s">
        <v>18</v>
      </c>
      <c r="C70" s="1">
        <v>202400017</v>
      </c>
      <c r="D70" s="1">
        <v>25</v>
      </c>
      <c r="E70" s="1">
        <v>68</v>
      </c>
      <c r="F70" s="1">
        <v>4</v>
      </c>
      <c r="G70">
        <v>9</v>
      </c>
      <c r="H70">
        <v>0</v>
      </c>
      <c r="I70" s="1"/>
      <c r="J70" s="1"/>
    </row>
    <row r="71" spans="2:10">
      <c r="B71" s="1" t="s">
        <v>87</v>
      </c>
      <c r="C71" s="1">
        <v>202400086</v>
      </c>
      <c r="D71" s="1">
        <v>30</v>
      </c>
      <c r="E71" s="1">
        <v>100</v>
      </c>
      <c r="F71" s="1">
        <v>9</v>
      </c>
      <c r="G71">
        <v>8</v>
      </c>
      <c r="H71">
        <v>0</v>
      </c>
      <c r="I71" s="1"/>
      <c r="J71" s="1"/>
    </row>
    <row r="72" spans="2:10">
      <c r="B72" s="1" t="s">
        <v>256</v>
      </c>
      <c r="C72" s="1">
        <v>202400255</v>
      </c>
      <c r="D72" s="1">
        <v>29</v>
      </c>
      <c r="E72" s="1">
        <v>71</v>
      </c>
      <c r="F72" s="1">
        <v>6</v>
      </c>
      <c r="G72">
        <v>10</v>
      </c>
      <c r="H72">
        <v>0</v>
      </c>
      <c r="I72" s="1"/>
      <c r="J72" s="1"/>
    </row>
    <row r="73" spans="2:10">
      <c r="B73" s="1" t="s">
        <v>41</v>
      </c>
      <c r="C73" s="1">
        <v>202400040</v>
      </c>
      <c r="D73" s="1">
        <v>23</v>
      </c>
      <c r="E73" s="1">
        <v>100</v>
      </c>
      <c r="F73" s="1">
        <v>5</v>
      </c>
      <c r="G73">
        <v>10</v>
      </c>
      <c r="H73">
        <v>0</v>
      </c>
      <c r="I73" s="1"/>
      <c r="J73" s="1"/>
    </row>
    <row r="74" spans="2:10">
      <c r="B74" s="1" t="s">
        <v>385</v>
      </c>
      <c r="C74" s="1">
        <v>202400384</v>
      </c>
      <c r="D74" s="1">
        <v>28</v>
      </c>
      <c r="E74" s="1">
        <v>71</v>
      </c>
      <c r="F74" s="1">
        <v>5</v>
      </c>
      <c r="G74">
        <v>10</v>
      </c>
      <c r="H74">
        <v>0</v>
      </c>
      <c r="I74" s="1"/>
      <c r="J74" s="1"/>
    </row>
    <row r="75" spans="2:10">
      <c r="B75" s="1" t="s">
        <v>56</v>
      </c>
      <c r="C75" s="1">
        <v>202400055</v>
      </c>
      <c r="D75" s="1">
        <v>30</v>
      </c>
      <c r="E75" s="1">
        <v>93</v>
      </c>
      <c r="F75" s="1">
        <v>9</v>
      </c>
      <c r="G75">
        <v>8</v>
      </c>
      <c r="H75">
        <v>0</v>
      </c>
      <c r="I75" s="1"/>
      <c r="J75" s="1"/>
    </row>
    <row r="76" spans="2:10">
      <c r="B76" s="1" t="s">
        <v>6</v>
      </c>
      <c r="C76" s="1">
        <v>202400005</v>
      </c>
      <c r="D76" s="1">
        <v>29</v>
      </c>
      <c r="E76" s="1">
        <v>93</v>
      </c>
      <c r="F76" s="1">
        <v>9</v>
      </c>
      <c r="G76">
        <v>9</v>
      </c>
      <c r="H76">
        <v>0</v>
      </c>
      <c r="I76" s="1"/>
      <c r="J76" s="1"/>
    </row>
    <row r="77" spans="2:10">
      <c r="B77" s="1" t="s">
        <v>170</v>
      </c>
      <c r="C77" s="1">
        <v>202400169</v>
      </c>
      <c r="D77" s="1">
        <v>16</v>
      </c>
      <c r="E77" s="1">
        <v>67</v>
      </c>
      <c r="F77" s="1">
        <v>5</v>
      </c>
      <c r="G77">
        <v>10</v>
      </c>
      <c r="H77">
        <v>0</v>
      </c>
      <c r="I77" s="1"/>
      <c r="J77" s="1"/>
    </row>
    <row r="78" spans="2:10">
      <c r="B78" s="1" t="s">
        <v>395</v>
      </c>
      <c r="C78" s="1">
        <v>202400394</v>
      </c>
      <c r="D78" s="1">
        <v>20</v>
      </c>
      <c r="E78" s="1">
        <v>53</v>
      </c>
      <c r="F78" s="1">
        <v>9</v>
      </c>
      <c r="G78">
        <v>9</v>
      </c>
      <c r="H78">
        <v>0</v>
      </c>
      <c r="I78" s="1"/>
      <c r="J78" s="1"/>
    </row>
    <row r="79" spans="2:10">
      <c r="B79" s="1" t="s">
        <v>32</v>
      </c>
      <c r="C79" s="1">
        <v>202400031</v>
      </c>
      <c r="D79" s="1">
        <v>16</v>
      </c>
      <c r="E79" s="1">
        <v>90</v>
      </c>
      <c r="F79" s="1">
        <v>7</v>
      </c>
      <c r="G79">
        <v>10</v>
      </c>
      <c r="H79">
        <v>0</v>
      </c>
      <c r="I79" s="1"/>
      <c r="J79" s="1"/>
    </row>
    <row r="80" spans="2:10">
      <c r="B80" s="38" t="s">
        <v>473</v>
      </c>
      <c r="C80" s="1">
        <v>202400007</v>
      </c>
      <c r="D80" s="1">
        <v>23</v>
      </c>
      <c r="E80" s="1">
        <v>69</v>
      </c>
      <c r="F80" s="1">
        <v>3</v>
      </c>
      <c r="G80">
        <v>8</v>
      </c>
      <c r="H80">
        <v>0</v>
      </c>
      <c r="I80" s="1"/>
      <c r="J80" s="1"/>
    </row>
    <row r="81" spans="2:10">
      <c r="B81" s="1" t="s">
        <v>397</v>
      </c>
      <c r="C81" s="1">
        <v>202400396</v>
      </c>
      <c r="D81" s="1">
        <v>17</v>
      </c>
      <c r="E81" s="1">
        <v>62</v>
      </c>
      <c r="F81" s="1">
        <v>6</v>
      </c>
      <c r="G81">
        <v>8</v>
      </c>
      <c r="H81">
        <v>0</v>
      </c>
      <c r="I81" s="1"/>
      <c r="J81" s="1"/>
    </row>
    <row r="82" spans="2:10">
      <c r="B82" s="1" t="s">
        <v>360</v>
      </c>
      <c r="C82" s="1">
        <v>202400359</v>
      </c>
      <c r="D82" s="1">
        <v>30</v>
      </c>
      <c r="E82" s="1">
        <v>65</v>
      </c>
      <c r="F82" s="1">
        <v>9</v>
      </c>
      <c r="G82">
        <v>8</v>
      </c>
      <c r="H82">
        <v>0</v>
      </c>
      <c r="I82" s="1"/>
      <c r="J82" s="1"/>
    </row>
    <row r="83" spans="2:10">
      <c r="B83" s="1" t="s">
        <v>209</v>
      </c>
      <c r="C83" s="1">
        <v>202400208</v>
      </c>
      <c r="D83" s="1">
        <v>24</v>
      </c>
      <c r="E83" s="1">
        <v>73</v>
      </c>
      <c r="F83" s="1">
        <v>6</v>
      </c>
      <c r="G83">
        <v>8</v>
      </c>
      <c r="H83">
        <v>0</v>
      </c>
      <c r="I83" s="1"/>
      <c r="J83" s="1"/>
    </row>
    <row r="84" spans="2:10">
      <c r="B84" s="1" t="s">
        <v>162</v>
      </c>
      <c r="C84" s="1">
        <v>202400161</v>
      </c>
      <c r="D84" s="1">
        <v>21</v>
      </c>
      <c r="E84" s="1">
        <v>93</v>
      </c>
      <c r="F84" s="1">
        <v>3</v>
      </c>
      <c r="G84">
        <v>9</v>
      </c>
      <c r="H84">
        <v>0</v>
      </c>
      <c r="I84" s="1"/>
      <c r="J84" s="1"/>
    </row>
    <row r="85" spans="2:10">
      <c r="B85" s="1" t="s">
        <v>167</v>
      </c>
      <c r="C85" s="1">
        <v>202400166</v>
      </c>
      <c r="D85" s="1">
        <v>16</v>
      </c>
      <c r="E85" s="1">
        <v>88</v>
      </c>
      <c r="F85" s="1">
        <v>10</v>
      </c>
      <c r="G85">
        <v>9</v>
      </c>
      <c r="H85">
        <v>0</v>
      </c>
      <c r="I85" s="1"/>
      <c r="J85" s="1"/>
    </row>
    <row r="86" spans="2:10">
      <c r="B86" s="1" t="s">
        <v>192</v>
      </c>
      <c r="C86" s="1">
        <v>202400191</v>
      </c>
      <c r="D86" s="1">
        <v>28</v>
      </c>
      <c r="E86" s="1">
        <v>76</v>
      </c>
      <c r="F86" s="1">
        <v>4</v>
      </c>
      <c r="G86">
        <v>9</v>
      </c>
      <c r="H86">
        <v>0</v>
      </c>
      <c r="I86" s="1"/>
      <c r="J86" s="1"/>
    </row>
    <row r="87" spans="2:10">
      <c r="B87" s="1" t="s">
        <v>75</v>
      </c>
      <c r="C87" s="1">
        <v>202400074</v>
      </c>
      <c r="D87" s="1">
        <v>20</v>
      </c>
      <c r="E87" s="1">
        <v>65</v>
      </c>
      <c r="F87" s="1">
        <v>4</v>
      </c>
      <c r="G87">
        <v>9</v>
      </c>
      <c r="H87">
        <v>0</v>
      </c>
      <c r="I87" s="1"/>
      <c r="J87" s="1"/>
    </row>
    <row r="88" spans="2:10">
      <c r="B88" s="1" t="s">
        <v>25</v>
      </c>
      <c r="C88" s="1">
        <v>202400024</v>
      </c>
      <c r="D88" s="1">
        <v>27</v>
      </c>
      <c r="E88" s="1">
        <v>53</v>
      </c>
      <c r="F88" s="1">
        <v>5</v>
      </c>
      <c r="G88">
        <v>8</v>
      </c>
      <c r="H88">
        <v>0</v>
      </c>
      <c r="I88" s="1"/>
      <c r="J88" s="1"/>
    </row>
    <row r="89" spans="2:10">
      <c r="B89" s="1" t="s">
        <v>189</v>
      </c>
      <c r="C89" s="1">
        <v>202400188</v>
      </c>
      <c r="D89" s="1">
        <v>29</v>
      </c>
      <c r="E89" s="1">
        <v>80</v>
      </c>
      <c r="F89" s="1">
        <v>9</v>
      </c>
      <c r="G89">
        <v>8</v>
      </c>
      <c r="H89">
        <v>0</v>
      </c>
      <c r="I89" s="1"/>
      <c r="J89" s="1"/>
    </row>
    <row r="90" spans="2:10">
      <c r="B90" s="1" t="s">
        <v>386</v>
      </c>
      <c r="C90" s="1">
        <v>202400385</v>
      </c>
      <c r="D90" s="1">
        <v>30</v>
      </c>
      <c r="E90" s="1">
        <v>89</v>
      </c>
      <c r="F90" s="1">
        <v>5</v>
      </c>
      <c r="G90">
        <v>10</v>
      </c>
      <c r="H90">
        <v>0</v>
      </c>
      <c r="I90" s="1"/>
      <c r="J90" s="1"/>
    </row>
    <row r="91" spans="2:10">
      <c r="B91" s="1" t="s">
        <v>37</v>
      </c>
      <c r="C91" s="1">
        <v>202400036</v>
      </c>
      <c r="D91" s="1">
        <v>25</v>
      </c>
      <c r="E91" s="1">
        <v>78</v>
      </c>
      <c r="F91" s="1">
        <v>8</v>
      </c>
      <c r="G91">
        <v>9</v>
      </c>
      <c r="H91">
        <v>0</v>
      </c>
      <c r="I91" s="1"/>
      <c r="J91" s="1"/>
    </row>
    <row r="92" spans="2:10">
      <c r="B92" s="1" t="s">
        <v>222</v>
      </c>
      <c r="C92" s="1">
        <v>202400221</v>
      </c>
      <c r="D92" s="1">
        <v>24</v>
      </c>
      <c r="E92" s="1">
        <v>65</v>
      </c>
      <c r="F92" s="1">
        <v>4</v>
      </c>
      <c r="G92">
        <v>10</v>
      </c>
      <c r="H92">
        <v>0</v>
      </c>
      <c r="I92" s="1"/>
      <c r="J92" s="1"/>
    </row>
    <row r="93" spans="2:10">
      <c r="B93" s="1" t="s">
        <v>178</v>
      </c>
      <c r="C93" s="1">
        <v>202400177</v>
      </c>
      <c r="D93" s="1">
        <v>18</v>
      </c>
      <c r="E93" s="1">
        <v>93</v>
      </c>
      <c r="F93" s="1">
        <v>8</v>
      </c>
      <c r="G93">
        <v>10</v>
      </c>
      <c r="H93">
        <v>0</v>
      </c>
      <c r="I93" s="1"/>
      <c r="J93" s="1"/>
    </row>
    <row r="94" spans="2:10">
      <c r="B94" s="1" t="s">
        <v>46</v>
      </c>
      <c r="C94" s="1">
        <v>202400045</v>
      </c>
      <c r="D94" s="1">
        <v>29</v>
      </c>
      <c r="E94" s="1">
        <v>73</v>
      </c>
      <c r="F94" s="1">
        <v>5</v>
      </c>
      <c r="G94">
        <v>9</v>
      </c>
      <c r="H94">
        <v>0</v>
      </c>
      <c r="I94" s="1"/>
      <c r="J94" s="1"/>
    </row>
    <row r="95" spans="2:10">
      <c r="B95" s="1" t="s">
        <v>363</v>
      </c>
      <c r="C95" s="1">
        <v>202400362</v>
      </c>
      <c r="D95" s="1">
        <v>18</v>
      </c>
      <c r="E95" s="1">
        <v>75</v>
      </c>
      <c r="F95" s="1">
        <v>4</v>
      </c>
      <c r="G95">
        <v>10</v>
      </c>
      <c r="H95">
        <v>0</v>
      </c>
      <c r="I95" s="1"/>
      <c r="J95" s="1"/>
    </row>
    <row r="96" spans="2:10">
      <c r="B96" s="1" t="s">
        <v>308</v>
      </c>
      <c r="C96" s="1">
        <v>202400307</v>
      </c>
      <c r="D96" s="1">
        <v>17</v>
      </c>
      <c r="E96" s="1">
        <v>98</v>
      </c>
      <c r="F96">
        <v>10</v>
      </c>
      <c r="G96">
        <v>8</v>
      </c>
      <c r="H96">
        <v>0</v>
      </c>
      <c r="I96" s="1"/>
      <c r="J96" s="1"/>
    </row>
    <row r="97" spans="2:10">
      <c r="B97" s="1" t="s">
        <v>396</v>
      </c>
      <c r="C97" s="1">
        <v>202400395</v>
      </c>
      <c r="D97" s="1">
        <v>25</v>
      </c>
      <c r="E97" s="1">
        <v>90</v>
      </c>
      <c r="F97">
        <v>6</v>
      </c>
      <c r="G97">
        <v>8</v>
      </c>
      <c r="H97">
        <v>0</v>
      </c>
      <c r="I97" s="1"/>
      <c r="J97" s="1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EA1BC-0C88-8444-889C-7EC229F0C130}">
  <sheetPr>
    <tabColor theme="3" tint="0.89999084444715716"/>
  </sheetPr>
  <dimension ref="B1:M100"/>
  <sheetViews>
    <sheetView workbookViewId="0">
      <selection activeCell="H4" sqref="H4:H100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492</v>
      </c>
      <c r="C2">
        <v>2</v>
      </c>
      <c r="D2" t="s">
        <v>403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s="1" t="s">
        <v>294</v>
      </c>
      <c r="C4" s="1">
        <v>202400293</v>
      </c>
      <c r="D4">
        <v>23</v>
      </c>
      <c r="E4">
        <v>79</v>
      </c>
      <c r="F4">
        <v>3</v>
      </c>
      <c r="G4">
        <v>10</v>
      </c>
      <c r="H4">
        <v>0</v>
      </c>
    </row>
    <row r="5" spans="2:13">
      <c r="B5" s="1" t="s">
        <v>390</v>
      </c>
      <c r="C5" s="1">
        <v>202400389</v>
      </c>
      <c r="D5">
        <v>16</v>
      </c>
      <c r="E5">
        <v>58</v>
      </c>
      <c r="F5">
        <v>10</v>
      </c>
      <c r="G5">
        <v>9</v>
      </c>
      <c r="H5">
        <v>0</v>
      </c>
    </row>
    <row r="6" spans="2:13">
      <c r="B6" s="1" t="s">
        <v>203</v>
      </c>
      <c r="C6" s="1">
        <v>202400202</v>
      </c>
      <c r="D6">
        <v>24</v>
      </c>
      <c r="E6">
        <v>68</v>
      </c>
      <c r="F6">
        <v>10</v>
      </c>
      <c r="G6">
        <v>8</v>
      </c>
      <c r="H6">
        <v>0</v>
      </c>
    </row>
    <row r="7" spans="2:13">
      <c r="B7" s="1" t="s">
        <v>354</v>
      </c>
      <c r="C7" s="1">
        <v>202400353</v>
      </c>
      <c r="D7">
        <v>23</v>
      </c>
      <c r="E7">
        <v>69</v>
      </c>
      <c r="F7">
        <v>3</v>
      </c>
      <c r="G7">
        <v>9</v>
      </c>
      <c r="H7">
        <v>0</v>
      </c>
    </row>
    <row r="8" spans="2:13">
      <c r="B8" s="1" t="s">
        <v>365</v>
      </c>
      <c r="C8" s="1">
        <v>202400364</v>
      </c>
      <c r="D8">
        <v>16</v>
      </c>
      <c r="E8">
        <v>76</v>
      </c>
      <c r="F8">
        <v>5</v>
      </c>
      <c r="G8">
        <v>8</v>
      </c>
      <c r="H8">
        <v>0</v>
      </c>
    </row>
    <row r="9" spans="2:13">
      <c r="B9" s="1" t="s">
        <v>247</v>
      </c>
      <c r="C9" s="1">
        <v>202400246</v>
      </c>
      <c r="D9">
        <v>23</v>
      </c>
      <c r="E9">
        <v>95</v>
      </c>
      <c r="F9">
        <v>7</v>
      </c>
      <c r="G9">
        <v>8</v>
      </c>
      <c r="H9">
        <v>0</v>
      </c>
    </row>
    <row r="10" spans="2:13">
      <c r="B10" s="1" t="s">
        <v>194</v>
      </c>
      <c r="C10" s="1">
        <v>202400193</v>
      </c>
      <c r="D10">
        <v>28</v>
      </c>
      <c r="E10">
        <v>82</v>
      </c>
      <c r="F10">
        <v>8</v>
      </c>
      <c r="G10">
        <v>10</v>
      </c>
      <c r="H10">
        <v>0</v>
      </c>
    </row>
    <row r="11" spans="2:13">
      <c r="B11" s="1" t="s">
        <v>49</v>
      </c>
      <c r="C11" s="1">
        <v>202400048</v>
      </c>
      <c r="D11">
        <v>16</v>
      </c>
      <c r="E11">
        <v>76</v>
      </c>
      <c r="F11">
        <v>3</v>
      </c>
      <c r="G11">
        <v>9</v>
      </c>
      <c r="H11">
        <v>0</v>
      </c>
    </row>
    <row r="12" spans="2:13">
      <c r="B12" s="1" t="s">
        <v>65</v>
      </c>
      <c r="C12" s="1">
        <v>202400064</v>
      </c>
      <c r="D12">
        <v>29</v>
      </c>
      <c r="E12">
        <v>74</v>
      </c>
      <c r="F12">
        <v>4</v>
      </c>
      <c r="G12">
        <v>8</v>
      </c>
      <c r="H12">
        <v>0</v>
      </c>
    </row>
    <row r="13" spans="2:13">
      <c r="B13" s="1" t="s">
        <v>335</v>
      </c>
      <c r="C13" s="1">
        <v>202400334</v>
      </c>
      <c r="D13">
        <v>22</v>
      </c>
      <c r="E13">
        <v>76</v>
      </c>
      <c r="F13">
        <v>5</v>
      </c>
      <c r="G13">
        <v>9</v>
      </c>
      <c r="H13">
        <v>0</v>
      </c>
    </row>
    <row r="14" spans="2:13">
      <c r="B14" s="1" t="s">
        <v>199</v>
      </c>
      <c r="C14" s="1">
        <v>202400198</v>
      </c>
      <c r="D14">
        <v>20</v>
      </c>
      <c r="E14">
        <v>93</v>
      </c>
      <c r="F14">
        <v>7</v>
      </c>
      <c r="G14">
        <v>9</v>
      </c>
      <c r="H14">
        <v>0</v>
      </c>
    </row>
    <row r="15" spans="2:13">
      <c r="B15" s="1" t="s">
        <v>127</v>
      </c>
      <c r="C15" s="1">
        <v>202400126</v>
      </c>
      <c r="D15">
        <v>16</v>
      </c>
      <c r="E15">
        <v>57</v>
      </c>
      <c r="F15">
        <v>8</v>
      </c>
      <c r="G15">
        <v>9</v>
      </c>
      <c r="H15">
        <v>0</v>
      </c>
    </row>
    <row r="16" spans="2:13">
      <c r="B16" s="1" t="s">
        <v>232</v>
      </c>
      <c r="C16" s="1">
        <v>202400231</v>
      </c>
      <c r="D16">
        <v>28</v>
      </c>
      <c r="E16">
        <v>94</v>
      </c>
      <c r="F16">
        <v>8</v>
      </c>
      <c r="G16">
        <v>8</v>
      </c>
      <c r="H16">
        <v>0</v>
      </c>
    </row>
    <row r="17" spans="2:8">
      <c r="B17" s="1" t="s">
        <v>182</v>
      </c>
      <c r="C17" s="1">
        <v>202400181</v>
      </c>
      <c r="D17">
        <v>26</v>
      </c>
      <c r="E17">
        <v>90</v>
      </c>
      <c r="F17">
        <v>8</v>
      </c>
      <c r="G17">
        <v>10</v>
      </c>
      <c r="H17">
        <v>0</v>
      </c>
    </row>
    <row r="18" spans="2:8">
      <c r="B18" s="1" t="s">
        <v>47</v>
      </c>
      <c r="C18" s="1">
        <v>202400046</v>
      </c>
      <c r="D18">
        <v>16</v>
      </c>
      <c r="E18">
        <v>78</v>
      </c>
      <c r="F18">
        <v>5</v>
      </c>
      <c r="G18">
        <v>9</v>
      </c>
      <c r="H18">
        <v>0</v>
      </c>
    </row>
    <row r="19" spans="2:8">
      <c r="B19" s="1" t="s">
        <v>336</v>
      </c>
      <c r="C19" s="1">
        <v>202400335</v>
      </c>
      <c r="D19">
        <v>15</v>
      </c>
      <c r="E19">
        <v>82</v>
      </c>
      <c r="F19">
        <v>5</v>
      </c>
      <c r="G19">
        <v>9</v>
      </c>
      <c r="H19">
        <v>0</v>
      </c>
    </row>
    <row r="20" spans="2:8">
      <c r="B20" s="1" t="s">
        <v>301</v>
      </c>
      <c r="C20" s="1">
        <v>202400300</v>
      </c>
      <c r="D20">
        <v>29</v>
      </c>
      <c r="E20">
        <v>74</v>
      </c>
      <c r="F20">
        <v>6</v>
      </c>
      <c r="G20">
        <v>10</v>
      </c>
      <c r="H20">
        <v>0</v>
      </c>
    </row>
    <row r="21" spans="2:8">
      <c r="B21" s="1" t="s">
        <v>51</v>
      </c>
      <c r="C21" s="1">
        <v>202400050</v>
      </c>
      <c r="D21">
        <v>24</v>
      </c>
      <c r="E21">
        <v>60</v>
      </c>
      <c r="F21">
        <v>8</v>
      </c>
      <c r="G21">
        <v>9</v>
      </c>
      <c r="H21">
        <v>0</v>
      </c>
    </row>
    <row r="22" spans="2:8">
      <c r="B22" s="1" t="s">
        <v>261</v>
      </c>
      <c r="C22" s="1">
        <v>202400260</v>
      </c>
      <c r="D22">
        <v>29</v>
      </c>
      <c r="E22">
        <v>97</v>
      </c>
      <c r="F22">
        <v>6</v>
      </c>
      <c r="G22">
        <v>9</v>
      </c>
      <c r="H22">
        <v>0</v>
      </c>
    </row>
    <row r="23" spans="2:8">
      <c r="B23" s="1" t="s">
        <v>24</v>
      </c>
      <c r="C23" s="1">
        <v>202400023</v>
      </c>
      <c r="D23">
        <v>26</v>
      </c>
      <c r="E23">
        <v>75</v>
      </c>
      <c r="F23">
        <v>8</v>
      </c>
      <c r="G23">
        <v>8</v>
      </c>
      <c r="H23">
        <v>0</v>
      </c>
    </row>
    <row r="24" spans="2:8">
      <c r="B24" s="1" t="s">
        <v>388</v>
      </c>
      <c r="C24" s="1">
        <v>202400387</v>
      </c>
      <c r="D24">
        <v>16</v>
      </c>
      <c r="E24">
        <v>77</v>
      </c>
      <c r="F24">
        <v>4</v>
      </c>
      <c r="G24">
        <v>10</v>
      </c>
      <c r="H24">
        <v>0</v>
      </c>
    </row>
    <row r="25" spans="2:8">
      <c r="B25" s="1" t="s">
        <v>392</v>
      </c>
      <c r="C25" s="1">
        <v>202400391</v>
      </c>
      <c r="D25">
        <v>26</v>
      </c>
      <c r="E25">
        <v>82</v>
      </c>
      <c r="F25">
        <v>9</v>
      </c>
      <c r="G25">
        <v>9</v>
      </c>
      <c r="H25">
        <v>0</v>
      </c>
    </row>
    <row r="26" spans="2:8">
      <c r="B26" s="1" t="s">
        <v>35</v>
      </c>
      <c r="C26" s="1">
        <v>202400034</v>
      </c>
      <c r="D26">
        <v>29</v>
      </c>
      <c r="E26">
        <v>75</v>
      </c>
      <c r="F26">
        <v>8</v>
      </c>
      <c r="G26">
        <v>10</v>
      </c>
      <c r="H26">
        <v>0</v>
      </c>
    </row>
    <row r="27" spans="2:8">
      <c r="B27" s="1" t="s">
        <v>320</v>
      </c>
      <c r="C27" s="1">
        <v>202400319</v>
      </c>
      <c r="D27">
        <v>19</v>
      </c>
      <c r="E27">
        <v>56</v>
      </c>
      <c r="F27">
        <v>4</v>
      </c>
      <c r="G27">
        <v>8</v>
      </c>
      <c r="H27">
        <v>0</v>
      </c>
    </row>
    <row r="28" spans="2:8">
      <c r="B28" s="1" t="s">
        <v>16</v>
      </c>
      <c r="C28" s="1">
        <v>202400015</v>
      </c>
      <c r="D28">
        <v>30</v>
      </c>
      <c r="E28">
        <v>68</v>
      </c>
      <c r="F28">
        <v>10</v>
      </c>
      <c r="G28">
        <v>8</v>
      </c>
      <c r="H28">
        <v>0</v>
      </c>
    </row>
    <row r="29" spans="2:8">
      <c r="B29" s="1" t="s">
        <v>104</v>
      </c>
      <c r="C29" s="1">
        <v>202400103</v>
      </c>
      <c r="D29">
        <v>18</v>
      </c>
      <c r="E29">
        <v>68</v>
      </c>
      <c r="F29">
        <v>4</v>
      </c>
      <c r="G29">
        <v>10</v>
      </c>
      <c r="H29">
        <v>0</v>
      </c>
    </row>
    <row r="30" spans="2:8">
      <c r="B30" s="1" t="s">
        <v>27</v>
      </c>
      <c r="C30" s="1">
        <v>202400026</v>
      </c>
      <c r="D30">
        <v>18</v>
      </c>
      <c r="E30">
        <v>85</v>
      </c>
      <c r="F30">
        <v>8</v>
      </c>
      <c r="G30">
        <v>9</v>
      </c>
      <c r="H30">
        <v>0</v>
      </c>
    </row>
    <row r="31" spans="2:8">
      <c r="B31" s="1" t="s">
        <v>379</v>
      </c>
      <c r="C31" s="1">
        <v>202400378</v>
      </c>
      <c r="D31">
        <v>21</v>
      </c>
      <c r="E31">
        <v>79</v>
      </c>
      <c r="F31">
        <v>8</v>
      </c>
      <c r="G31">
        <v>9</v>
      </c>
      <c r="H31">
        <v>0</v>
      </c>
    </row>
    <row r="32" spans="2:8">
      <c r="B32" s="1" t="s">
        <v>398</v>
      </c>
      <c r="C32" s="1">
        <v>202400397</v>
      </c>
      <c r="D32">
        <v>18</v>
      </c>
      <c r="E32">
        <v>74</v>
      </c>
      <c r="F32">
        <v>3</v>
      </c>
      <c r="G32">
        <v>8</v>
      </c>
      <c r="H32">
        <v>0</v>
      </c>
    </row>
    <row r="33" spans="2:8">
      <c r="B33" s="1" t="s">
        <v>318</v>
      </c>
      <c r="C33" s="1">
        <v>202400317</v>
      </c>
      <c r="D33">
        <v>25</v>
      </c>
      <c r="E33">
        <v>79</v>
      </c>
      <c r="F33">
        <v>4</v>
      </c>
      <c r="G33">
        <v>9</v>
      </c>
      <c r="H33">
        <v>0</v>
      </c>
    </row>
    <row r="34" spans="2:8">
      <c r="B34" s="1" t="s">
        <v>145</v>
      </c>
      <c r="C34" s="1">
        <v>202400144</v>
      </c>
      <c r="D34">
        <v>25</v>
      </c>
      <c r="E34">
        <v>50</v>
      </c>
      <c r="F34">
        <v>3</v>
      </c>
      <c r="G34">
        <v>10</v>
      </c>
      <c r="H34">
        <v>0</v>
      </c>
    </row>
    <row r="35" spans="2:8">
      <c r="B35" s="1" t="s">
        <v>345</v>
      </c>
      <c r="C35" s="1">
        <v>202400344</v>
      </c>
      <c r="D35">
        <v>18</v>
      </c>
      <c r="E35">
        <v>65</v>
      </c>
      <c r="F35">
        <v>10</v>
      </c>
      <c r="G35">
        <v>10</v>
      </c>
      <c r="H35">
        <v>0</v>
      </c>
    </row>
    <row r="36" spans="2:8">
      <c r="B36" s="1" t="s">
        <v>177</v>
      </c>
      <c r="C36" s="1">
        <v>202400176</v>
      </c>
      <c r="D36">
        <v>26</v>
      </c>
      <c r="E36">
        <v>55</v>
      </c>
      <c r="F36">
        <v>6</v>
      </c>
      <c r="G36">
        <v>10</v>
      </c>
      <c r="H36">
        <v>0</v>
      </c>
    </row>
    <row r="37" spans="2:8">
      <c r="B37" s="1" t="s">
        <v>110</v>
      </c>
      <c r="C37" s="1">
        <v>202400109</v>
      </c>
      <c r="D37">
        <v>29</v>
      </c>
      <c r="E37">
        <v>99</v>
      </c>
      <c r="F37">
        <v>3</v>
      </c>
      <c r="G37">
        <v>8</v>
      </c>
      <c r="H37">
        <v>0</v>
      </c>
    </row>
    <row r="38" spans="2:8">
      <c r="B38" s="1" t="s">
        <v>106</v>
      </c>
      <c r="C38" s="1">
        <v>202400105</v>
      </c>
      <c r="D38">
        <v>25</v>
      </c>
      <c r="E38">
        <v>78</v>
      </c>
      <c r="F38">
        <v>3</v>
      </c>
      <c r="G38">
        <v>9</v>
      </c>
      <c r="H38">
        <v>0</v>
      </c>
    </row>
    <row r="39" spans="2:8">
      <c r="B39" s="1" t="s">
        <v>337</v>
      </c>
      <c r="C39" s="1">
        <v>202400336</v>
      </c>
      <c r="D39">
        <v>22</v>
      </c>
      <c r="E39">
        <v>92</v>
      </c>
      <c r="F39">
        <v>8</v>
      </c>
      <c r="G39">
        <v>10</v>
      </c>
      <c r="H39">
        <v>0</v>
      </c>
    </row>
    <row r="40" spans="2:8">
      <c r="B40" s="1" t="s">
        <v>303</v>
      </c>
      <c r="C40" s="1">
        <v>202400302</v>
      </c>
      <c r="D40">
        <v>24</v>
      </c>
      <c r="E40">
        <v>88</v>
      </c>
      <c r="F40">
        <v>6</v>
      </c>
      <c r="G40">
        <v>8</v>
      </c>
      <c r="H40">
        <v>0</v>
      </c>
    </row>
    <row r="41" spans="2:8">
      <c r="B41" s="1" t="s">
        <v>382</v>
      </c>
      <c r="C41" s="1">
        <v>202400381</v>
      </c>
      <c r="D41">
        <v>15</v>
      </c>
      <c r="E41">
        <v>69</v>
      </c>
      <c r="F41">
        <v>5</v>
      </c>
      <c r="G41">
        <v>9</v>
      </c>
      <c r="H41">
        <v>0</v>
      </c>
    </row>
    <row r="42" spans="2:8">
      <c r="B42" s="1" t="s">
        <v>361</v>
      </c>
      <c r="C42" s="1">
        <v>202400360</v>
      </c>
      <c r="D42">
        <v>16</v>
      </c>
      <c r="E42">
        <v>89</v>
      </c>
      <c r="F42">
        <v>10</v>
      </c>
      <c r="G42">
        <v>9</v>
      </c>
      <c r="H42">
        <v>0</v>
      </c>
    </row>
    <row r="43" spans="2:8">
      <c r="B43" s="1" t="s">
        <v>347</v>
      </c>
      <c r="C43" s="1">
        <v>202400346</v>
      </c>
      <c r="D43">
        <v>22</v>
      </c>
      <c r="E43">
        <v>92</v>
      </c>
      <c r="F43">
        <v>6</v>
      </c>
      <c r="G43">
        <v>10</v>
      </c>
      <c r="H43">
        <v>0</v>
      </c>
    </row>
    <row r="44" spans="2:8">
      <c r="B44" s="1" t="s">
        <v>285</v>
      </c>
      <c r="C44" s="1">
        <v>202400284</v>
      </c>
      <c r="D44">
        <v>20</v>
      </c>
      <c r="E44">
        <v>80</v>
      </c>
      <c r="F44">
        <v>4</v>
      </c>
      <c r="G44">
        <v>8</v>
      </c>
      <c r="H44">
        <v>0</v>
      </c>
    </row>
    <row r="45" spans="2:8">
      <c r="B45" s="1" t="s">
        <v>59</v>
      </c>
      <c r="C45" s="1">
        <v>202400058</v>
      </c>
      <c r="D45">
        <v>24</v>
      </c>
      <c r="E45">
        <v>67</v>
      </c>
      <c r="F45">
        <v>5</v>
      </c>
      <c r="G45">
        <v>9</v>
      </c>
      <c r="H45">
        <v>0</v>
      </c>
    </row>
    <row r="46" spans="2:8">
      <c r="B46" s="1" t="s">
        <v>54</v>
      </c>
      <c r="C46" s="1">
        <v>202400053</v>
      </c>
      <c r="D46">
        <v>19</v>
      </c>
      <c r="E46">
        <v>85</v>
      </c>
      <c r="F46">
        <v>8</v>
      </c>
      <c r="G46">
        <v>10</v>
      </c>
      <c r="H46">
        <v>0</v>
      </c>
    </row>
    <row r="47" spans="2:8">
      <c r="B47" s="1" t="s">
        <v>296</v>
      </c>
      <c r="C47" s="1">
        <v>202400295</v>
      </c>
      <c r="D47">
        <v>24</v>
      </c>
      <c r="E47">
        <v>94</v>
      </c>
      <c r="F47">
        <v>5</v>
      </c>
      <c r="G47">
        <v>8</v>
      </c>
      <c r="H47">
        <v>0</v>
      </c>
    </row>
    <row r="48" spans="2:8">
      <c r="B48" s="1" t="s">
        <v>273</v>
      </c>
      <c r="C48" s="1">
        <v>202400272</v>
      </c>
      <c r="D48">
        <v>30</v>
      </c>
      <c r="E48">
        <v>54</v>
      </c>
      <c r="F48">
        <v>4</v>
      </c>
      <c r="G48">
        <v>8</v>
      </c>
      <c r="H48">
        <v>0</v>
      </c>
    </row>
    <row r="49" spans="2:8">
      <c r="B49" s="1" t="s">
        <v>333</v>
      </c>
      <c r="C49" s="1">
        <v>202400332</v>
      </c>
      <c r="D49">
        <v>27</v>
      </c>
      <c r="E49">
        <v>100</v>
      </c>
      <c r="F49">
        <v>8</v>
      </c>
      <c r="G49">
        <v>10</v>
      </c>
      <c r="H49">
        <v>0</v>
      </c>
    </row>
    <row r="50" spans="2:8">
      <c r="B50" s="1" t="s">
        <v>89</v>
      </c>
      <c r="C50" s="1">
        <v>202400088</v>
      </c>
      <c r="D50">
        <v>22</v>
      </c>
      <c r="E50">
        <v>85</v>
      </c>
      <c r="F50">
        <v>5</v>
      </c>
      <c r="G50">
        <v>9</v>
      </c>
      <c r="H50">
        <v>0</v>
      </c>
    </row>
    <row r="51" spans="2:8">
      <c r="B51" s="1" t="s">
        <v>319</v>
      </c>
      <c r="C51" s="1">
        <v>202400318</v>
      </c>
      <c r="D51">
        <v>27</v>
      </c>
      <c r="E51">
        <v>74</v>
      </c>
      <c r="F51">
        <v>8</v>
      </c>
      <c r="G51">
        <v>9</v>
      </c>
      <c r="H51">
        <v>0</v>
      </c>
    </row>
    <row r="52" spans="2:8">
      <c r="B52" s="1" t="s">
        <v>108</v>
      </c>
      <c r="C52" s="1">
        <v>202400107</v>
      </c>
      <c r="D52">
        <v>20</v>
      </c>
      <c r="E52">
        <v>80</v>
      </c>
      <c r="F52">
        <v>6</v>
      </c>
      <c r="G52">
        <v>8</v>
      </c>
      <c r="H52">
        <v>0</v>
      </c>
    </row>
    <row r="53" spans="2:8">
      <c r="B53" s="1" t="s">
        <v>132</v>
      </c>
      <c r="C53" s="1">
        <v>202400131</v>
      </c>
      <c r="D53">
        <v>30</v>
      </c>
      <c r="E53">
        <v>67</v>
      </c>
      <c r="F53">
        <v>8</v>
      </c>
      <c r="G53">
        <v>8</v>
      </c>
      <c r="H53">
        <v>0</v>
      </c>
    </row>
    <row r="54" spans="2:8">
      <c r="B54" s="1" t="s">
        <v>278</v>
      </c>
      <c r="C54" s="1">
        <v>202400277</v>
      </c>
      <c r="D54">
        <v>29</v>
      </c>
      <c r="E54">
        <v>78</v>
      </c>
      <c r="F54">
        <v>10</v>
      </c>
      <c r="G54">
        <v>8</v>
      </c>
      <c r="H54">
        <v>0</v>
      </c>
    </row>
    <row r="55" spans="2:8">
      <c r="B55" s="1" t="s">
        <v>64</v>
      </c>
      <c r="C55" s="1">
        <v>202400063</v>
      </c>
      <c r="D55">
        <v>15</v>
      </c>
      <c r="E55">
        <v>50</v>
      </c>
      <c r="F55">
        <v>8</v>
      </c>
      <c r="G55">
        <v>9</v>
      </c>
      <c r="H55">
        <v>0</v>
      </c>
    </row>
    <row r="56" spans="2:8">
      <c r="B56" s="1" t="s">
        <v>101</v>
      </c>
      <c r="C56" s="1">
        <v>202400100</v>
      </c>
      <c r="D56">
        <v>19</v>
      </c>
      <c r="E56">
        <v>96</v>
      </c>
      <c r="F56">
        <v>6</v>
      </c>
      <c r="G56">
        <v>10</v>
      </c>
      <c r="H56">
        <v>0</v>
      </c>
    </row>
    <row r="57" spans="2:8">
      <c r="B57" s="1" t="s">
        <v>185</v>
      </c>
      <c r="C57" s="1">
        <v>202400184</v>
      </c>
      <c r="D57">
        <v>19</v>
      </c>
      <c r="E57">
        <v>82</v>
      </c>
      <c r="F57">
        <v>7</v>
      </c>
      <c r="G57">
        <v>8</v>
      </c>
      <c r="H57">
        <v>0</v>
      </c>
    </row>
    <row r="58" spans="2:8">
      <c r="B58" s="1" t="s">
        <v>267</v>
      </c>
      <c r="C58" s="1">
        <v>202400266</v>
      </c>
      <c r="D58">
        <v>17</v>
      </c>
      <c r="E58">
        <v>54</v>
      </c>
      <c r="F58">
        <v>3</v>
      </c>
      <c r="G58">
        <v>9</v>
      </c>
      <c r="H58">
        <v>0</v>
      </c>
    </row>
    <row r="59" spans="2:8">
      <c r="B59" s="1" t="s">
        <v>266</v>
      </c>
      <c r="C59" s="1">
        <v>202400265</v>
      </c>
      <c r="D59">
        <v>15</v>
      </c>
      <c r="E59">
        <v>83</v>
      </c>
      <c r="F59">
        <v>9</v>
      </c>
      <c r="G59">
        <v>9</v>
      </c>
      <c r="H59">
        <v>0</v>
      </c>
    </row>
    <row r="60" spans="2:8">
      <c r="B60" s="1" t="s">
        <v>141</v>
      </c>
      <c r="C60" s="1">
        <v>202400140</v>
      </c>
      <c r="D60">
        <v>18</v>
      </c>
      <c r="E60">
        <v>72</v>
      </c>
      <c r="F60">
        <v>4</v>
      </c>
      <c r="G60">
        <v>9</v>
      </c>
      <c r="H60">
        <v>0</v>
      </c>
    </row>
    <row r="61" spans="2:8">
      <c r="B61" s="1" t="s">
        <v>369</v>
      </c>
      <c r="C61" s="1">
        <v>202400368</v>
      </c>
      <c r="D61">
        <v>28</v>
      </c>
      <c r="E61">
        <v>58</v>
      </c>
      <c r="F61">
        <v>5</v>
      </c>
      <c r="G61">
        <v>10</v>
      </c>
      <c r="H61">
        <v>0</v>
      </c>
    </row>
    <row r="62" spans="2:8">
      <c r="B62" s="1" t="s">
        <v>342</v>
      </c>
      <c r="C62" s="1">
        <v>202400341</v>
      </c>
      <c r="D62">
        <v>18</v>
      </c>
      <c r="E62">
        <v>70</v>
      </c>
      <c r="F62">
        <v>10</v>
      </c>
      <c r="G62">
        <v>8</v>
      </c>
      <c r="H62">
        <v>0</v>
      </c>
    </row>
    <row r="63" spans="2:8">
      <c r="B63" s="1" t="s">
        <v>227</v>
      </c>
      <c r="C63" s="1">
        <v>202400226</v>
      </c>
      <c r="D63">
        <v>17</v>
      </c>
      <c r="E63">
        <v>59</v>
      </c>
      <c r="F63">
        <v>8</v>
      </c>
      <c r="G63">
        <v>10</v>
      </c>
      <c r="H63">
        <v>0</v>
      </c>
    </row>
    <row r="64" spans="2:8">
      <c r="B64" s="1" t="s">
        <v>207</v>
      </c>
      <c r="C64" s="1">
        <v>202400206</v>
      </c>
      <c r="D64">
        <v>23</v>
      </c>
      <c r="E64">
        <v>80</v>
      </c>
      <c r="F64">
        <v>10</v>
      </c>
      <c r="G64">
        <v>9</v>
      </c>
      <c r="H64">
        <v>0</v>
      </c>
    </row>
    <row r="65" spans="2:8">
      <c r="B65" s="1" t="s">
        <v>368</v>
      </c>
      <c r="C65" s="1">
        <v>202400367</v>
      </c>
      <c r="D65">
        <v>24</v>
      </c>
      <c r="E65">
        <v>80</v>
      </c>
      <c r="F65">
        <v>9</v>
      </c>
      <c r="G65">
        <v>10</v>
      </c>
      <c r="H65">
        <v>0</v>
      </c>
    </row>
    <row r="66" spans="2:8">
      <c r="B66" s="1" t="s">
        <v>358</v>
      </c>
      <c r="C66" s="1">
        <v>202400357</v>
      </c>
      <c r="D66">
        <v>16</v>
      </c>
      <c r="E66">
        <v>61</v>
      </c>
      <c r="F66">
        <v>7</v>
      </c>
      <c r="G66">
        <v>9</v>
      </c>
      <c r="H66">
        <v>0</v>
      </c>
    </row>
    <row r="67" spans="2:8">
      <c r="B67" s="1" t="s">
        <v>143</v>
      </c>
      <c r="C67" s="1">
        <v>202400142</v>
      </c>
      <c r="D67">
        <v>30</v>
      </c>
      <c r="E67">
        <v>77</v>
      </c>
      <c r="F67">
        <v>4</v>
      </c>
      <c r="G67">
        <v>10</v>
      </c>
      <c r="H67">
        <v>0</v>
      </c>
    </row>
    <row r="68" spans="2:8">
      <c r="B68" s="1" t="s">
        <v>81</v>
      </c>
      <c r="C68" s="1">
        <v>202400080</v>
      </c>
      <c r="D68">
        <v>28</v>
      </c>
      <c r="E68">
        <v>96</v>
      </c>
      <c r="F68">
        <v>4</v>
      </c>
      <c r="G68">
        <v>8</v>
      </c>
      <c r="H68">
        <v>0</v>
      </c>
    </row>
    <row r="69" spans="2:8">
      <c r="B69" s="1" t="s">
        <v>328</v>
      </c>
      <c r="C69" s="1">
        <v>202400327</v>
      </c>
      <c r="D69">
        <v>17</v>
      </c>
      <c r="E69">
        <v>76</v>
      </c>
      <c r="F69">
        <v>3</v>
      </c>
      <c r="G69">
        <v>8</v>
      </c>
      <c r="H69">
        <v>0</v>
      </c>
    </row>
    <row r="70" spans="2:8">
      <c r="B70" s="1" t="s">
        <v>276</v>
      </c>
      <c r="C70" s="1">
        <v>202400275</v>
      </c>
      <c r="D70">
        <v>29</v>
      </c>
      <c r="E70">
        <v>84</v>
      </c>
      <c r="F70">
        <v>4</v>
      </c>
      <c r="G70">
        <v>10</v>
      </c>
      <c r="H70">
        <v>0</v>
      </c>
    </row>
    <row r="71" spans="2:8">
      <c r="B71" s="1" t="s">
        <v>48</v>
      </c>
      <c r="C71" s="1">
        <v>202400047</v>
      </c>
      <c r="D71">
        <v>25</v>
      </c>
      <c r="E71">
        <v>75</v>
      </c>
      <c r="F71">
        <v>5</v>
      </c>
      <c r="G71">
        <v>9</v>
      </c>
      <c r="H71">
        <v>0</v>
      </c>
    </row>
    <row r="72" spans="2:8">
      <c r="B72" s="1" t="s">
        <v>219</v>
      </c>
      <c r="C72" s="1">
        <v>202400218</v>
      </c>
      <c r="D72">
        <v>30</v>
      </c>
      <c r="E72">
        <v>61</v>
      </c>
      <c r="F72">
        <v>7</v>
      </c>
      <c r="G72">
        <v>8</v>
      </c>
      <c r="H72">
        <v>0</v>
      </c>
    </row>
    <row r="73" spans="2:8">
      <c r="B73" s="1" t="s">
        <v>131</v>
      </c>
      <c r="C73" s="1">
        <v>202400130</v>
      </c>
      <c r="D73">
        <v>21</v>
      </c>
      <c r="E73">
        <v>56</v>
      </c>
      <c r="F73">
        <v>3</v>
      </c>
      <c r="G73">
        <v>8</v>
      </c>
      <c r="H73">
        <v>0</v>
      </c>
    </row>
    <row r="74" spans="2:8">
      <c r="B74" s="1" t="s">
        <v>305</v>
      </c>
      <c r="C74" s="1">
        <v>202400304</v>
      </c>
      <c r="D74">
        <v>20</v>
      </c>
      <c r="E74">
        <v>100</v>
      </c>
      <c r="F74">
        <v>8</v>
      </c>
      <c r="G74">
        <v>10</v>
      </c>
      <c r="H74">
        <v>0</v>
      </c>
    </row>
    <row r="75" spans="2:8">
      <c r="B75" s="1" t="s">
        <v>190</v>
      </c>
      <c r="C75" s="1">
        <v>202400189</v>
      </c>
      <c r="D75">
        <v>28</v>
      </c>
      <c r="E75">
        <v>88</v>
      </c>
      <c r="F75">
        <v>8</v>
      </c>
      <c r="G75">
        <v>9</v>
      </c>
      <c r="H75">
        <v>0</v>
      </c>
    </row>
    <row r="76" spans="2:8">
      <c r="B76" s="1" t="s">
        <v>331</v>
      </c>
      <c r="C76" s="1">
        <v>202400330</v>
      </c>
      <c r="D76">
        <v>26</v>
      </c>
      <c r="E76">
        <v>66</v>
      </c>
      <c r="F76">
        <v>10</v>
      </c>
      <c r="G76">
        <v>10</v>
      </c>
      <c r="H76">
        <v>0</v>
      </c>
    </row>
    <row r="77" spans="2:8">
      <c r="B77" s="1" t="s">
        <v>401</v>
      </c>
      <c r="C77" s="1">
        <v>202400400</v>
      </c>
      <c r="D77">
        <v>27</v>
      </c>
      <c r="E77">
        <v>55</v>
      </c>
      <c r="F77">
        <v>3</v>
      </c>
      <c r="G77">
        <v>9</v>
      </c>
      <c r="H77">
        <v>0</v>
      </c>
    </row>
    <row r="78" spans="2:8">
      <c r="B78" s="1" t="s">
        <v>152</v>
      </c>
      <c r="C78" s="1">
        <v>202400151</v>
      </c>
      <c r="D78">
        <v>29</v>
      </c>
      <c r="E78">
        <v>95</v>
      </c>
      <c r="F78">
        <v>8</v>
      </c>
      <c r="G78">
        <v>8</v>
      </c>
      <c r="H78">
        <v>0</v>
      </c>
    </row>
    <row r="79" spans="2:8">
      <c r="B79" s="1" t="s">
        <v>147</v>
      </c>
      <c r="C79" s="1">
        <v>202400146</v>
      </c>
      <c r="D79">
        <v>19</v>
      </c>
      <c r="E79">
        <v>56</v>
      </c>
      <c r="F79">
        <v>4</v>
      </c>
      <c r="G79">
        <v>10</v>
      </c>
      <c r="H79">
        <v>0</v>
      </c>
    </row>
    <row r="80" spans="2:8">
      <c r="B80" s="1" t="s">
        <v>166</v>
      </c>
      <c r="C80" s="1">
        <v>202400165</v>
      </c>
      <c r="D80">
        <v>29</v>
      </c>
      <c r="E80">
        <v>95</v>
      </c>
      <c r="F80">
        <v>3</v>
      </c>
      <c r="G80">
        <v>8</v>
      </c>
      <c r="H80">
        <v>0</v>
      </c>
    </row>
    <row r="81" spans="2:8">
      <c r="B81" s="1" t="s">
        <v>315</v>
      </c>
      <c r="C81" s="1">
        <v>202400314</v>
      </c>
      <c r="D81">
        <v>24</v>
      </c>
      <c r="E81">
        <v>77</v>
      </c>
      <c r="F81">
        <v>5</v>
      </c>
      <c r="G81">
        <v>8</v>
      </c>
      <c r="H81">
        <v>0</v>
      </c>
    </row>
    <row r="82" spans="2:8">
      <c r="B82" s="1" t="s">
        <v>38</v>
      </c>
      <c r="C82" s="1">
        <v>202400037</v>
      </c>
      <c r="D82">
        <v>24</v>
      </c>
      <c r="E82">
        <v>97</v>
      </c>
      <c r="F82">
        <v>5</v>
      </c>
      <c r="G82">
        <v>8</v>
      </c>
      <c r="H82">
        <v>0</v>
      </c>
    </row>
    <row r="83" spans="2:8">
      <c r="B83" s="1" t="s">
        <v>400</v>
      </c>
      <c r="C83" s="1">
        <v>202400399</v>
      </c>
      <c r="D83">
        <v>19</v>
      </c>
      <c r="E83">
        <v>65</v>
      </c>
      <c r="F83">
        <v>8</v>
      </c>
      <c r="G83">
        <v>9</v>
      </c>
      <c r="H83">
        <v>0</v>
      </c>
    </row>
    <row r="84" spans="2:8">
      <c r="B84" s="1" t="s">
        <v>202</v>
      </c>
      <c r="C84" s="1">
        <v>202400201</v>
      </c>
      <c r="D84">
        <v>16</v>
      </c>
      <c r="E84">
        <v>66</v>
      </c>
      <c r="F84">
        <v>5</v>
      </c>
      <c r="G84">
        <v>10</v>
      </c>
      <c r="H84">
        <v>0</v>
      </c>
    </row>
    <row r="85" spans="2:8">
      <c r="B85" s="1" t="s">
        <v>22</v>
      </c>
      <c r="C85" s="1">
        <v>202400021</v>
      </c>
      <c r="D85">
        <v>30</v>
      </c>
      <c r="E85">
        <v>64</v>
      </c>
      <c r="F85">
        <v>3</v>
      </c>
      <c r="G85">
        <v>10</v>
      </c>
      <c r="H85">
        <v>0</v>
      </c>
    </row>
    <row r="86" spans="2:8">
      <c r="B86" s="1" t="s">
        <v>116</v>
      </c>
      <c r="C86" s="1">
        <v>202400115</v>
      </c>
      <c r="D86">
        <v>16</v>
      </c>
      <c r="E86">
        <v>61</v>
      </c>
      <c r="F86">
        <v>10</v>
      </c>
      <c r="G86">
        <v>10</v>
      </c>
      <c r="H86">
        <v>0</v>
      </c>
    </row>
    <row r="87" spans="2:8">
      <c r="B87" s="1" t="s">
        <v>153</v>
      </c>
      <c r="C87" s="1">
        <v>202400152</v>
      </c>
      <c r="D87">
        <v>18</v>
      </c>
      <c r="E87">
        <v>50</v>
      </c>
      <c r="F87">
        <v>10</v>
      </c>
      <c r="G87">
        <v>8</v>
      </c>
      <c r="H87">
        <v>0</v>
      </c>
    </row>
    <row r="88" spans="2:8">
      <c r="B88" s="2" t="s">
        <v>469</v>
      </c>
      <c r="C88" s="1">
        <v>202400200</v>
      </c>
      <c r="D88">
        <v>18</v>
      </c>
      <c r="E88">
        <v>76</v>
      </c>
      <c r="F88">
        <v>7</v>
      </c>
      <c r="G88">
        <v>8</v>
      </c>
      <c r="H88">
        <v>0</v>
      </c>
    </row>
    <row r="89" spans="2:8">
      <c r="B89" s="1" t="s">
        <v>323</v>
      </c>
      <c r="C89" s="1">
        <v>202400322</v>
      </c>
      <c r="D89">
        <v>23</v>
      </c>
      <c r="E89">
        <v>79</v>
      </c>
      <c r="F89">
        <v>3</v>
      </c>
      <c r="G89">
        <v>10</v>
      </c>
      <c r="H89">
        <v>0</v>
      </c>
    </row>
    <row r="90" spans="2:8">
      <c r="B90" s="1" t="s">
        <v>321</v>
      </c>
      <c r="C90" s="1">
        <v>202400320</v>
      </c>
      <c r="D90">
        <v>26</v>
      </c>
      <c r="E90">
        <v>91</v>
      </c>
      <c r="F90">
        <v>7</v>
      </c>
      <c r="G90">
        <v>8</v>
      </c>
      <c r="H90">
        <v>0</v>
      </c>
    </row>
    <row r="91" spans="2:8">
      <c r="B91" s="1" t="s">
        <v>313</v>
      </c>
      <c r="C91" s="1">
        <v>202400312</v>
      </c>
      <c r="D91">
        <v>20</v>
      </c>
      <c r="E91">
        <v>95</v>
      </c>
      <c r="F91">
        <v>8</v>
      </c>
      <c r="G91">
        <v>10</v>
      </c>
      <c r="H91">
        <v>0</v>
      </c>
    </row>
    <row r="92" spans="2:8">
      <c r="B92" s="1" t="s">
        <v>29</v>
      </c>
      <c r="C92" s="1">
        <v>202400028</v>
      </c>
      <c r="D92">
        <v>18</v>
      </c>
      <c r="E92">
        <v>88</v>
      </c>
      <c r="F92">
        <v>5</v>
      </c>
      <c r="G92">
        <v>8</v>
      </c>
      <c r="H92">
        <v>0</v>
      </c>
    </row>
    <row r="93" spans="2:8">
      <c r="B93" s="1" t="s">
        <v>174</v>
      </c>
      <c r="C93" s="1">
        <v>202400173</v>
      </c>
      <c r="D93">
        <v>20</v>
      </c>
      <c r="E93">
        <v>86</v>
      </c>
      <c r="F93">
        <v>9</v>
      </c>
      <c r="G93">
        <v>9</v>
      </c>
      <c r="H93">
        <v>0</v>
      </c>
    </row>
    <row r="94" spans="2:8">
      <c r="B94" s="1" t="s">
        <v>43</v>
      </c>
      <c r="C94" s="1">
        <v>202400042</v>
      </c>
      <c r="D94">
        <v>20</v>
      </c>
      <c r="E94">
        <v>97</v>
      </c>
      <c r="F94">
        <v>8</v>
      </c>
      <c r="G94">
        <v>10</v>
      </c>
      <c r="H94">
        <v>0</v>
      </c>
    </row>
    <row r="95" spans="2:8">
      <c r="B95" s="1" t="s">
        <v>211</v>
      </c>
      <c r="C95" s="1">
        <v>202400210</v>
      </c>
      <c r="D95">
        <v>16</v>
      </c>
      <c r="E95">
        <v>85</v>
      </c>
      <c r="F95">
        <v>4</v>
      </c>
      <c r="G95">
        <v>8</v>
      </c>
      <c r="H95">
        <v>0</v>
      </c>
    </row>
    <row r="96" spans="2:8">
      <c r="B96" s="1" t="s">
        <v>293</v>
      </c>
      <c r="C96" s="1">
        <v>202400292</v>
      </c>
      <c r="D96">
        <v>22</v>
      </c>
      <c r="E96">
        <v>71</v>
      </c>
      <c r="F96">
        <v>5</v>
      </c>
      <c r="G96">
        <v>8</v>
      </c>
      <c r="H96">
        <v>0</v>
      </c>
    </row>
    <row r="97" spans="2:8">
      <c r="B97" s="1" t="s">
        <v>45</v>
      </c>
      <c r="C97" s="1">
        <v>202400044</v>
      </c>
      <c r="D97">
        <v>29</v>
      </c>
      <c r="E97">
        <v>93</v>
      </c>
      <c r="F97">
        <v>7</v>
      </c>
      <c r="G97">
        <v>9</v>
      </c>
      <c r="H97">
        <v>0</v>
      </c>
    </row>
    <row r="98" spans="2:8">
      <c r="B98" s="1" t="s">
        <v>117</v>
      </c>
      <c r="C98" s="1">
        <v>202400116</v>
      </c>
      <c r="D98">
        <v>22</v>
      </c>
      <c r="E98">
        <v>67</v>
      </c>
      <c r="F98">
        <v>3</v>
      </c>
      <c r="G98">
        <v>9</v>
      </c>
      <c r="H98">
        <v>0</v>
      </c>
    </row>
    <row r="99" spans="2:8">
      <c r="B99" s="1" t="s">
        <v>241</v>
      </c>
      <c r="C99" s="1">
        <v>202400240</v>
      </c>
      <c r="D99">
        <v>27</v>
      </c>
      <c r="E99">
        <v>65</v>
      </c>
      <c r="F99">
        <v>6</v>
      </c>
      <c r="G99">
        <v>9</v>
      </c>
      <c r="H99">
        <v>0</v>
      </c>
    </row>
    <row r="100" spans="2:8">
      <c r="B100" s="1" t="s">
        <v>258</v>
      </c>
      <c r="C100" s="1">
        <v>202400257</v>
      </c>
      <c r="D100">
        <v>22</v>
      </c>
      <c r="E100">
        <v>76</v>
      </c>
      <c r="F100">
        <v>10</v>
      </c>
      <c r="G100">
        <v>10</v>
      </c>
      <c r="H100">
        <v>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6E32C-3D14-3D46-803C-59A2B2F24F25}">
  <sheetPr>
    <tabColor theme="3" tint="0.89999084444715716"/>
  </sheetPr>
  <dimension ref="B1:M97"/>
  <sheetViews>
    <sheetView workbookViewId="0">
      <selection activeCell="H4" sqref="H4:H97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492</v>
      </c>
      <c r="C2">
        <v>3</v>
      </c>
      <c r="D2" t="s">
        <v>439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s="1" t="s">
        <v>387</v>
      </c>
      <c r="C4" s="1">
        <v>202400386</v>
      </c>
      <c r="D4">
        <v>21</v>
      </c>
      <c r="E4">
        <v>71</v>
      </c>
      <c r="F4">
        <v>3</v>
      </c>
      <c r="G4">
        <v>9</v>
      </c>
      <c r="H4">
        <v>0</v>
      </c>
    </row>
    <row r="5" spans="2:13">
      <c r="B5" s="1" t="s">
        <v>183</v>
      </c>
      <c r="C5" s="1">
        <v>202400182</v>
      </c>
      <c r="D5">
        <v>23</v>
      </c>
      <c r="E5">
        <v>58</v>
      </c>
      <c r="F5">
        <v>9</v>
      </c>
      <c r="G5">
        <v>10</v>
      </c>
      <c r="H5">
        <v>0</v>
      </c>
    </row>
    <row r="6" spans="2:13">
      <c r="B6" s="1" t="s">
        <v>288</v>
      </c>
      <c r="C6" s="1">
        <v>202400287</v>
      </c>
      <c r="D6">
        <v>29</v>
      </c>
      <c r="E6">
        <v>58</v>
      </c>
      <c r="F6">
        <v>5</v>
      </c>
      <c r="G6">
        <v>10</v>
      </c>
      <c r="H6">
        <v>0</v>
      </c>
    </row>
    <row r="7" spans="2:13">
      <c r="B7" s="1" t="s">
        <v>246</v>
      </c>
      <c r="C7" s="1">
        <v>202400245</v>
      </c>
      <c r="D7">
        <v>19</v>
      </c>
      <c r="E7">
        <v>75</v>
      </c>
      <c r="F7">
        <v>8</v>
      </c>
      <c r="G7">
        <v>9</v>
      </c>
      <c r="H7">
        <v>0</v>
      </c>
    </row>
    <row r="8" spans="2:13">
      <c r="B8" s="1" t="s">
        <v>240</v>
      </c>
      <c r="C8" s="1">
        <v>202400239</v>
      </c>
      <c r="D8">
        <v>22</v>
      </c>
      <c r="E8">
        <v>56</v>
      </c>
      <c r="F8">
        <v>3</v>
      </c>
      <c r="G8">
        <v>9</v>
      </c>
      <c r="H8">
        <v>0</v>
      </c>
    </row>
    <row r="9" spans="2:13">
      <c r="B9" s="1" t="s">
        <v>300</v>
      </c>
      <c r="C9" s="1">
        <v>202400299</v>
      </c>
      <c r="D9">
        <v>18</v>
      </c>
      <c r="E9">
        <v>97</v>
      </c>
      <c r="F9">
        <v>3</v>
      </c>
      <c r="G9">
        <v>8</v>
      </c>
      <c r="H9">
        <v>0</v>
      </c>
    </row>
    <row r="10" spans="2:13">
      <c r="B10" s="1" t="s">
        <v>34</v>
      </c>
      <c r="C10" s="1">
        <v>202400033</v>
      </c>
      <c r="D10">
        <v>26</v>
      </c>
      <c r="E10">
        <v>92</v>
      </c>
      <c r="F10">
        <v>5</v>
      </c>
      <c r="G10">
        <v>10</v>
      </c>
      <c r="H10">
        <v>0</v>
      </c>
    </row>
    <row r="11" spans="2:13">
      <c r="B11" s="1" t="s">
        <v>352</v>
      </c>
      <c r="C11" s="1">
        <v>202400351</v>
      </c>
      <c r="D11">
        <v>26</v>
      </c>
      <c r="E11">
        <v>64</v>
      </c>
      <c r="F11">
        <v>4</v>
      </c>
      <c r="G11">
        <v>8</v>
      </c>
      <c r="H11">
        <v>0</v>
      </c>
    </row>
    <row r="12" spans="2:13">
      <c r="B12" s="1" t="s">
        <v>274</v>
      </c>
      <c r="C12" s="1">
        <v>202400273</v>
      </c>
      <c r="D12">
        <v>27</v>
      </c>
      <c r="E12">
        <v>67</v>
      </c>
      <c r="F12">
        <v>3</v>
      </c>
      <c r="G12">
        <v>10</v>
      </c>
      <c r="H12">
        <v>0</v>
      </c>
    </row>
    <row r="13" spans="2:13">
      <c r="B13" s="1" t="s">
        <v>164</v>
      </c>
      <c r="C13" s="1">
        <v>202400163</v>
      </c>
      <c r="D13">
        <v>15</v>
      </c>
      <c r="E13">
        <v>74</v>
      </c>
      <c r="F13">
        <v>5</v>
      </c>
      <c r="G13">
        <v>9</v>
      </c>
      <c r="H13">
        <v>0</v>
      </c>
    </row>
    <row r="14" spans="2:13">
      <c r="B14" s="1" t="s">
        <v>370</v>
      </c>
      <c r="C14" s="1">
        <v>202400369</v>
      </c>
      <c r="D14">
        <v>15</v>
      </c>
      <c r="E14">
        <v>78</v>
      </c>
      <c r="F14">
        <v>3</v>
      </c>
      <c r="G14">
        <v>8</v>
      </c>
      <c r="H14">
        <v>0</v>
      </c>
    </row>
    <row r="15" spans="2:13">
      <c r="B15" s="1" t="s">
        <v>93</v>
      </c>
      <c r="C15" s="1">
        <v>202400092</v>
      </c>
      <c r="D15">
        <v>28</v>
      </c>
      <c r="E15">
        <v>93</v>
      </c>
      <c r="F15">
        <v>4</v>
      </c>
      <c r="G15">
        <v>10</v>
      </c>
      <c r="H15">
        <v>0</v>
      </c>
    </row>
    <row r="16" spans="2:13">
      <c r="B16" s="1" t="s">
        <v>239</v>
      </c>
      <c r="C16" s="1">
        <v>202400238</v>
      </c>
      <c r="D16">
        <v>17</v>
      </c>
      <c r="E16">
        <v>80</v>
      </c>
      <c r="F16">
        <v>4</v>
      </c>
      <c r="G16">
        <v>8</v>
      </c>
      <c r="H16">
        <v>0</v>
      </c>
    </row>
    <row r="17" spans="2:8">
      <c r="B17" s="1" t="s">
        <v>120</v>
      </c>
      <c r="C17" s="1">
        <v>202400119</v>
      </c>
      <c r="D17">
        <v>17</v>
      </c>
      <c r="E17">
        <v>60</v>
      </c>
      <c r="F17">
        <v>9</v>
      </c>
      <c r="G17">
        <v>9</v>
      </c>
      <c r="H17">
        <v>0</v>
      </c>
    </row>
    <row r="18" spans="2:8">
      <c r="B18" s="1" t="s">
        <v>218</v>
      </c>
      <c r="C18" s="1">
        <v>202400217</v>
      </c>
      <c r="D18">
        <v>23</v>
      </c>
      <c r="E18">
        <v>50</v>
      </c>
      <c r="F18">
        <v>8</v>
      </c>
      <c r="G18">
        <v>8</v>
      </c>
      <c r="H18">
        <v>0</v>
      </c>
    </row>
    <row r="19" spans="2:8">
      <c r="B19" s="1" t="s">
        <v>95</v>
      </c>
      <c r="C19" s="1">
        <v>202400094</v>
      </c>
      <c r="D19">
        <v>16</v>
      </c>
      <c r="E19">
        <v>73</v>
      </c>
      <c r="F19">
        <v>7</v>
      </c>
      <c r="G19">
        <v>9</v>
      </c>
      <c r="H19">
        <v>0</v>
      </c>
    </row>
    <row r="20" spans="2:8">
      <c r="B20" s="1" t="s">
        <v>151</v>
      </c>
      <c r="C20" s="1">
        <v>202400150</v>
      </c>
      <c r="D20">
        <v>16</v>
      </c>
      <c r="E20">
        <v>59</v>
      </c>
      <c r="F20">
        <v>9</v>
      </c>
      <c r="G20">
        <v>10</v>
      </c>
      <c r="H20">
        <v>0</v>
      </c>
    </row>
    <row r="21" spans="2:8">
      <c r="B21" s="1" t="s">
        <v>156</v>
      </c>
      <c r="C21" s="1">
        <v>202400155</v>
      </c>
      <c r="D21">
        <v>26</v>
      </c>
      <c r="E21">
        <v>99</v>
      </c>
      <c r="F21">
        <v>3</v>
      </c>
      <c r="G21">
        <v>8</v>
      </c>
      <c r="H21">
        <v>0</v>
      </c>
    </row>
    <row r="22" spans="2:8">
      <c r="B22" s="1" t="s">
        <v>275</v>
      </c>
      <c r="C22" s="1">
        <v>202400274</v>
      </c>
      <c r="D22">
        <v>24</v>
      </c>
      <c r="E22">
        <v>76</v>
      </c>
      <c r="F22">
        <v>3</v>
      </c>
      <c r="G22">
        <v>9</v>
      </c>
      <c r="H22">
        <v>0</v>
      </c>
    </row>
    <row r="23" spans="2:8">
      <c r="B23" s="1" t="s">
        <v>377</v>
      </c>
      <c r="C23" s="1">
        <v>202400376</v>
      </c>
      <c r="D23">
        <v>18</v>
      </c>
      <c r="E23">
        <v>50</v>
      </c>
      <c r="F23">
        <v>8</v>
      </c>
      <c r="G23">
        <v>10</v>
      </c>
      <c r="H23">
        <v>0</v>
      </c>
    </row>
    <row r="24" spans="2:8">
      <c r="B24" s="1" t="s">
        <v>309</v>
      </c>
      <c r="C24" s="1">
        <v>202400308</v>
      </c>
      <c r="D24">
        <v>29</v>
      </c>
      <c r="E24">
        <v>72</v>
      </c>
      <c r="F24">
        <v>10</v>
      </c>
      <c r="G24">
        <v>9</v>
      </c>
      <c r="H24">
        <v>0</v>
      </c>
    </row>
    <row r="25" spans="2:8">
      <c r="B25" s="1" t="s">
        <v>50</v>
      </c>
      <c r="C25" s="1">
        <v>202400049</v>
      </c>
      <c r="D25">
        <v>19</v>
      </c>
      <c r="E25">
        <v>85</v>
      </c>
      <c r="F25">
        <v>4</v>
      </c>
      <c r="G25">
        <v>10</v>
      </c>
      <c r="H25">
        <v>0</v>
      </c>
    </row>
    <row r="26" spans="2:8">
      <c r="B26" s="1" t="s">
        <v>311</v>
      </c>
      <c r="C26" s="1">
        <v>202400310</v>
      </c>
      <c r="D26">
        <v>23</v>
      </c>
      <c r="E26">
        <v>89</v>
      </c>
      <c r="F26">
        <v>3</v>
      </c>
      <c r="G26">
        <v>8</v>
      </c>
      <c r="H26">
        <v>0</v>
      </c>
    </row>
    <row r="27" spans="2:8">
      <c r="B27" s="1" t="s">
        <v>33</v>
      </c>
      <c r="C27" s="1">
        <v>202400032</v>
      </c>
      <c r="D27">
        <v>17</v>
      </c>
      <c r="E27">
        <v>84</v>
      </c>
      <c r="F27">
        <v>5</v>
      </c>
      <c r="G27">
        <v>8</v>
      </c>
      <c r="H27">
        <v>0</v>
      </c>
    </row>
    <row r="28" spans="2:8">
      <c r="B28" s="1" t="s">
        <v>362</v>
      </c>
      <c r="C28" s="1">
        <v>202400361</v>
      </c>
      <c r="D28">
        <v>25</v>
      </c>
      <c r="E28">
        <v>59</v>
      </c>
      <c r="F28">
        <v>4</v>
      </c>
      <c r="G28">
        <v>9</v>
      </c>
      <c r="H28">
        <v>0</v>
      </c>
    </row>
    <row r="29" spans="2:8">
      <c r="B29" s="1" t="s">
        <v>225</v>
      </c>
      <c r="C29" s="1">
        <v>202400224</v>
      </c>
      <c r="D29">
        <v>16</v>
      </c>
      <c r="E29">
        <v>63</v>
      </c>
      <c r="F29">
        <v>10</v>
      </c>
      <c r="G29">
        <v>8</v>
      </c>
      <c r="H29">
        <v>0</v>
      </c>
    </row>
    <row r="30" spans="2:8">
      <c r="B30" s="1" t="s">
        <v>376</v>
      </c>
      <c r="C30" s="1">
        <v>202400375</v>
      </c>
      <c r="D30">
        <v>19</v>
      </c>
      <c r="E30">
        <v>77</v>
      </c>
      <c r="F30">
        <v>3</v>
      </c>
      <c r="G30">
        <v>8</v>
      </c>
      <c r="H30">
        <v>0</v>
      </c>
    </row>
    <row r="31" spans="2:8">
      <c r="B31" s="1" t="s">
        <v>100</v>
      </c>
      <c r="C31" s="1">
        <v>202400099</v>
      </c>
      <c r="D31">
        <v>27</v>
      </c>
      <c r="E31">
        <v>61</v>
      </c>
      <c r="F31">
        <v>3</v>
      </c>
      <c r="G31">
        <v>10</v>
      </c>
      <c r="H31">
        <v>0</v>
      </c>
    </row>
    <row r="32" spans="2:8">
      <c r="B32" s="1" t="s">
        <v>312</v>
      </c>
      <c r="C32" s="1">
        <v>202400311</v>
      </c>
      <c r="D32">
        <v>16</v>
      </c>
      <c r="E32">
        <v>67</v>
      </c>
      <c r="F32">
        <v>7</v>
      </c>
      <c r="G32">
        <v>9</v>
      </c>
      <c r="H32">
        <v>0</v>
      </c>
    </row>
    <row r="33" spans="2:8">
      <c r="B33" s="1" t="s">
        <v>327</v>
      </c>
      <c r="C33" s="1">
        <v>202400326</v>
      </c>
      <c r="D33">
        <v>18</v>
      </c>
      <c r="E33">
        <v>50</v>
      </c>
      <c r="F33">
        <v>3</v>
      </c>
      <c r="G33">
        <v>8</v>
      </c>
      <c r="H33">
        <v>0</v>
      </c>
    </row>
    <row r="34" spans="2:8">
      <c r="B34" s="1" t="s">
        <v>28</v>
      </c>
      <c r="C34" s="1">
        <v>202400027</v>
      </c>
      <c r="D34">
        <v>25</v>
      </c>
      <c r="E34">
        <v>77</v>
      </c>
      <c r="F34">
        <v>9</v>
      </c>
      <c r="G34">
        <v>8</v>
      </c>
      <c r="H34">
        <v>0</v>
      </c>
    </row>
    <row r="35" spans="2:8">
      <c r="B35" s="1" t="s">
        <v>330</v>
      </c>
      <c r="C35" s="1">
        <v>202400329</v>
      </c>
      <c r="D35">
        <v>19</v>
      </c>
      <c r="E35">
        <v>64</v>
      </c>
      <c r="F35">
        <v>6</v>
      </c>
      <c r="G35">
        <v>10</v>
      </c>
      <c r="H35">
        <v>0</v>
      </c>
    </row>
    <row r="36" spans="2:8">
      <c r="B36" s="1" t="s">
        <v>226</v>
      </c>
      <c r="C36" s="1">
        <v>202400225</v>
      </c>
      <c r="D36">
        <v>15</v>
      </c>
      <c r="E36">
        <v>78</v>
      </c>
      <c r="F36">
        <v>6</v>
      </c>
      <c r="G36">
        <v>8</v>
      </c>
      <c r="H36">
        <v>0</v>
      </c>
    </row>
    <row r="37" spans="2:8">
      <c r="B37" s="1" t="s">
        <v>68</v>
      </c>
      <c r="C37" s="1">
        <v>202400067</v>
      </c>
      <c r="D37">
        <v>27</v>
      </c>
      <c r="E37">
        <v>53</v>
      </c>
      <c r="F37">
        <v>10</v>
      </c>
      <c r="G37">
        <v>9</v>
      </c>
      <c r="H37">
        <v>0</v>
      </c>
    </row>
    <row r="38" spans="2:8">
      <c r="B38" s="1" t="s">
        <v>233</v>
      </c>
      <c r="C38" s="1">
        <v>202400232</v>
      </c>
      <c r="D38">
        <v>18</v>
      </c>
      <c r="E38">
        <v>92</v>
      </c>
      <c r="F38">
        <v>10</v>
      </c>
      <c r="G38">
        <v>9</v>
      </c>
      <c r="H38">
        <v>0</v>
      </c>
    </row>
    <row r="39" spans="2:8">
      <c r="B39" s="1" t="s">
        <v>115</v>
      </c>
      <c r="C39" s="1">
        <v>202400114</v>
      </c>
      <c r="D39">
        <v>26</v>
      </c>
      <c r="E39">
        <v>56</v>
      </c>
      <c r="F39">
        <v>6</v>
      </c>
      <c r="G39">
        <v>8</v>
      </c>
      <c r="H39">
        <v>0</v>
      </c>
    </row>
    <row r="40" spans="2:8">
      <c r="B40" s="1" t="s">
        <v>109</v>
      </c>
      <c r="C40" s="1">
        <v>202400108</v>
      </c>
      <c r="D40">
        <v>18</v>
      </c>
      <c r="E40">
        <v>68</v>
      </c>
      <c r="F40">
        <v>6</v>
      </c>
      <c r="G40">
        <v>8</v>
      </c>
      <c r="H40">
        <v>0</v>
      </c>
    </row>
    <row r="41" spans="2:8">
      <c r="B41" s="1" t="s">
        <v>169</v>
      </c>
      <c r="C41" s="1">
        <v>202400168</v>
      </c>
      <c r="D41">
        <v>18</v>
      </c>
      <c r="E41">
        <v>74</v>
      </c>
      <c r="F41">
        <v>9</v>
      </c>
      <c r="G41">
        <v>8</v>
      </c>
      <c r="H41">
        <v>0</v>
      </c>
    </row>
    <row r="42" spans="2:8">
      <c r="B42" s="1" t="s">
        <v>299</v>
      </c>
      <c r="C42" s="1">
        <v>202400298</v>
      </c>
      <c r="D42">
        <v>26</v>
      </c>
      <c r="E42">
        <v>76</v>
      </c>
      <c r="F42">
        <v>8</v>
      </c>
      <c r="G42">
        <v>10</v>
      </c>
      <c r="H42">
        <v>0</v>
      </c>
    </row>
    <row r="43" spans="2:8">
      <c r="B43" s="1" t="s">
        <v>200</v>
      </c>
      <c r="C43" s="1">
        <v>202400199</v>
      </c>
      <c r="D43">
        <v>30</v>
      </c>
      <c r="E43">
        <v>81</v>
      </c>
      <c r="F43">
        <v>5</v>
      </c>
      <c r="G43">
        <v>10</v>
      </c>
      <c r="H43">
        <v>0</v>
      </c>
    </row>
    <row r="44" spans="2:8">
      <c r="B44" s="1" t="s">
        <v>254</v>
      </c>
      <c r="C44" s="1">
        <v>202400253</v>
      </c>
      <c r="D44">
        <v>30</v>
      </c>
      <c r="E44">
        <v>79</v>
      </c>
      <c r="F44">
        <v>3</v>
      </c>
      <c r="G44">
        <v>10</v>
      </c>
      <c r="H44">
        <v>0</v>
      </c>
    </row>
    <row r="45" spans="2:8">
      <c r="B45" s="1" t="s">
        <v>231</v>
      </c>
      <c r="C45" s="1">
        <v>202400230</v>
      </c>
      <c r="D45">
        <v>22</v>
      </c>
      <c r="E45">
        <v>50</v>
      </c>
      <c r="F45">
        <v>3</v>
      </c>
      <c r="G45">
        <v>8</v>
      </c>
      <c r="H45">
        <v>0</v>
      </c>
    </row>
    <row r="46" spans="2:8">
      <c r="B46" s="1" t="s">
        <v>36</v>
      </c>
      <c r="C46" s="1">
        <v>202400035</v>
      </c>
      <c r="D46">
        <v>27</v>
      </c>
      <c r="E46">
        <v>92</v>
      </c>
      <c r="F46">
        <v>4</v>
      </c>
      <c r="G46">
        <v>9</v>
      </c>
      <c r="H46">
        <v>0</v>
      </c>
    </row>
    <row r="47" spans="2:8">
      <c r="B47" s="1" t="s">
        <v>186</v>
      </c>
      <c r="C47" s="1">
        <v>202400185</v>
      </c>
      <c r="D47">
        <v>23</v>
      </c>
      <c r="E47">
        <v>64</v>
      </c>
      <c r="F47">
        <v>10</v>
      </c>
      <c r="G47">
        <v>10</v>
      </c>
      <c r="H47">
        <v>0</v>
      </c>
    </row>
    <row r="48" spans="2:8">
      <c r="B48" s="1" t="s">
        <v>290</v>
      </c>
      <c r="C48" s="1">
        <v>202400289</v>
      </c>
      <c r="D48">
        <v>17</v>
      </c>
      <c r="E48">
        <v>52</v>
      </c>
      <c r="F48">
        <v>10</v>
      </c>
      <c r="G48">
        <v>10</v>
      </c>
      <c r="H48">
        <v>0</v>
      </c>
    </row>
    <row r="49" spans="2:8">
      <c r="B49" s="1" t="s">
        <v>15</v>
      </c>
      <c r="C49" s="1">
        <v>202400014</v>
      </c>
      <c r="D49">
        <v>18</v>
      </c>
      <c r="E49">
        <v>83</v>
      </c>
      <c r="F49">
        <v>7</v>
      </c>
      <c r="G49">
        <v>9</v>
      </c>
      <c r="H49">
        <v>0</v>
      </c>
    </row>
    <row r="50" spans="2:8">
      <c r="B50" s="1" t="s">
        <v>238</v>
      </c>
      <c r="C50" s="1">
        <v>202400237</v>
      </c>
      <c r="D50">
        <v>16</v>
      </c>
      <c r="E50">
        <v>59</v>
      </c>
      <c r="F50">
        <v>8</v>
      </c>
      <c r="G50">
        <v>9</v>
      </c>
      <c r="H50">
        <v>0</v>
      </c>
    </row>
    <row r="51" spans="2:8">
      <c r="B51" s="1" t="s">
        <v>208</v>
      </c>
      <c r="C51" s="1">
        <v>202400207</v>
      </c>
      <c r="D51">
        <v>17</v>
      </c>
      <c r="E51">
        <v>87</v>
      </c>
      <c r="F51">
        <v>10</v>
      </c>
      <c r="G51">
        <v>9</v>
      </c>
      <c r="H51">
        <v>0</v>
      </c>
    </row>
    <row r="52" spans="2:8">
      <c r="B52" s="1" t="s">
        <v>4</v>
      </c>
      <c r="C52" s="1">
        <v>202400003</v>
      </c>
      <c r="D52">
        <v>22</v>
      </c>
      <c r="E52">
        <v>80</v>
      </c>
      <c r="F52">
        <v>7</v>
      </c>
      <c r="G52">
        <v>9</v>
      </c>
      <c r="H52">
        <v>0</v>
      </c>
    </row>
    <row r="53" spans="2:8">
      <c r="B53" s="1" t="s">
        <v>138</v>
      </c>
      <c r="C53" s="1">
        <v>202400137</v>
      </c>
      <c r="D53">
        <v>15</v>
      </c>
      <c r="E53">
        <v>64</v>
      </c>
      <c r="F53">
        <v>6</v>
      </c>
      <c r="G53">
        <v>9</v>
      </c>
      <c r="H53">
        <v>0</v>
      </c>
    </row>
    <row r="54" spans="2:8">
      <c r="B54" s="1" t="s">
        <v>17</v>
      </c>
      <c r="C54" s="1">
        <v>202400016</v>
      </c>
      <c r="D54">
        <v>26</v>
      </c>
      <c r="E54">
        <v>83</v>
      </c>
      <c r="F54">
        <v>5</v>
      </c>
      <c r="G54">
        <v>10</v>
      </c>
      <c r="H54">
        <v>0</v>
      </c>
    </row>
    <row r="55" spans="2:8">
      <c r="B55" s="1" t="s">
        <v>122</v>
      </c>
      <c r="C55" s="1">
        <v>202400121</v>
      </c>
      <c r="D55">
        <v>30</v>
      </c>
      <c r="E55">
        <v>58</v>
      </c>
      <c r="F55">
        <v>10</v>
      </c>
      <c r="G55">
        <v>8</v>
      </c>
      <c r="H55">
        <v>0</v>
      </c>
    </row>
    <row r="56" spans="2:8">
      <c r="B56" s="1" t="s">
        <v>391</v>
      </c>
      <c r="C56" s="1">
        <v>202400390</v>
      </c>
      <c r="D56">
        <v>26</v>
      </c>
      <c r="E56">
        <v>92</v>
      </c>
      <c r="F56">
        <v>4</v>
      </c>
      <c r="G56">
        <v>10</v>
      </c>
      <c r="H56">
        <v>0</v>
      </c>
    </row>
    <row r="57" spans="2:8">
      <c r="B57" s="1" t="s">
        <v>243</v>
      </c>
      <c r="C57" s="1">
        <v>202400242</v>
      </c>
      <c r="D57">
        <v>20</v>
      </c>
      <c r="E57">
        <v>66</v>
      </c>
      <c r="F57">
        <v>4</v>
      </c>
      <c r="G57">
        <v>8</v>
      </c>
      <c r="H57">
        <v>0</v>
      </c>
    </row>
    <row r="58" spans="2:8">
      <c r="B58" s="1" t="s">
        <v>356</v>
      </c>
      <c r="C58" s="1">
        <v>202400355</v>
      </c>
      <c r="D58">
        <v>22</v>
      </c>
      <c r="E58">
        <v>88</v>
      </c>
      <c r="F58">
        <v>8</v>
      </c>
      <c r="G58">
        <v>9</v>
      </c>
      <c r="H58">
        <v>0</v>
      </c>
    </row>
    <row r="59" spans="2:8">
      <c r="B59" s="1" t="s">
        <v>291</v>
      </c>
      <c r="C59" s="1">
        <v>202400290</v>
      </c>
      <c r="D59">
        <v>21</v>
      </c>
      <c r="E59">
        <v>69</v>
      </c>
      <c r="F59">
        <v>6</v>
      </c>
      <c r="G59">
        <v>9</v>
      </c>
      <c r="H59">
        <v>0</v>
      </c>
    </row>
    <row r="60" spans="2:8">
      <c r="B60" s="1" t="s">
        <v>334</v>
      </c>
      <c r="C60" s="1">
        <v>202400333</v>
      </c>
      <c r="D60">
        <v>25</v>
      </c>
      <c r="E60">
        <v>51</v>
      </c>
      <c r="F60">
        <v>7</v>
      </c>
      <c r="G60">
        <v>8</v>
      </c>
      <c r="H60">
        <v>0</v>
      </c>
    </row>
    <row r="61" spans="2:8">
      <c r="B61" s="1" t="s">
        <v>67</v>
      </c>
      <c r="C61" s="1">
        <v>202400066</v>
      </c>
      <c r="D61">
        <v>28</v>
      </c>
      <c r="E61">
        <v>94</v>
      </c>
      <c r="F61">
        <v>10</v>
      </c>
      <c r="G61">
        <v>8</v>
      </c>
      <c r="H61">
        <v>0</v>
      </c>
    </row>
    <row r="62" spans="2:8">
      <c r="B62" s="1" t="s">
        <v>260</v>
      </c>
      <c r="C62" s="1">
        <v>202400259</v>
      </c>
      <c r="D62">
        <v>22</v>
      </c>
      <c r="E62">
        <v>89</v>
      </c>
      <c r="F62">
        <v>5</v>
      </c>
      <c r="G62">
        <v>10</v>
      </c>
      <c r="H62">
        <v>0</v>
      </c>
    </row>
    <row r="63" spans="2:8">
      <c r="B63" s="1" t="s">
        <v>217</v>
      </c>
      <c r="C63" s="1">
        <v>202400216</v>
      </c>
      <c r="D63">
        <v>17</v>
      </c>
      <c r="E63">
        <v>51</v>
      </c>
      <c r="F63">
        <v>7</v>
      </c>
      <c r="G63">
        <v>9</v>
      </c>
      <c r="H63">
        <v>0</v>
      </c>
    </row>
    <row r="64" spans="2:8">
      <c r="B64" s="1" t="s">
        <v>349</v>
      </c>
      <c r="C64" s="1">
        <v>202400348</v>
      </c>
      <c r="D64">
        <v>22</v>
      </c>
      <c r="E64">
        <v>96</v>
      </c>
      <c r="F64">
        <v>5</v>
      </c>
      <c r="G64">
        <v>8</v>
      </c>
      <c r="H64">
        <v>0</v>
      </c>
    </row>
    <row r="65" spans="2:8">
      <c r="B65" s="1" t="s">
        <v>99</v>
      </c>
      <c r="C65" s="1">
        <v>202400098</v>
      </c>
      <c r="D65">
        <v>29</v>
      </c>
      <c r="E65">
        <v>92</v>
      </c>
      <c r="F65">
        <v>7</v>
      </c>
      <c r="G65">
        <v>10</v>
      </c>
      <c r="H65">
        <v>0</v>
      </c>
    </row>
    <row r="66" spans="2:8">
      <c r="B66" s="1" t="s">
        <v>19</v>
      </c>
      <c r="C66" s="1">
        <v>202400018</v>
      </c>
      <c r="D66">
        <v>30</v>
      </c>
      <c r="E66">
        <v>85</v>
      </c>
      <c r="F66">
        <v>6</v>
      </c>
      <c r="G66">
        <v>8</v>
      </c>
      <c r="H66">
        <v>0</v>
      </c>
    </row>
    <row r="67" spans="2:8">
      <c r="B67" s="1" t="s">
        <v>357</v>
      </c>
      <c r="C67" s="1">
        <v>202400356</v>
      </c>
      <c r="D67">
        <v>16</v>
      </c>
      <c r="E67">
        <v>96</v>
      </c>
      <c r="F67">
        <v>6</v>
      </c>
      <c r="G67">
        <v>9</v>
      </c>
      <c r="H67">
        <v>0</v>
      </c>
    </row>
    <row r="68" spans="2:8">
      <c r="B68" s="1" t="s">
        <v>216</v>
      </c>
      <c r="C68" s="1">
        <v>202400215</v>
      </c>
      <c r="D68">
        <v>16</v>
      </c>
      <c r="E68">
        <v>89</v>
      </c>
      <c r="F68">
        <v>4</v>
      </c>
      <c r="G68">
        <v>10</v>
      </c>
      <c r="H68">
        <v>0</v>
      </c>
    </row>
    <row r="69" spans="2:8">
      <c r="B69" s="1" t="s">
        <v>112</v>
      </c>
      <c r="C69" s="1">
        <v>202400111</v>
      </c>
      <c r="D69">
        <v>24</v>
      </c>
      <c r="E69">
        <v>73</v>
      </c>
      <c r="F69">
        <v>7</v>
      </c>
      <c r="G69">
        <v>10</v>
      </c>
      <c r="H69">
        <v>0</v>
      </c>
    </row>
    <row r="70" spans="2:8">
      <c r="B70" s="1" t="s">
        <v>264</v>
      </c>
      <c r="C70" s="1">
        <v>202400263</v>
      </c>
      <c r="D70">
        <v>22</v>
      </c>
      <c r="E70">
        <v>57</v>
      </c>
      <c r="F70">
        <v>5</v>
      </c>
      <c r="G70">
        <v>9</v>
      </c>
      <c r="H70">
        <v>0</v>
      </c>
    </row>
    <row r="71" spans="2:8">
      <c r="B71" s="1" t="s">
        <v>13</v>
      </c>
      <c r="C71" s="1">
        <v>202400012</v>
      </c>
      <c r="D71">
        <v>27</v>
      </c>
      <c r="E71">
        <v>92</v>
      </c>
      <c r="F71">
        <v>8</v>
      </c>
      <c r="G71">
        <v>8</v>
      </c>
      <c r="H71">
        <v>0</v>
      </c>
    </row>
    <row r="72" spans="2:8">
      <c r="B72" s="1" t="s">
        <v>297</v>
      </c>
      <c r="C72" s="1">
        <v>202400296</v>
      </c>
      <c r="D72">
        <v>28</v>
      </c>
      <c r="E72">
        <v>78</v>
      </c>
      <c r="F72">
        <v>10</v>
      </c>
      <c r="G72">
        <v>10</v>
      </c>
      <c r="H72">
        <v>0</v>
      </c>
    </row>
    <row r="73" spans="2:8">
      <c r="B73" s="1" t="s">
        <v>69</v>
      </c>
      <c r="C73" s="1">
        <v>202400068</v>
      </c>
      <c r="D73">
        <v>15</v>
      </c>
      <c r="E73">
        <v>91</v>
      </c>
      <c r="F73">
        <v>9</v>
      </c>
      <c r="G73">
        <v>9</v>
      </c>
      <c r="H73">
        <v>0</v>
      </c>
    </row>
    <row r="74" spans="2:8">
      <c r="B74" s="1" t="s">
        <v>30</v>
      </c>
      <c r="C74" s="1">
        <v>202400029</v>
      </c>
      <c r="D74">
        <v>28</v>
      </c>
      <c r="E74">
        <v>82</v>
      </c>
      <c r="F74">
        <v>9</v>
      </c>
      <c r="G74">
        <v>8</v>
      </c>
      <c r="H74">
        <v>0</v>
      </c>
    </row>
    <row r="75" spans="2:8">
      <c r="B75" s="1" t="s">
        <v>289</v>
      </c>
      <c r="C75" s="1">
        <v>202400288</v>
      </c>
      <c r="D75">
        <v>20</v>
      </c>
      <c r="E75">
        <v>62</v>
      </c>
      <c r="F75">
        <v>3</v>
      </c>
      <c r="G75">
        <v>10</v>
      </c>
      <c r="H75">
        <v>0</v>
      </c>
    </row>
    <row r="76" spans="2:8">
      <c r="B76" s="1" t="s">
        <v>263</v>
      </c>
      <c r="C76" s="1">
        <v>202400262</v>
      </c>
      <c r="D76">
        <v>24</v>
      </c>
      <c r="E76">
        <v>90</v>
      </c>
      <c r="F76">
        <v>4</v>
      </c>
      <c r="G76">
        <v>10</v>
      </c>
      <c r="H76">
        <v>0</v>
      </c>
    </row>
    <row r="77" spans="2:8">
      <c r="B77" s="1" t="s">
        <v>9</v>
      </c>
      <c r="C77" s="1">
        <v>202400008</v>
      </c>
      <c r="D77">
        <v>28</v>
      </c>
      <c r="E77">
        <v>71</v>
      </c>
      <c r="F77">
        <v>6</v>
      </c>
      <c r="G77">
        <v>10</v>
      </c>
      <c r="H77">
        <v>0</v>
      </c>
    </row>
    <row r="78" spans="2:8">
      <c r="B78" s="1" t="s">
        <v>304</v>
      </c>
      <c r="C78" s="1">
        <v>202400303</v>
      </c>
      <c r="D78">
        <v>29</v>
      </c>
      <c r="E78">
        <v>53</v>
      </c>
      <c r="F78">
        <v>4</v>
      </c>
      <c r="G78">
        <v>8</v>
      </c>
      <c r="H78">
        <v>0</v>
      </c>
    </row>
    <row r="79" spans="2:8">
      <c r="B79" s="1" t="s">
        <v>180</v>
      </c>
      <c r="C79" s="1">
        <v>202400179</v>
      </c>
      <c r="D79">
        <v>25</v>
      </c>
      <c r="E79">
        <v>84</v>
      </c>
      <c r="F79">
        <v>3</v>
      </c>
      <c r="G79">
        <v>9</v>
      </c>
      <c r="H79">
        <v>0</v>
      </c>
    </row>
    <row r="80" spans="2:8">
      <c r="B80" s="1" t="s">
        <v>188</v>
      </c>
      <c r="C80" s="1">
        <v>202400187</v>
      </c>
      <c r="D80">
        <v>27</v>
      </c>
      <c r="E80">
        <v>53</v>
      </c>
      <c r="F80">
        <v>3</v>
      </c>
      <c r="G80">
        <v>8</v>
      </c>
      <c r="H80">
        <v>0</v>
      </c>
    </row>
    <row r="81" spans="2:8">
      <c r="B81" s="1" t="s">
        <v>257</v>
      </c>
      <c r="C81" s="1">
        <v>202400256</v>
      </c>
      <c r="D81">
        <v>19</v>
      </c>
      <c r="E81">
        <v>94</v>
      </c>
      <c r="F81">
        <v>3</v>
      </c>
      <c r="G81">
        <v>10</v>
      </c>
      <c r="H81">
        <v>0</v>
      </c>
    </row>
    <row r="82" spans="2:8">
      <c r="B82" s="1" t="s">
        <v>96</v>
      </c>
      <c r="C82" s="1">
        <v>202400095</v>
      </c>
      <c r="D82">
        <v>22</v>
      </c>
      <c r="E82">
        <v>99</v>
      </c>
      <c r="F82">
        <v>10</v>
      </c>
      <c r="G82">
        <v>8</v>
      </c>
      <c r="H82">
        <v>0</v>
      </c>
    </row>
    <row r="83" spans="2:8">
      <c r="B83" s="1" t="s">
        <v>78</v>
      </c>
      <c r="C83" s="1">
        <v>202400077</v>
      </c>
      <c r="D83">
        <v>16</v>
      </c>
      <c r="E83">
        <v>86</v>
      </c>
      <c r="F83">
        <v>6</v>
      </c>
      <c r="G83">
        <v>10</v>
      </c>
      <c r="H83">
        <v>0</v>
      </c>
    </row>
    <row r="84" spans="2:8">
      <c r="B84" s="1" t="s">
        <v>314</v>
      </c>
      <c r="C84" s="1">
        <v>202400313</v>
      </c>
      <c r="D84">
        <v>26</v>
      </c>
      <c r="E84">
        <v>55</v>
      </c>
      <c r="F84">
        <v>4</v>
      </c>
      <c r="G84">
        <v>9</v>
      </c>
      <c r="H84">
        <v>0</v>
      </c>
    </row>
    <row r="85" spans="2:8">
      <c r="B85" s="1" t="s">
        <v>168</v>
      </c>
      <c r="C85" s="1">
        <v>202400167</v>
      </c>
      <c r="D85">
        <v>24</v>
      </c>
      <c r="E85">
        <v>72</v>
      </c>
      <c r="F85">
        <v>6</v>
      </c>
      <c r="G85">
        <v>10</v>
      </c>
      <c r="H85">
        <v>0</v>
      </c>
    </row>
    <row r="86" spans="2:8">
      <c r="B86" s="1" t="s">
        <v>191</v>
      </c>
      <c r="C86" s="1">
        <v>202400190</v>
      </c>
      <c r="D86">
        <v>30</v>
      </c>
      <c r="E86">
        <v>83</v>
      </c>
      <c r="F86">
        <v>7</v>
      </c>
      <c r="G86">
        <v>9</v>
      </c>
      <c r="H86">
        <v>0</v>
      </c>
    </row>
    <row r="87" spans="2:8">
      <c r="B87" s="1" t="s">
        <v>20</v>
      </c>
      <c r="C87" s="1">
        <v>202400019</v>
      </c>
      <c r="D87">
        <v>18</v>
      </c>
      <c r="E87">
        <v>87</v>
      </c>
      <c r="F87">
        <v>10</v>
      </c>
      <c r="G87">
        <v>10</v>
      </c>
      <c r="H87">
        <v>0</v>
      </c>
    </row>
    <row r="88" spans="2:8">
      <c r="B88" s="1" t="s">
        <v>74</v>
      </c>
      <c r="C88" s="1">
        <v>202400073</v>
      </c>
      <c r="D88">
        <v>24</v>
      </c>
      <c r="E88">
        <v>86</v>
      </c>
      <c r="F88">
        <v>8</v>
      </c>
      <c r="G88">
        <v>9</v>
      </c>
      <c r="H88">
        <v>0</v>
      </c>
    </row>
    <row r="89" spans="2:8">
      <c r="B89" s="1" t="s">
        <v>66</v>
      </c>
      <c r="C89" s="1">
        <v>202400065</v>
      </c>
      <c r="D89">
        <v>17</v>
      </c>
      <c r="E89">
        <v>97</v>
      </c>
      <c r="F89">
        <v>8</v>
      </c>
      <c r="G89">
        <v>9</v>
      </c>
      <c r="H89">
        <v>0</v>
      </c>
    </row>
    <row r="90" spans="2:8">
      <c r="B90" s="1" t="s">
        <v>123</v>
      </c>
      <c r="C90" s="1">
        <v>202400122</v>
      </c>
      <c r="D90">
        <v>25</v>
      </c>
      <c r="E90">
        <v>99</v>
      </c>
      <c r="F90">
        <v>9</v>
      </c>
      <c r="G90">
        <v>10</v>
      </c>
      <c r="H90">
        <v>0</v>
      </c>
    </row>
    <row r="91" spans="2:8">
      <c r="B91" s="1" t="s">
        <v>245</v>
      </c>
      <c r="C91" s="1">
        <v>202400244</v>
      </c>
      <c r="D91">
        <v>19</v>
      </c>
      <c r="E91">
        <v>93</v>
      </c>
      <c r="F91">
        <v>5</v>
      </c>
      <c r="G91">
        <v>8</v>
      </c>
      <c r="H91">
        <v>0</v>
      </c>
    </row>
    <row r="92" spans="2:8">
      <c r="B92" s="1" t="s">
        <v>119</v>
      </c>
      <c r="C92" s="1">
        <v>202400118</v>
      </c>
      <c r="D92">
        <v>25</v>
      </c>
      <c r="E92">
        <v>80</v>
      </c>
      <c r="F92">
        <v>4</v>
      </c>
      <c r="G92">
        <v>10</v>
      </c>
      <c r="H92">
        <v>0</v>
      </c>
    </row>
    <row r="93" spans="2:8">
      <c r="B93" s="1" t="s">
        <v>125</v>
      </c>
      <c r="C93" s="1">
        <v>202400124</v>
      </c>
      <c r="D93">
        <v>22</v>
      </c>
      <c r="E93">
        <v>52</v>
      </c>
      <c r="F93">
        <v>4</v>
      </c>
      <c r="G93">
        <v>10</v>
      </c>
      <c r="H93">
        <v>0</v>
      </c>
    </row>
    <row r="94" spans="2:8">
      <c r="B94" s="1" t="s">
        <v>234</v>
      </c>
      <c r="C94" s="1">
        <v>202400233</v>
      </c>
      <c r="D94">
        <v>24</v>
      </c>
      <c r="E94">
        <v>89</v>
      </c>
      <c r="F94">
        <v>4</v>
      </c>
      <c r="G94">
        <v>8</v>
      </c>
      <c r="H94">
        <v>0</v>
      </c>
    </row>
    <row r="95" spans="2:8">
      <c r="B95" s="1" t="s">
        <v>249</v>
      </c>
      <c r="C95" s="1">
        <v>202400248</v>
      </c>
      <c r="D95">
        <v>21</v>
      </c>
      <c r="E95">
        <v>76</v>
      </c>
      <c r="F95">
        <v>8</v>
      </c>
      <c r="G95">
        <v>8</v>
      </c>
      <c r="H95">
        <v>0</v>
      </c>
    </row>
    <row r="96" spans="2:8">
      <c r="B96" s="1" t="s">
        <v>253</v>
      </c>
      <c r="C96" s="1">
        <v>202400252</v>
      </c>
      <c r="D96">
        <v>24</v>
      </c>
      <c r="E96">
        <v>96</v>
      </c>
      <c r="F96">
        <v>8</v>
      </c>
      <c r="G96">
        <v>8</v>
      </c>
      <c r="H96">
        <v>0</v>
      </c>
    </row>
    <row r="97" spans="2:8">
      <c r="B97" s="1" t="s">
        <v>140</v>
      </c>
      <c r="C97" s="1">
        <v>202400139</v>
      </c>
      <c r="D97">
        <v>25</v>
      </c>
      <c r="E97">
        <v>54</v>
      </c>
      <c r="F97">
        <v>8</v>
      </c>
      <c r="G97">
        <v>8</v>
      </c>
      <c r="H97">
        <v>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BDD1-F8A6-8B44-9E43-540F01FE929A}">
  <sheetPr>
    <tabColor theme="5" tint="0.79998168889431442"/>
  </sheetPr>
  <dimension ref="B1:M101"/>
  <sheetViews>
    <sheetView workbookViewId="0">
      <selection activeCell="H4" sqref="H4:H101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493</v>
      </c>
      <c r="C2">
        <v>1</v>
      </c>
      <c r="D2" t="s">
        <v>402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128</v>
      </c>
      <c r="C4">
        <v>202400127</v>
      </c>
      <c r="D4">
        <v>27</v>
      </c>
      <c r="E4">
        <v>72</v>
      </c>
      <c r="F4">
        <v>8</v>
      </c>
      <c r="G4">
        <v>10</v>
      </c>
      <c r="H4">
        <v>0</v>
      </c>
    </row>
    <row r="5" spans="2:13">
      <c r="B5" t="s">
        <v>43</v>
      </c>
      <c r="C5">
        <v>202400042</v>
      </c>
      <c r="D5">
        <v>19</v>
      </c>
      <c r="E5">
        <v>84</v>
      </c>
      <c r="F5">
        <v>10</v>
      </c>
      <c r="G5">
        <v>10</v>
      </c>
      <c r="H5">
        <v>0</v>
      </c>
    </row>
    <row r="6" spans="2:13">
      <c r="B6" t="s">
        <v>161</v>
      </c>
      <c r="C6">
        <v>202400160</v>
      </c>
      <c r="D6">
        <v>21</v>
      </c>
      <c r="E6">
        <v>56</v>
      </c>
      <c r="F6">
        <v>6</v>
      </c>
      <c r="G6">
        <v>8</v>
      </c>
      <c r="H6">
        <v>0</v>
      </c>
    </row>
    <row r="7" spans="2:13">
      <c r="B7" t="s">
        <v>25</v>
      </c>
      <c r="C7">
        <v>202400024</v>
      </c>
      <c r="D7">
        <v>27</v>
      </c>
      <c r="E7">
        <v>60</v>
      </c>
      <c r="F7">
        <v>5</v>
      </c>
      <c r="G7">
        <v>8</v>
      </c>
      <c r="H7">
        <v>0</v>
      </c>
    </row>
    <row r="8" spans="2:13">
      <c r="B8" t="s">
        <v>165</v>
      </c>
      <c r="C8">
        <v>202400164</v>
      </c>
      <c r="D8">
        <v>21</v>
      </c>
      <c r="E8">
        <v>79</v>
      </c>
      <c r="F8">
        <v>3</v>
      </c>
      <c r="G8">
        <v>10</v>
      </c>
      <c r="H8">
        <v>0</v>
      </c>
    </row>
    <row r="9" spans="2:13">
      <c r="B9" t="s">
        <v>175</v>
      </c>
      <c r="C9">
        <v>202400174</v>
      </c>
      <c r="D9">
        <v>26</v>
      </c>
      <c r="E9">
        <v>52</v>
      </c>
      <c r="F9">
        <v>9</v>
      </c>
      <c r="G9">
        <v>8</v>
      </c>
      <c r="H9">
        <v>0</v>
      </c>
    </row>
    <row r="10" spans="2:13">
      <c r="B10" t="s">
        <v>72</v>
      </c>
      <c r="C10">
        <v>202400071</v>
      </c>
      <c r="D10">
        <v>30</v>
      </c>
      <c r="E10">
        <v>68</v>
      </c>
      <c r="F10">
        <v>4</v>
      </c>
      <c r="G10">
        <v>9</v>
      </c>
      <c r="H10">
        <v>0</v>
      </c>
    </row>
    <row r="11" spans="2:13">
      <c r="B11" t="s">
        <v>372</v>
      </c>
      <c r="C11">
        <v>202400371</v>
      </c>
      <c r="D11">
        <v>23</v>
      </c>
      <c r="E11">
        <v>53</v>
      </c>
      <c r="F11">
        <v>9</v>
      </c>
      <c r="G11">
        <v>8</v>
      </c>
      <c r="H11">
        <v>0</v>
      </c>
    </row>
    <row r="12" spans="2:13">
      <c r="B12" t="s">
        <v>20</v>
      </c>
      <c r="C12">
        <v>202400019</v>
      </c>
      <c r="D12">
        <v>17</v>
      </c>
      <c r="E12">
        <v>84</v>
      </c>
      <c r="F12">
        <v>7</v>
      </c>
      <c r="G12">
        <v>10</v>
      </c>
      <c r="H12">
        <v>0</v>
      </c>
    </row>
    <row r="13" spans="2:13">
      <c r="B13" t="s">
        <v>73</v>
      </c>
      <c r="C13">
        <v>202400072</v>
      </c>
      <c r="D13">
        <v>25</v>
      </c>
      <c r="E13">
        <v>95</v>
      </c>
      <c r="F13">
        <v>10</v>
      </c>
      <c r="G13">
        <v>8</v>
      </c>
      <c r="H13">
        <v>0</v>
      </c>
    </row>
    <row r="14" spans="2:13">
      <c r="B14" t="s">
        <v>397</v>
      </c>
      <c r="C14">
        <v>202400396</v>
      </c>
      <c r="D14">
        <v>28</v>
      </c>
      <c r="E14">
        <v>75</v>
      </c>
      <c r="F14">
        <v>9</v>
      </c>
      <c r="G14">
        <v>10</v>
      </c>
      <c r="H14">
        <v>0</v>
      </c>
    </row>
    <row r="15" spans="2:13">
      <c r="B15" t="s">
        <v>373</v>
      </c>
      <c r="C15">
        <v>202400372</v>
      </c>
      <c r="D15">
        <v>15</v>
      </c>
      <c r="E15">
        <v>90</v>
      </c>
      <c r="F15">
        <v>3</v>
      </c>
      <c r="G15">
        <v>9</v>
      </c>
      <c r="H15">
        <v>0</v>
      </c>
    </row>
    <row r="16" spans="2:13">
      <c r="B16" t="s">
        <v>40</v>
      </c>
      <c r="C16">
        <v>202400039</v>
      </c>
      <c r="D16">
        <v>26</v>
      </c>
      <c r="E16">
        <v>81</v>
      </c>
      <c r="F16">
        <v>4</v>
      </c>
      <c r="G16">
        <v>10</v>
      </c>
      <c r="H16">
        <v>0</v>
      </c>
    </row>
    <row r="17" spans="2:8">
      <c r="B17" t="s">
        <v>255</v>
      </c>
      <c r="C17">
        <v>202400254</v>
      </c>
      <c r="D17">
        <v>17</v>
      </c>
      <c r="E17">
        <v>93</v>
      </c>
      <c r="F17">
        <v>10</v>
      </c>
      <c r="G17">
        <v>10</v>
      </c>
      <c r="H17">
        <v>0</v>
      </c>
    </row>
    <row r="18" spans="2:8">
      <c r="B18" t="s">
        <v>366</v>
      </c>
      <c r="C18">
        <v>202400365</v>
      </c>
      <c r="D18">
        <v>16</v>
      </c>
      <c r="E18">
        <v>82</v>
      </c>
      <c r="F18">
        <v>6</v>
      </c>
      <c r="G18">
        <v>8</v>
      </c>
      <c r="H18">
        <v>0</v>
      </c>
    </row>
    <row r="19" spans="2:8">
      <c r="B19" t="s">
        <v>285</v>
      </c>
      <c r="C19">
        <v>202400284</v>
      </c>
      <c r="D19">
        <v>23</v>
      </c>
      <c r="E19">
        <v>54</v>
      </c>
      <c r="F19">
        <v>9</v>
      </c>
      <c r="G19">
        <v>10</v>
      </c>
      <c r="H19">
        <v>0</v>
      </c>
    </row>
    <row r="20" spans="2:8">
      <c r="B20" t="s">
        <v>198</v>
      </c>
      <c r="C20">
        <v>202400197</v>
      </c>
      <c r="D20">
        <v>28</v>
      </c>
      <c r="E20">
        <v>60</v>
      </c>
      <c r="F20">
        <v>10</v>
      </c>
      <c r="G20">
        <v>10</v>
      </c>
      <c r="H20">
        <v>0</v>
      </c>
    </row>
    <row r="21" spans="2:8">
      <c r="B21" t="s">
        <v>326</v>
      </c>
      <c r="C21">
        <v>202400325</v>
      </c>
      <c r="D21">
        <v>20</v>
      </c>
      <c r="E21">
        <v>51</v>
      </c>
      <c r="F21">
        <v>5</v>
      </c>
      <c r="G21">
        <v>10</v>
      </c>
      <c r="H21">
        <v>0</v>
      </c>
    </row>
    <row r="22" spans="2:8">
      <c r="B22" t="s">
        <v>299</v>
      </c>
      <c r="C22">
        <v>202400298</v>
      </c>
      <c r="D22">
        <v>19</v>
      </c>
      <c r="E22">
        <v>70</v>
      </c>
      <c r="F22">
        <v>6</v>
      </c>
      <c r="G22">
        <v>10</v>
      </c>
      <c r="H22">
        <v>0</v>
      </c>
    </row>
    <row r="23" spans="2:8">
      <c r="B23" t="s">
        <v>318</v>
      </c>
      <c r="C23">
        <v>202400317</v>
      </c>
      <c r="D23">
        <v>19</v>
      </c>
      <c r="E23">
        <v>64</v>
      </c>
      <c r="F23">
        <v>4</v>
      </c>
      <c r="G23">
        <v>10</v>
      </c>
      <c r="H23">
        <v>0</v>
      </c>
    </row>
    <row r="24" spans="2:8">
      <c r="B24" t="s">
        <v>263</v>
      </c>
      <c r="C24">
        <v>202400262</v>
      </c>
      <c r="D24">
        <v>17</v>
      </c>
      <c r="E24">
        <v>70</v>
      </c>
      <c r="F24">
        <v>6</v>
      </c>
      <c r="G24">
        <v>8</v>
      </c>
      <c r="H24">
        <v>0</v>
      </c>
    </row>
    <row r="25" spans="2:8">
      <c r="B25" t="s">
        <v>288</v>
      </c>
      <c r="C25">
        <v>202400287</v>
      </c>
      <c r="D25">
        <v>16</v>
      </c>
      <c r="E25">
        <v>78</v>
      </c>
      <c r="F25">
        <v>3</v>
      </c>
      <c r="G25">
        <v>9</v>
      </c>
      <c r="H25">
        <v>0</v>
      </c>
    </row>
    <row r="26" spans="2:8">
      <c r="B26" t="s">
        <v>258</v>
      </c>
      <c r="C26">
        <v>202400257</v>
      </c>
      <c r="D26">
        <v>29</v>
      </c>
      <c r="E26">
        <v>84</v>
      </c>
      <c r="F26">
        <v>9</v>
      </c>
      <c r="G26">
        <v>10</v>
      </c>
      <c r="H26">
        <v>0</v>
      </c>
    </row>
    <row r="27" spans="2:8">
      <c r="B27" t="s">
        <v>351</v>
      </c>
      <c r="C27">
        <v>202400350</v>
      </c>
      <c r="D27">
        <v>18</v>
      </c>
      <c r="E27">
        <v>88</v>
      </c>
      <c r="F27">
        <v>6</v>
      </c>
      <c r="G27">
        <v>9</v>
      </c>
      <c r="H27">
        <v>0</v>
      </c>
    </row>
    <row r="28" spans="2:8">
      <c r="B28" t="s">
        <v>188</v>
      </c>
      <c r="C28">
        <v>202400187</v>
      </c>
      <c r="D28">
        <v>26</v>
      </c>
      <c r="E28">
        <v>86</v>
      </c>
      <c r="F28">
        <v>9</v>
      </c>
      <c r="G28">
        <v>8</v>
      </c>
      <c r="H28">
        <v>0</v>
      </c>
    </row>
    <row r="29" spans="2:8">
      <c r="B29" t="s">
        <v>280</v>
      </c>
      <c r="C29">
        <v>202400279</v>
      </c>
      <c r="D29">
        <v>24</v>
      </c>
      <c r="E29">
        <v>81</v>
      </c>
      <c r="F29">
        <v>10</v>
      </c>
      <c r="G29">
        <v>10</v>
      </c>
      <c r="H29">
        <v>0</v>
      </c>
    </row>
    <row r="30" spans="2:8">
      <c r="B30" t="s">
        <v>390</v>
      </c>
      <c r="C30">
        <v>202400389</v>
      </c>
      <c r="D30">
        <v>19</v>
      </c>
      <c r="E30">
        <v>74</v>
      </c>
      <c r="F30">
        <v>9</v>
      </c>
      <c r="G30">
        <v>10</v>
      </c>
      <c r="H30">
        <v>0</v>
      </c>
    </row>
    <row r="31" spans="2:8">
      <c r="B31" t="s">
        <v>52</v>
      </c>
      <c r="C31">
        <v>202400051</v>
      </c>
      <c r="D31">
        <v>28</v>
      </c>
      <c r="E31">
        <v>75</v>
      </c>
      <c r="F31">
        <v>6</v>
      </c>
      <c r="G31">
        <v>9</v>
      </c>
      <c r="H31">
        <v>0</v>
      </c>
    </row>
    <row r="32" spans="2:8">
      <c r="B32" t="s">
        <v>192</v>
      </c>
      <c r="C32">
        <v>202400191</v>
      </c>
      <c r="D32">
        <v>27</v>
      </c>
      <c r="E32">
        <v>67</v>
      </c>
      <c r="F32">
        <v>5</v>
      </c>
      <c r="G32">
        <v>9</v>
      </c>
      <c r="H32">
        <v>0</v>
      </c>
    </row>
    <row r="33" spans="2:8">
      <c r="B33" t="s">
        <v>388</v>
      </c>
      <c r="C33">
        <v>202400387</v>
      </c>
      <c r="D33">
        <v>17</v>
      </c>
      <c r="E33">
        <v>57</v>
      </c>
      <c r="F33">
        <v>7</v>
      </c>
      <c r="G33">
        <v>10</v>
      </c>
      <c r="H33">
        <v>0</v>
      </c>
    </row>
    <row r="34" spans="2:8">
      <c r="B34" t="s">
        <v>274</v>
      </c>
      <c r="C34">
        <v>202400273</v>
      </c>
      <c r="D34">
        <v>24</v>
      </c>
      <c r="E34">
        <v>63</v>
      </c>
      <c r="F34">
        <v>8</v>
      </c>
      <c r="G34">
        <v>9</v>
      </c>
      <c r="H34">
        <v>0</v>
      </c>
    </row>
    <row r="35" spans="2:8">
      <c r="B35" t="s">
        <v>114</v>
      </c>
      <c r="C35">
        <v>202400113</v>
      </c>
      <c r="D35">
        <v>23</v>
      </c>
      <c r="E35">
        <v>51</v>
      </c>
      <c r="F35">
        <v>4</v>
      </c>
      <c r="G35">
        <v>10</v>
      </c>
      <c r="H35">
        <v>0</v>
      </c>
    </row>
    <row r="36" spans="2:8">
      <c r="B36" t="s">
        <v>348</v>
      </c>
      <c r="C36">
        <v>202400347</v>
      </c>
      <c r="D36">
        <v>28</v>
      </c>
      <c r="E36">
        <v>89</v>
      </c>
      <c r="F36">
        <v>6</v>
      </c>
      <c r="G36">
        <v>9</v>
      </c>
      <c r="H36">
        <v>0</v>
      </c>
    </row>
    <row r="37" spans="2:8">
      <c r="B37" t="s">
        <v>374</v>
      </c>
      <c r="C37">
        <v>202400373</v>
      </c>
      <c r="D37">
        <v>21</v>
      </c>
      <c r="E37">
        <v>63</v>
      </c>
      <c r="F37">
        <v>6</v>
      </c>
      <c r="G37">
        <v>8</v>
      </c>
      <c r="H37">
        <v>0</v>
      </c>
    </row>
    <row r="38" spans="2:8">
      <c r="B38" t="s">
        <v>84</v>
      </c>
      <c r="C38">
        <v>202400083</v>
      </c>
      <c r="D38">
        <v>17</v>
      </c>
      <c r="E38">
        <v>84</v>
      </c>
      <c r="F38">
        <v>9</v>
      </c>
      <c r="G38">
        <v>10</v>
      </c>
      <c r="H38">
        <v>0</v>
      </c>
    </row>
    <row r="39" spans="2:8">
      <c r="B39" t="s">
        <v>283</v>
      </c>
      <c r="C39">
        <v>202400282</v>
      </c>
      <c r="D39">
        <v>15</v>
      </c>
      <c r="E39">
        <v>96</v>
      </c>
      <c r="F39">
        <v>8</v>
      </c>
      <c r="G39">
        <v>10</v>
      </c>
      <c r="H39">
        <v>0</v>
      </c>
    </row>
    <row r="40" spans="2:8">
      <c r="B40" t="s">
        <v>148</v>
      </c>
      <c r="C40">
        <v>202400147</v>
      </c>
      <c r="D40">
        <v>16</v>
      </c>
      <c r="E40">
        <v>52</v>
      </c>
      <c r="F40">
        <v>6</v>
      </c>
      <c r="G40">
        <v>8</v>
      </c>
      <c r="H40">
        <v>0</v>
      </c>
    </row>
    <row r="41" spans="2:8">
      <c r="B41" t="s">
        <v>143</v>
      </c>
      <c r="C41">
        <v>202400142</v>
      </c>
      <c r="D41">
        <v>19</v>
      </c>
      <c r="E41">
        <v>81</v>
      </c>
      <c r="F41">
        <v>3</v>
      </c>
      <c r="G41">
        <v>10</v>
      </c>
      <c r="H41">
        <v>0</v>
      </c>
    </row>
    <row r="42" spans="2:8">
      <c r="B42" t="s">
        <v>362</v>
      </c>
      <c r="C42">
        <v>202400361</v>
      </c>
      <c r="D42">
        <v>21</v>
      </c>
      <c r="E42">
        <v>84</v>
      </c>
      <c r="F42">
        <v>6</v>
      </c>
      <c r="G42">
        <v>8</v>
      </c>
      <c r="H42">
        <v>0</v>
      </c>
    </row>
    <row r="43" spans="2:8">
      <c r="B43" t="s">
        <v>0</v>
      </c>
      <c r="C43">
        <v>202400001</v>
      </c>
      <c r="D43">
        <v>25</v>
      </c>
      <c r="E43">
        <v>56</v>
      </c>
      <c r="F43">
        <v>9</v>
      </c>
      <c r="G43">
        <v>8</v>
      </c>
      <c r="H43">
        <v>0</v>
      </c>
    </row>
    <row r="44" spans="2:8">
      <c r="B44" t="s">
        <v>279</v>
      </c>
      <c r="C44">
        <v>202400278</v>
      </c>
      <c r="D44">
        <v>28</v>
      </c>
      <c r="E44">
        <v>52</v>
      </c>
      <c r="F44">
        <v>9</v>
      </c>
      <c r="G44">
        <v>8</v>
      </c>
      <c r="H44">
        <v>0</v>
      </c>
    </row>
    <row r="45" spans="2:8">
      <c r="B45" t="s">
        <v>340</v>
      </c>
      <c r="C45">
        <v>202400339</v>
      </c>
      <c r="D45">
        <v>26</v>
      </c>
      <c r="E45">
        <v>55</v>
      </c>
      <c r="F45">
        <v>9</v>
      </c>
      <c r="G45">
        <v>10</v>
      </c>
      <c r="H45">
        <v>0</v>
      </c>
    </row>
    <row r="46" spans="2:8">
      <c r="B46" t="s">
        <v>130</v>
      </c>
      <c r="C46">
        <v>202400129</v>
      </c>
      <c r="D46">
        <v>16</v>
      </c>
      <c r="E46">
        <v>60</v>
      </c>
      <c r="F46">
        <v>5</v>
      </c>
      <c r="G46">
        <v>9</v>
      </c>
      <c r="H46">
        <v>0</v>
      </c>
    </row>
    <row r="47" spans="2:8">
      <c r="B47" t="s">
        <v>26</v>
      </c>
      <c r="C47">
        <v>202400025</v>
      </c>
      <c r="D47">
        <v>30</v>
      </c>
      <c r="E47">
        <v>95</v>
      </c>
      <c r="F47">
        <v>6</v>
      </c>
      <c r="G47">
        <v>8</v>
      </c>
      <c r="H47">
        <v>0</v>
      </c>
    </row>
    <row r="48" spans="2:8">
      <c r="B48" t="s">
        <v>167</v>
      </c>
      <c r="C48">
        <v>202400166</v>
      </c>
      <c r="D48">
        <v>16</v>
      </c>
      <c r="E48">
        <v>82</v>
      </c>
      <c r="F48">
        <v>8</v>
      </c>
      <c r="G48">
        <v>8</v>
      </c>
      <c r="H48">
        <v>0</v>
      </c>
    </row>
    <row r="49" spans="2:8">
      <c r="B49" t="s">
        <v>345</v>
      </c>
      <c r="C49">
        <v>202400344</v>
      </c>
      <c r="D49">
        <v>22</v>
      </c>
      <c r="E49">
        <v>81</v>
      </c>
      <c r="F49">
        <v>7</v>
      </c>
      <c r="G49">
        <v>9</v>
      </c>
      <c r="H49">
        <v>0</v>
      </c>
    </row>
    <row r="50" spans="2:8">
      <c r="B50" t="s">
        <v>29</v>
      </c>
      <c r="C50">
        <v>202400028</v>
      </c>
      <c r="D50">
        <v>29</v>
      </c>
      <c r="E50">
        <v>80</v>
      </c>
      <c r="F50">
        <v>5</v>
      </c>
      <c r="G50">
        <v>8</v>
      </c>
      <c r="H50">
        <v>0</v>
      </c>
    </row>
    <row r="51" spans="2:8">
      <c r="B51" t="s">
        <v>19</v>
      </c>
      <c r="C51">
        <v>202400018</v>
      </c>
      <c r="D51">
        <v>15</v>
      </c>
      <c r="E51">
        <v>72</v>
      </c>
      <c r="F51">
        <v>3</v>
      </c>
      <c r="G51">
        <v>9</v>
      </c>
      <c r="H51">
        <v>0</v>
      </c>
    </row>
    <row r="52" spans="2:8">
      <c r="B52" t="s">
        <v>197</v>
      </c>
      <c r="C52">
        <v>202400196</v>
      </c>
      <c r="D52">
        <v>29</v>
      </c>
      <c r="E52">
        <v>81</v>
      </c>
      <c r="F52">
        <v>10</v>
      </c>
      <c r="G52">
        <v>9</v>
      </c>
      <c r="H52">
        <v>0</v>
      </c>
    </row>
    <row r="53" spans="2:8">
      <c r="B53" t="s">
        <v>194</v>
      </c>
      <c r="C53">
        <v>202400193</v>
      </c>
      <c r="D53">
        <v>25</v>
      </c>
      <c r="E53">
        <v>68</v>
      </c>
      <c r="F53">
        <v>4</v>
      </c>
      <c r="G53">
        <v>8</v>
      </c>
      <c r="H53">
        <v>0</v>
      </c>
    </row>
    <row r="54" spans="2:8">
      <c r="B54" t="s">
        <v>270</v>
      </c>
      <c r="C54">
        <v>202400269</v>
      </c>
      <c r="D54">
        <v>25</v>
      </c>
      <c r="E54">
        <v>70</v>
      </c>
      <c r="F54">
        <v>8</v>
      </c>
      <c r="G54">
        <v>10</v>
      </c>
      <c r="H54">
        <v>0</v>
      </c>
    </row>
    <row r="55" spans="2:8">
      <c r="B55" t="s">
        <v>387</v>
      </c>
      <c r="C55">
        <v>202400386</v>
      </c>
      <c r="D55">
        <v>21</v>
      </c>
      <c r="E55">
        <v>80</v>
      </c>
      <c r="F55">
        <v>5</v>
      </c>
      <c r="G55">
        <v>10</v>
      </c>
      <c r="H55">
        <v>0</v>
      </c>
    </row>
    <row r="56" spans="2:8">
      <c r="B56" t="s">
        <v>325</v>
      </c>
      <c r="C56">
        <v>202400324</v>
      </c>
      <c r="D56">
        <v>28</v>
      </c>
      <c r="E56">
        <v>93</v>
      </c>
      <c r="F56">
        <v>5</v>
      </c>
      <c r="G56">
        <v>10</v>
      </c>
      <c r="H56">
        <v>0</v>
      </c>
    </row>
    <row r="57" spans="2:8">
      <c r="B57" t="s">
        <v>4</v>
      </c>
      <c r="C57">
        <v>202400003</v>
      </c>
      <c r="D57">
        <v>22</v>
      </c>
      <c r="E57">
        <v>83</v>
      </c>
      <c r="F57">
        <v>5</v>
      </c>
      <c r="G57">
        <v>10</v>
      </c>
      <c r="H57">
        <v>0</v>
      </c>
    </row>
    <row r="58" spans="2:8">
      <c r="B58" t="s">
        <v>11</v>
      </c>
      <c r="C58">
        <v>202400010</v>
      </c>
      <c r="D58">
        <v>17</v>
      </c>
      <c r="E58">
        <v>95</v>
      </c>
      <c r="F58">
        <v>5</v>
      </c>
      <c r="G58">
        <v>10</v>
      </c>
      <c r="H58">
        <v>0</v>
      </c>
    </row>
    <row r="59" spans="2:8">
      <c r="B59" t="s">
        <v>54</v>
      </c>
      <c r="C59">
        <v>202400053</v>
      </c>
      <c r="D59">
        <v>23</v>
      </c>
      <c r="E59">
        <v>83</v>
      </c>
      <c r="F59">
        <v>7</v>
      </c>
      <c r="G59">
        <v>8</v>
      </c>
      <c r="H59">
        <v>0</v>
      </c>
    </row>
    <row r="60" spans="2:8">
      <c r="B60" t="s">
        <v>264</v>
      </c>
      <c r="C60">
        <v>202400263</v>
      </c>
      <c r="D60">
        <v>22</v>
      </c>
      <c r="E60">
        <v>52</v>
      </c>
      <c r="F60">
        <v>6</v>
      </c>
      <c r="G60">
        <v>8</v>
      </c>
      <c r="H60">
        <v>0</v>
      </c>
    </row>
    <row r="61" spans="2:8">
      <c r="B61" t="s">
        <v>191</v>
      </c>
      <c r="C61">
        <v>202400190</v>
      </c>
      <c r="D61">
        <v>22</v>
      </c>
      <c r="E61">
        <v>83</v>
      </c>
      <c r="F61">
        <v>6</v>
      </c>
      <c r="G61">
        <v>9</v>
      </c>
      <c r="H61">
        <v>0</v>
      </c>
    </row>
    <row r="62" spans="2:8">
      <c r="B62" t="s">
        <v>104</v>
      </c>
      <c r="C62">
        <v>202400103</v>
      </c>
      <c r="D62">
        <v>23</v>
      </c>
      <c r="E62">
        <v>84</v>
      </c>
      <c r="F62">
        <v>9</v>
      </c>
      <c r="G62">
        <v>9</v>
      </c>
      <c r="H62">
        <v>0</v>
      </c>
    </row>
    <row r="63" spans="2:8">
      <c r="B63" t="s">
        <v>9</v>
      </c>
      <c r="C63">
        <v>202400008</v>
      </c>
      <c r="D63">
        <v>25</v>
      </c>
      <c r="E63">
        <v>65</v>
      </c>
      <c r="F63">
        <v>10</v>
      </c>
      <c r="G63">
        <v>9</v>
      </c>
      <c r="H63">
        <v>0</v>
      </c>
    </row>
    <row r="64" spans="2:8">
      <c r="B64" t="s">
        <v>361</v>
      </c>
      <c r="C64">
        <v>202400360</v>
      </c>
      <c r="D64">
        <v>28</v>
      </c>
      <c r="E64">
        <v>96</v>
      </c>
      <c r="F64">
        <v>9</v>
      </c>
      <c r="G64">
        <v>8</v>
      </c>
      <c r="H64">
        <v>0</v>
      </c>
    </row>
    <row r="65" spans="2:8">
      <c r="B65" t="s">
        <v>330</v>
      </c>
      <c r="C65">
        <v>202400329</v>
      </c>
      <c r="D65">
        <v>29</v>
      </c>
      <c r="E65">
        <v>77</v>
      </c>
      <c r="F65">
        <v>4</v>
      </c>
      <c r="G65">
        <v>9</v>
      </c>
      <c r="H65">
        <v>0</v>
      </c>
    </row>
    <row r="66" spans="2:8">
      <c r="B66" t="s">
        <v>74</v>
      </c>
      <c r="C66">
        <v>202400073</v>
      </c>
      <c r="D66">
        <v>23</v>
      </c>
      <c r="E66">
        <v>71</v>
      </c>
      <c r="F66">
        <v>8</v>
      </c>
      <c r="G66">
        <v>10</v>
      </c>
      <c r="H66">
        <v>0</v>
      </c>
    </row>
    <row r="67" spans="2:8">
      <c r="B67" t="s">
        <v>248</v>
      </c>
      <c r="C67">
        <v>202400247</v>
      </c>
      <c r="D67">
        <v>30</v>
      </c>
      <c r="E67">
        <v>77</v>
      </c>
      <c r="F67">
        <v>9</v>
      </c>
      <c r="G67">
        <v>9</v>
      </c>
      <c r="H67">
        <v>0</v>
      </c>
    </row>
    <row r="68" spans="2:8">
      <c r="B68" t="s">
        <v>16</v>
      </c>
      <c r="C68">
        <v>202400015</v>
      </c>
      <c r="D68">
        <v>28</v>
      </c>
      <c r="E68">
        <v>60</v>
      </c>
      <c r="F68">
        <v>9</v>
      </c>
      <c r="G68">
        <v>10</v>
      </c>
      <c r="H68">
        <v>0</v>
      </c>
    </row>
    <row r="69" spans="2:8">
      <c r="B69" t="s">
        <v>85</v>
      </c>
      <c r="C69">
        <v>202400084</v>
      </c>
      <c r="D69">
        <v>19</v>
      </c>
      <c r="E69">
        <v>67</v>
      </c>
      <c r="F69">
        <v>8</v>
      </c>
      <c r="G69">
        <v>9</v>
      </c>
      <c r="H69">
        <v>0</v>
      </c>
    </row>
    <row r="70" spans="2:8">
      <c r="B70" t="s">
        <v>66</v>
      </c>
      <c r="C70">
        <v>202400065</v>
      </c>
      <c r="D70">
        <v>18</v>
      </c>
      <c r="E70">
        <v>83</v>
      </c>
      <c r="F70">
        <v>5</v>
      </c>
      <c r="G70">
        <v>9</v>
      </c>
      <c r="H70">
        <v>0</v>
      </c>
    </row>
    <row r="71" spans="2:8">
      <c r="B71" t="s">
        <v>401</v>
      </c>
      <c r="C71">
        <v>202400400</v>
      </c>
      <c r="D71">
        <v>25</v>
      </c>
      <c r="E71">
        <v>69</v>
      </c>
      <c r="F71">
        <v>10</v>
      </c>
      <c r="G71">
        <v>10</v>
      </c>
      <c r="H71">
        <v>0</v>
      </c>
    </row>
    <row r="72" spans="2:8">
      <c r="B72" t="s">
        <v>91</v>
      </c>
      <c r="C72">
        <v>202400090</v>
      </c>
      <c r="D72">
        <v>22</v>
      </c>
      <c r="E72">
        <v>82</v>
      </c>
      <c r="F72">
        <v>4</v>
      </c>
      <c r="G72">
        <v>9</v>
      </c>
      <c r="H72">
        <v>0</v>
      </c>
    </row>
    <row r="73" spans="2:8">
      <c r="B73" t="s">
        <v>90</v>
      </c>
      <c r="C73">
        <v>202400089</v>
      </c>
      <c r="D73">
        <v>29</v>
      </c>
      <c r="E73">
        <v>82</v>
      </c>
      <c r="F73">
        <v>5</v>
      </c>
      <c r="G73">
        <v>8</v>
      </c>
      <c r="H73">
        <v>0</v>
      </c>
    </row>
    <row r="74" spans="2:8">
      <c r="B74" t="s">
        <v>315</v>
      </c>
      <c r="C74">
        <v>202400314</v>
      </c>
      <c r="D74">
        <v>19</v>
      </c>
      <c r="E74">
        <v>55</v>
      </c>
      <c r="F74">
        <v>9</v>
      </c>
      <c r="G74">
        <v>10</v>
      </c>
      <c r="H74">
        <v>0</v>
      </c>
    </row>
    <row r="75" spans="2:8">
      <c r="B75" t="s">
        <v>357</v>
      </c>
      <c r="C75">
        <v>202400356</v>
      </c>
      <c r="D75">
        <v>29</v>
      </c>
      <c r="E75">
        <v>81</v>
      </c>
      <c r="F75">
        <v>4</v>
      </c>
      <c r="G75">
        <v>9</v>
      </c>
      <c r="H75">
        <v>0</v>
      </c>
    </row>
    <row r="76" spans="2:8">
      <c r="B76" t="s">
        <v>271</v>
      </c>
      <c r="C76">
        <v>202400270</v>
      </c>
      <c r="D76">
        <v>28</v>
      </c>
      <c r="E76">
        <v>81</v>
      </c>
      <c r="F76">
        <v>3</v>
      </c>
      <c r="G76">
        <v>9</v>
      </c>
      <c r="H76">
        <v>0</v>
      </c>
    </row>
    <row r="77" spans="2:8">
      <c r="B77" t="s">
        <v>112</v>
      </c>
      <c r="C77">
        <v>202400111</v>
      </c>
      <c r="D77">
        <v>17</v>
      </c>
      <c r="E77">
        <v>53</v>
      </c>
      <c r="F77">
        <v>9</v>
      </c>
      <c r="G77">
        <v>10</v>
      </c>
      <c r="H77">
        <v>0</v>
      </c>
    </row>
    <row r="78" spans="2:8">
      <c r="B78" t="s">
        <v>33</v>
      </c>
      <c r="C78">
        <v>202400032</v>
      </c>
      <c r="D78">
        <v>28</v>
      </c>
      <c r="E78">
        <v>94</v>
      </c>
      <c r="F78">
        <v>6</v>
      </c>
      <c r="G78">
        <v>10</v>
      </c>
      <c r="H78">
        <v>0</v>
      </c>
    </row>
    <row r="79" spans="2:8">
      <c r="B79" t="s">
        <v>328</v>
      </c>
      <c r="C79">
        <v>202400327</v>
      </c>
      <c r="D79">
        <v>27</v>
      </c>
      <c r="E79">
        <v>89</v>
      </c>
      <c r="F79">
        <v>4</v>
      </c>
      <c r="G79">
        <v>8</v>
      </c>
      <c r="H79">
        <v>0</v>
      </c>
    </row>
    <row r="80" spans="2:8">
      <c r="B80" t="s">
        <v>341</v>
      </c>
      <c r="C80">
        <v>202400340</v>
      </c>
      <c r="D80">
        <v>23</v>
      </c>
      <c r="E80">
        <v>75</v>
      </c>
      <c r="F80">
        <v>8</v>
      </c>
      <c r="G80">
        <v>9</v>
      </c>
      <c r="H80">
        <v>0</v>
      </c>
    </row>
    <row r="81" spans="2:8">
      <c r="B81" t="s">
        <v>113</v>
      </c>
      <c r="C81">
        <v>202400112</v>
      </c>
      <c r="D81">
        <v>19</v>
      </c>
      <c r="E81">
        <v>53</v>
      </c>
      <c r="F81">
        <v>7</v>
      </c>
      <c r="G81">
        <v>8</v>
      </c>
      <c r="H81">
        <v>0</v>
      </c>
    </row>
    <row r="82" spans="2:8">
      <c r="B82" t="s">
        <v>215</v>
      </c>
      <c r="C82">
        <v>202400214</v>
      </c>
      <c r="D82">
        <v>18</v>
      </c>
      <c r="E82">
        <v>63</v>
      </c>
      <c r="F82">
        <v>5</v>
      </c>
      <c r="G82">
        <v>9</v>
      </c>
      <c r="H82">
        <v>0</v>
      </c>
    </row>
    <row r="83" spans="2:8">
      <c r="B83" t="s">
        <v>331</v>
      </c>
      <c r="C83">
        <v>202400330</v>
      </c>
      <c r="D83">
        <v>25</v>
      </c>
      <c r="E83">
        <v>96</v>
      </c>
      <c r="F83">
        <v>9</v>
      </c>
      <c r="G83">
        <v>8</v>
      </c>
      <c r="H83">
        <v>0</v>
      </c>
    </row>
    <row r="84" spans="2:8">
      <c r="B84" t="s">
        <v>284</v>
      </c>
      <c r="C84">
        <v>202400283</v>
      </c>
      <c r="D84">
        <v>16</v>
      </c>
      <c r="E84">
        <v>57</v>
      </c>
      <c r="F84">
        <v>9</v>
      </c>
      <c r="G84">
        <v>9</v>
      </c>
      <c r="H84">
        <v>0</v>
      </c>
    </row>
    <row r="85" spans="2:8">
      <c r="B85" t="s">
        <v>199</v>
      </c>
      <c r="C85">
        <v>202400198</v>
      </c>
      <c r="D85">
        <v>28</v>
      </c>
      <c r="E85">
        <v>69</v>
      </c>
      <c r="F85">
        <v>4</v>
      </c>
      <c r="G85">
        <v>9</v>
      </c>
      <c r="H85">
        <v>0</v>
      </c>
    </row>
    <row r="86" spans="2:8">
      <c r="B86" t="s">
        <v>184</v>
      </c>
      <c r="C86">
        <v>202400183</v>
      </c>
      <c r="D86">
        <v>15</v>
      </c>
      <c r="E86">
        <v>73</v>
      </c>
      <c r="F86">
        <v>9</v>
      </c>
      <c r="G86">
        <v>10</v>
      </c>
      <c r="H86">
        <v>0</v>
      </c>
    </row>
    <row r="87" spans="2:8">
      <c r="B87" t="s">
        <v>337</v>
      </c>
      <c r="C87">
        <v>202400336</v>
      </c>
      <c r="D87">
        <v>22</v>
      </c>
      <c r="E87">
        <v>80</v>
      </c>
      <c r="F87">
        <v>10</v>
      </c>
      <c r="G87">
        <v>10</v>
      </c>
      <c r="H87">
        <v>0</v>
      </c>
    </row>
    <row r="88" spans="2:8">
      <c r="B88" t="s">
        <v>224</v>
      </c>
      <c r="C88">
        <v>202400223</v>
      </c>
      <c r="D88">
        <v>26</v>
      </c>
      <c r="E88">
        <v>63</v>
      </c>
      <c r="F88">
        <v>8</v>
      </c>
      <c r="G88">
        <v>10</v>
      </c>
      <c r="H88">
        <v>0</v>
      </c>
    </row>
    <row r="89" spans="2:8">
      <c r="B89" t="s">
        <v>65</v>
      </c>
      <c r="C89">
        <v>202400064</v>
      </c>
      <c r="D89">
        <v>24</v>
      </c>
      <c r="E89">
        <v>79</v>
      </c>
      <c r="F89">
        <v>7</v>
      </c>
      <c r="G89">
        <v>8</v>
      </c>
      <c r="H89">
        <v>0</v>
      </c>
    </row>
    <row r="90" spans="2:8">
      <c r="B90" t="s">
        <v>327</v>
      </c>
      <c r="C90">
        <v>202400326</v>
      </c>
      <c r="D90">
        <v>28</v>
      </c>
      <c r="E90">
        <v>54</v>
      </c>
      <c r="F90">
        <v>3</v>
      </c>
      <c r="G90">
        <v>8</v>
      </c>
      <c r="H90">
        <v>0</v>
      </c>
    </row>
    <row r="91" spans="2:8">
      <c r="B91" t="s">
        <v>21</v>
      </c>
      <c r="C91">
        <v>202400020</v>
      </c>
      <c r="D91">
        <v>22</v>
      </c>
      <c r="E91">
        <v>88</v>
      </c>
      <c r="F91">
        <v>6</v>
      </c>
      <c r="G91">
        <v>8</v>
      </c>
      <c r="H91">
        <v>0</v>
      </c>
    </row>
    <row r="92" spans="2:8">
      <c r="B92" t="s">
        <v>132</v>
      </c>
      <c r="C92">
        <v>202400131</v>
      </c>
      <c r="D92">
        <v>25</v>
      </c>
      <c r="E92">
        <v>52</v>
      </c>
      <c r="F92">
        <v>4</v>
      </c>
      <c r="G92">
        <v>10</v>
      </c>
      <c r="H92">
        <v>0</v>
      </c>
    </row>
    <row r="93" spans="2:8">
      <c r="B93" t="s">
        <v>108</v>
      </c>
      <c r="C93">
        <v>202400107</v>
      </c>
      <c r="D93">
        <v>21</v>
      </c>
      <c r="E93">
        <v>89</v>
      </c>
      <c r="F93">
        <v>3</v>
      </c>
      <c r="G93">
        <v>10</v>
      </c>
      <c r="H93">
        <v>0</v>
      </c>
    </row>
    <row r="94" spans="2:8">
      <c r="B94" t="s">
        <v>8</v>
      </c>
      <c r="C94">
        <v>202400007</v>
      </c>
      <c r="D94">
        <v>21</v>
      </c>
      <c r="E94">
        <v>80</v>
      </c>
      <c r="F94">
        <v>7</v>
      </c>
      <c r="G94">
        <v>8</v>
      </c>
      <c r="H94">
        <v>0</v>
      </c>
    </row>
    <row r="95" spans="2:8">
      <c r="B95" t="s">
        <v>231</v>
      </c>
      <c r="C95">
        <v>202400230</v>
      </c>
      <c r="D95">
        <v>15</v>
      </c>
      <c r="E95">
        <v>67</v>
      </c>
      <c r="F95">
        <v>9</v>
      </c>
      <c r="G95">
        <v>10</v>
      </c>
      <c r="H95">
        <v>0</v>
      </c>
    </row>
    <row r="96" spans="2:8">
      <c r="B96" t="s">
        <v>101</v>
      </c>
      <c r="C96">
        <v>202400100</v>
      </c>
      <c r="D96">
        <v>17</v>
      </c>
      <c r="E96">
        <v>50</v>
      </c>
      <c r="F96">
        <v>4</v>
      </c>
      <c r="G96">
        <v>8</v>
      </c>
      <c r="H96">
        <v>0</v>
      </c>
    </row>
    <row r="97" spans="2:8">
      <c r="B97" t="s">
        <v>30</v>
      </c>
      <c r="C97">
        <v>202400029</v>
      </c>
      <c r="D97">
        <v>16</v>
      </c>
      <c r="E97">
        <v>64</v>
      </c>
      <c r="F97">
        <v>9</v>
      </c>
      <c r="G97">
        <v>9</v>
      </c>
      <c r="H97">
        <v>0</v>
      </c>
    </row>
    <row r="98" spans="2:8">
      <c r="B98" t="s">
        <v>56</v>
      </c>
      <c r="C98">
        <v>202400055</v>
      </c>
      <c r="D98">
        <v>15</v>
      </c>
      <c r="E98">
        <v>98</v>
      </c>
      <c r="F98">
        <v>8</v>
      </c>
      <c r="G98">
        <v>10</v>
      </c>
      <c r="H98">
        <v>0</v>
      </c>
    </row>
    <row r="99" spans="2:8">
      <c r="B99" t="s">
        <v>261</v>
      </c>
      <c r="C99">
        <v>202400260</v>
      </c>
      <c r="D99">
        <v>25</v>
      </c>
      <c r="E99">
        <v>63</v>
      </c>
      <c r="F99">
        <v>5</v>
      </c>
      <c r="G99">
        <v>10</v>
      </c>
      <c r="H99">
        <v>0</v>
      </c>
    </row>
    <row r="100" spans="2:8">
      <c r="B100" t="s">
        <v>166</v>
      </c>
      <c r="C100">
        <v>202400165</v>
      </c>
      <c r="D100">
        <v>23</v>
      </c>
      <c r="E100">
        <v>98</v>
      </c>
      <c r="F100">
        <v>9</v>
      </c>
      <c r="G100">
        <v>10</v>
      </c>
      <c r="H100">
        <v>0</v>
      </c>
    </row>
    <row r="101" spans="2:8">
      <c r="B101" t="s">
        <v>290</v>
      </c>
      <c r="C101">
        <v>202400289</v>
      </c>
      <c r="D101">
        <v>19</v>
      </c>
      <c r="E101">
        <v>54</v>
      </c>
      <c r="F101">
        <v>4</v>
      </c>
      <c r="G101">
        <v>9</v>
      </c>
      <c r="H101">
        <v>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EA08-C596-9A41-8953-50E271AB2EB4}">
  <sheetPr>
    <tabColor theme="5" tint="0.79998168889431442"/>
  </sheetPr>
  <dimension ref="B1:M98"/>
  <sheetViews>
    <sheetView topLeftCell="A71" workbookViewId="0">
      <selection activeCell="G11" sqref="G11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493</v>
      </c>
      <c r="C2">
        <v>2</v>
      </c>
      <c r="D2" t="s">
        <v>403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</row>
    <row r="4" spans="2:13">
      <c r="B4" t="s">
        <v>47</v>
      </c>
      <c r="C4">
        <v>202400046</v>
      </c>
      <c r="D4">
        <v>24</v>
      </c>
      <c r="E4">
        <v>61</v>
      </c>
      <c r="F4">
        <v>5</v>
      </c>
      <c r="G4">
        <v>10</v>
      </c>
      <c r="H4">
        <v>0</v>
      </c>
    </row>
    <row r="5" spans="2:13">
      <c r="B5" t="s">
        <v>168</v>
      </c>
      <c r="C5">
        <v>202400167</v>
      </c>
      <c r="D5">
        <v>25</v>
      </c>
      <c r="E5">
        <v>57</v>
      </c>
      <c r="F5">
        <v>10</v>
      </c>
      <c r="G5">
        <v>8</v>
      </c>
      <c r="H5">
        <v>0</v>
      </c>
    </row>
    <row r="6" spans="2:13">
      <c r="B6" t="s">
        <v>129</v>
      </c>
      <c r="C6">
        <v>202400128</v>
      </c>
      <c r="D6">
        <v>25</v>
      </c>
      <c r="E6">
        <v>65</v>
      </c>
      <c r="F6">
        <v>8</v>
      </c>
      <c r="G6">
        <v>9</v>
      </c>
      <c r="H6">
        <v>0</v>
      </c>
    </row>
    <row r="7" spans="2:13">
      <c r="B7" t="s">
        <v>287</v>
      </c>
      <c r="C7">
        <v>202400286</v>
      </c>
      <c r="D7">
        <v>25</v>
      </c>
      <c r="E7">
        <v>95</v>
      </c>
      <c r="F7">
        <v>3</v>
      </c>
      <c r="G7">
        <v>10</v>
      </c>
      <c r="H7">
        <v>0</v>
      </c>
    </row>
    <row r="8" spans="2:13">
      <c r="B8" t="s">
        <v>250</v>
      </c>
      <c r="C8">
        <v>202400249</v>
      </c>
      <c r="D8">
        <v>30</v>
      </c>
      <c r="E8">
        <v>67</v>
      </c>
      <c r="F8">
        <v>8</v>
      </c>
      <c r="G8">
        <v>8</v>
      </c>
      <c r="H8">
        <v>0</v>
      </c>
    </row>
    <row r="9" spans="2:13">
      <c r="B9" t="s">
        <v>103</v>
      </c>
      <c r="C9">
        <v>202400102</v>
      </c>
      <c r="D9">
        <v>30</v>
      </c>
      <c r="E9">
        <v>80</v>
      </c>
      <c r="F9">
        <v>4</v>
      </c>
      <c r="G9">
        <v>10</v>
      </c>
      <c r="H9">
        <v>0</v>
      </c>
    </row>
    <row r="10" spans="2:13">
      <c r="B10" t="s">
        <v>63</v>
      </c>
      <c r="C10">
        <v>202400062</v>
      </c>
      <c r="D10">
        <v>20</v>
      </c>
      <c r="E10">
        <v>84</v>
      </c>
      <c r="F10">
        <v>5</v>
      </c>
      <c r="G10">
        <v>8</v>
      </c>
      <c r="H10">
        <v>0</v>
      </c>
    </row>
    <row r="11" spans="2:13">
      <c r="B11" t="s">
        <v>137</v>
      </c>
      <c r="C11">
        <v>202400136</v>
      </c>
      <c r="D11">
        <v>21</v>
      </c>
      <c r="E11">
        <v>55</v>
      </c>
      <c r="F11">
        <v>4</v>
      </c>
      <c r="G11">
        <v>10</v>
      </c>
      <c r="H11">
        <v>0</v>
      </c>
    </row>
    <row r="12" spans="2:13">
      <c r="B12" t="s">
        <v>202</v>
      </c>
      <c r="C12">
        <v>202400201</v>
      </c>
      <c r="D12">
        <v>23</v>
      </c>
      <c r="E12">
        <v>74</v>
      </c>
      <c r="F12">
        <v>5</v>
      </c>
      <c r="G12">
        <v>9</v>
      </c>
      <c r="H12">
        <v>0</v>
      </c>
    </row>
    <row r="13" spans="2:13">
      <c r="B13" t="s">
        <v>344</v>
      </c>
      <c r="C13">
        <v>202400343</v>
      </c>
      <c r="D13">
        <v>17</v>
      </c>
      <c r="E13">
        <v>92</v>
      </c>
      <c r="F13">
        <v>7</v>
      </c>
      <c r="G13">
        <v>8</v>
      </c>
      <c r="H13">
        <v>0</v>
      </c>
    </row>
    <row r="14" spans="2:13">
      <c r="B14" t="s">
        <v>159</v>
      </c>
      <c r="C14">
        <v>202400158</v>
      </c>
      <c r="D14">
        <v>27</v>
      </c>
      <c r="E14">
        <v>62</v>
      </c>
      <c r="F14">
        <v>10</v>
      </c>
      <c r="G14">
        <v>8</v>
      </c>
      <c r="H14">
        <v>0</v>
      </c>
    </row>
    <row r="15" spans="2:13">
      <c r="B15" t="s">
        <v>76</v>
      </c>
      <c r="C15">
        <v>202400075</v>
      </c>
      <c r="D15">
        <v>29</v>
      </c>
      <c r="E15">
        <v>85</v>
      </c>
      <c r="F15">
        <v>4</v>
      </c>
      <c r="G15">
        <v>10</v>
      </c>
      <c r="H15">
        <v>0</v>
      </c>
    </row>
    <row r="16" spans="2:13">
      <c r="B16" t="s">
        <v>226</v>
      </c>
      <c r="C16">
        <v>202400225</v>
      </c>
      <c r="D16">
        <v>28</v>
      </c>
      <c r="E16">
        <v>60</v>
      </c>
      <c r="F16">
        <v>9</v>
      </c>
      <c r="G16">
        <v>10</v>
      </c>
      <c r="H16">
        <v>0</v>
      </c>
    </row>
    <row r="17" spans="2:8">
      <c r="B17" t="s">
        <v>87</v>
      </c>
      <c r="C17">
        <v>202400086</v>
      </c>
      <c r="D17">
        <v>27</v>
      </c>
      <c r="E17">
        <v>69</v>
      </c>
      <c r="F17">
        <v>8</v>
      </c>
      <c r="G17">
        <v>9</v>
      </c>
      <c r="H17">
        <v>0</v>
      </c>
    </row>
    <row r="18" spans="2:8">
      <c r="B18" t="s">
        <v>370</v>
      </c>
      <c r="C18">
        <v>202400369</v>
      </c>
      <c r="D18">
        <v>23</v>
      </c>
      <c r="E18">
        <v>97</v>
      </c>
      <c r="F18">
        <v>8</v>
      </c>
      <c r="G18">
        <v>9</v>
      </c>
      <c r="H18">
        <v>0</v>
      </c>
    </row>
    <row r="19" spans="2:8">
      <c r="B19" t="s">
        <v>252</v>
      </c>
      <c r="C19">
        <v>202400251</v>
      </c>
      <c r="D19">
        <v>21</v>
      </c>
      <c r="E19">
        <v>100</v>
      </c>
      <c r="F19">
        <v>8</v>
      </c>
      <c r="G19">
        <v>10</v>
      </c>
      <c r="H19">
        <v>0</v>
      </c>
    </row>
    <row r="20" spans="2:8">
      <c r="B20" t="s">
        <v>259</v>
      </c>
      <c r="C20">
        <v>202400258</v>
      </c>
      <c r="D20">
        <v>19</v>
      </c>
      <c r="E20">
        <v>93</v>
      </c>
      <c r="F20">
        <v>10</v>
      </c>
      <c r="G20">
        <v>8</v>
      </c>
      <c r="H20">
        <v>0</v>
      </c>
    </row>
    <row r="21" spans="2:8">
      <c r="B21" t="s">
        <v>200</v>
      </c>
      <c r="C21">
        <v>202400199</v>
      </c>
      <c r="D21">
        <v>19</v>
      </c>
      <c r="E21">
        <v>72</v>
      </c>
      <c r="F21">
        <v>9</v>
      </c>
      <c r="G21">
        <v>8</v>
      </c>
      <c r="H21">
        <v>0</v>
      </c>
    </row>
    <row r="22" spans="2:8">
      <c r="B22" t="s">
        <v>314</v>
      </c>
      <c r="C22">
        <v>202400313</v>
      </c>
      <c r="D22">
        <v>17</v>
      </c>
      <c r="E22">
        <v>50</v>
      </c>
      <c r="F22">
        <v>7</v>
      </c>
      <c r="G22">
        <v>10</v>
      </c>
      <c r="H22">
        <v>0</v>
      </c>
    </row>
    <row r="23" spans="2:8">
      <c r="B23" t="s">
        <v>307</v>
      </c>
      <c r="C23">
        <v>202400306</v>
      </c>
      <c r="D23">
        <v>15</v>
      </c>
      <c r="E23">
        <v>99</v>
      </c>
      <c r="F23">
        <v>5</v>
      </c>
      <c r="G23">
        <v>8</v>
      </c>
      <c r="H23">
        <v>0</v>
      </c>
    </row>
    <row r="24" spans="2:8">
      <c r="B24" t="s">
        <v>301</v>
      </c>
      <c r="C24">
        <v>202400300</v>
      </c>
      <c r="D24">
        <v>24</v>
      </c>
      <c r="E24">
        <v>67</v>
      </c>
      <c r="F24">
        <v>9</v>
      </c>
      <c r="G24">
        <v>8</v>
      </c>
      <c r="H24">
        <v>0</v>
      </c>
    </row>
    <row r="25" spans="2:8">
      <c r="B25" t="s">
        <v>324</v>
      </c>
      <c r="C25">
        <v>202400323</v>
      </c>
      <c r="D25">
        <v>29</v>
      </c>
      <c r="E25">
        <v>85</v>
      </c>
      <c r="F25">
        <v>7</v>
      </c>
      <c r="G25">
        <v>10</v>
      </c>
      <c r="H25">
        <v>0</v>
      </c>
    </row>
    <row r="26" spans="2:8">
      <c r="B26" t="s">
        <v>75</v>
      </c>
      <c r="C26">
        <v>202400074</v>
      </c>
      <c r="D26">
        <v>18</v>
      </c>
      <c r="E26">
        <v>91</v>
      </c>
      <c r="F26">
        <v>4</v>
      </c>
      <c r="G26">
        <v>10</v>
      </c>
      <c r="H26">
        <v>0</v>
      </c>
    </row>
    <row r="27" spans="2:8">
      <c r="B27" t="s">
        <v>142</v>
      </c>
      <c r="C27">
        <v>202400141</v>
      </c>
      <c r="D27">
        <v>24</v>
      </c>
      <c r="E27">
        <v>66</v>
      </c>
      <c r="F27">
        <v>3</v>
      </c>
      <c r="G27">
        <v>8</v>
      </c>
      <c r="H27">
        <v>0</v>
      </c>
    </row>
    <row r="28" spans="2:8">
      <c r="B28" t="s">
        <v>179</v>
      </c>
      <c r="C28">
        <v>202400178</v>
      </c>
      <c r="D28">
        <v>25</v>
      </c>
      <c r="E28">
        <v>73</v>
      </c>
      <c r="F28">
        <v>8</v>
      </c>
      <c r="G28">
        <v>9</v>
      </c>
      <c r="H28">
        <v>0</v>
      </c>
    </row>
    <row r="29" spans="2:8">
      <c r="B29" t="s">
        <v>156</v>
      </c>
      <c r="C29">
        <v>202400155</v>
      </c>
      <c r="D29">
        <v>18</v>
      </c>
      <c r="E29">
        <v>85</v>
      </c>
      <c r="F29">
        <v>4</v>
      </c>
      <c r="G29">
        <v>9</v>
      </c>
      <c r="H29">
        <v>0</v>
      </c>
    </row>
    <row r="30" spans="2:8">
      <c r="B30" t="s">
        <v>308</v>
      </c>
      <c r="C30">
        <v>202400307</v>
      </c>
      <c r="D30">
        <v>20</v>
      </c>
      <c r="E30">
        <v>58</v>
      </c>
      <c r="F30">
        <v>10</v>
      </c>
      <c r="G30">
        <v>9</v>
      </c>
      <c r="H30">
        <v>0</v>
      </c>
    </row>
    <row r="31" spans="2:8">
      <c r="B31" t="s">
        <v>109</v>
      </c>
      <c r="C31">
        <v>202400108</v>
      </c>
      <c r="D31">
        <v>25</v>
      </c>
      <c r="E31">
        <v>57</v>
      </c>
      <c r="F31">
        <v>10</v>
      </c>
      <c r="G31">
        <v>10</v>
      </c>
      <c r="H31">
        <v>0</v>
      </c>
    </row>
    <row r="32" spans="2:8">
      <c r="B32" t="s">
        <v>212</v>
      </c>
      <c r="C32">
        <v>202400211</v>
      </c>
      <c r="D32">
        <v>15</v>
      </c>
      <c r="E32">
        <v>76</v>
      </c>
      <c r="F32">
        <v>7</v>
      </c>
      <c r="G32">
        <v>10</v>
      </c>
      <c r="H32">
        <v>0</v>
      </c>
    </row>
    <row r="33" spans="2:8">
      <c r="B33" t="s">
        <v>319</v>
      </c>
      <c r="C33">
        <v>202400318</v>
      </c>
      <c r="D33">
        <v>15</v>
      </c>
      <c r="E33">
        <v>60</v>
      </c>
      <c r="F33">
        <v>3</v>
      </c>
      <c r="G33">
        <v>8</v>
      </c>
      <c r="H33">
        <v>0</v>
      </c>
    </row>
    <row r="34" spans="2:8">
      <c r="B34" t="s">
        <v>354</v>
      </c>
      <c r="C34">
        <v>202400353</v>
      </c>
      <c r="D34">
        <v>22</v>
      </c>
      <c r="E34">
        <v>50</v>
      </c>
      <c r="F34">
        <v>4</v>
      </c>
      <c r="G34">
        <v>10</v>
      </c>
      <c r="H34">
        <v>0</v>
      </c>
    </row>
    <row r="35" spans="2:8">
      <c r="B35" t="s">
        <v>399</v>
      </c>
      <c r="C35">
        <v>202400398</v>
      </c>
      <c r="D35">
        <v>16</v>
      </c>
      <c r="E35">
        <v>56</v>
      </c>
      <c r="F35">
        <v>10</v>
      </c>
      <c r="G35">
        <v>10</v>
      </c>
      <c r="H35">
        <v>0</v>
      </c>
    </row>
    <row r="36" spans="2:8">
      <c r="B36" t="s">
        <v>100</v>
      </c>
      <c r="C36">
        <v>202400099</v>
      </c>
      <c r="D36">
        <v>28</v>
      </c>
      <c r="E36">
        <v>99</v>
      </c>
      <c r="F36">
        <v>8</v>
      </c>
      <c r="G36">
        <v>10</v>
      </c>
      <c r="H36">
        <v>0</v>
      </c>
    </row>
    <row r="37" spans="2:8">
      <c r="B37" t="s">
        <v>17</v>
      </c>
      <c r="C37">
        <v>202400016</v>
      </c>
      <c r="D37">
        <v>23</v>
      </c>
      <c r="E37">
        <v>85</v>
      </c>
      <c r="F37">
        <v>8</v>
      </c>
      <c r="G37">
        <v>9</v>
      </c>
      <c r="H37">
        <v>0</v>
      </c>
    </row>
    <row r="38" spans="2:8">
      <c r="B38" t="s">
        <v>236</v>
      </c>
      <c r="C38">
        <v>202400235</v>
      </c>
      <c r="D38">
        <v>30</v>
      </c>
      <c r="E38">
        <v>87</v>
      </c>
      <c r="F38">
        <v>3</v>
      </c>
      <c r="G38">
        <v>10</v>
      </c>
      <c r="H38">
        <v>0</v>
      </c>
    </row>
    <row r="39" spans="2:8">
      <c r="B39" t="s">
        <v>59</v>
      </c>
      <c r="C39">
        <v>202400058</v>
      </c>
      <c r="D39">
        <v>24</v>
      </c>
      <c r="E39">
        <v>78</v>
      </c>
      <c r="F39">
        <v>10</v>
      </c>
      <c r="G39">
        <v>8</v>
      </c>
      <c r="H39">
        <v>0</v>
      </c>
    </row>
    <row r="40" spans="2:8">
      <c r="B40" t="s">
        <v>206</v>
      </c>
      <c r="C40">
        <v>202400205</v>
      </c>
      <c r="D40">
        <v>20</v>
      </c>
      <c r="E40">
        <v>93</v>
      </c>
      <c r="F40">
        <v>9</v>
      </c>
      <c r="G40">
        <v>10</v>
      </c>
      <c r="H40">
        <v>0</v>
      </c>
    </row>
    <row r="41" spans="2:8">
      <c r="B41" t="s">
        <v>292</v>
      </c>
      <c r="C41">
        <v>202400291</v>
      </c>
      <c r="D41">
        <v>19</v>
      </c>
      <c r="E41">
        <v>57</v>
      </c>
      <c r="F41">
        <v>5</v>
      </c>
      <c r="G41">
        <v>10</v>
      </c>
      <c r="H41">
        <v>0</v>
      </c>
    </row>
    <row r="42" spans="2:8">
      <c r="B42" t="s">
        <v>37</v>
      </c>
      <c r="C42">
        <v>202400036</v>
      </c>
      <c r="D42">
        <v>22</v>
      </c>
      <c r="E42">
        <v>65</v>
      </c>
      <c r="F42">
        <v>3</v>
      </c>
      <c r="G42">
        <v>8</v>
      </c>
      <c r="H42">
        <v>0</v>
      </c>
    </row>
    <row r="43" spans="2:8">
      <c r="B43" t="s">
        <v>105</v>
      </c>
      <c r="C43">
        <v>202400104</v>
      </c>
      <c r="D43">
        <v>26</v>
      </c>
      <c r="E43">
        <v>75</v>
      </c>
      <c r="F43">
        <v>9</v>
      </c>
      <c r="G43">
        <v>9</v>
      </c>
      <c r="H43">
        <v>0</v>
      </c>
    </row>
    <row r="44" spans="2:8">
      <c r="B44" t="s">
        <v>77</v>
      </c>
      <c r="C44">
        <v>202400076</v>
      </c>
      <c r="D44">
        <v>30</v>
      </c>
      <c r="E44">
        <v>79</v>
      </c>
      <c r="F44">
        <v>10</v>
      </c>
      <c r="G44">
        <v>9</v>
      </c>
      <c r="H44">
        <v>0</v>
      </c>
    </row>
    <row r="45" spans="2:8">
      <c r="B45" t="s">
        <v>15</v>
      </c>
      <c r="C45">
        <v>202400014</v>
      </c>
      <c r="D45">
        <v>15</v>
      </c>
      <c r="E45">
        <v>98</v>
      </c>
      <c r="F45">
        <v>7</v>
      </c>
      <c r="G45">
        <v>9</v>
      </c>
      <c r="H45">
        <v>0</v>
      </c>
    </row>
    <row r="46" spans="2:8">
      <c r="B46" t="s">
        <v>312</v>
      </c>
      <c r="C46">
        <v>202400311</v>
      </c>
      <c r="D46">
        <v>30</v>
      </c>
      <c r="E46">
        <v>81</v>
      </c>
      <c r="F46">
        <v>3</v>
      </c>
      <c r="G46">
        <v>9</v>
      </c>
      <c r="H46">
        <v>0</v>
      </c>
    </row>
    <row r="47" spans="2:8">
      <c r="B47" t="s">
        <v>239</v>
      </c>
      <c r="C47">
        <v>202400238</v>
      </c>
      <c r="D47">
        <v>30</v>
      </c>
      <c r="E47">
        <v>95</v>
      </c>
      <c r="F47">
        <v>9</v>
      </c>
      <c r="G47">
        <v>8</v>
      </c>
      <c r="H47">
        <v>0</v>
      </c>
    </row>
    <row r="48" spans="2:8">
      <c r="B48" t="s">
        <v>51</v>
      </c>
      <c r="C48">
        <v>202400050</v>
      </c>
      <c r="D48">
        <v>16</v>
      </c>
      <c r="E48">
        <v>53</v>
      </c>
      <c r="F48">
        <v>10</v>
      </c>
      <c r="G48">
        <v>10</v>
      </c>
      <c r="H48">
        <v>0</v>
      </c>
    </row>
    <row r="49" spans="2:8">
      <c r="B49" t="s">
        <v>182</v>
      </c>
      <c r="C49">
        <v>202400181</v>
      </c>
      <c r="D49">
        <v>19</v>
      </c>
      <c r="E49">
        <v>72</v>
      </c>
      <c r="F49">
        <v>5</v>
      </c>
      <c r="G49">
        <v>8</v>
      </c>
      <c r="H49">
        <v>0</v>
      </c>
    </row>
    <row r="50" spans="2:8">
      <c r="B50" t="s">
        <v>171</v>
      </c>
      <c r="C50">
        <v>202400170</v>
      </c>
      <c r="D50">
        <v>18</v>
      </c>
      <c r="E50">
        <v>67</v>
      </c>
      <c r="F50">
        <v>9</v>
      </c>
      <c r="G50">
        <v>10</v>
      </c>
      <c r="H50">
        <v>0</v>
      </c>
    </row>
    <row r="51" spans="2:8">
      <c r="B51" t="s">
        <v>213</v>
      </c>
      <c r="C51">
        <v>202400212</v>
      </c>
      <c r="D51">
        <v>17</v>
      </c>
      <c r="E51">
        <v>69</v>
      </c>
      <c r="F51">
        <v>6</v>
      </c>
      <c r="G51">
        <v>8</v>
      </c>
      <c r="H51">
        <v>0</v>
      </c>
    </row>
    <row r="52" spans="2:8">
      <c r="B52" t="s">
        <v>180</v>
      </c>
      <c r="C52">
        <v>202400179</v>
      </c>
      <c r="D52">
        <v>15</v>
      </c>
      <c r="E52">
        <v>86</v>
      </c>
      <c r="F52">
        <v>7</v>
      </c>
      <c r="G52">
        <v>8</v>
      </c>
      <c r="H52">
        <v>0</v>
      </c>
    </row>
    <row r="53" spans="2:8">
      <c r="B53" t="s">
        <v>238</v>
      </c>
      <c r="C53">
        <v>202400237</v>
      </c>
      <c r="D53">
        <v>24</v>
      </c>
      <c r="E53">
        <v>57</v>
      </c>
      <c r="F53">
        <v>3</v>
      </c>
      <c r="G53">
        <v>9</v>
      </c>
      <c r="H53">
        <v>0</v>
      </c>
    </row>
    <row r="54" spans="2:8">
      <c r="B54" t="s">
        <v>98</v>
      </c>
      <c r="C54">
        <v>202400097</v>
      </c>
      <c r="D54">
        <v>25</v>
      </c>
      <c r="E54">
        <v>92</v>
      </c>
      <c r="F54">
        <v>3</v>
      </c>
      <c r="G54">
        <v>8</v>
      </c>
      <c r="H54">
        <v>0</v>
      </c>
    </row>
    <row r="55" spans="2:8">
      <c r="B55" t="s">
        <v>281</v>
      </c>
      <c r="C55">
        <v>202400280</v>
      </c>
      <c r="D55">
        <v>27</v>
      </c>
      <c r="E55">
        <v>56</v>
      </c>
      <c r="F55">
        <v>10</v>
      </c>
      <c r="G55">
        <v>10</v>
      </c>
      <c r="H55">
        <v>0</v>
      </c>
    </row>
    <row r="56" spans="2:8">
      <c r="B56" t="s">
        <v>34</v>
      </c>
      <c r="C56">
        <v>202400033</v>
      </c>
      <c r="D56">
        <v>23</v>
      </c>
      <c r="E56">
        <v>87</v>
      </c>
      <c r="F56">
        <v>6</v>
      </c>
      <c r="G56">
        <v>10</v>
      </c>
      <c r="H56">
        <v>0</v>
      </c>
    </row>
    <row r="57" spans="2:8">
      <c r="B57" t="s">
        <v>60</v>
      </c>
      <c r="C57">
        <v>202400059</v>
      </c>
      <c r="D57">
        <v>26</v>
      </c>
      <c r="E57">
        <v>54</v>
      </c>
      <c r="F57">
        <v>9</v>
      </c>
      <c r="G57">
        <v>8</v>
      </c>
      <c r="H57">
        <v>0</v>
      </c>
    </row>
    <row r="58" spans="2:8">
      <c r="B58" t="s">
        <v>320</v>
      </c>
      <c r="C58">
        <v>202400319</v>
      </c>
      <c r="D58">
        <v>16</v>
      </c>
      <c r="E58">
        <v>51</v>
      </c>
      <c r="F58">
        <v>4</v>
      </c>
      <c r="G58">
        <v>9</v>
      </c>
      <c r="H58">
        <v>0</v>
      </c>
    </row>
    <row r="59" spans="2:8">
      <c r="B59" t="s">
        <v>155</v>
      </c>
      <c r="C59">
        <v>202400154</v>
      </c>
      <c r="D59">
        <v>23</v>
      </c>
      <c r="E59">
        <v>95</v>
      </c>
      <c r="F59">
        <v>8</v>
      </c>
      <c r="G59">
        <v>10</v>
      </c>
      <c r="H59">
        <v>0</v>
      </c>
    </row>
    <row r="60" spans="2:8">
      <c r="B60" t="s">
        <v>147</v>
      </c>
      <c r="C60">
        <v>202400146</v>
      </c>
      <c r="D60">
        <v>27</v>
      </c>
      <c r="E60">
        <v>99</v>
      </c>
      <c r="F60">
        <v>7</v>
      </c>
      <c r="G60">
        <v>10</v>
      </c>
      <c r="H60">
        <v>0</v>
      </c>
    </row>
    <row r="61" spans="2:8">
      <c r="B61" t="s">
        <v>289</v>
      </c>
      <c r="C61">
        <v>202400288</v>
      </c>
      <c r="D61">
        <v>23</v>
      </c>
      <c r="E61">
        <v>78</v>
      </c>
      <c r="F61">
        <v>10</v>
      </c>
      <c r="G61">
        <v>10</v>
      </c>
      <c r="H61">
        <v>0</v>
      </c>
    </row>
    <row r="62" spans="2:8">
      <c r="B62" t="s">
        <v>146</v>
      </c>
      <c r="C62">
        <v>202400145</v>
      </c>
      <c r="D62">
        <v>27</v>
      </c>
      <c r="E62">
        <v>85</v>
      </c>
      <c r="F62">
        <v>6</v>
      </c>
      <c r="G62">
        <v>10</v>
      </c>
      <c r="H62">
        <v>0</v>
      </c>
    </row>
    <row r="63" spans="2:8">
      <c r="B63" t="s">
        <v>392</v>
      </c>
      <c r="C63">
        <v>202400391</v>
      </c>
      <c r="D63">
        <v>25</v>
      </c>
      <c r="E63">
        <v>74</v>
      </c>
      <c r="F63">
        <v>3</v>
      </c>
      <c r="G63">
        <v>8</v>
      </c>
      <c r="H63">
        <v>0</v>
      </c>
    </row>
    <row r="64" spans="2:8">
      <c r="B64" t="s">
        <v>254</v>
      </c>
      <c r="C64">
        <v>202400253</v>
      </c>
      <c r="D64">
        <v>17</v>
      </c>
      <c r="E64">
        <v>58</v>
      </c>
      <c r="F64">
        <v>8</v>
      </c>
      <c r="G64">
        <v>10</v>
      </c>
      <c r="H64">
        <v>0</v>
      </c>
    </row>
    <row r="65" spans="2:8">
      <c r="B65" t="s">
        <v>106</v>
      </c>
      <c r="C65">
        <v>202400105</v>
      </c>
      <c r="D65">
        <v>22</v>
      </c>
      <c r="E65">
        <v>95</v>
      </c>
      <c r="F65">
        <v>3</v>
      </c>
      <c r="G65">
        <v>9</v>
      </c>
      <c r="H65">
        <v>0</v>
      </c>
    </row>
    <row r="66" spans="2:8">
      <c r="B66" t="s">
        <v>262</v>
      </c>
      <c r="C66">
        <v>202400261</v>
      </c>
      <c r="D66">
        <v>22</v>
      </c>
      <c r="E66">
        <v>97</v>
      </c>
      <c r="F66">
        <v>4</v>
      </c>
      <c r="G66">
        <v>9</v>
      </c>
      <c r="H66">
        <v>0</v>
      </c>
    </row>
    <row r="67" spans="2:8">
      <c r="B67" t="s">
        <v>378</v>
      </c>
      <c r="C67">
        <v>202400377</v>
      </c>
      <c r="D67">
        <v>17</v>
      </c>
      <c r="E67">
        <v>75</v>
      </c>
      <c r="F67">
        <v>10</v>
      </c>
      <c r="G67">
        <v>10</v>
      </c>
      <c r="H67">
        <v>0</v>
      </c>
    </row>
    <row r="68" spans="2:8">
      <c r="B68" t="s">
        <v>211</v>
      </c>
      <c r="C68">
        <v>202400210</v>
      </c>
      <c r="D68">
        <v>29</v>
      </c>
      <c r="E68">
        <v>61</v>
      </c>
      <c r="F68">
        <v>6</v>
      </c>
      <c r="G68">
        <v>9</v>
      </c>
      <c r="H68">
        <v>0</v>
      </c>
    </row>
    <row r="69" spans="2:8">
      <c r="B69" t="s">
        <v>92</v>
      </c>
      <c r="C69">
        <v>202400091</v>
      </c>
      <c r="D69">
        <v>20</v>
      </c>
      <c r="E69">
        <v>82</v>
      </c>
      <c r="F69">
        <v>9</v>
      </c>
      <c r="G69">
        <v>8</v>
      </c>
      <c r="H69">
        <v>0</v>
      </c>
    </row>
    <row r="70" spans="2:8">
      <c r="B70" t="s">
        <v>69</v>
      </c>
      <c r="C70">
        <v>202400068</v>
      </c>
      <c r="D70">
        <v>29</v>
      </c>
      <c r="E70">
        <v>50</v>
      </c>
      <c r="F70">
        <v>5</v>
      </c>
      <c r="G70">
        <v>9</v>
      </c>
      <c r="H70">
        <v>0</v>
      </c>
    </row>
    <row r="71" spans="2:8">
      <c r="B71" t="s">
        <v>364</v>
      </c>
      <c r="C71">
        <v>202400363</v>
      </c>
      <c r="D71">
        <v>23</v>
      </c>
      <c r="E71">
        <v>57</v>
      </c>
      <c r="F71">
        <v>9</v>
      </c>
      <c r="G71">
        <v>8</v>
      </c>
      <c r="H71">
        <v>0</v>
      </c>
    </row>
    <row r="72" spans="2:8">
      <c r="B72" t="s">
        <v>219</v>
      </c>
      <c r="C72">
        <v>202400218</v>
      </c>
      <c r="D72">
        <v>23</v>
      </c>
      <c r="E72">
        <v>58</v>
      </c>
      <c r="F72">
        <v>4</v>
      </c>
      <c r="G72">
        <v>8</v>
      </c>
      <c r="H72">
        <v>0</v>
      </c>
    </row>
    <row r="73" spans="2:8">
      <c r="B73" t="s">
        <v>31</v>
      </c>
      <c r="C73">
        <v>202400030</v>
      </c>
      <c r="D73">
        <v>30</v>
      </c>
      <c r="E73">
        <v>64</v>
      </c>
      <c r="F73">
        <v>6</v>
      </c>
      <c r="G73">
        <v>10</v>
      </c>
      <c r="H73">
        <v>0</v>
      </c>
    </row>
    <row r="74" spans="2:8">
      <c r="B74" t="s">
        <v>232</v>
      </c>
      <c r="C74">
        <v>202400231</v>
      </c>
      <c r="D74">
        <v>22</v>
      </c>
      <c r="E74">
        <v>76</v>
      </c>
      <c r="F74">
        <v>8</v>
      </c>
      <c r="G74">
        <v>8</v>
      </c>
      <c r="H74">
        <v>0</v>
      </c>
    </row>
    <row r="75" spans="2:8">
      <c r="B75" t="s">
        <v>50</v>
      </c>
      <c r="C75">
        <v>202400049</v>
      </c>
      <c r="D75">
        <v>24</v>
      </c>
      <c r="E75">
        <v>79</v>
      </c>
      <c r="F75">
        <v>4</v>
      </c>
      <c r="G75">
        <v>10</v>
      </c>
      <c r="H75">
        <v>0</v>
      </c>
    </row>
    <row r="76" spans="2:8">
      <c r="B76" t="s">
        <v>88</v>
      </c>
      <c r="C76">
        <v>202400087</v>
      </c>
      <c r="D76">
        <v>26</v>
      </c>
      <c r="E76">
        <v>98</v>
      </c>
      <c r="F76">
        <v>4</v>
      </c>
      <c r="G76">
        <v>10</v>
      </c>
      <c r="H76">
        <v>0</v>
      </c>
    </row>
    <row r="77" spans="2:8">
      <c r="B77" t="s">
        <v>149</v>
      </c>
      <c r="C77">
        <v>202400148</v>
      </c>
      <c r="D77">
        <v>15</v>
      </c>
      <c r="E77">
        <v>86</v>
      </c>
      <c r="F77">
        <v>7</v>
      </c>
      <c r="G77">
        <v>10</v>
      </c>
      <c r="H77">
        <v>0</v>
      </c>
    </row>
    <row r="78" spans="2:8">
      <c r="B78" t="s">
        <v>42</v>
      </c>
      <c r="C78">
        <v>202400041</v>
      </c>
      <c r="D78">
        <v>27</v>
      </c>
      <c r="E78">
        <v>50</v>
      </c>
      <c r="F78">
        <v>7</v>
      </c>
      <c r="G78">
        <v>9</v>
      </c>
      <c r="H78">
        <v>0</v>
      </c>
    </row>
    <row r="79" spans="2:8">
      <c r="B79" t="s">
        <v>384</v>
      </c>
      <c r="C79">
        <v>202400383</v>
      </c>
      <c r="D79">
        <v>29</v>
      </c>
      <c r="E79">
        <v>66</v>
      </c>
      <c r="F79">
        <v>5</v>
      </c>
      <c r="G79">
        <v>10</v>
      </c>
      <c r="H79">
        <v>0</v>
      </c>
    </row>
    <row r="80" spans="2:8">
      <c r="B80" t="s">
        <v>80</v>
      </c>
      <c r="C80">
        <v>202400079</v>
      </c>
      <c r="D80">
        <v>25</v>
      </c>
      <c r="E80">
        <v>71</v>
      </c>
      <c r="F80">
        <v>3</v>
      </c>
      <c r="G80">
        <v>9</v>
      </c>
      <c r="H80">
        <v>0</v>
      </c>
    </row>
    <row r="81" spans="2:8">
      <c r="B81" t="s">
        <v>163</v>
      </c>
      <c r="C81">
        <v>202400162</v>
      </c>
      <c r="D81">
        <v>24</v>
      </c>
      <c r="E81">
        <v>71</v>
      </c>
      <c r="F81">
        <v>3</v>
      </c>
      <c r="G81">
        <v>9</v>
      </c>
      <c r="H81">
        <v>0</v>
      </c>
    </row>
    <row r="82" spans="2:8">
      <c r="B82" t="s">
        <v>359</v>
      </c>
      <c r="C82">
        <v>202400358</v>
      </c>
      <c r="D82">
        <v>22</v>
      </c>
      <c r="E82">
        <v>54</v>
      </c>
      <c r="F82">
        <v>8</v>
      </c>
      <c r="G82">
        <v>9</v>
      </c>
      <c r="H82">
        <v>0</v>
      </c>
    </row>
    <row r="83" spans="2:8">
      <c r="B83" t="s">
        <v>131</v>
      </c>
      <c r="C83">
        <v>202400130</v>
      </c>
      <c r="D83">
        <v>22</v>
      </c>
      <c r="E83">
        <v>63</v>
      </c>
      <c r="F83">
        <v>4</v>
      </c>
      <c r="G83">
        <v>8</v>
      </c>
      <c r="H83">
        <v>0</v>
      </c>
    </row>
    <row r="84" spans="2:8">
      <c r="B84" t="s">
        <v>190</v>
      </c>
      <c r="C84">
        <v>202400189</v>
      </c>
      <c r="D84">
        <v>19</v>
      </c>
      <c r="E84">
        <v>98</v>
      </c>
      <c r="F84">
        <v>10</v>
      </c>
      <c r="G84">
        <v>8</v>
      </c>
      <c r="H84">
        <v>0</v>
      </c>
    </row>
    <row r="85" spans="2:8">
      <c r="B85" t="s">
        <v>333</v>
      </c>
      <c r="C85">
        <v>202400332</v>
      </c>
      <c r="D85">
        <v>19</v>
      </c>
      <c r="E85">
        <v>64</v>
      </c>
      <c r="F85">
        <v>7</v>
      </c>
      <c r="G85">
        <v>10</v>
      </c>
      <c r="H85">
        <v>0</v>
      </c>
    </row>
    <row r="86" spans="2:8">
      <c r="B86" t="s">
        <v>78</v>
      </c>
      <c r="C86">
        <v>202400077</v>
      </c>
      <c r="D86">
        <v>29</v>
      </c>
      <c r="E86">
        <v>94</v>
      </c>
      <c r="F86">
        <v>6</v>
      </c>
      <c r="G86">
        <v>9</v>
      </c>
      <c r="H86">
        <v>0</v>
      </c>
    </row>
    <row r="87" spans="2:8">
      <c r="B87" t="s">
        <v>135</v>
      </c>
      <c r="C87">
        <v>202400134</v>
      </c>
      <c r="D87">
        <v>20</v>
      </c>
      <c r="E87">
        <v>99</v>
      </c>
      <c r="F87">
        <v>4</v>
      </c>
      <c r="G87">
        <v>8</v>
      </c>
      <c r="H87">
        <v>0</v>
      </c>
    </row>
    <row r="88" spans="2:8">
      <c r="B88" t="s">
        <v>230</v>
      </c>
      <c r="C88">
        <v>202400229</v>
      </c>
      <c r="D88">
        <v>29</v>
      </c>
      <c r="E88">
        <v>51</v>
      </c>
      <c r="F88">
        <v>4</v>
      </c>
      <c r="G88">
        <v>10</v>
      </c>
      <c r="H88">
        <v>0</v>
      </c>
    </row>
    <row r="89" spans="2:8">
      <c r="B89" t="s">
        <v>253</v>
      </c>
      <c r="C89">
        <v>202400252</v>
      </c>
      <c r="D89">
        <v>26</v>
      </c>
      <c r="E89">
        <v>85</v>
      </c>
      <c r="F89">
        <v>4</v>
      </c>
      <c r="G89">
        <v>9</v>
      </c>
      <c r="H89">
        <v>0</v>
      </c>
    </row>
    <row r="90" spans="2:8">
      <c r="B90" t="s">
        <v>205</v>
      </c>
      <c r="C90">
        <v>202400204</v>
      </c>
      <c r="D90">
        <v>23</v>
      </c>
      <c r="E90">
        <v>77</v>
      </c>
      <c r="F90">
        <v>9</v>
      </c>
      <c r="G90">
        <v>8</v>
      </c>
      <c r="H90">
        <v>0</v>
      </c>
    </row>
    <row r="91" spans="2:8">
      <c r="B91" t="s">
        <v>243</v>
      </c>
      <c r="C91">
        <v>202400242</v>
      </c>
      <c r="D91">
        <v>22</v>
      </c>
      <c r="E91">
        <v>57</v>
      </c>
      <c r="F91">
        <v>4</v>
      </c>
      <c r="G91">
        <v>10</v>
      </c>
      <c r="H91">
        <v>0</v>
      </c>
    </row>
    <row r="92" spans="2:8">
      <c r="B92" t="s">
        <v>196</v>
      </c>
      <c r="C92">
        <v>202400195</v>
      </c>
      <c r="D92">
        <v>27</v>
      </c>
      <c r="E92">
        <v>85</v>
      </c>
      <c r="F92">
        <v>6</v>
      </c>
      <c r="G92">
        <v>10</v>
      </c>
      <c r="H92">
        <v>0</v>
      </c>
    </row>
    <row r="93" spans="2:8">
      <c r="B93" t="s">
        <v>298</v>
      </c>
      <c r="C93">
        <v>202400297</v>
      </c>
      <c r="D93">
        <v>30</v>
      </c>
      <c r="E93">
        <v>71</v>
      </c>
      <c r="F93">
        <v>7</v>
      </c>
      <c r="G93">
        <v>9</v>
      </c>
      <c r="H93">
        <v>0</v>
      </c>
    </row>
    <row r="94" spans="2:8">
      <c r="B94" t="s">
        <v>125</v>
      </c>
      <c r="C94">
        <v>202400124</v>
      </c>
      <c r="D94">
        <v>23</v>
      </c>
      <c r="E94">
        <v>95</v>
      </c>
      <c r="F94">
        <v>9</v>
      </c>
      <c r="G94">
        <v>9</v>
      </c>
      <c r="H94">
        <v>0</v>
      </c>
    </row>
    <row r="95" spans="2:8">
      <c r="B95" t="s">
        <v>379</v>
      </c>
      <c r="C95">
        <v>202400378</v>
      </c>
      <c r="D95">
        <v>28</v>
      </c>
      <c r="E95">
        <v>56</v>
      </c>
      <c r="F95">
        <v>9</v>
      </c>
      <c r="G95">
        <v>9</v>
      </c>
      <c r="H95">
        <v>0</v>
      </c>
    </row>
    <row r="96" spans="2:8">
      <c r="B96" t="s">
        <v>304</v>
      </c>
      <c r="C96">
        <v>202400303</v>
      </c>
      <c r="D96">
        <v>28</v>
      </c>
      <c r="E96">
        <v>99</v>
      </c>
      <c r="F96">
        <v>5</v>
      </c>
      <c r="G96">
        <v>9</v>
      </c>
      <c r="H96">
        <v>0</v>
      </c>
    </row>
    <row r="97" spans="2:8">
      <c r="B97" t="s">
        <v>95</v>
      </c>
      <c r="C97">
        <v>202400094</v>
      </c>
      <c r="D97">
        <v>16</v>
      </c>
      <c r="E97">
        <v>70</v>
      </c>
      <c r="F97">
        <v>6</v>
      </c>
      <c r="G97">
        <v>8</v>
      </c>
      <c r="H97">
        <v>0</v>
      </c>
    </row>
    <row r="98" spans="2:8">
      <c r="B98" t="s">
        <v>400</v>
      </c>
      <c r="C98">
        <v>202400399</v>
      </c>
      <c r="D98">
        <v>30</v>
      </c>
      <c r="E98">
        <v>82</v>
      </c>
      <c r="F98">
        <v>3</v>
      </c>
      <c r="G98">
        <v>9</v>
      </c>
      <c r="H98">
        <v>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4F41-3398-1C42-BE26-19F1E324C77C}">
  <sheetPr>
    <tabColor theme="5" tint="0.79998168889431442"/>
  </sheetPr>
  <dimension ref="B1:M105"/>
  <sheetViews>
    <sheetView workbookViewId="0">
      <selection activeCell="H4" sqref="H4:H105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493</v>
      </c>
      <c r="C2">
        <v>3</v>
      </c>
      <c r="D2" t="s">
        <v>511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317</v>
      </c>
      <c r="C4">
        <v>202400316</v>
      </c>
      <c r="D4">
        <v>24</v>
      </c>
      <c r="E4">
        <v>74</v>
      </c>
      <c r="F4">
        <v>9</v>
      </c>
      <c r="G4">
        <v>10</v>
      </c>
      <c r="H4">
        <v>0</v>
      </c>
    </row>
    <row r="5" spans="2:13">
      <c r="B5" t="s">
        <v>396</v>
      </c>
      <c r="C5">
        <v>202400395</v>
      </c>
      <c r="D5">
        <v>24</v>
      </c>
      <c r="E5">
        <v>75</v>
      </c>
      <c r="F5">
        <v>3</v>
      </c>
      <c r="G5">
        <v>10</v>
      </c>
      <c r="H5">
        <v>0</v>
      </c>
    </row>
    <row r="6" spans="2:13">
      <c r="B6" t="s">
        <v>23</v>
      </c>
      <c r="C6">
        <v>202400022</v>
      </c>
      <c r="D6">
        <v>24</v>
      </c>
      <c r="E6">
        <v>85</v>
      </c>
      <c r="F6">
        <v>8</v>
      </c>
      <c r="G6">
        <v>10</v>
      </c>
      <c r="H6">
        <v>0</v>
      </c>
    </row>
    <row r="7" spans="2:13">
      <c r="B7" t="s">
        <v>187</v>
      </c>
      <c r="C7">
        <v>202400186</v>
      </c>
      <c r="D7">
        <v>22</v>
      </c>
      <c r="E7">
        <v>71</v>
      </c>
      <c r="F7">
        <v>7</v>
      </c>
      <c r="G7">
        <v>9</v>
      </c>
      <c r="H7">
        <v>0</v>
      </c>
    </row>
    <row r="8" spans="2:13">
      <c r="B8" t="s">
        <v>152</v>
      </c>
      <c r="C8">
        <v>202400151</v>
      </c>
      <c r="D8">
        <v>23</v>
      </c>
      <c r="E8">
        <v>95</v>
      </c>
      <c r="F8">
        <v>7</v>
      </c>
      <c r="G8">
        <v>10</v>
      </c>
      <c r="H8">
        <v>0</v>
      </c>
    </row>
    <row r="9" spans="2:13">
      <c r="B9" t="s">
        <v>394</v>
      </c>
      <c r="C9">
        <v>202400393</v>
      </c>
      <c r="D9">
        <v>29</v>
      </c>
      <c r="E9">
        <v>64</v>
      </c>
      <c r="F9">
        <v>3</v>
      </c>
      <c r="G9">
        <v>10</v>
      </c>
      <c r="H9">
        <v>0</v>
      </c>
    </row>
    <row r="10" spans="2:13">
      <c r="B10" t="s">
        <v>249</v>
      </c>
      <c r="C10">
        <v>202400248</v>
      </c>
      <c r="D10">
        <v>18</v>
      </c>
      <c r="E10">
        <v>82</v>
      </c>
      <c r="F10">
        <v>8</v>
      </c>
      <c r="G10">
        <v>10</v>
      </c>
      <c r="H10">
        <v>0</v>
      </c>
    </row>
    <row r="11" spans="2:13">
      <c r="B11" t="s">
        <v>120</v>
      </c>
      <c r="C11">
        <v>202400119</v>
      </c>
      <c r="D11">
        <v>27</v>
      </c>
      <c r="E11">
        <v>82</v>
      </c>
      <c r="F11">
        <v>4</v>
      </c>
      <c r="G11">
        <v>9</v>
      </c>
      <c r="H11">
        <v>0</v>
      </c>
    </row>
    <row r="12" spans="2:13">
      <c r="B12" t="s">
        <v>343</v>
      </c>
      <c r="C12">
        <v>202400342</v>
      </c>
      <c r="D12">
        <v>17</v>
      </c>
      <c r="E12">
        <v>89</v>
      </c>
      <c r="F12">
        <v>7</v>
      </c>
      <c r="G12">
        <v>9</v>
      </c>
      <c r="H12">
        <v>0</v>
      </c>
    </row>
    <row r="13" spans="2:13">
      <c r="B13" t="s">
        <v>227</v>
      </c>
      <c r="C13">
        <v>202400226</v>
      </c>
      <c r="D13">
        <v>28</v>
      </c>
      <c r="E13">
        <v>61</v>
      </c>
      <c r="F13">
        <v>10</v>
      </c>
      <c r="G13">
        <v>8</v>
      </c>
      <c r="H13">
        <v>0</v>
      </c>
    </row>
    <row r="14" spans="2:13">
      <c r="B14" t="s">
        <v>214</v>
      </c>
      <c r="C14">
        <v>202400213</v>
      </c>
      <c r="D14">
        <v>25</v>
      </c>
      <c r="E14">
        <v>100</v>
      </c>
      <c r="F14">
        <v>8</v>
      </c>
      <c r="G14">
        <v>10</v>
      </c>
      <c r="H14">
        <v>0</v>
      </c>
    </row>
    <row r="15" spans="2:13">
      <c r="B15" t="s">
        <v>322</v>
      </c>
      <c r="C15">
        <v>202400321</v>
      </c>
      <c r="D15">
        <v>29</v>
      </c>
      <c r="E15">
        <v>74</v>
      </c>
      <c r="F15">
        <v>8</v>
      </c>
      <c r="G15">
        <v>10</v>
      </c>
      <c r="H15">
        <v>0</v>
      </c>
    </row>
    <row r="16" spans="2:13">
      <c r="B16" t="s">
        <v>383</v>
      </c>
      <c r="C16">
        <v>202400382</v>
      </c>
      <c r="D16">
        <v>24</v>
      </c>
      <c r="E16">
        <v>61</v>
      </c>
      <c r="F16">
        <v>4</v>
      </c>
      <c r="G16">
        <v>8</v>
      </c>
      <c r="H16">
        <v>0</v>
      </c>
    </row>
    <row r="17" spans="2:8">
      <c r="B17" t="s">
        <v>189</v>
      </c>
      <c r="C17">
        <v>202400188</v>
      </c>
      <c r="D17">
        <v>17</v>
      </c>
      <c r="E17">
        <v>89</v>
      </c>
      <c r="F17">
        <v>7</v>
      </c>
      <c r="G17">
        <v>10</v>
      </c>
      <c r="H17">
        <v>0</v>
      </c>
    </row>
    <row r="18" spans="2:8">
      <c r="B18" t="s">
        <v>183</v>
      </c>
      <c r="C18">
        <v>202400182</v>
      </c>
      <c r="D18">
        <v>18</v>
      </c>
      <c r="E18">
        <v>52</v>
      </c>
      <c r="F18">
        <v>3</v>
      </c>
      <c r="G18">
        <v>10</v>
      </c>
      <c r="H18">
        <v>0</v>
      </c>
    </row>
    <row r="19" spans="2:8">
      <c r="B19" t="s">
        <v>323</v>
      </c>
      <c r="C19">
        <v>202400322</v>
      </c>
      <c r="D19">
        <v>24</v>
      </c>
      <c r="E19">
        <v>99</v>
      </c>
      <c r="F19">
        <v>9</v>
      </c>
      <c r="G19">
        <v>10</v>
      </c>
      <c r="H19">
        <v>0</v>
      </c>
    </row>
    <row r="20" spans="2:8">
      <c r="B20" t="s">
        <v>278</v>
      </c>
      <c r="C20">
        <v>202400277</v>
      </c>
      <c r="D20">
        <v>26</v>
      </c>
      <c r="E20">
        <v>55</v>
      </c>
      <c r="F20">
        <v>3</v>
      </c>
      <c r="G20">
        <v>9</v>
      </c>
      <c r="H20">
        <v>0</v>
      </c>
    </row>
    <row r="21" spans="2:8">
      <c r="B21" t="s">
        <v>41</v>
      </c>
      <c r="C21">
        <v>202400040</v>
      </c>
      <c r="D21">
        <v>24</v>
      </c>
      <c r="E21">
        <v>96</v>
      </c>
      <c r="F21">
        <v>4</v>
      </c>
      <c r="G21">
        <v>10</v>
      </c>
      <c r="H21">
        <v>0</v>
      </c>
    </row>
    <row r="22" spans="2:8">
      <c r="B22" t="s">
        <v>96</v>
      </c>
      <c r="C22">
        <v>202400095</v>
      </c>
      <c r="D22">
        <v>18</v>
      </c>
      <c r="E22">
        <v>79</v>
      </c>
      <c r="F22">
        <v>4</v>
      </c>
      <c r="G22">
        <v>9</v>
      </c>
      <c r="H22">
        <v>0</v>
      </c>
    </row>
    <row r="23" spans="2:8">
      <c r="B23" t="s">
        <v>300</v>
      </c>
      <c r="C23">
        <v>202400299</v>
      </c>
      <c r="D23">
        <v>21</v>
      </c>
      <c r="E23">
        <v>70</v>
      </c>
      <c r="F23">
        <v>10</v>
      </c>
      <c r="G23">
        <v>9</v>
      </c>
      <c r="H23">
        <v>0</v>
      </c>
    </row>
    <row r="24" spans="2:8">
      <c r="B24" t="s">
        <v>172</v>
      </c>
      <c r="C24">
        <v>202400171</v>
      </c>
      <c r="D24">
        <v>28</v>
      </c>
      <c r="E24">
        <v>84</v>
      </c>
      <c r="F24">
        <v>6</v>
      </c>
      <c r="G24">
        <v>9</v>
      </c>
      <c r="H24">
        <v>0</v>
      </c>
    </row>
    <row r="25" spans="2:8">
      <c r="B25" t="s">
        <v>107</v>
      </c>
      <c r="C25">
        <v>202400106</v>
      </c>
      <c r="D25">
        <v>17</v>
      </c>
      <c r="E25">
        <v>58</v>
      </c>
      <c r="F25">
        <v>5</v>
      </c>
      <c r="G25">
        <v>8</v>
      </c>
      <c r="H25">
        <v>0</v>
      </c>
    </row>
    <row r="26" spans="2:8">
      <c r="B26" t="s">
        <v>293</v>
      </c>
      <c r="C26">
        <v>202400292</v>
      </c>
      <c r="D26">
        <v>15</v>
      </c>
      <c r="E26">
        <v>90</v>
      </c>
      <c r="F26">
        <v>6</v>
      </c>
      <c r="G26">
        <v>9</v>
      </c>
      <c r="H26">
        <v>0</v>
      </c>
    </row>
    <row r="27" spans="2:8">
      <c r="B27" t="s">
        <v>273</v>
      </c>
      <c r="C27">
        <v>202400272</v>
      </c>
      <c r="D27">
        <v>18</v>
      </c>
      <c r="E27">
        <v>85</v>
      </c>
      <c r="F27">
        <v>6</v>
      </c>
      <c r="G27">
        <v>8</v>
      </c>
      <c r="H27">
        <v>0</v>
      </c>
    </row>
    <row r="28" spans="2:8">
      <c r="B28" t="s">
        <v>178</v>
      </c>
      <c r="C28">
        <v>202400177</v>
      </c>
      <c r="D28">
        <v>18</v>
      </c>
      <c r="E28">
        <v>81</v>
      </c>
      <c r="F28">
        <v>10</v>
      </c>
      <c r="G28">
        <v>9</v>
      </c>
      <c r="H28">
        <v>0</v>
      </c>
    </row>
    <row r="29" spans="2:8">
      <c r="B29" t="s">
        <v>71</v>
      </c>
      <c r="C29">
        <v>202400070</v>
      </c>
      <c r="D29">
        <v>20</v>
      </c>
      <c r="E29">
        <v>86</v>
      </c>
      <c r="F29">
        <v>9</v>
      </c>
      <c r="G29">
        <v>8</v>
      </c>
      <c r="H29">
        <v>0</v>
      </c>
    </row>
    <row r="30" spans="2:8">
      <c r="B30" t="s">
        <v>313</v>
      </c>
      <c r="C30">
        <v>202400312</v>
      </c>
      <c r="D30">
        <v>23</v>
      </c>
      <c r="E30">
        <v>79</v>
      </c>
      <c r="F30">
        <v>4</v>
      </c>
      <c r="G30">
        <v>10</v>
      </c>
      <c r="H30">
        <v>0</v>
      </c>
    </row>
    <row r="31" spans="2:8">
      <c r="B31" t="s">
        <v>223</v>
      </c>
      <c r="C31">
        <v>202400222</v>
      </c>
      <c r="D31">
        <v>23</v>
      </c>
      <c r="E31">
        <v>87</v>
      </c>
      <c r="F31">
        <v>10</v>
      </c>
      <c r="G31">
        <v>8</v>
      </c>
      <c r="H31">
        <v>0</v>
      </c>
    </row>
    <row r="32" spans="2:8">
      <c r="B32" t="s">
        <v>13</v>
      </c>
      <c r="C32">
        <v>202400012</v>
      </c>
      <c r="D32">
        <v>24</v>
      </c>
      <c r="E32">
        <v>81</v>
      </c>
      <c r="F32">
        <v>10</v>
      </c>
      <c r="G32">
        <v>9</v>
      </c>
      <c r="H32">
        <v>0</v>
      </c>
    </row>
    <row r="33" spans="2:8">
      <c r="B33" t="s">
        <v>173</v>
      </c>
      <c r="C33">
        <v>202400172</v>
      </c>
      <c r="D33">
        <v>28</v>
      </c>
      <c r="E33">
        <v>60</v>
      </c>
      <c r="F33">
        <v>3</v>
      </c>
      <c r="G33">
        <v>8</v>
      </c>
      <c r="H33">
        <v>0</v>
      </c>
    </row>
    <row r="34" spans="2:8">
      <c r="B34" t="s">
        <v>61</v>
      </c>
      <c r="C34">
        <v>202400060</v>
      </c>
      <c r="D34">
        <v>18</v>
      </c>
      <c r="E34">
        <v>71</v>
      </c>
      <c r="F34">
        <v>6</v>
      </c>
      <c r="G34">
        <v>9</v>
      </c>
      <c r="H34">
        <v>0</v>
      </c>
    </row>
    <row r="35" spans="2:8">
      <c r="B35" t="s">
        <v>36</v>
      </c>
      <c r="C35">
        <v>202400035</v>
      </c>
      <c r="D35">
        <v>24</v>
      </c>
      <c r="E35">
        <v>81</v>
      </c>
      <c r="F35">
        <v>10</v>
      </c>
      <c r="G35">
        <v>8</v>
      </c>
      <c r="H35">
        <v>0</v>
      </c>
    </row>
    <row r="36" spans="2:8">
      <c r="B36" t="s">
        <v>207</v>
      </c>
      <c r="C36">
        <v>202400206</v>
      </c>
      <c r="D36">
        <v>25</v>
      </c>
      <c r="E36">
        <v>94</v>
      </c>
      <c r="F36">
        <v>9</v>
      </c>
      <c r="G36">
        <v>10</v>
      </c>
      <c r="H36">
        <v>0</v>
      </c>
    </row>
    <row r="37" spans="2:8">
      <c r="B37" t="s">
        <v>229</v>
      </c>
      <c r="C37">
        <v>202400228</v>
      </c>
      <c r="D37">
        <v>17</v>
      </c>
      <c r="E37">
        <v>93</v>
      </c>
      <c r="F37">
        <v>7</v>
      </c>
      <c r="G37">
        <v>8</v>
      </c>
      <c r="H37">
        <v>0</v>
      </c>
    </row>
    <row r="38" spans="2:8">
      <c r="B38" t="s">
        <v>111</v>
      </c>
      <c r="C38">
        <v>202400110</v>
      </c>
      <c r="D38">
        <v>22</v>
      </c>
      <c r="E38">
        <v>50</v>
      </c>
      <c r="F38">
        <v>10</v>
      </c>
      <c r="G38">
        <v>9</v>
      </c>
      <c r="H38">
        <v>0</v>
      </c>
    </row>
    <row r="39" spans="2:8">
      <c r="B39" t="s">
        <v>93</v>
      </c>
      <c r="C39">
        <v>202400092</v>
      </c>
      <c r="D39">
        <v>28</v>
      </c>
      <c r="E39">
        <v>76</v>
      </c>
      <c r="F39">
        <v>9</v>
      </c>
      <c r="G39">
        <v>10</v>
      </c>
      <c r="H39">
        <v>0</v>
      </c>
    </row>
    <row r="40" spans="2:8">
      <c r="B40" t="s">
        <v>260</v>
      </c>
      <c r="C40">
        <v>202400259</v>
      </c>
      <c r="D40">
        <v>19</v>
      </c>
      <c r="E40">
        <v>70</v>
      </c>
      <c r="F40">
        <v>3</v>
      </c>
      <c r="G40">
        <v>10</v>
      </c>
      <c r="H40">
        <v>0</v>
      </c>
    </row>
    <row r="41" spans="2:8">
      <c r="B41" t="s">
        <v>349</v>
      </c>
      <c r="C41">
        <v>202400348</v>
      </c>
      <c r="D41">
        <v>19</v>
      </c>
      <c r="E41">
        <v>56</v>
      </c>
      <c r="F41">
        <v>10</v>
      </c>
      <c r="G41">
        <v>8</v>
      </c>
      <c r="H41">
        <v>0</v>
      </c>
    </row>
    <row r="42" spans="2:8">
      <c r="B42" t="s">
        <v>310</v>
      </c>
      <c r="C42">
        <v>202400309</v>
      </c>
      <c r="D42">
        <v>23</v>
      </c>
      <c r="E42">
        <v>95</v>
      </c>
      <c r="F42">
        <v>6</v>
      </c>
      <c r="G42">
        <v>8</v>
      </c>
      <c r="H42">
        <v>0</v>
      </c>
    </row>
    <row r="43" spans="2:8">
      <c r="B43" t="s">
        <v>234</v>
      </c>
      <c r="C43">
        <v>202400233</v>
      </c>
      <c r="D43">
        <v>30</v>
      </c>
      <c r="E43">
        <v>66</v>
      </c>
      <c r="F43">
        <v>7</v>
      </c>
      <c r="G43">
        <v>8</v>
      </c>
      <c r="H43">
        <v>0</v>
      </c>
    </row>
    <row r="44" spans="2:8">
      <c r="B44" t="s">
        <v>134</v>
      </c>
      <c r="C44">
        <v>202400133</v>
      </c>
      <c r="D44">
        <v>28</v>
      </c>
      <c r="E44">
        <v>68</v>
      </c>
      <c r="F44">
        <v>7</v>
      </c>
      <c r="G44">
        <v>8</v>
      </c>
      <c r="H44">
        <v>0</v>
      </c>
    </row>
    <row r="45" spans="2:8">
      <c r="B45" t="s">
        <v>237</v>
      </c>
      <c r="C45">
        <v>202400236</v>
      </c>
      <c r="D45">
        <v>21</v>
      </c>
      <c r="E45">
        <v>56</v>
      </c>
      <c r="F45">
        <v>3</v>
      </c>
      <c r="G45">
        <v>10</v>
      </c>
      <c r="H45">
        <v>0</v>
      </c>
    </row>
    <row r="46" spans="2:8">
      <c r="B46" t="s">
        <v>369</v>
      </c>
      <c r="C46">
        <v>202400368</v>
      </c>
      <c r="D46">
        <v>19</v>
      </c>
      <c r="E46">
        <v>69</v>
      </c>
      <c r="F46">
        <v>6</v>
      </c>
      <c r="G46">
        <v>9</v>
      </c>
      <c r="H46">
        <v>0</v>
      </c>
    </row>
    <row r="47" spans="2:8">
      <c r="B47" t="s">
        <v>35</v>
      </c>
      <c r="C47">
        <v>202400034</v>
      </c>
      <c r="D47">
        <v>16</v>
      </c>
      <c r="E47">
        <v>88</v>
      </c>
      <c r="F47">
        <v>10</v>
      </c>
      <c r="G47">
        <v>10</v>
      </c>
      <c r="H47">
        <v>0</v>
      </c>
    </row>
    <row r="48" spans="2:8">
      <c r="B48" t="s">
        <v>355</v>
      </c>
      <c r="C48">
        <v>202400354</v>
      </c>
      <c r="D48">
        <v>29</v>
      </c>
      <c r="E48">
        <v>73</v>
      </c>
      <c r="F48">
        <v>3</v>
      </c>
      <c r="G48">
        <v>10</v>
      </c>
      <c r="H48">
        <v>0</v>
      </c>
    </row>
    <row r="49" spans="2:8">
      <c r="B49" t="s">
        <v>48</v>
      </c>
      <c r="C49">
        <v>202400047</v>
      </c>
      <c r="D49">
        <v>15</v>
      </c>
      <c r="E49">
        <v>68</v>
      </c>
      <c r="F49">
        <v>9</v>
      </c>
      <c r="G49">
        <v>8</v>
      </c>
      <c r="H49">
        <v>0</v>
      </c>
    </row>
    <row r="50" spans="2:8">
      <c r="B50" t="s">
        <v>228</v>
      </c>
      <c r="C50">
        <v>202400227</v>
      </c>
      <c r="D50">
        <v>17</v>
      </c>
      <c r="E50">
        <v>53</v>
      </c>
      <c r="F50">
        <v>8</v>
      </c>
      <c r="G50">
        <v>10</v>
      </c>
      <c r="H50">
        <v>0</v>
      </c>
    </row>
    <row r="51" spans="2:8">
      <c r="B51" t="s">
        <v>360</v>
      </c>
      <c r="C51">
        <v>202400359</v>
      </c>
      <c r="D51">
        <v>24</v>
      </c>
      <c r="E51">
        <v>81</v>
      </c>
      <c r="F51">
        <v>8</v>
      </c>
      <c r="G51">
        <v>9</v>
      </c>
      <c r="H51">
        <v>0</v>
      </c>
    </row>
    <row r="52" spans="2:8">
      <c r="B52" t="s">
        <v>294</v>
      </c>
      <c r="C52">
        <v>202400293</v>
      </c>
      <c r="D52">
        <v>29</v>
      </c>
      <c r="E52">
        <v>92</v>
      </c>
      <c r="F52">
        <v>10</v>
      </c>
      <c r="G52">
        <v>10</v>
      </c>
      <c r="H52">
        <v>0</v>
      </c>
    </row>
    <row r="53" spans="2:8">
      <c r="B53" t="s">
        <v>266</v>
      </c>
      <c r="C53">
        <v>202400265</v>
      </c>
      <c r="D53">
        <v>18</v>
      </c>
      <c r="E53">
        <v>89</v>
      </c>
      <c r="F53">
        <v>3</v>
      </c>
      <c r="G53">
        <v>8</v>
      </c>
      <c r="H53">
        <v>0</v>
      </c>
    </row>
    <row r="54" spans="2:8">
      <c r="B54" t="s">
        <v>124</v>
      </c>
      <c r="C54">
        <v>202400123</v>
      </c>
      <c r="D54">
        <v>27</v>
      </c>
      <c r="E54">
        <v>86</v>
      </c>
      <c r="F54">
        <v>7</v>
      </c>
      <c r="G54">
        <v>9</v>
      </c>
      <c r="H54">
        <v>0</v>
      </c>
    </row>
    <row r="55" spans="2:8">
      <c r="B55" t="s">
        <v>217</v>
      </c>
      <c r="C55">
        <v>202400216</v>
      </c>
      <c r="D55">
        <v>22</v>
      </c>
      <c r="E55">
        <v>53</v>
      </c>
      <c r="F55">
        <v>6</v>
      </c>
      <c r="G55">
        <v>9</v>
      </c>
      <c r="H55">
        <v>0</v>
      </c>
    </row>
    <row r="56" spans="2:8">
      <c r="B56" t="s">
        <v>306</v>
      </c>
      <c r="C56">
        <v>202400305</v>
      </c>
      <c r="D56">
        <v>19</v>
      </c>
      <c r="E56">
        <v>74</v>
      </c>
      <c r="F56">
        <v>6</v>
      </c>
      <c r="G56">
        <v>9</v>
      </c>
      <c r="H56">
        <v>0</v>
      </c>
    </row>
    <row r="57" spans="2:8">
      <c r="B57" t="s">
        <v>385</v>
      </c>
      <c r="C57">
        <v>202400384</v>
      </c>
      <c r="D57">
        <v>26</v>
      </c>
      <c r="E57">
        <v>74</v>
      </c>
      <c r="F57">
        <v>4</v>
      </c>
      <c r="G57">
        <v>9</v>
      </c>
      <c r="H57">
        <v>0</v>
      </c>
    </row>
    <row r="58" spans="2:8">
      <c r="B58" t="s">
        <v>393</v>
      </c>
      <c r="C58">
        <v>202400392</v>
      </c>
      <c r="D58">
        <v>26</v>
      </c>
      <c r="E58">
        <v>62</v>
      </c>
      <c r="F58">
        <v>7</v>
      </c>
      <c r="G58">
        <v>10</v>
      </c>
      <c r="H58">
        <v>0</v>
      </c>
    </row>
    <row r="59" spans="2:8">
      <c r="B59" t="s">
        <v>295</v>
      </c>
      <c r="C59">
        <v>202400294</v>
      </c>
      <c r="D59">
        <v>24</v>
      </c>
      <c r="E59">
        <v>96</v>
      </c>
      <c r="F59">
        <v>6</v>
      </c>
      <c r="G59">
        <v>10</v>
      </c>
      <c r="H59">
        <v>0</v>
      </c>
    </row>
    <row r="60" spans="2:8">
      <c r="B60" t="s">
        <v>242</v>
      </c>
      <c r="C60">
        <v>202400241</v>
      </c>
      <c r="D60">
        <v>16</v>
      </c>
      <c r="E60">
        <v>95</v>
      </c>
      <c r="F60">
        <v>10</v>
      </c>
      <c r="G60">
        <v>9</v>
      </c>
      <c r="H60">
        <v>0</v>
      </c>
    </row>
    <row r="61" spans="2:8">
      <c r="B61" t="s">
        <v>70</v>
      </c>
      <c r="C61">
        <v>202400069</v>
      </c>
      <c r="D61">
        <v>19</v>
      </c>
      <c r="E61">
        <v>58</v>
      </c>
      <c r="F61">
        <v>7</v>
      </c>
      <c r="G61">
        <v>8</v>
      </c>
      <c r="H61">
        <v>0</v>
      </c>
    </row>
    <row r="62" spans="2:8">
      <c r="B62" t="s">
        <v>272</v>
      </c>
      <c r="C62">
        <v>202400271</v>
      </c>
      <c r="D62">
        <v>24</v>
      </c>
      <c r="E62">
        <v>100</v>
      </c>
      <c r="F62">
        <v>5</v>
      </c>
      <c r="G62">
        <v>10</v>
      </c>
      <c r="H62">
        <v>0</v>
      </c>
    </row>
    <row r="63" spans="2:8">
      <c r="B63" t="s">
        <v>83</v>
      </c>
      <c r="C63">
        <v>202400082</v>
      </c>
      <c r="D63">
        <v>22</v>
      </c>
      <c r="E63">
        <v>77</v>
      </c>
      <c r="F63">
        <v>3</v>
      </c>
      <c r="G63">
        <v>10</v>
      </c>
      <c r="H63">
        <v>0</v>
      </c>
    </row>
    <row r="64" spans="2:8">
      <c r="B64" t="s">
        <v>38</v>
      </c>
      <c r="C64">
        <v>202400037</v>
      </c>
      <c r="D64">
        <v>21</v>
      </c>
      <c r="E64">
        <v>59</v>
      </c>
      <c r="F64">
        <v>7</v>
      </c>
      <c r="G64">
        <v>8</v>
      </c>
      <c r="H64">
        <v>0</v>
      </c>
    </row>
    <row r="65" spans="2:8">
      <c r="B65" t="s">
        <v>218</v>
      </c>
      <c r="C65">
        <v>202400217</v>
      </c>
      <c r="D65">
        <v>22</v>
      </c>
      <c r="E65">
        <v>92</v>
      </c>
      <c r="F65">
        <v>9</v>
      </c>
      <c r="G65">
        <v>9</v>
      </c>
      <c r="H65">
        <v>0</v>
      </c>
    </row>
    <row r="66" spans="2:8">
      <c r="B66" t="s">
        <v>141</v>
      </c>
      <c r="C66">
        <v>202400140</v>
      </c>
      <c r="D66">
        <v>15</v>
      </c>
      <c r="E66">
        <v>83</v>
      </c>
      <c r="F66">
        <v>10</v>
      </c>
      <c r="G66">
        <v>10</v>
      </c>
      <c r="H66">
        <v>0</v>
      </c>
    </row>
    <row r="67" spans="2:8">
      <c r="B67" t="s">
        <v>144</v>
      </c>
      <c r="C67">
        <v>202400143</v>
      </c>
      <c r="D67">
        <v>23</v>
      </c>
      <c r="E67">
        <v>52</v>
      </c>
      <c r="F67">
        <v>4</v>
      </c>
      <c r="G67">
        <v>8</v>
      </c>
      <c r="H67">
        <v>0</v>
      </c>
    </row>
    <row r="68" spans="2:8">
      <c r="B68" t="s">
        <v>275</v>
      </c>
      <c r="C68">
        <v>202400274</v>
      </c>
      <c r="D68">
        <v>19</v>
      </c>
      <c r="E68">
        <v>90</v>
      </c>
      <c r="F68">
        <v>5</v>
      </c>
      <c r="G68">
        <v>8</v>
      </c>
      <c r="H68">
        <v>0</v>
      </c>
    </row>
    <row r="69" spans="2:8">
      <c r="B69" t="s">
        <v>246</v>
      </c>
      <c r="C69">
        <v>202400245</v>
      </c>
      <c r="D69">
        <v>15</v>
      </c>
      <c r="E69">
        <v>56</v>
      </c>
      <c r="F69">
        <v>10</v>
      </c>
      <c r="G69">
        <v>9</v>
      </c>
      <c r="H69">
        <v>0</v>
      </c>
    </row>
    <row r="70" spans="2:8">
      <c r="B70" t="s">
        <v>186</v>
      </c>
      <c r="C70">
        <v>202400185</v>
      </c>
      <c r="D70">
        <v>17</v>
      </c>
      <c r="E70">
        <v>96</v>
      </c>
      <c r="F70">
        <v>6</v>
      </c>
      <c r="G70">
        <v>9</v>
      </c>
      <c r="H70">
        <v>0</v>
      </c>
    </row>
    <row r="71" spans="2:8">
      <c r="B71" t="s">
        <v>136</v>
      </c>
      <c r="C71">
        <v>202400135</v>
      </c>
      <c r="D71">
        <v>24</v>
      </c>
      <c r="E71">
        <v>96</v>
      </c>
      <c r="F71">
        <v>4</v>
      </c>
      <c r="G71">
        <v>9</v>
      </c>
      <c r="H71">
        <v>0</v>
      </c>
    </row>
    <row r="72" spans="2:8">
      <c r="B72" t="s">
        <v>240</v>
      </c>
      <c r="C72">
        <v>202400239</v>
      </c>
      <c r="D72">
        <v>28</v>
      </c>
      <c r="E72">
        <v>88</v>
      </c>
      <c r="F72">
        <v>4</v>
      </c>
      <c r="G72">
        <v>9</v>
      </c>
      <c r="H72">
        <v>0</v>
      </c>
    </row>
    <row r="73" spans="2:8">
      <c r="B73" t="s">
        <v>97</v>
      </c>
      <c r="C73">
        <v>202400096</v>
      </c>
      <c r="D73">
        <v>18</v>
      </c>
      <c r="E73">
        <v>100</v>
      </c>
      <c r="F73">
        <v>3</v>
      </c>
      <c r="G73">
        <v>8</v>
      </c>
      <c r="H73">
        <v>0</v>
      </c>
    </row>
    <row r="74" spans="2:8">
      <c r="B74" t="s">
        <v>365</v>
      </c>
      <c r="C74">
        <v>202400364</v>
      </c>
      <c r="D74">
        <v>17</v>
      </c>
      <c r="E74">
        <v>59</v>
      </c>
      <c r="F74">
        <v>9</v>
      </c>
      <c r="G74">
        <v>9</v>
      </c>
      <c r="H74">
        <v>0</v>
      </c>
    </row>
    <row r="75" spans="2:8">
      <c r="B75" t="s">
        <v>53</v>
      </c>
      <c r="C75">
        <v>202400052</v>
      </c>
      <c r="D75">
        <v>26</v>
      </c>
      <c r="E75">
        <v>97</v>
      </c>
      <c r="F75">
        <v>10</v>
      </c>
      <c r="G75">
        <v>9</v>
      </c>
      <c r="H75">
        <v>0</v>
      </c>
    </row>
    <row r="76" spans="2:8">
      <c r="B76" t="s">
        <v>276</v>
      </c>
      <c r="C76">
        <v>202400275</v>
      </c>
      <c r="D76">
        <v>24</v>
      </c>
      <c r="E76">
        <v>95</v>
      </c>
      <c r="F76">
        <v>10</v>
      </c>
      <c r="G76">
        <v>8</v>
      </c>
      <c r="H76">
        <v>0</v>
      </c>
    </row>
    <row r="77" spans="2:8">
      <c r="B77" t="s">
        <v>268</v>
      </c>
      <c r="C77">
        <v>202400267</v>
      </c>
      <c r="D77">
        <v>28</v>
      </c>
      <c r="E77">
        <v>84</v>
      </c>
      <c r="F77">
        <v>3</v>
      </c>
      <c r="G77">
        <v>8</v>
      </c>
      <c r="H77">
        <v>0</v>
      </c>
    </row>
    <row r="78" spans="2:8">
      <c r="B78" t="s">
        <v>265</v>
      </c>
      <c r="C78">
        <v>202400264</v>
      </c>
      <c r="D78">
        <v>24</v>
      </c>
      <c r="E78">
        <v>79</v>
      </c>
      <c r="F78">
        <v>7</v>
      </c>
      <c r="G78">
        <v>10</v>
      </c>
      <c r="H78">
        <v>0</v>
      </c>
    </row>
    <row r="79" spans="2:8">
      <c r="B79" t="s">
        <v>126</v>
      </c>
      <c r="C79">
        <v>202400125</v>
      </c>
      <c r="D79">
        <v>23</v>
      </c>
      <c r="E79">
        <v>67</v>
      </c>
      <c r="F79">
        <v>6</v>
      </c>
      <c r="G79">
        <v>9</v>
      </c>
      <c r="H79">
        <v>0</v>
      </c>
    </row>
    <row r="80" spans="2:8">
      <c r="B80" t="s">
        <v>160</v>
      </c>
      <c r="C80">
        <v>202400159</v>
      </c>
      <c r="D80">
        <v>26</v>
      </c>
      <c r="E80">
        <v>72</v>
      </c>
      <c r="F80">
        <v>4</v>
      </c>
      <c r="G80">
        <v>10</v>
      </c>
      <c r="H80">
        <v>0</v>
      </c>
    </row>
    <row r="81" spans="2:8">
      <c r="B81" t="s">
        <v>122</v>
      </c>
      <c r="C81">
        <v>202400121</v>
      </c>
      <c r="D81">
        <v>27</v>
      </c>
      <c r="E81">
        <v>81</v>
      </c>
      <c r="F81">
        <v>10</v>
      </c>
      <c r="G81">
        <v>8</v>
      </c>
      <c r="H81">
        <v>0</v>
      </c>
    </row>
    <row r="82" spans="2:8">
      <c r="B82" t="s">
        <v>334</v>
      </c>
      <c r="C82">
        <v>202400333</v>
      </c>
      <c r="D82">
        <v>24</v>
      </c>
      <c r="E82">
        <v>57</v>
      </c>
      <c r="F82">
        <v>4</v>
      </c>
      <c r="G82">
        <v>10</v>
      </c>
      <c r="H82">
        <v>0</v>
      </c>
    </row>
    <row r="83" spans="2:8">
      <c r="B83" t="s">
        <v>28</v>
      </c>
      <c r="C83">
        <v>202400027</v>
      </c>
      <c r="D83">
        <v>17</v>
      </c>
      <c r="E83">
        <v>77</v>
      </c>
      <c r="F83">
        <v>6</v>
      </c>
      <c r="G83">
        <v>8</v>
      </c>
      <c r="H83">
        <v>0</v>
      </c>
    </row>
    <row r="84" spans="2:8">
      <c r="B84" t="s">
        <v>203</v>
      </c>
      <c r="C84">
        <v>202400202</v>
      </c>
      <c r="D84">
        <v>22</v>
      </c>
      <c r="E84">
        <v>54</v>
      </c>
      <c r="F84">
        <v>4</v>
      </c>
      <c r="G84">
        <v>8</v>
      </c>
      <c r="H84">
        <v>0</v>
      </c>
    </row>
    <row r="85" spans="2:8">
      <c r="B85" t="s">
        <v>154</v>
      </c>
      <c r="C85">
        <v>202400153</v>
      </c>
      <c r="D85">
        <v>17</v>
      </c>
      <c r="E85">
        <v>63</v>
      </c>
      <c r="F85">
        <v>8</v>
      </c>
      <c r="G85">
        <v>8</v>
      </c>
      <c r="H85">
        <v>0</v>
      </c>
    </row>
    <row r="86" spans="2:8">
      <c r="B86" t="s">
        <v>376</v>
      </c>
      <c r="C86">
        <v>202400375</v>
      </c>
      <c r="D86">
        <v>22</v>
      </c>
      <c r="E86">
        <v>84</v>
      </c>
      <c r="F86">
        <v>9</v>
      </c>
      <c r="G86">
        <v>10</v>
      </c>
      <c r="H86">
        <v>0</v>
      </c>
    </row>
    <row r="87" spans="2:8">
      <c r="B87" t="s">
        <v>5</v>
      </c>
      <c r="C87">
        <v>202400004</v>
      </c>
      <c r="D87">
        <v>25</v>
      </c>
      <c r="E87">
        <v>76</v>
      </c>
      <c r="F87">
        <v>9</v>
      </c>
      <c r="G87">
        <v>10</v>
      </c>
      <c r="H87">
        <v>0</v>
      </c>
    </row>
    <row r="88" spans="2:8">
      <c r="B88" t="s">
        <v>358</v>
      </c>
      <c r="C88">
        <v>202400357</v>
      </c>
      <c r="D88">
        <v>23</v>
      </c>
      <c r="E88">
        <v>79</v>
      </c>
      <c r="F88">
        <v>7</v>
      </c>
      <c r="G88">
        <v>8</v>
      </c>
      <c r="H88">
        <v>0</v>
      </c>
    </row>
    <row r="89" spans="2:8">
      <c r="B89" t="s">
        <v>302</v>
      </c>
      <c r="C89">
        <v>202400301</v>
      </c>
      <c r="D89">
        <v>28</v>
      </c>
      <c r="E89">
        <v>94</v>
      </c>
      <c r="F89">
        <v>9</v>
      </c>
      <c r="G89">
        <v>8</v>
      </c>
      <c r="H89">
        <v>0</v>
      </c>
    </row>
    <row r="90" spans="2:8">
      <c r="B90" t="s">
        <v>282</v>
      </c>
      <c r="C90">
        <v>202400281</v>
      </c>
      <c r="D90">
        <v>28</v>
      </c>
      <c r="E90">
        <v>55</v>
      </c>
      <c r="F90">
        <v>3</v>
      </c>
      <c r="G90">
        <v>10</v>
      </c>
      <c r="H90">
        <v>0</v>
      </c>
    </row>
    <row r="91" spans="2:8">
      <c r="B91" t="s">
        <v>269</v>
      </c>
      <c r="C91">
        <v>202400268</v>
      </c>
      <c r="D91">
        <v>29</v>
      </c>
      <c r="E91">
        <v>84</v>
      </c>
      <c r="F91">
        <v>9</v>
      </c>
      <c r="G91">
        <v>8</v>
      </c>
      <c r="H91">
        <v>0</v>
      </c>
    </row>
    <row r="92" spans="2:8">
      <c r="B92" t="s">
        <v>18</v>
      </c>
      <c r="C92">
        <v>202400017</v>
      </c>
      <c r="D92">
        <v>24</v>
      </c>
      <c r="E92">
        <v>58</v>
      </c>
      <c r="F92">
        <v>9</v>
      </c>
      <c r="G92">
        <v>10</v>
      </c>
      <c r="H92">
        <v>0</v>
      </c>
    </row>
    <row r="93" spans="2:8">
      <c r="B93" t="s">
        <v>44</v>
      </c>
      <c r="C93">
        <v>202400043</v>
      </c>
      <c r="D93">
        <v>21</v>
      </c>
      <c r="E93">
        <v>86</v>
      </c>
      <c r="F93">
        <v>10</v>
      </c>
      <c r="G93">
        <v>9</v>
      </c>
      <c r="H93">
        <v>0</v>
      </c>
    </row>
    <row r="94" spans="2:8">
      <c r="B94" t="s">
        <v>382</v>
      </c>
      <c r="C94">
        <v>202400381</v>
      </c>
      <c r="D94">
        <v>27</v>
      </c>
      <c r="E94">
        <v>67</v>
      </c>
      <c r="F94">
        <v>8</v>
      </c>
      <c r="G94">
        <v>10</v>
      </c>
      <c r="H94">
        <v>0</v>
      </c>
    </row>
    <row r="95" spans="2:8">
      <c r="B95" t="s">
        <v>133</v>
      </c>
      <c r="C95">
        <v>202400132</v>
      </c>
      <c r="D95">
        <v>27</v>
      </c>
      <c r="E95">
        <v>83</v>
      </c>
      <c r="F95">
        <v>10</v>
      </c>
      <c r="G95">
        <v>8</v>
      </c>
      <c r="H95">
        <v>0</v>
      </c>
    </row>
    <row r="96" spans="2:8">
      <c r="B96" t="s">
        <v>339</v>
      </c>
      <c r="C96">
        <v>202400338</v>
      </c>
      <c r="D96">
        <v>16</v>
      </c>
      <c r="E96">
        <v>76</v>
      </c>
      <c r="F96">
        <v>7</v>
      </c>
      <c r="G96">
        <v>10</v>
      </c>
      <c r="H96">
        <v>0</v>
      </c>
    </row>
    <row r="97" spans="2:8">
      <c r="B97" t="s">
        <v>181</v>
      </c>
      <c r="C97">
        <v>202400180</v>
      </c>
      <c r="D97">
        <v>28</v>
      </c>
      <c r="E97">
        <v>91</v>
      </c>
      <c r="F97">
        <v>8</v>
      </c>
      <c r="G97">
        <v>9</v>
      </c>
      <c r="H97">
        <v>0</v>
      </c>
    </row>
    <row r="98" spans="2:8">
      <c r="B98" t="s">
        <v>245</v>
      </c>
      <c r="C98">
        <v>202400244</v>
      </c>
      <c r="D98">
        <v>27</v>
      </c>
      <c r="E98">
        <v>81</v>
      </c>
      <c r="F98">
        <v>3</v>
      </c>
      <c r="G98">
        <v>10</v>
      </c>
      <c r="H98">
        <v>0</v>
      </c>
    </row>
    <row r="99" spans="2:8">
      <c r="B99" t="s">
        <v>195</v>
      </c>
      <c r="C99">
        <v>202400194</v>
      </c>
      <c r="D99">
        <v>23</v>
      </c>
      <c r="E99">
        <v>60</v>
      </c>
      <c r="F99">
        <v>7</v>
      </c>
      <c r="G99">
        <v>10</v>
      </c>
      <c r="H99">
        <v>0</v>
      </c>
    </row>
    <row r="100" spans="2:8">
      <c r="B100" t="s">
        <v>117</v>
      </c>
      <c r="C100">
        <v>202400116</v>
      </c>
      <c r="D100">
        <v>25</v>
      </c>
      <c r="E100">
        <v>86</v>
      </c>
      <c r="F100">
        <v>5</v>
      </c>
      <c r="G100">
        <v>10</v>
      </c>
      <c r="H100">
        <v>0</v>
      </c>
    </row>
    <row r="101" spans="2:8">
      <c r="B101" t="s">
        <v>305</v>
      </c>
      <c r="C101">
        <v>202400304</v>
      </c>
      <c r="D101">
        <v>18</v>
      </c>
      <c r="E101">
        <v>54</v>
      </c>
      <c r="F101">
        <v>9</v>
      </c>
      <c r="G101">
        <v>8</v>
      </c>
      <c r="H101">
        <v>0</v>
      </c>
    </row>
    <row r="102" spans="2:8">
      <c r="B102" t="s">
        <v>309</v>
      </c>
      <c r="C102">
        <v>202400308</v>
      </c>
      <c r="D102">
        <v>19</v>
      </c>
      <c r="E102">
        <v>73</v>
      </c>
      <c r="F102">
        <v>4</v>
      </c>
      <c r="G102">
        <v>9</v>
      </c>
      <c r="H102">
        <v>0</v>
      </c>
    </row>
    <row r="103" spans="2:8">
      <c r="B103" t="s">
        <v>115</v>
      </c>
      <c r="C103">
        <v>202400114</v>
      </c>
      <c r="D103">
        <v>15</v>
      </c>
      <c r="E103">
        <v>69</v>
      </c>
      <c r="F103">
        <v>9</v>
      </c>
      <c r="G103">
        <v>8</v>
      </c>
      <c r="H103">
        <v>0</v>
      </c>
    </row>
    <row r="104" spans="2:8">
      <c r="B104" t="s">
        <v>342</v>
      </c>
      <c r="C104">
        <v>202400341</v>
      </c>
      <c r="D104">
        <v>24</v>
      </c>
      <c r="E104">
        <v>63</v>
      </c>
      <c r="F104">
        <v>7</v>
      </c>
      <c r="G104">
        <v>9</v>
      </c>
      <c r="H104">
        <v>0</v>
      </c>
    </row>
    <row r="105" spans="2:8">
      <c r="B105" t="s">
        <v>346</v>
      </c>
      <c r="C105">
        <v>202400345</v>
      </c>
      <c r="D105">
        <v>26</v>
      </c>
      <c r="E105">
        <v>53</v>
      </c>
      <c r="F105">
        <v>8</v>
      </c>
      <c r="G105">
        <v>10</v>
      </c>
      <c r="H105">
        <v>0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FD0BB-7D29-4748-9162-CE5B353E2EBD}">
  <dimension ref="B1:M87"/>
  <sheetViews>
    <sheetView workbookViewId="0">
      <selection activeCell="H4" sqref="H4:H87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494</v>
      </c>
      <c r="C2">
        <v>1</v>
      </c>
      <c r="D2" t="s">
        <v>512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346</v>
      </c>
      <c r="C4">
        <v>202400345</v>
      </c>
      <c r="D4">
        <v>24</v>
      </c>
      <c r="E4">
        <v>73</v>
      </c>
      <c r="F4">
        <v>8</v>
      </c>
      <c r="G4">
        <v>8</v>
      </c>
      <c r="H4">
        <v>0</v>
      </c>
    </row>
    <row r="5" spans="2:13">
      <c r="B5" t="s">
        <v>318</v>
      </c>
      <c r="C5">
        <v>202400317</v>
      </c>
      <c r="D5">
        <v>16</v>
      </c>
      <c r="E5">
        <v>86</v>
      </c>
      <c r="F5">
        <v>6</v>
      </c>
      <c r="G5">
        <v>10</v>
      </c>
      <c r="H5">
        <v>0</v>
      </c>
    </row>
    <row r="6" spans="2:13">
      <c r="B6" t="s">
        <v>186</v>
      </c>
      <c r="C6">
        <v>202400185</v>
      </c>
      <c r="D6">
        <v>20</v>
      </c>
      <c r="E6">
        <v>66</v>
      </c>
      <c r="F6">
        <v>4</v>
      </c>
      <c r="G6">
        <v>8</v>
      </c>
      <c r="H6">
        <v>0</v>
      </c>
    </row>
    <row r="7" spans="2:13">
      <c r="B7" t="s">
        <v>333</v>
      </c>
      <c r="C7">
        <v>202400332</v>
      </c>
      <c r="D7">
        <v>30</v>
      </c>
      <c r="E7">
        <v>86</v>
      </c>
      <c r="F7">
        <v>10</v>
      </c>
      <c r="G7">
        <v>8</v>
      </c>
      <c r="H7">
        <v>0</v>
      </c>
    </row>
    <row r="8" spans="2:13">
      <c r="B8" t="s">
        <v>176</v>
      </c>
      <c r="C8">
        <v>202400175</v>
      </c>
      <c r="D8">
        <v>16</v>
      </c>
      <c r="E8">
        <v>99</v>
      </c>
      <c r="F8">
        <v>6</v>
      </c>
      <c r="G8">
        <v>8</v>
      </c>
      <c r="H8">
        <v>0</v>
      </c>
    </row>
    <row r="9" spans="2:13">
      <c r="B9" t="s">
        <v>237</v>
      </c>
      <c r="C9">
        <v>202400236</v>
      </c>
      <c r="D9">
        <v>21</v>
      </c>
      <c r="E9">
        <v>69</v>
      </c>
      <c r="F9">
        <v>6</v>
      </c>
      <c r="G9">
        <v>8</v>
      </c>
      <c r="H9">
        <v>0</v>
      </c>
    </row>
    <row r="10" spans="2:13">
      <c r="B10" t="s">
        <v>329</v>
      </c>
      <c r="C10">
        <v>202400328</v>
      </c>
      <c r="D10">
        <v>17</v>
      </c>
      <c r="E10">
        <v>96</v>
      </c>
      <c r="F10">
        <v>7</v>
      </c>
      <c r="G10">
        <v>8</v>
      </c>
      <c r="H10">
        <v>0</v>
      </c>
    </row>
    <row r="11" spans="2:13">
      <c r="B11" t="s">
        <v>181</v>
      </c>
      <c r="C11">
        <v>202400180</v>
      </c>
      <c r="D11">
        <v>23</v>
      </c>
      <c r="E11">
        <v>90</v>
      </c>
      <c r="F11">
        <v>6</v>
      </c>
      <c r="G11">
        <v>8</v>
      </c>
      <c r="H11">
        <v>0</v>
      </c>
    </row>
    <row r="12" spans="2:13">
      <c r="B12" t="s">
        <v>5</v>
      </c>
      <c r="C12">
        <v>202400004</v>
      </c>
      <c r="D12">
        <v>24</v>
      </c>
      <c r="E12">
        <v>100</v>
      </c>
      <c r="F12">
        <v>6</v>
      </c>
      <c r="G12">
        <v>9</v>
      </c>
      <c r="H12">
        <v>0</v>
      </c>
    </row>
    <row r="13" spans="2:13">
      <c r="B13" t="s">
        <v>40</v>
      </c>
      <c r="C13">
        <v>202400039</v>
      </c>
      <c r="D13">
        <v>19</v>
      </c>
      <c r="E13">
        <v>85</v>
      </c>
      <c r="F13">
        <v>7</v>
      </c>
      <c r="G13">
        <v>8</v>
      </c>
      <c r="H13">
        <v>0</v>
      </c>
    </row>
    <row r="14" spans="2:13">
      <c r="B14" t="s">
        <v>374</v>
      </c>
      <c r="C14">
        <v>202400373</v>
      </c>
      <c r="D14">
        <v>23</v>
      </c>
      <c r="E14">
        <v>50</v>
      </c>
      <c r="F14">
        <v>6</v>
      </c>
      <c r="G14">
        <v>10</v>
      </c>
      <c r="H14">
        <v>0</v>
      </c>
    </row>
    <row r="15" spans="2:13">
      <c r="B15" t="s">
        <v>259</v>
      </c>
      <c r="C15">
        <v>202400258</v>
      </c>
      <c r="D15">
        <v>24</v>
      </c>
      <c r="E15">
        <v>69</v>
      </c>
      <c r="F15">
        <v>10</v>
      </c>
      <c r="G15">
        <v>10</v>
      </c>
      <c r="H15">
        <v>0</v>
      </c>
    </row>
    <row r="16" spans="2:13">
      <c r="B16" t="s">
        <v>299</v>
      </c>
      <c r="C16">
        <v>202400298</v>
      </c>
      <c r="D16">
        <v>29</v>
      </c>
      <c r="E16">
        <v>69</v>
      </c>
      <c r="F16">
        <v>5</v>
      </c>
      <c r="G16">
        <v>8</v>
      </c>
      <c r="H16">
        <v>0</v>
      </c>
    </row>
    <row r="17" spans="2:8">
      <c r="B17" t="s">
        <v>33</v>
      </c>
      <c r="C17">
        <v>202400032</v>
      </c>
      <c r="D17">
        <v>21</v>
      </c>
      <c r="E17">
        <v>82</v>
      </c>
      <c r="F17">
        <v>4</v>
      </c>
      <c r="G17">
        <v>10</v>
      </c>
      <c r="H17">
        <v>0</v>
      </c>
    </row>
    <row r="18" spans="2:8">
      <c r="B18" t="s">
        <v>10</v>
      </c>
      <c r="C18">
        <v>202400009</v>
      </c>
      <c r="D18">
        <v>29</v>
      </c>
      <c r="E18">
        <v>78</v>
      </c>
      <c r="F18">
        <v>9</v>
      </c>
      <c r="G18">
        <v>9</v>
      </c>
      <c r="H18">
        <v>0</v>
      </c>
    </row>
    <row r="19" spans="2:8">
      <c r="B19" t="s">
        <v>401</v>
      </c>
      <c r="C19">
        <v>202400400</v>
      </c>
      <c r="D19">
        <v>17</v>
      </c>
      <c r="E19">
        <v>66</v>
      </c>
      <c r="F19">
        <v>9</v>
      </c>
      <c r="G19">
        <v>10</v>
      </c>
      <c r="H19">
        <v>0</v>
      </c>
    </row>
    <row r="20" spans="2:8">
      <c r="B20" t="s">
        <v>26</v>
      </c>
      <c r="C20">
        <v>202400025</v>
      </c>
      <c r="D20">
        <v>29</v>
      </c>
      <c r="E20">
        <v>59</v>
      </c>
      <c r="F20">
        <v>4</v>
      </c>
      <c r="G20">
        <v>10</v>
      </c>
      <c r="H20">
        <v>0</v>
      </c>
    </row>
    <row r="21" spans="2:8">
      <c r="B21" t="s">
        <v>287</v>
      </c>
      <c r="C21">
        <v>202400286</v>
      </c>
      <c r="D21">
        <v>18</v>
      </c>
      <c r="E21">
        <v>79</v>
      </c>
      <c r="F21">
        <v>8</v>
      </c>
      <c r="G21">
        <v>8</v>
      </c>
      <c r="H21">
        <v>0</v>
      </c>
    </row>
    <row r="22" spans="2:8">
      <c r="B22" t="s">
        <v>129</v>
      </c>
      <c r="C22">
        <v>202400128</v>
      </c>
      <c r="D22">
        <v>19</v>
      </c>
      <c r="E22">
        <v>83</v>
      </c>
      <c r="F22">
        <v>3</v>
      </c>
      <c r="G22">
        <v>10</v>
      </c>
      <c r="H22">
        <v>0</v>
      </c>
    </row>
    <row r="23" spans="2:8">
      <c r="B23" t="s">
        <v>340</v>
      </c>
      <c r="C23">
        <v>202400339</v>
      </c>
      <c r="D23">
        <v>29</v>
      </c>
      <c r="E23">
        <v>88</v>
      </c>
      <c r="F23">
        <v>10</v>
      </c>
      <c r="G23">
        <v>10</v>
      </c>
      <c r="H23">
        <v>0</v>
      </c>
    </row>
    <row r="24" spans="2:8">
      <c r="B24" t="s">
        <v>188</v>
      </c>
      <c r="C24">
        <v>202400187</v>
      </c>
      <c r="D24">
        <v>27</v>
      </c>
      <c r="E24">
        <v>96</v>
      </c>
      <c r="F24">
        <v>7</v>
      </c>
      <c r="G24">
        <v>10</v>
      </c>
      <c r="H24">
        <v>0</v>
      </c>
    </row>
    <row r="25" spans="2:8">
      <c r="B25" t="s">
        <v>173</v>
      </c>
      <c r="C25">
        <v>202400172</v>
      </c>
      <c r="D25">
        <v>22</v>
      </c>
      <c r="E25">
        <v>86</v>
      </c>
      <c r="F25">
        <v>4</v>
      </c>
      <c r="G25">
        <v>9</v>
      </c>
      <c r="H25">
        <v>0</v>
      </c>
    </row>
    <row r="26" spans="2:8">
      <c r="B26" t="s">
        <v>73</v>
      </c>
      <c r="C26">
        <v>202400072</v>
      </c>
      <c r="D26">
        <v>18</v>
      </c>
      <c r="E26">
        <v>82</v>
      </c>
      <c r="F26">
        <v>5</v>
      </c>
      <c r="G26">
        <v>9</v>
      </c>
      <c r="H26">
        <v>0</v>
      </c>
    </row>
    <row r="27" spans="2:8">
      <c r="B27" t="s">
        <v>172</v>
      </c>
      <c r="C27">
        <v>202400171</v>
      </c>
      <c r="D27">
        <v>21</v>
      </c>
      <c r="E27">
        <v>57</v>
      </c>
      <c r="F27">
        <v>10</v>
      </c>
      <c r="G27">
        <v>9</v>
      </c>
      <c r="H27">
        <v>0</v>
      </c>
    </row>
    <row r="28" spans="2:8">
      <c r="B28" t="s">
        <v>103</v>
      </c>
      <c r="C28">
        <v>202400102</v>
      </c>
      <c r="D28">
        <v>25</v>
      </c>
      <c r="E28">
        <v>70</v>
      </c>
      <c r="F28">
        <v>7</v>
      </c>
      <c r="G28">
        <v>9</v>
      </c>
      <c r="H28">
        <v>0</v>
      </c>
    </row>
    <row r="29" spans="2:8">
      <c r="B29" t="s">
        <v>344</v>
      </c>
      <c r="C29">
        <v>202400343</v>
      </c>
      <c r="D29">
        <v>25</v>
      </c>
      <c r="E29">
        <v>69</v>
      </c>
      <c r="F29">
        <v>5</v>
      </c>
      <c r="G29">
        <v>8</v>
      </c>
      <c r="H29">
        <v>0</v>
      </c>
    </row>
    <row r="30" spans="2:8">
      <c r="B30" t="s">
        <v>89</v>
      </c>
      <c r="C30">
        <v>202400088</v>
      </c>
      <c r="D30">
        <v>15</v>
      </c>
      <c r="E30">
        <v>59</v>
      </c>
      <c r="F30">
        <v>7</v>
      </c>
      <c r="G30">
        <v>8</v>
      </c>
      <c r="H30">
        <v>0</v>
      </c>
    </row>
    <row r="31" spans="2:8">
      <c r="B31" t="s">
        <v>56</v>
      </c>
      <c r="C31">
        <v>202400055</v>
      </c>
      <c r="D31">
        <v>20</v>
      </c>
      <c r="E31">
        <v>89</v>
      </c>
      <c r="F31">
        <v>5</v>
      </c>
      <c r="G31">
        <v>10</v>
      </c>
      <c r="H31">
        <v>0</v>
      </c>
    </row>
    <row r="32" spans="2:8">
      <c r="B32" t="s">
        <v>31</v>
      </c>
      <c r="C32">
        <v>202400030</v>
      </c>
      <c r="D32">
        <v>18</v>
      </c>
      <c r="E32">
        <v>72</v>
      </c>
      <c r="F32">
        <v>10</v>
      </c>
      <c r="G32">
        <v>10</v>
      </c>
      <c r="H32">
        <v>0</v>
      </c>
    </row>
    <row r="33" spans="2:8">
      <c r="B33" t="s">
        <v>390</v>
      </c>
      <c r="C33">
        <v>202400389</v>
      </c>
      <c r="D33">
        <v>24</v>
      </c>
      <c r="E33">
        <v>51</v>
      </c>
      <c r="F33">
        <v>4</v>
      </c>
      <c r="G33">
        <v>8</v>
      </c>
      <c r="H33">
        <v>0</v>
      </c>
    </row>
    <row r="34" spans="2:8">
      <c r="B34" t="s">
        <v>285</v>
      </c>
      <c r="C34">
        <v>202400284</v>
      </c>
      <c r="D34">
        <v>23</v>
      </c>
      <c r="E34">
        <v>75</v>
      </c>
      <c r="F34">
        <v>5</v>
      </c>
      <c r="G34">
        <v>8</v>
      </c>
      <c r="H34">
        <v>0</v>
      </c>
    </row>
    <row r="35" spans="2:8">
      <c r="B35" t="s">
        <v>328</v>
      </c>
      <c r="C35">
        <v>202400327</v>
      </c>
      <c r="D35">
        <v>27</v>
      </c>
      <c r="E35">
        <v>67</v>
      </c>
      <c r="F35">
        <v>7</v>
      </c>
      <c r="G35">
        <v>9</v>
      </c>
      <c r="H35">
        <v>0</v>
      </c>
    </row>
    <row r="36" spans="2:8">
      <c r="B36" t="s">
        <v>347</v>
      </c>
      <c r="C36">
        <v>202400346</v>
      </c>
      <c r="D36">
        <v>29</v>
      </c>
      <c r="E36">
        <v>50</v>
      </c>
      <c r="F36">
        <v>9</v>
      </c>
      <c r="G36">
        <v>10</v>
      </c>
      <c r="H36">
        <v>0</v>
      </c>
    </row>
    <row r="37" spans="2:8">
      <c r="B37" t="s">
        <v>240</v>
      </c>
      <c r="C37">
        <v>202400239</v>
      </c>
      <c r="D37">
        <v>27</v>
      </c>
      <c r="E37">
        <v>65</v>
      </c>
      <c r="F37">
        <v>9</v>
      </c>
      <c r="G37">
        <v>10</v>
      </c>
      <c r="H37">
        <v>0</v>
      </c>
    </row>
    <row r="38" spans="2:8">
      <c r="B38" t="s">
        <v>193</v>
      </c>
      <c r="C38">
        <v>202400192</v>
      </c>
      <c r="D38">
        <v>26</v>
      </c>
      <c r="E38">
        <v>84</v>
      </c>
      <c r="F38">
        <v>7</v>
      </c>
      <c r="G38">
        <v>9</v>
      </c>
      <c r="H38">
        <v>0</v>
      </c>
    </row>
    <row r="39" spans="2:8">
      <c r="B39" t="s">
        <v>4</v>
      </c>
      <c r="C39">
        <v>202400003</v>
      </c>
      <c r="D39">
        <v>30</v>
      </c>
      <c r="E39">
        <v>57</v>
      </c>
      <c r="F39">
        <v>8</v>
      </c>
      <c r="G39">
        <v>9</v>
      </c>
      <c r="H39">
        <v>0</v>
      </c>
    </row>
    <row r="40" spans="2:8">
      <c r="B40" t="s">
        <v>300</v>
      </c>
      <c r="C40">
        <v>202400299</v>
      </c>
      <c r="D40">
        <v>20</v>
      </c>
      <c r="E40">
        <v>71</v>
      </c>
      <c r="F40">
        <v>8</v>
      </c>
      <c r="G40">
        <v>10</v>
      </c>
      <c r="H40">
        <v>0</v>
      </c>
    </row>
    <row r="41" spans="2:8">
      <c r="B41" t="s">
        <v>168</v>
      </c>
      <c r="C41">
        <v>202400167</v>
      </c>
      <c r="D41">
        <v>26</v>
      </c>
      <c r="E41">
        <v>87</v>
      </c>
      <c r="F41">
        <v>9</v>
      </c>
      <c r="G41">
        <v>10</v>
      </c>
      <c r="H41">
        <v>0</v>
      </c>
    </row>
    <row r="42" spans="2:8">
      <c r="B42" t="s">
        <v>210</v>
      </c>
      <c r="C42">
        <v>202400209</v>
      </c>
      <c r="D42">
        <v>24</v>
      </c>
      <c r="E42">
        <v>63</v>
      </c>
      <c r="F42">
        <v>4</v>
      </c>
      <c r="G42">
        <v>9</v>
      </c>
      <c r="H42">
        <v>0</v>
      </c>
    </row>
    <row r="43" spans="2:8">
      <c r="B43" t="s">
        <v>343</v>
      </c>
      <c r="C43">
        <v>202400342</v>
      </c>
      <c r="D43">
        <v>18</v>
      </c>
      <c r="E43">
        <v>67</v>
      </c>
      <c r="F43">
        <v>5</v>
      </c>
      <c r="G43">
        <v>8</v>
      </c>
      <c r="H43">
        <v>0</v>
      </c>
    </row>
    <row r="44" spans="2:8">
      <c r="B44" t="s">
        <v>249</v>
      </c>
      <c r="C44">
        <v>202400248</v>
      </c>
      <c r="D44">
        <v>27</v>
      </c>
      <c r="E44">
        <v>94</v>
      </c>
      <c r="F44">
        <v>3</v>
      </c>
      <c r="G44">
        <v>8</v>
      </c>
      <c r="H44">
        <v>0</v>
      </c>
    </row>
    <row r="45" spans="2:8">
      <c r="B45" t="s">
        <v>227</v>
      </c>
      <c r="C45">
        <v>202400226</v>
      </c>
      <c r="D45">
        <v>27</v>
      </c>
      <c r="E45">
        <v>76</v>
      </c>
      <c r="F45">
        <v>3</v>
      </c>
      <c r="G45">
        <v>9</v>
      </c>
      <c r="H45">
        <v>0</v>
      </c>
    </row>
    <row r="46" spans="2:8">
      <c r="B46" t="s">
        <v>219</v>
      </c>
      <c r="C46">
        <v>202400218</v>
      </c>
      <c r="D46">
        <v>21</v>
      </c>
      <c r="E46">
        <v>81</v>
      </c>
      <c r="F46">
        <v>4</v>
      </c>
      <c r="G46">
        <v>8</v>
      </c>
      <c r="H46">
        <v>0</v>
      </c>
    </row>
    <row r="47" spans="2:8">
      <c r="B47" t="s">
        <v>205</v>
      </c>
      <c r="C47">
        <v>202400204</v>
      </c>
      <c r="D47">
        <v>15</v>
      </c>
      <c r="E47">
        <v>53</v>
      </c>
      <c r="F47">
        <v>5</v>
      </c>
      <c r="G47">
        <v>10</v>
      </c>
      <c r="H47">
        <v>0</v>
      </c>
    </row>
    <row r="48" spans="2:8">
      <c r="B48" t="s">
        <v>51</v>
      </c>
      <c r="C48">
        <v>202400050</v>
      </c>
      <c r="D48">
        <v>29</v>
      </c>
      <c r="E48">
        <v>61</v>
      </c>
      <c r="F48">
        <v>8</v>
      </c>
      <c r="G48">
        <v>10</v>
      </c>
      <c r="H48">
        <v>0</v>
      </c>
    </row>
    <row r="49" spans="2:8">
      <c r="B49" t="s">
        <v>468</v>
      </c>
      <c r="C49">
        <v>202400038</v>
      </c>
      <c r="D49">
        <v>18</v>
      </c>
      <c r="E49">
        <v>70</v>
      </c>
      <c r="F49">
        <v>5</v>
      </c>
      <c r="G49">
        <v>10</v>
      </c>
      <c r="H49">
        <v>0</v>
      </c>
    </row>
    <row r="50" spans="2:8">
      <c r="B50" t="s">
        <v>32</v>
      </c>
      <c r="C50">
        <v>202400031</v>
      </c>
      <c r="D50">
        <v>20</v>
      </c>
      <c r="E50">
        <v>68</v>
      </c>
      <c r="F50">
        <v>4</v>
      </c>
      <c r="G50">
        <v>9</v>
      </c>
      <c r="H50">
        <v>0</v>
      </c>
    </row>
    <row r="51" spans="2:8">
      <c r="B51" t="s">
        <v>289</v>
      </c>
      <c r="C51">
        <v>202400288</v>
      </c>
      <c r="D51">
        <v>27</v>
      </c>
      <c r="E51">
        <v>70</v>
      </c>
      <c r="F51">
        <v>10</v>
      </c>
      <c r="G51">
        <v>9</v>
      </c>
      <c r="H51">
        <v>0</v>
      </c>
    </row>
    <row r="52" spans="2:8">
      <c r="B52" t="s">
        <v>6</v>
      </c>
      <c r="C52">
        <v>202400005</v>
      </c>
      <c r="D52">
        <v>24</v>
      </c>
      <c r="E52">
        <v>78</v>
      </c>
      <c r="F52">
        <v>8</v>
      </c>
      <c r="G52">
        <v>8</v>
      </c>
      <c r="H52">
        <v>0</v>
      </c>
    </row>
    <row r="53" spans="2:8">
      <c r="B53" t="s">
        <v>319</v>
      </c>
      <c r="C53">
        <v>202400318</v>
      </c>
      <c r="D53">
        <v>17</v>
      </c>
      <c r="E53">
        <v>90</v>
      </c>
      <c r="F53">
        <v>5</v>
      </c>
      <c r="G53">
        <v>9</v>
      </c>
      <c r="H53">
        <v>0</v>
      </c>
    </row>
    <row r="54" spans="2:8">
      <c r="B54" t="s">
        <v>330</v>
      </c>
      <c r="C54">
        <v>202400329</v>
      </c>
      <c r="D54">
        <v>24</v>
      </c>
      <c r="E54">
        <v>69</v>
      </c>
      <c r="F54">
        <v>4</v>
      </c>
      <c r="G54">
        <v>9</v>
      </c>
      <c r="H54">
        <v>0</v>
      </c>
    </row>
    <row r="55" spans="2:8">
      <c r="B55" t="s">
        <v>352</v>
      </c>
      <c r="C55">
        <v>202400351</v>
      </c>
      <c r="D55">
        <v>24</v>
      </c>
      <c r="E55">
        <v>93</v>
      </c>
      <c r="F55">
        <v>6</v>
      </c>
      <c r="G55">
        <v>9</v>
      </c>
      <c r="H55">
        <v>0</v>
      </c>
    </row>
    <row r="56" spans="2:8">
      <c r="B56" t="s">
        <v>283</v>
      </c>
      <c r="C56">
        <v>202400282</v>
      </c>
      <c r="D56">
        <v>29</v>
      </c>
      <c r="E56">
        <v>92</v>
      </c>
      <c r="F56">
        <v>5</v>
      </c>
      <c r="G56">
        <v>9</v>
      </c>
      <c r="H56">
        <v>0</v>
      </c>
    </row>
    <row r="57" spans="2:8">
      <c r="B57" t="s">
        <v>136</v>
      </c>
      <c r="C57">
        <v>202400135</v>
      </c>
      <c r="D57">
        <v>18</v>
      </c>
      <c r="E57">
        <v>89</v>
      </c>
      <c r="F57">
        <v>5</v>
      </c>
      <c r="G57">
        <v>10</v>
      </c>
      <c r="H57">
        <v>0</v>
      </c>
    </row>
    <row r="58" spans="2:8">
      <c r="B58" t="s">
        <v>232</v>
      </c>
      <c r="C58">
        <v>202400231</v>
      </c>
      <c r="D58">
        <v>18</v>
      </c>
      <c r="E58">
        <v>94</v>
      </c>
      <c r="F58">
        <v>4</v>
      </c>
      <c r="G58">
        <v>8</v>
      </c>
      <c r="H58">
        <v>0</v>
      </c>
    </row>
    <row r="59" spans="2:8">
      <c r="B59" t="s">
        <v>107</v>
      </c>
      <c r="C59">
        <v>202400106</v>
      </c>
      <c r="D59">
        <v>29</v>
      </c>
      <c r="E59">
        <v>91</v>
      </c>
      <c r="F59">
        <v>10</v>
      </c>
      <c r="G59">
        <v>10</v>
      </c>
      <c r="H59">
        <v>0</v>
      </c>
    </row>
    <row r="60" spans="2:8">
      <c r="B60" t="s">
        <v>0</v>
      </c>
      <c r="C60">
        <v>202400001</v>
      </c>
      <c r="D60">
        <v>25</v>
      </c>
      <c r="E60">
        <v>79</v>
      </c>
      <c r="F60">
        <v>8</v>
      </c>
      <c r="G60">
        <v>10</v>
      </c>
      <c r="H60">
        <v>0</v>
      </c>
    </row>
    <row r="61" spans="2:8">
      <c r="B61" t="s">
        <v>223</v>
      </c>
      <c r="C61">
        <v>202400222</v>
      </c>
      <c r="D61">
        <v>16</v>
      </c>
      <c r="E61">
        <v>66</v>
      </c>
      <c r="F61">
        <v>5</v>
      </c>
      <c r="G61">
        <v>8</v>
      </c>
      <c r="H61">
        <v>0</v>
      </c>
    </row>
    <row r="62" spans="2:8">
      <c r="B62" t="s">
        <v>252</v>
      </c>
      <c r="C62">
        <v>202400251</v>
      </c>
      <c r="D62">
        <v>17</v>
      </c>
      <c r="E62">
        <v>58</v>
      </c>
      <c r="F62">
        <v>8</v>
      </c>
      <c r="G62">
        <v>10</v>
      </c>
      <c r="H62">
        <v>0</v>
      </c>
    </row>
    <row r="63" spans="2:8">
      <c r="B63" t="s">
        <v>349</v>
      </c>
      <c r="C63">
        <v>202400348</v>
      </c>
      <c r="D63">
        <v>21</v>
      </c>
      <c r="E63">
        <v>70</v>
      </c>
      <c r="F63">
        <v>8</v>
      </c>
      <c r="G63">
        <v>10</v>
      </c>
      <c r="H63">
        <v>0</v>
      </c>
    </row>
    <row r="64" spans="2:8">
      <c r="B64" t="s">
        <v>151</v>
      </c>
      <c r="C64">
        <v>202400150</v>
      </c>
      <c r="D64">
        <v>25</v>
      </c>
      <c r="E64">
        <v>69</v>
      </c>
      <c r="F64">
        <v>4</v>
      </c>
      <c r="G64">
        <v>10</v>
      </c>
      <c r="H64">
        <v>0</v>
      </c>
    </row>
    <row r="65" spans="2:8">
      <c r="B65" t="s">
        <v>114</v>
      </c>
      <c r="C65">
        <v>202400113</v>
      </c>
      <c r="D65">
        <v>19</v>
      </c>
      <c r="E65">
        <v>74</v>
      </c>
      <c r="F65">
        <v>5</v>
      </c>
      <c r="G65">
        <v>9</v>
      </c>
      <c r="H65">
        <v>0</v>
      </c>
    </row>
    <row r="66" spans="2:8">
      <c r="B66" t="s">
        <v>238</v>
      </c>
      <c r="C66">
        <v>202400237</v>
      </c>
      <c r="D66">
        <v>26</v>
      </c>
      <c r="E66">
        <v>68</v>
      </c>
      <c r="F66">
        <v>7</v>
      </c>
      <c r="G66">
        <v>9</v>
      </c>
      <c r="H66">
        <v>0</v>
      </c>
    </row>
    <row r="67" spans="2:8">
      <c r="B67" t="s">
        <v>189</v>
      </c>
      <c r="C67">
        <v>202400188</v>
      </c>
      <c r="D67">
        <v>18</v>
      </c>
      <c r="E67">
        <v>84</v>
      </c>
      <c r="F67">
        <v>5</v>
      </c>
      <c r="G67">
        <v>8</v>
      </c>
      <c r="H67">
        <v>0</v>
      </c>
    </row>
    <row r="68" spans="2:8">
      <c r="B68" t="s">
        <v>271</v>
      </c>
      <c r="C68">
        <v>202400270</v>
      </c>
      <c r="D68">
        <v>30</v>
      </c>
      <c r="E68">
        <v>65</v>
      </c>
      <c r="F68">
        <v>5</v>
      </c>
      <c r="G68">
        <v>9</v>
      </c>
      <c r="H68">
        <v>0</v>
      </c>
    </row>
    <row r="69" spans="2:8">
      <c r="B69" t="s">
        <v>303</v>
      </c>
      <c r="C69">
        <v>202400302</v>
      </c>
      <c r="D69">
        <v>20</v>
      </c>
      <c r="E69">
        <v>96</v>
      </c>
      <c r="F69">
        <v>8</v>
      </c>
      <c r="G69">
        <v>10</v>
      </c>
      <c r="H69">
        <v>0</v>
      </c>
    </row>
    <row r="70" spans="2:8">
      <c r="B70" t="s">
        <v>470</v>
      </c>
      <c r="C70">
        <v>202400200</v>
      </c>
      <c r="D70">
        <v>23</v>
      </c>
      <c r="E70">
        <v>64</v>
      </c>
      <c r="F70">
        <v>7</v>
      </c>
      <c r="G70">
        <v>9</v>
      </c>
      <c r="H70">
        <v>0</v>
      </c>
    </row>
    <row r="71" spans="2:8">
      <c r="B71" t="s">
        <v>141</v>
      </c>
      <c r="C71">
        <v>202400140</v>
      </c>
      <c r="D71">
        <v>28</v>
      </c>
      <c r="E71">
        <v>99</v>
      </c>
      <c r="F71">
        <v>7</v>
      </c>
      <c r="G71">
        <v>8</v>
      </c>
      <c r="H71">
        <v>0</v>
      </c>
    </row>
    <row r="72" spans="2:8">
      <c r="B72" t="s">
        <v>384</v>
      </c>
      <c r="C72">
        <v>202400383</v>
      </c>
      <c r="D72">
        <v>27</v>
      </c>
      <c r="E72">
        <v>72</v>
      </c>
      <c r="F72">
        <v>5</v>
      </c>
      <c r="G72">
        <v>9</v>
      </c>
      <c r="H72">
        <v>0</v>
      </c>
    </row>
    <row r="73" spans="2:8">
      <c r="B73" t="s">
        <v>85</v>
      </c>
      <c r="C73">
        <v>202400084</v>
      </c>
      <c r="D73">
        <v>26</v>
      </c>
      <c r="E73">
        <v>81</v>
      </c>
      <c r="F73">
        <v>10</v>
      </c>
      <c r="G73">
        <v>8</v>
      </c>
      <c r="H73">
        <v>0</v>
      </c>
    </row>
    <row r="74" spans="2:8">
      <c r="B74" t="s">
        <v>332</v>
      </c>
      <c r="C74">
        <v>202400331</v>
      </c>
      <c r="D74">
        <v>18</v>
      </c>
      <c r="E74">
        <v>58</v>
      </c>
      <c r="F74">
        <v>3</v>
      </c>
      <c r="G74">
        <v>9</v>
      </c>
      <c r="H74">
        <v>0</v>
      </c>
    </row>
    <row r="75" spans="2:8">
      <c r="B75" t="s">
        <v>350</v>
      </c>
      <c r="C75">
        <v>202400349</v>
      </c>
      <c r="D75">
        <v>24</v>
      </c>
      <c r="E75">
        <v>90</v>
      </c>
      <c r="F75">
        <v>4</v>
      </c>
      <c r="G75">
        <v>9</v>
      </c>
      <c r="H75">
        <v>0</v>
      </c>
    </row>
    <row r="76" spans="2:8">
      <c r="B76" t="s">
        <v>229</v>
      </c>
      <c r="C76">
        <v>202400228</v>
      </c>
      <c r="D76">
        <v>25</v>
      </c>
      <c r="E76">
        <v>84</v>
      </c>
      <c r="F76">
        <v>6</v>
      </c>
      <c r="G76">
        <v>10</v>
      </c>
      <c r="H76">
        <v>0</v>
      </c>
    </row>
    <row r="77" spans="2:8">
      <c r="B77" t="s">
        <v>154</v>
      </c>
      <c r="C77">
        <v>202400153</v>
      </c>
      <c r="D77">
        <v>27</v>
      </c>
      <c r="E77">
        <v>72</v>
      </c>
      <c r="F77">
        <v>6</v>
      </c>
      <c r="G77">
        <v>9</v>
      </c>
      <c r="H77">
        <v>0</v>
      </c>
    </row>
    <row r="78" spans="2:8">
      <c r="B78" t="s">
        <v>399</v>
      </c>
      <c r="C78">
        <v>202400398</v>
      </c>
      <c r="D78">
        <v>26</v>
      </c>
      <c r="E78">
        <v>90</v>
      </c>
      <c r="F78">
        <v>7</v>
      </c>
      <c r="G78">
        <v>10</v>
      </c>
      <c r="H78">
        <v>0</v>
      </c>
    </row>
    <row r="79" spans="2:8">
      <c r="B79" t="s">
        <v>34</v>
      </c>
      <c r="C79">
        <v>202400033</v>
      </c>
      <c r="D79">
        <v>17</v>
      </c>
      <c r="E79">
        <v>80</v>
      </c>
      <c r="F79">
        <v>7</v>
      </c>
      <c r="G79">
        <v>8</v>
      </c>
      <c r="H79">
        <v>0</v>
      </c>
    </row>
    <row r="80" spans="2:8">
      <c r="B80" t="s">
        <v>339</v>
      </c>
      <c r="C80">
        <v>202400338</v>
      </c>
      <c r="D80">
        <v>24</v>
      </c>
      <c r="E80">
        <v>50</v>
      </c>
      <c r="F80">
        <v>9</v>
      </c>
      <c r="G80">
        <v>9</v>
      </c>
      <c r="H80">
        <v>0</v>
      </c>
    </row>
    <row r="81" spans="2:8">
      <c r="B81" t="s">
        <v>80</v>
      </c>
      <c r="C81">
        <v>202400079</v>
      </c>
      <c r="D81">
        <v>21</v>
      </c>
      <c r="E81">
        <v>55</v>
      </c>
      <c r="F81">
        <v>10</v>
      </c>
      <c r="G81">
        <v>10</v>
      </c>
      <c r="H81">
        <v>0</v>
      </c>
    </row>
    <row r="82" spans="2:8">
      <c r="B82" t="s">
        <v>228</v>
      </c>
      <c r="C82">
        <v>202400227</v>
      </c>
      <c r="D82">
        <v>17</v>
      </c>
      <c r="E82">
        <v>69</v>
      </c>
      <c r="F82">
        <v>5</v>
      </c>
      <c r="G82">
        <v>9</v>
      </c>
      <c r="H82">
        <v>0</v>
      </c>
    </row>
    <row r="83" spans="2:8">
      <c r="B83" t="s">
        <v>87</v>
      </c>
      <c r="C83">
        <v>202400086</v>
      </c>
      <c r="D83">
        <v>21</v>
      </c>
      <c r="E83">
        <v>70</v>
      </c>
      <c r="F83">
        <v>8</v>
      </c>
      <c r="G83">
        <v>10</v>
      </c>
      <c r="H83">
        <v>0</v>
      </c>
    </row>
    <row r="84" spans="2:8">
      <c r="B84" t="s">
        <v>473</v>
      </c>
      <c r="C84">
        <v>202400007</v>
      </c>
      <c r="D84">
        <v>26</v>
      </c>
      <c r="E84">
        <v>96</v>
      </c>
      <c r="F84">
        <v>7</v>
      </c>
      <c r="G84">
        <v>9</v>
      </c>
      <c r="H84">
        <v>0</v>
      </c>
    </row>
    <row r="85" spans="2:8">
      <c r="B85" t="s">
        <v>477</v>
      </c>
      <c r="C85">
        <v>202400312</v>
      </c>
      <c r="D85">
        <v>25</v>
      </c>
      <c r="E85">
        <v>68</v>
      </c>
      <c r="F85">
        <v>4</v>
      </c>
      <c r="G85">
        <v>9</v>
      </c>
      <c r="H85">
        <v>0</v>
      </c>
    </row>
    <row r="86" spans="2:8">
      <c r="B86" t="s">
        <v>148</v>
      </c>
      <c r="C86">
        <v>202400147</v>
      </c>
      <c r="D86">
        <v>24</v>
      </c>
      <c r="E86">
        <v>89</v>
      </c>
      <c r="F86">
        <v>3</v>
      </c>
      <c r="G86">
        <v>10</v>
      </c>
      <c r="H86">
        <v>0</v>
      </c>
    </row>
    <row r="87" spans="2:8">
      <c r="B87" t="s">
        <v>139</v>
      </c>
      <c r="C87">
        <v>202400138</v>
      </c>
      <c r="D87">
        <v>25</v>
      </c>
      <c r="E87">
        <v>82</v>
      </c>
      <c r="F87">
        <v>7</v>
      </c>
      <c r="G87">
        <v>9</v>
      </c>
      <c r="H87">
        <v>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A1D7-E733-DD4A-90C8-D6F2ACE09298}">
  <dimension ref="B1:M103"/>
  <sheetViews>
    <sheetView workbookViewId="0">
      <selection activeCell="H4" sqref="H4:H103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495</v>
      </c>
      <c r="C2">
        <v>1</v>
      </c>
      <c r="D2" t="s">
        <v>512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93</v>
      </c>
      <c r="C4">
        <v>202400092</v>
      </c>
      <c r="D4">
        <v>34</v>
      </c>
      <c r="E4">
        <v>62</v>
      </c>
      <c r="F4">
        <v>19</v>
      </c>
      <c r="G4">
        <v>9</v>
      </c>
      <c r="H4">
        <v>0</v>
      </c>
    </row>
    <row r="5" spans="2:13">
      <c r="B5" t="s">
        <v>83</v>
      </c>
      <c r="C5">
        <v>202400082</v>
      </c>
      <c r="D5">
        <v>29</v>
      </c>
      <c r="E5">
        <v>97</v>
      </c>
      <c r="F5">
        <v>9</v>
      </c>
      <c r="G5">
        <v>9</v>
      </c>
      <c r="H5">
        <v>0</v>
      </c>
    </row>
    <row r="6" spans="2:13">
      <c r="B6" t="s">
        <v>353</v>
      </c>
      <c r="C6">
        <v>202400352</v>
      </c>
      <c r="D6">
        <v>38</v>
      </c>
      <c r="E6">
        <v>73</v>
      </c>
      <c r="F6">
        <v>19</v>
      </c>
      <c r="G6">
        <v>8</v>
      </c>
      <c r="H6">
        <v>0</v>
      </c>
    </row>
    <row r="7" spans="2:13">
      <c r="B7" t="s">
        <v>101</v>
      </c>
      <c r="C7">
        <v>202400100</v>
      </c>
      <c r="D7">
        <v>35</v>
      </c>
      <c r="E7">
        <v>100</v>
      </c>
      <c r="F7">
        <v>13</v>
      </c>
      <c r="G7">
        <v>9</v>
      </c>
      <c r="H7">
        <v>0</v>
      </c>
    </row>
    <row r="8" spans="2:13">
      <c r="B8" t="s">
        <v>341</v>
      </c>
      <c r="C8">
        <v>202400340</v>
      </c>
      <c r="D8">
        <v>32</v>
      </c>
      <c r="E8">
        <v>77</v>
      </c>
      <c r="F8">
        <v>10</v>
      </c>
      <c r="G8">
        <v>9</v>
      </c>
      <c r="H8">
        <v>0</v>
      </c>
    </row>
    <row r="9" spans="2:13">
      <c r="B9" t="s">
        <v>226</v>
      </c>
      <c r="C9">
        <v>202400225</v>
      </c>
      <c r="D9">
        <v>38</v>
      </c>
      <c r="E9">
        <v>99</v>
      </c>
      <c r="F9">
        <v>10</v>
      </c>
      <c r="G9">
        <v>8</v>
      </c>
      <c r="H9">
        <v>0</v>
      </c>
    </row>
    <row r="10" spans="2:13">
      <c r="B10" t="s">
        <v>389</v>
      </c>
      <c r="C10">
        <v>202400388</v>
      </c>
      <c r="D10">
        <v>26</v>
      </c>
      <c r="E10">
        <v>89</v>
      </c>
      <c r="F10">
        <v>15</v>
      </c>
      <c r="G10">
        <v>7</v>
      </c>
      <c r="H10">
        <v>0</v>
      </c>
    </row>
    <row r="11" spans="2:13">
      <c r="B11" t="s">
        <v>209</v>
      </c>
      <c r="C11">
        <v>202400208</v>
      </c>
      <c r="D11">
        <v>28</v>
      </c>
      <c r="E11">
        <v>91</v>
      </c>
      <c r="F11">
        <v>11</v>
      </c>
      <c r="G11">
        <v>8</v>
      </c>
      <c r="H11">
        <v>0</v>
      </c>
    </row>
    <row r="12" spans="2:13">
      <c r="B12" t="s">
        <v>245</v>
      </c>
      <c r="C12">
        <v>202400244</v>
      </c>
      <c r="D12">
        <v>33</v>
      </c>
      <c r="E12">
        <v>64</v>
      </c>
      <c r="F12">
        <v>11</v>
      </c>
      <c r="G12">
        <v>9</v>
      </c>
      <c r="H12">
        <v>0</v>
      </c>
    </row>
    <row r="13" spans="2:13">
      <c r="B13" t="s">
        <v>158</v>
      </c>
      <c r="C13">
        <v>202400157</v>
      </c>
      <c r="D13">
        <v>28</v>
      </c>
      <c r="E13">
        <v>60</v>
      </c>
      <c r="F13">
        <v>6</v>
      </c>
      <c r="G13">
        <v>9</v>
      </c>
      <c r="H13">
        <v>0</v>
      </c>
    </row>
    <row r="14" spans="2:13">
      <c r="B14" t="s">
        <v>160</v>
      </c>
      <c r="C14">
        <v>202400159</v>
      </c>
      <c r="D14">
        <v>29</v>
      </c>
      <c r="E14">
        <v>68</v>
      </c>
      <c r="F14">
        <v>18</v>
      </c>
      <c r="G14">
        <v>10</v>
      </c>
      <c r="H14">
        <v>0</v>
      </c>
    </row>
    <row r="15" spans="2:13">
      <c r="B15" t="s">
        <v>62</v>
      </c>
      <c r="C15">
        <v>202400061</v>
      </c>
      <c r="D15">
        <v>25</v>
      </c>
      <c r="E15">
        <v>84</v>
      </c>
      <c r="F15">
        <v>13</v>
      </c>
      <c r="G15">
        <v>9</v>
      </c>
      <c r="H15">
        <v>0</v>
      </c>
    </row>
    <row r="16" spans="2:13">
      <c r="B16" t="s">
        <v>354</v>
      </c>
      <c r="C16">
        <v>202400353</v>
      </c>
      <c r="D16">
        <v>33</v>
      </c>
      <c r="E16">
        <v>87</v>
      </c>
      <c r="F16">
        <v>16</v>
      </c>
      <c r="G16">
        <v>9</v>
      </c>
      <c r="H16">
        <v>0</v>
      </c>
    </row>
    <row r="17" spans="2:8">
      <c r="B17" t="s">
        <v>329</v>
      </c>
      <c r="C17">
        <v>202400328</v>
      </c>
      <c r="D17">
        <v>38</v>
      </c>
      <c r="E17">
        <v>68</v>
      </c>
      <c r="F17">
        <v>18</v>
      </c>
      <c r="G17">
        <v>9</v>
      </c>
      <c r="H17">
        <v>0</v>
      </c>
    </row>
    <row r="18" spans="2:8">
      <c r="B18" t="s">
        <v>95</v>
      </c>
      <c r="C18">
        <v>202400094</v>
      </c>
      <c r="D18">
        <v>25</v>
      </c>
      <c r="E18">
        <v>76</v>
      </c>
      <c r="F18">
        <v>14</v>
      </c>
      <c r="G18">
        <v>7</v>
      </c>
      <c r="H18">
        <v>0</v>
      </c>
    </row>
    <row r="19" spans="2:8">
      <c r="B19" t="s">
        <v>59</v>
      </c>
      <c r="C19">
        <v>202400058</v>
      </c>
      <c r="D19">
        <v>40</v>
      </c>
      <c r="E19">
        <v>99</v>
      </c>
      <c r="F19">
        <v>15</v>
      </c>
      <c r="G19">
        <v>10</v>
      </c>
      <c r="H19">
        <v>0</v>
      </c>
    </row>
    <row r="20" spans="2:8">
      <c r="B20" t="s">
        <v>217</v>
      </c>
      <c r="C20">
        <v>202400216</v>
      </c>
      <c r="D20">
        <v>27</v>
      </c>
      <c r="E20">
        <v>79</v>
      </c>
      <c r="F20">
        <v>10</v>
      </c>
      <c r="G20">
        <v>7</v>
      </c>
      <c r="H20">
        <v>0</v>
      </c>
    </row>
    <row r="21" spans="2:8">
      <c r="B21" t="s">
        <v>27</v>
      </c>
      <c r="C21">
        <v>202400026</v>
      </c>
      <c r="D21">
        <v>33</v>
      </c>
      <c r="E21">
        <v>66</v>
      </c>
      <c r="F21">
        <v>17</v>
      </c>
      <c r="G21">
        <v>9</v>
      </c>
      <c r="H21">
        <v>0</v>
      </c>
    </row>
    <row r="22" spans="2:8">
      <c r="B22" t="s">
        <v>244</v>
      </c>
      <c r="C22">
        <v>202400243</v>
      </c>
      <c r="D22">
        <v>25</v>
      </c>
      <c r="E22">
        <v>84</v>
      </c>
      <c r="F22">
        <v>13</v>
      </c>
      <c r="G22">
        <v>9</v>
      </c>
      <c r="H22">
        <v>0</v>
      </c>
    </row>
    <row r="23" spans="2:8">
      <c r="B23" t="s">
        <v>169</v>
      </c>
      <c r="C23">
        <v>202400168</v>
      </c>
      <c r="D23">
        <v>29</v>
      </c>
      <c r="E23">
        <v>96</v>
      </c>
      <c r="F23">
        <v>15</v>
      </c>
      <c r="G23">
        <v>8</v>
      </c>
      <c r="H23">
        <v>0</v>
      </c>
    </row>
    <row r="24" spans="2:8">
      <c r="B24" t="s">
        <v>89</v>
      </c>
      <c r="C24">
        <v>202400088</v>
      </c>
      <c r="D24">
        <v>39</v>
      </c>
      <c r="E24">
        <v>74</v>
      </c>
      <c r="F24">
        <v>6</v>
      </c>
      <c r="G24">
        <v>7</v>
      </c>
      <c r="H24">
        <v>0</v>
      </c>
    </row>
    <row r="25" spans="2:8">
      <c r="B25" t="s">
        <v>247</v>
      </c>
      <c r="C25">
        <v>202400246</v>
      </c>
      <c r="D25">
        <v>34</v>
      </c>
      <c r="E25">
        <v>73</v>
      </c>
      <c r="F25">
        <v>20</v>
      </c>
      <c r="G25">
        <v>7</v>
      </c>
      <c r="H25">
        <v>0</v>
      </c>
    </row>
    <row r="26" spans="2:8">
      <c r="B26" t="s">
        <v>66</v>
      </c>
      <c r="C26">
        <v>202400065</v>
      </c>
      <c r="D26">
        <v>27</v>
      </c>
      <c r="E26">
        <v>97</v>
      </c>
      <c r="F26">
        <v>8</v>
      </c>
      <c r="G26">
        <v>7</v>
      </c>
      <c r="H26">
        <v>0</v>
      </c>
    </row>
    <row r="27" spans="2:8">
      <c r="B27" t="s">
        <v>240</v>
      </c>
      <c r="C27">
        <v>202400239</v>
      </c>
      <c r="D27">
        <v>40</v>
      </c>
      <c r="E27">
        <v>81</v>
      </c>
      <c r="F27">
        <v>17</v>
      </c>
      <c r="G27">
        <v>8</v>
      </c>
      <c r="H27">
        <v>0</v>
      </c>
    </row>
    <row r="28" spans="2:8">
      <c r="B28" t="s">
        <v>90</v>
      </c>
      <c r="C28">
        <v>202400089</v>
      </c>
      <c r="D28">
        <v>30</v>
      </c>
      <c r="E28">
        <v>89</v>
      </c>
      <c r="F28">
        <v>16</v>
      </c>
      <c r="G28">
        <v>10</v>
      </c>
      <c r="H28">
        <v>0</v>
      </c>
    </row>
    <row r="29" spans="2:8">
      <c r="B29" t="s">
        <v>78</v>
      </c>
      <c r="C29">
        <v>202400077</v>
      </c>
      <c r="D29">
        <v>36</v>
      </c>
      <c r="E29">
        <v>75</v>
      </c>
      <c r="F29">
        <v>13</v>
      </c>
      <c r="G29">
        <v>10</v>
      </c>
      <c r="H29">
        <v>0</v>
      </c>
    </row>
    <row r="30" spans="2:8">
      <c r="B30" t="s">
        <v>291</v>
      </c>
      <c r="C30">
        <v>202400290</v>
      </c>
      <c r="D30">
        <v>33</v>
      </c>
      <c r="E30">
        <v>86</v>
      </c>
      <c r="F30">
        <v>16</v>
      </c>
      <c r="G30">
        <v>9</v>
      </c>
      <c r="H30">
        <v>0</v>
      </c>
    </row>
    <row r="31" spans="2:8">
      <c r="B31" t="s">
        <v>188</v>
      </c>
      <c r="C31">
        <v>202400187</v>
      </c>
      <c r="D31">
        <v>29</v>
      </c>
      <c r="E31">
        <v>73</v>
      </c>
      <c r="F31">
        <v>19</v>
      </c>
      <c r="G31">
        <v>7</v>
      </c>
      <c r="H31">
        <v>0</v>
      </c>
    </row>
    <row r="32" spans="2:8">
      <c r="B32" t="s">
        <v>67</v>
      </c>
      <c r="C32">
        <v>202400066</v>
      </c>
      <c r="D32">
        <v>26</v>
      </c>
      <c r="E32">
        <v>100</v>
      </c>
      <c r="F32">
        <v>11</v>
      </c>
      <c r="G32">
        <v>8</v>
      </c>
      <c r="H32">
        <v>0</v>
      </c>
    </row>
    <row r="33" spans="2:8">
      <c r="B33" t="s">
        <v>255</v>
      </c>
      <c r="C33">
        <v>202400254</v>
      </c>
      <c r="D33">
        <v>28</v>
      </c>
      <c r="E33">
        <v>67</v>
      </c>
      <c r="F33">
        <v>5</v>
      </c>
      <c r="G33">
        <v>7</v>
      </c>
      <c r="H33">
        <v>0</v>
      </c>
    </row>
    <row r="34" spans="2:8">
      <c r="B34" t="s">
        <v>77</v>
      </c>
      <c r="C34">
        <v>202400076</v>
      </c>
      <c r="D34">
        <v>28</v>
      </c>
      <c r="E34">
        <v>91</v>
      </c>
      <c r="F34">
        <v>10</v>
      </c>
      <c r="G34">
        <v>7</v>
      </c>
      <c r="H34">
        <v>0</v>
      </c>
    </row>
    <row r="35" spans="2:8">
      <c r="B35" t="s">
        <v>64</v>
      </c>
      <c r="C35">
        <v>202400063</v>
      </c>
      <c r="D35">
        <v>26</v>
      </c>
      <c r="E35">
        <v>90</v>
      </c>
      <c r="F35">
        <v>20</v>
      </c>
      <c r="G35">
        <v>9</v>
      </c>
      <c r="H35">
        <v>0</v>
      </c>
    </row>
    <row r="36" spans="2:8">
      <c r="B36" t="s">
        <v>151</v>
      </c>
      <c r="C36">
        <v>202400150</v>
      </c>
      <c r="D36">
        <v>27</v>
      </c>
      <c r="E36">
        <v>66</v>
      </c>
      <c r="F36">
        <v>13</v>
      </c>
      <c r="G36">
        <v>7</v>
      </c>
      <c r="H36">
        <v>0</v>
      </c>
    </row>
    <row r="37" spans="2:8">
      <c r="B37" t="s">
        <v>50</v>
      </c>
      <c r="C37">
        <v>202400049</v>
      </c>
      <c r="D37">
        <v>26</v>
      </c>
      <c r="E37">
        <v>82</v>
      </c>
      <c r="F37">
        <v>14</v>
      </c>
      <c r="G37">
        <v>9</v>
      </c>
      <c r="H37">
        <v>0</v>
      </c>
    </row>
    <row r="38" spans="2:8">
      <c r="B38" t="s">
        <v>239</v>
      </c>
      <c r="C38">
        <v>202400238</v>
      </c>
      <c r="D38">
        <v>28</v>
      </c>
      <c r="E38">
        <v>94</v>
      </c>
      <c r="F38">
        <v>5</v>
      </c>
      <c r="G38">
        <v>7</v>
      </c>
      <c r="H38">
        <v>0</v>
      </c>
    </row>
    <row r="39" spans="2:8">
      <c r="B39" t="s">
        <v>138</v>
      </c>
      <c r="C39">
        <v>202400137</v>
      </c>
      <c r="D39">
        <v>34</v>
      </c>
      <c r="E39">
        <v>83</v>
      </c>
      <c r="F39">
        <v>15</v>
      </c>
      <c r="G39">
        <v>10</v>
      </c>
      <c r="H39">
        <v>0</v>
      </c>
    </row>
    <row r="40" spans="2:8">
      <c r="B40" t="s">
        <v>271</v>
      </c>
      <c r="C40">
        <v>202400270</v>
      </c>
      <c r="D40">
        <v>40</v>
      </c>
      <c r="E40">
        <v>60</v>
      </c>
      <c r="F40">
        <v>14</v>
      </c>
      <c r="G40">
        <v>7</v>
      </c>
      <c r="H40">
        <v>0</v>
      </c>
    </row>
    <row r="41" spans="2:8">
      <c r="B41" t="s">
        <v>246</v>
      </c>
      <c r="C41">
        <v>202400245</v>
      </c>
      <c r="D41">
        <v>26</v>
      </c>
      <c r="E41">
        <v>83</v>
      </c>
      <c r="F41">
        <v>10</v>
      </c>
      <c r="G41">
        <v>8</v>
      </c>
      <c r="H41">
        <v>0</v>
      </c>
    </row>
    <row r="42" spans="2:8">
      <c r="B42" t="s">
        <v>127</v>
      </c>
      <c r="C42">
        <v>202400126</v>
      </c>
      <c r="D42">
        <v>31</v>
      </c>
      <c r="E42">
        <v>79</v>
      </c>
      <c r="F42">
        <v>8</v>
      </c>
      <c r="G42">
        <v>8</v>
      </c>
      <c r="H42">
        <v>0</v>
      </c>
    </row>
    <row r="43" spans="2:8">
      <c r="B43" t="s">
        <v>207</v>
      </c>
      <c r="C43">
        <v>202400206</v>
      </c>
      <c r="D43">
        <v>37</v>
      </c>
      <c r="E43">
        <v>60</v>
      </c>
      <c r="F43">
        <v>8</v>
      </c>
      <c r="G43">
        <v>8</v>
      </c>
      <c r="H43">
        <v>0</v>
      </c>
    </row>
    <row r="44" spans="2:8">
      <c r="B44" t="s">
        <v>129</v>
      </c>
      <c r="C44">
        <v>202400128</v>
      </c>
      <c r="D44">
        <v>39</v>
      </c>
      <c r="E44">
        <v>69</v>
      </c>
      <c r="F44">
        <v>10</v>
      </c>
      <c r="G44">
        <v>7</v>
      </c>
      <c r="H44">
        <v>0</v>
      </c>
    </row>
    <row r="45" spans="2:8">
      <c r="B45" t="s">
        <v>378</v>
      </c>
      <c r="C45">
        <v>202400377</v>
      </c>
      <c r="D45">
        <v>33</v>
      </c>
      <c r="E45">
        <v>95</v>
      </c>
      <c r="F45">
        <v>6</v>
      </c>
      <c r="G45">
        <v>10</v>
      </c>
      <c r="H45">
        <v>0</v>
      </c>
    </row>
    <row r="46" spans="2:8">
      <c r="B46" t="s">
        <v>258</v>
      </c>
      <c r="C46">
        <v>202400257</v>
      </c>
      <c r="D46">
        <v>38</v>
      </c>
      <c r="E46">
        <v>71</v>
      </c>
      <c r="F46">
        <v>8</v>
      </c>
      <c r="G46">
        <v>8</v>
      </c>
      <c r="H46">
        <v>0</v>
      </c>
    </row>
    <row r="47" spans="2:8">
      <c r="B47" t="s">
        <v>13</v>
      </c>
      <c r="C47">
        <v>202400012</v>
      </c>
      <c r="D47">
        <v>32</v>
      </c>
      <c r="E47">
        <v>82</v>
      </c>
      <c r="F47">
        <v>18</v>
      </c>
      <c r="G47">
        <v>9</v>
      </c>
      <c r="H47">
        <v>0</v>
      </c>
    </row>
    <row r="48" spans="2:8">
      <c r="B48" t="s">
        <v>377</v>
      </c>
      <c r="C48">
        <v>202400376</v>
      </c>
      <c r="D48">
        <v>35</v>
      </c>
      <c r="E48">
        <v>90</v>
      </c>
      <c r="F48">
        <v>13</v>
      </c>
      <c r="G48">
        <v>9</v>
      </c>
      <c r="H48">
        <v>0</v>
      </c>
    </row>
    <row r="49" spans="2:8">
      <c r="B49" t="s">
        <v>0</v>
      </c>
      <c r="C49">
        <v>202400001</v>
      </c>
      <c r="D49">
        <v>26</v>
      </c>
      <c r="E49">
        <v>79</v>
      </c>
      <c r="F49">
        <v>8</v>
      </c>
      <c r="G49">
        <v>8</v>
      </c>
      <c r="H49">
        <v>0</v>
      </c>
    </row>
    <row r="50" spans="2:8">
      <c r="B50" t="s">
        <v>397</v>
      </c>
      <c r="C50">
        <v>202400396</v>
      </c>
      <c r="D50">
        <v>39</v>
      </c>
      <c r="E50">
        <v>62</v>
      </c>
      <c r="F50">
        <v>7</v>
      </c>
      <c r="G50">
        <v>7</v>
      </c>
      <c r="H50">
        <v>0</v>
      </c>
    </row>
    <row r="51" spans="2:8">
      <c r="B51" t="s">
        <v>352</v>
      </c>
      <c r="C51">
        <v>202400351</v>
      </c>
      <c r="D51">
        <v>28</v>
      </c>
      <c r="E51">
        <v>61</v>
      </c>
      <c r="F51">
        <v>15</v>
      </c>
      <c r="G51">
        <v>8</v>
      </c>
      <c r="H51">
        <v>0</v>
      </c>
    </row>
    <row r="52" spans="2:8">
      <c r="B52" t="s">
        <v>106</v>
      </c>
      <c r="C52">
        <v>202400105</v>
      </c>
      <c r="D52">
        <v>35</v>
      </c>
      <c r="E52">
        <v>70</v>
      </c>
      <c r="F52">
        <v>8</v>
      </c>
      <c r="G52">
        <v>7</v>
      </c>
      <c r="H52">
        <v>0</v>
      </c>
    </row>
    <row r="53" spans="2:8">
      <c r="B53" t="s">
        <v>85</v>
      </c>
      <c r="C53">
        <v>202400084</v>
      </c>
      <c r="D53">
        <v>25</v>
      </c>
      <c r="E53">
        <v>60</v>
      </c>
      <c r="F53">
        <v>11</v>
      </c>
      <c r="G53">
        <v>9</v>
      </c>
      <c r="H53">
        <v>0</v>
      </c>
    </row>
    <row r="54" spans="2:8">
      <c r="B54" t="s">
        <v>35</v>
      </c>
      <c r="C54">
        <v>202400034</v>
      </c>
      <c r="D54">
        <v>26</v>
      </c>
      <c r="E54">
        <v>68</v>
      </c>
      <c r="F54">
        <v>7</v>
      </c>
      <c r="G54">
        <v>10</v>
      </c>
      <c r="H54">
        <v>0</v>
      </c>
    </row>
    <row r="55" spans="2:8">
      <c r="B55" t="s">
        <v>380</v>
      </c>
      <c r="C55">
        <v>202400379</v>
      </c>
      <c r="D55">
        <v>26</v>
      </c>
      <c r="E55">
        <v>86</v>
      </c>
      <c r="F55">
        <v>20</v>
      </c>
      <c r="G55">
        <v>10</v>
      </c>
      <c r="H55">
        <v>0</v>
      </c>
    </row>
    <row r="56" spans="2:8">
      <c r="B56" t="s">
        <v>219</v>
      </c>
      <c r="C56">
        <v>202400218</v>
      </c>
      <c r="D56">
        <v>35</v>
      </c>
      <c r="E56">
        <v>72</v>
      </c>
      <c r="F56">
        <v>11</v>
      </c>
      <c r="G56">
        <v>10</v>
      </c>
      <c r="H56">
        <v>0</v>
      </c>
    </row>
    <row r="57" spans="2:8">
      <c r="B57" t="s">
        <v>143</v>
      </c>
      <c r="C57">
        <v>202400142</v>
      </c>
      <c r="D57">
        <v>30</v>
      </c>
      <c r="E57">
        <v>77</v>
      </c>
      <c r="F57">
        <v>9</v>
      </c>
      <c r="G57">
        <v>8</v>
      </c>
      <c r="H57">
        <v>0</v>
      </c>
    </row>
    <row r="58" spans="2:8">
      <c r="B58" t="s">
        <v>137</v>
      </c>
      <c r="C58">
        <v>202400136</v>
      </c>
      <c r="D58">
        <v>36</v>
      </c>
      <c r="E58">
        <v>76</v>
      </c>
      <c r="F58">
        <v>17</v>
      </c>
      <c r="G58">
        <v>7</v>
      </c>
      <c r="H58">
        <v>0</v>
      </c>
    </row>
    <row r="59" spans="2:8">
      <c r="B59" t="s">
        <v>92</v>
      </c>
      <c r="C59">
        <v>202400091</v>
      </c>
      <c r="D59">
        <v>34</v>
      </c>
      <c r="E59">
        <v>63</v>
      </c>
      <c r="F59">
        <v>18</v>
      </c>
      <c r="G59">
        <v>9</v>
      </c>
      <c r="H59">
        <v>0</v>
      </c>
    </row>
    <row r="60" spans="2:8">
      <c r="B60" t="s">
        <v>369</v>
      </c>
      <c r="C60">
        <v>202400368</v>
      </c>
      <c r="D60">
        <v>28</v>
      </c>
      <c r="E60">
        <v>97</v>
      </c>
      <c r="F60">
        <v>16</v>
      </c>
      <c r="G60">
        <v>8</v>
      </c>
      <c r="H60">
        <v>0</v>
      </c>
    </row>
    <row r="61" spans="2:8">
      <c r="B61" t="s">
        <v>52</v>
      </c>
      <c r="C61">
        <v>202400051</v>
      </c>
      <c r="D61">
        <v>37</v>
      </c>
      <c r="E61">
        <v>62</v>
      </c>
      <c r="F61">
        <v>7</v>
      </c>
      <c r="G61">
        <v>9</v>
      </c>
      <c r="H61">
        <v>0</v>
      </c>
    </row>
    <row r="62" spans="2:8">
      <c r="B62" t="s">
        <v>210</v>
      </c>
      <c r="C62">
        <v>202400209</v>
      </c>
      <c r="D62">
        <v>31</v>
      </c>
      <c r="E62">
        <v>76</v>
      </c>
      <c r="F62">
        <v>18</v>
      </c>
      <c r="G62">
        <v>7</v>
      </c>
      <c r="H62">
        <v>0</v>
      </c>
    </row>
    <row r="63" spans="2:8">
      <c r="B63" t="s">
        <v>220</v>
      </c>
      <c r="C63">
        <v>202400219</v>
      </c>
      <c r="D63">
        <v>39</v>
      </c>
      <c r="E63">
        <v>62</v>
      </c>
      <c r="F63">
        <v>13</v>
      </c>
      <c r="G63">
        <v>10</v>
      </c>
      <c r="H63">
        <v>0</v>
      </c>
    </row>
    <row r="64" spans="2:8">
      <c r="B64" t="s">
        <v>140</v>
      </c>
      <c r="C64">
        <v>202400139</v>
      </c>
      <c r="D64">
        <v>30</v>
      </c>
      <c r="E64">
        <v>74</v>
      </c>
      <c r="F64">
        <v>7</v>
      </c>
      <c r="G64">
        <v>9</v>
      </c>
      <c r="H64">
        <v>0</v>
      </c>
    </row>
    <row r="65" spans="2:8">
      <c r="B65" t="s">
        <v>75</v>
      </c>
      <c r="C65">
        <v>202400074</v>
      </c>
      <c r="D65">
        <v>31</v>
      </c>
      <c r="E65">
        <v>77</v>
      </c>
      <c r="F65">
        <v>7</v>
      </c>
      <c r="G65">
        <v>7</v>
      </c>
      <c r="H65">
        <v>0</v>
      </c>
    </row>
    <row r="66" spans="2:8">
      <c r="B66" t="s">
        <v>339</v>
      </c>
      <c r="C66">
        <v>202400338</v>
      </c>
      <c r="D66">
        <v>36</v>
      </c>
      <c r="E66">
        <v>73</v>
      </c>
      <c r="F66">
        <v>20</v>
      </c>
      <c r="G66">
        <v>8</v>
      </c>
      <c r="H66">
        <v>0</v>
      </c>
    </row>
    <row r="67" spans="2:8">
      <c r="B67" t="s">
        <v>309</v>
      </c>
      <c r="C67">
        <v>202400308</v>
      </c>
      <c r="D67">
        <v>29</v>
      </c>
      <c r="E67">
        <v>90</v>
      </c>
      <c r="F67">
        <v>16</v>
      </c>
      <c r="G67">
        <v>7</v>
      </c>
      <c r="H67">
        <v>0</v>
      </c>
    </row>
    <row r="68" spans="2:8">
      <c r="B68" t="s">
        <v>56</v>
      </c>
      <c r="C68">
        <v>202400055</v>
      </c>
      <c r="D68">
        <v>38</v>
      </c>
      <c r="E68">
        <v>95</v>
      </c>
      <c r="F68">
        <v>11</v>
      </c>
      <c r="G68">
        <v>10</v>
      </c>
      <c r="H68">
        <v>0</v>
      </c>
    </row>
    <row r="69" spans="2:8">
      <c r="B69" t="s">
        <v>19</v>
      </c>
      <c r="C69">
        <v>202400018</v>
      </c>
      <c r="D69">
        <v>33</v>
      </c>
      <c r="E69">
        <v>94</v>
      </c>
      <c r="F69">
        <v>7</v>
      </c>
      <c r="G69">
        <v>9</v>
      </c>
      <c r="H69">
        <v>0</v>
      </c>
    </row>
    <row r="70" spans="2:8">
      <c r="B70" t="s">
        <v>115</v>
      </c>
      <c r="C70">
        <v>202400114</v>
      </c>
      <c r="D70">
        <v>33</v>
      </c>
      <c r="E70">
        <v>93</v>
      </c>
      <c r="F70">
        <v>20</v>
      </c>
      <c r="G70">
        <v>10</v>
      </c>
      <c r="H70">
        <v>0</v>
      </c>
    </row>
    <row r="71" spans="2:8">
      <c r="B71" t="s">
        <v>301</v>
      </c>
      <c r="C71">
        <v>202400300</v>
      </c>
      <c r="D71">
        <v>27</v>
      </c>
      <c r="E71">
        <v>65</v>
      </c>
      <c r="F71">
        <v>12</v>
      </c>
      <c r="G71">
        <v>8</v>
      </c>
      <c r="H71">
        <v>0</v>
      </c>
    </row>
    <row r="72" spans="2:8">
      <c r="B72" t="s">
        <v>338</v>
      </c>
      <c r="C72">
        <v>202400337</v>
      </c>
      <c r="D72">
        <v>31</v>
      </c>
      <c r="E72">
        <v>85</v>
      </c>
      <c r="F72">
        <v>20</v>
      </c>
      <c r="G72">
        <v>7</v>
      </c>
      <c r="H72">
        <v>0</v>
      </c>
    </row>
    <row r="73" spans="2:8">
      <c r="B73" t="s">
        <v>98</v>
      </c>
      <c r="C73">
        <v>202400097</v>
      </c>
      <c r="D73">
        <v>25</v>
      </c>
      <c r="E73">
        <v>95</v>
      </c>
      <c r="F73">
        <v>14</v>
      </c>
      <c r="G73">
        <v>10</v>
      </c>
      <c r="H73">
        <v>0</v>
      </c>
    </row>
    <row r="74" spans="2:8">
      <c r="B74" t="s">
        <v>307</v>
      </c>
      <c r="C74">
        <v>202400306</v>
      </c>
      <c r="D74">
        <v>37</v>
      </c>
      <c r="E74">
        <v>63</v>
      </c>
      <c r="F74">
        <v>15</v>
      </c>
      <c r="G74">
        <v>10</v>
      </c>
      <c r="H74">
        <v>0</v>
      </c>
    </row>
    <row r="75" spans="2:8">
      <c r="B75" t="s">
        <v>312</v>
      </c>
      <c r="C75">
        <v>202400311</v>
      </c>
      <c r="D75">
        <v>26</v>
      </c>
      <c r="E75">
        <v>90</v>
      </c>
      <c r="F75">
        <v>15</v>
      </c>
      <c r="G75">
        <v>8</v>
      </c>
      <c r="H75">
        <v>0</v>
      </c>
    </row>
    <row r="76" spans="2:8">
      <c r="B76" t="s">
        <v>333</v>
      </c>
      <c r="C76">
        <v>202400332</v>
      </c>
      <c r="D76">
        <v>28</v>
      </c>
      <c r="E76">
        <v>87</v>
      </c>
      <c r="F76">
        <v>5</v>
      </c>
      <c r="G76">
        <v>10</v>
      </c>
      <c r="H76">
        <v>0</v>
      </c>
    </row>
    <row r="77" spans="2:8">
      <c r="B77" t="s">
        <v>214</v>
      </c>
      <c r="C77">
        <v>202400213</v>
      </c>
      <c r="D77">
        <v>27</v>
      </c>
      <c r="E77">
        <v>74</v>
      </c>
      <c r="F77">
        <v>9</v>
      </c>
      <c r="G77">
        <v>7</v>
      </c>
      <c r="H77">
        <v>0</v>
      </c>
    </row>
    <row r="78" spans="2:8">
      <c r="B78" t="s">
        <v>310</v>
      </c>
      <c r="C78">
        <v>202400309</v>
      </c>
      <c r="D78">
        <v>40</v>
      </c>
      <c r="E78">
        <v>71</v>
      </c>
      <c r="F78">
        <v>20</v>
      </c>
      <c r="G78">
        <v>10</v>
      </c>
      <c r="H78">
        <v>0</v>
      </c>
    </row>
    <row r="79" spans="2:8">
      <c r="B79" t="s">
        <v>94</v>
      </c>
      <c r="C79">
        <v>202400093</v>
      </c>
      <c r="D79">
        <v>34</v>
      </c>
      <c r="E79">
        <v>63</v>
      </c>
      <c r="F79">
        <v>8</v>
      </c>
      <c r="G79">
        <v>9</v>
      </c>
      <c r="H79">
        <v>0</v>
      </c>
    </row>
    <row r="80" spans="2:8">
      <c r="B80" t="s">
        <v>167</v>
      </c>
      <c r="C80">
        <v>202400166</v>
      </c>
      <c r="D80">
        <v>26</v>
      </c>
      <c r="E80">
        <v>82</v>
      </c>
      <c r="F80">
        <v>8</v>
      </c>
      <c r="G80">
        <v>7</v>
      </c>
      <c r="H80">
        <v>0</v>
      </c>
    </row>
    <row r="81" spans="2:8">
      <c r="B81" t="s">
        <v>372</v>
      </c>
      <c r="C81">
        <v>202400371</v>
      </c>
      <c r="D81">
        <v>40</v>
      </c>
      <c r="E81">
        <v>67</v>
      </c>
      <c r="F81">
        <v>19</v>
      </c>
      <c r="G81">
        <v>7</v>
      </c>
      <c r="H81">
        <v>0</v>
      </c>
    </row>
    <row r="82" spans="2:8">
      <c r="B82" t="s">
        <v>182</v>
      </c>
      <c r="C82">
        <v>202400181</v>
      </c>
      <c r="D82">
        <v>39</v>
      </c>
      <c r="E82">
        <v>83</v>
      </c>
      <c r="F82">
        <v>8</v>
      </c>
      <c r="G82">
        <v>7</v>
      </c>
      <c r="H82">
        <v>0</v>
      </c>
    </row>
    <row r="83" spans="2:8">
      <c r="B83" t="s">
        <v>21</v>
      </c>
      <c r="C83">
        <v>202400020</v>
      </c>
      <c r="D83">
        <v>29</v>
      </c>
      <c r="E83">
        <v>63</v>
      </c>
      <c r="F83">
        <v>9</v>
      </c>
      <c r="G83">
        <v>9</v>
      </c>
      <c r="H83">
        <v>0</v>
      </c>
    </row>
    <row r="84" spans="2:8">
      <c r="B84" t="s">
        <v>381</v>
      </c>
      <c r="C84">
        <v>202400380</v>
      </c>
      <c r="D84">
        <v>29</v>
      </c>
      <c r="E84">
        <v>61</v>
      </c>
      <c r="F84">
        <v>13</v>
      </c>
      <c r="G84">
        <v>7</v>
      </c>
      <c r="H84">
        <v>0</v>
      </c>
    </row>
    <row r="85" spans="2:8">
      <c r="B85" t="s">
        <v>156</v>
      </c>
      <c r="C85">
        <v>202400155</v>
      </c>
      <c r="D85">
        <v>34</v>
      </c>
      <c r="E85">
        <v>80</v>
      </c>
      <c r="F85">
        <v>8</v>
      </c>
      <c r="G85">
        <v>10</v>
      </c>
      <c r="H85">
        <v>0</v>
      </c>
    </row>
    <row r="86" spans="2:8">
      <c r="B86" t="s">
        <v>236</v>
      </c>
      <c r="C86">
        <v>202400235</v>
      </c>
      <c r="D86">
        <v>40</v>
      </c>
      <c r="E86">
        <v>100</v>
      </c>
      <c r="F86">
        <v>10</v>
      </c>
      <c r="G86">
        <v>10</v>
      </c>
      <c r="H86">
        <v>0</v>
      </c>
    </row>
    <row r="87" spans="2:8">
      <c r="B87" t="s">
        <v>298</v>
      </c>
      <c r="C87">
        <v>202400297</v>
      </c>
      <c r="D87">
        <v>34</v>
      </c>
      <c r="E87">
        <v>99</v>
      </c>
      <c r="F87">
        <v>20</v>
      </c>
      <c r="G87">
        <v>9</v>
      </c>
      <c r="H87">
        <v>0</v>
      </c>
    </row>
    <row r="88" spans="2:8">
      <c r="B88" t="s">
        <v>20</v>
      </c>
      <c r="C88">
        <v>202400019</v>
      </c>
      <c r="D88">
        <v>36</v>
      </c>
      <c r="E88">
        <v>95</v>
      </c>
      <c r="F88">
        <v>19</v>
      </c>
      <c r="G88">
        <v>9</v>
      </c>
      <c r="H88">
        <v>0</v>
      </c>
    </row>
    <row r="89" spans="2:8">
      <c r="B89" t="s">
        <v>467</v>
      </c>
      <c r="C89">
        <v>202400023</v>
      </c>
      <c r="D89">
        <v>37</v>
      </c>
      <c r="E89">
        <v>83</v>
      </c>
      <c r="F89">
        <v>11</v>
      </c>
      <c r="G89">
        <v>10</v>
      </c>
      <c r="H89">
        <v>0</v>
      </c>
    </row>
    <row r="90" spans="2:8">
      <c r="B90" t="s">
        <v>193</v>
      </c>
      <c r="C90">
        <v>202400192</v>
      </c>
      <c r="D90">
        <v>40</v>
      </c>
      <c r="E90">
        <v>97</v>
      </c>
      <c r="F90">
        <v>11</v>
      </c>
      <c r="G90">
        <v>7</v>
      </c>
      <c r="H90">
        <v>0</v>
      </c>
    </row>
    <row r="91" spans="2:8">
      <c r="B91" t="s">
        <v>221</v>
      </c>
      <c r="C91">
        <v>202400220</v>
      </c>
      <c r="D91">
        <v>25</v>
      </c>
      <c r="E91">
        <v>90</v>
      </c>
      <c r="F91">
        <v>16</v>
      </c>
      <c r="G91">
        <v>10</v>
      </c>
      <c r="H91">
        <v>0</v>
      </c>
    </row>
    <row r="92" spans="2:8">
      <c r="B92" t="s">
        <v>153</v>
      </c>
      <c r="C92">
        <v>202400152</v>
      </c>
      <c r="D92">
        <v>33</v>
      </c>
      <c r="E92">
        <v>73</v>
      </c>
      <c r="F92">
        <v>9</v>
      </c>
      <c r="G92">
        <v>9</v>
      </c>
      <c r="H92">
        <v>0</v>
      </c>
    </row>
    <row r="93" spans="2:8">
      <c r="B93" t="s">
        <v>44</v>
      </c>
      <c r="C93">
        <v>202400043</v>
      </c>
      <c r="D93">
        <v>36</v>
      </c>
      <c r="E93">
        <v>64</v>
      </c>
      <c r="F93">
        <v>10</v>
      </c>
      <c r="G93">
        <v>9</v>
      </c>
      <c r="H93">
        <v>0</v>
      </c>
    </row>
    <row r="94" spans="2:8">
      <c r="B94" t="s">
        <v>157</v>
      </c>
      <c r="C94">
        <v>202400156</v>
      </c>
      <c r="D94">
        <v>40</v>
      </c>
      <c r="E94">
        <v>70</v>
      </c>
      <c r="F94">
        <v>5</v>
      </c>
      <c r="G94">
        <v>10</v>
      </c>
      <c r="H94">
        <v>0</v>
      </c>
    </row>
    <row r="95" spans="2:8">
      <c r="B95" t="s">
        <v>126</v>
      </c>
      <c r="C95">
        <v>202400125</v>
      </c>
      <c r="D95">
        <v>27</v>
      </c>
      <c r="E95">
        <v>89</v>
      </c>
      <c r="F95">
        <v>7</v>
      </c>
      <c r="G95">
        <v>9</v>
      </c>
      <c r="H95">
        <v>0</v>
      </c>
    </row>
    <row r="96" spans="2:8">
      <c r="B96" t="s">
        <v>242</v>
      </c>
      <c r="C96">
        <v>202400241</v>
      </c>
      <c r="D96">
        <v>32</v>
      </c>
      <c r="E96">
        <v>87</v>
      </c>
      <c r="F96">
        <v>5</v>
      </c>
      <c r="G96">
        <v>10</v>
      </c>
      <c r="H96">
        <v>0</v>
      </c>
    </row>
    <row r="97" spans="2:8">
      <c r="B97" t="s">
        <v>224</v>
      </c>
      <c r="C97">
        <v>202400223</v>
      </c>
      <c r="D97">
        <v>32</v>
      </c>
      <c r="E97">
        <v>77</v>
      </c>
      <c r="F97">
        <v>6</v>
      </c>
      <c r="G97">
        <v>10</v>
      </c>
      <c r="H97">
        <v>0</v>
      </c>
    </row>
    <row r="98" spans="2:8">
      <c r="B98" t="s">
        <v>282</v>
      </c>
      <c r="C98">
        <v>202400281</v>
      </c>
      <c r="D98">
        <v>33</v>
      </c>
      <c r="E98">
        <v>80</v>
      </c>
      <c r="F98">
        <v>18</v>
      </c>
      <c r="G98">
        <v>7</v>
      </c>
      <c r="H98">
        <v>0</v>
      </c>
    </row>
    <row r="99" spans="2:8">
      <c r="B99" t="s">
        <v>305</v>
      </c>
      <c r="C99">
        <v>202400304</v>
      </c>
      <c r="D99">
        <v>40</v>
      </c>
      <c r="E99">
        <v>83</v>
      </c>
      <c r="F99">
        <v>12</v>
      </c>
      <c r="G99">
        <v>9</v>
      </c>
      <c r="H99">
        <v>0</v>
      </c>
    </row>
    <row r="100" spans="2:8">
      <c r="B100" t="s">
        <v>366</v>
      </c>
      <c r="C100">
        <v>202400365</v>
      </c>
      <c r="D100">
        <v>27</v>
      </c>
      <c r="E100">
        <v>71</v>
      </c>
      <c r="F100">
        <v>6</v>
      </c>
      <c r="G100">
        <v>9</v>
      </c>
      <c r="H100">
        <v>0</v>
      </c>
    </row>
    <row r="101" spans="2:8">
      <c r="B101" t="s">
        <v>251</v>
      </c>
      <c r="C101">
        <v>202400250</v>
      </c>
      <c r="D101">
        <v>31</v>
      </c>
      <c r="E101">
        <v>83</v>
      </c>
      <c r="F101">
        <v>14</v>
      </c>
      <c r="G101">
        <v>9</v>
      </c>
      <c r="H101">
        <v>0</v>
      </c>
    </row>
    <row r="102" spans="2:8">
      <c r="B102" t="s">
        <v>68</v>
      </c>
      <c r="C102">
        <v>202400067</v>
      </c>
      <c r="D102">
        <v>26</v>
      </c>
      <c r="E102">
        <v>66</v>
      </c>
      <c r="F102">
        <v>11</v>
      </c>
      <c r="G102">
        <v>8</v>
      </c>
      <c r="H102">
        <v>0</v>
      </c>
    </row>
    <row r="103" spans="2:8">
      <c r="B103" t="s">
        <v>314</v>
      </c>
      <c r="C103">
        <v>202400313</v>
      </c>
      <c r="D103">
        <v>37</v>
      </c>
      <c r="E103">
        <v>95</v>
      </c>
      <c r="F103">
        <v>8</v>
      </c>
      <c r="G103">
        <v>9</v>
      </c>
      <c r="H103">
        <v>0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1254-B856-5748-840D-DA635BC013C5}">
  <dimension ref="B1:M53"/>
  <sheetViews>
    <sheetView workbookViewId="0">
      <selection activeCell="H2" sqref="H2"/>
    </sheetView>
  </sheetViews>
  <sheetFormatPr baseColWidth="10" defaultRowHeight="18"/>
  <cols>
    <col min="2" max="2" width="13.85546875" bestFit="1" customWidth="1"/>
  </cols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496</v>
      </c>
      <c r="C2">
        <v>1</v>
      </c>
      <c r="D2" t="s">
        <v>512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100</v>
      </c>
      <c r="C4">
        <v>202400099</v>
      </c>
      <c r="D4">
        <v>20</v>
      </c>
      <c r="E4">
        <v>82</v>
      </c>
      <c r="F4">
        <v>7</v>
      </c>
      <c r="G4">
        <v>5</v>
      </c>
      <c r="H4">
        <v>0</v>
      </c>
    </row>
    <row r="5" spans="2:13">
      <c r="B5" t="s">
        <v>178</v>
      </c>
      <c r="C5">
        <v>202400177</v>
      </c>
      <c r="D5">
        <v>13</v>
      </c>
      <c r="E5">
        <v>65</v>
      </c>
      <c r="F5">
        <v>5</v>
      </c>
      <c r="G5">
        <v>8</v>
      </c>
      <c r="H5">
        <v>0</v>
      </c>
    </row>
    <row r="6" spans="2:13">
      <c r="B6" t="s">
        <v>304</v>
      </c>
      <c r="C6">
        <v>202400303</v>
      </c>
      <c r="D6">
        <v>18</v>
      </c>
      <c r="E6">
        <v>98</v>
      </c>
      <c r="F6">
        <v>6</v>
      </c>
      <c r="G6">
        <v>5</v>
      </c>
      <c r="H6">
        <v>0</v>
      </c>
    </row>
    <row r="7" spans="2:13">
      <c r="B7" t="s">
        <v>152</v>
      </c>
      <c r="C7">
        <v>202400151</v>
      </c>
      <c r="D7">
        <v>16</v>
      </c>
      <c r="E7">
        <v>60</v>
      </c>
      <c r="F7">
        <v>9</v>
      </c>
      <c r="G7">
        <v>9</v>
      </c>
      <c r="H7">
        <v>0</v>
      </c>
    </row>
    <row r="8" spans="2:13">
      <c r="B8" t="s">
        <v>44</v>
      </c>
      <c r="C8">
        <v>202400043</v>
      </c>
      <c r="D8">
        <v>13</v>
      </c>
      <c r="E8">
        <v>81</v>
      </c>
      <c r="F8">
        <v>10</v>
      </c>
      <c r="G8">
        <v>7</v>
      </c>
      <c r="H8">
        <v>0</v>
      </c>
    </row>
    <row r="9" spans="2:13">
      <c r="B9" t="s">
        <v>2</v>
      </c>
      <c r="C9">
        <v>202400002</v>
      </c>
      <c r="D9">
        <v>19</v>
      </c>
      <c r="E9">
        <v>41</v>
      </c>
      <c r="F9">
        <v>7</v>
      </c>
      <c r="G9">
        <v>6</v>
      </c>
      <c r="H9">
        <v>0</v>
      </c>
    </row>
    <row r="10" spans="2:13">
      <c r="B10" t="s">
        <v>256</v>
      </c>
      <c r="C10">
        <v>202400255</v>
      </c>
      <c r="D10">
        <v>14</v>
      </c>
      <c r="E10">
        <v>73</v>
      </c>
      <c r="F10">
        <v>6</v>
      </c>
      <c r="G10">
        <v>7</v>
      </c>
      <c r="H10">
        <v>0</v>
      </c>
    </row>
    <row r="11" spans="2:13">
      <c r="B11" t="s">
        <v>251</v>
      </c>
      <c r="C11">
        <v>202400250</v>
      </c>
      <c r="D11">
        <v>16</v>
      </c>
      <c r="E11">
        <v>61</v>
      </c>
      <c r="F11">
        <v>10</v>
      </c>
      <c r="G11">
        <v>6</v>
      </c>
      <c r="H11">
        <v>0</v>
      </c>
    </row>
    <row r="12" spans="2:13">
      <c r="B12" t="s">
        <v>109</v>
      </c>
      <c r="C12">
        <v>202400108</v>
      </c>
      <c r="D12">
        <v>11</v>
      </c>
      <c r="E12">
        <v>82</v>
      </c>
      <c r="F12">
        <v>7</v>
      </c>
      <c r="G12">
        <v>8</v>
      </c>
      <c r="H12">
        <v>0</v>
      </c>
    </row>
    <row r="13" spans="2:13">
      <c r="B13" t="s">
        <v>254</v>
      </c>
      <c r="C13">
        <v>202400253</v>
      </c>
      <c r="D13">
        <v>19</v>
      </c>
      <c r="E13">
        <v>39</v>
      </c>
      <c r="F13">
        <v>7</v>
      </c>
      <c r="G13">
        <v>9</v>
      </c>
      <c r="H13">
        <v>0</v>
      </c>
    </row>
    <row r="14" spans="2:13">
      <c r="B14" t="s">
        <v>470</v>
      </c>
      <c r="C14">
        <v>202400200</v>
      </c>
      <c r="D14">
        <v>16</v>
      </c>
      <c r="E14">
        <v>49</v>
      </c>
      <c r="F14">
        <v>9</v>
      </c>
      <c r="G14">
        <v>7</v>
      </c>
      <c r="H14">
        <v>0</v>
      </c>
    </row>
    <row r="15" spans="2:13">
      <c r="B15" t="s">
        <v>35</v>
      </c>
      <c r="C15">
        <v>202400034</v>
      </c>
      <c r="D15">
        <v>17</v>
      </c>
      <c r="E15">
        <v>82</v>
      </c>
      <c r="F15">
        <v>6</v>
      </c>
      <c r="G15">
        <v>9</v>
      </c>
      <c r="H15">
        <v>0</v>
      </c>
    </row>
    <row r="16" spans="2:13">
      <c r="B16" t="s">
        <v>168</v>
      </c>
      <c r="C16">
        <v>202400167</v>
      </c>
      <c r="D16">
        <v>10</v>
      </c>
      <c r="E16">
        <v>85</v>
      </c>
      <c r="F16">
        <v>6</v>
      </c>
      <c r="G16">
        <v>8</v>
      </c>
      <c r="H16">
        <v>0</v>
      </c>
    </row>
    <row r="17" spans="2:8">
      <c r="B17" t="s">
        <v>130</v>
      </c>
      <c r="C17">
        <v>202400129</v>
      </c>
      <c r="D17">
        <v>20</v>
      </c>
      <c r="E17">
        <v>44</v>
      </c>
      <c r="F17">
        <v>9</v>
      </c>
      <c r="G17">
        <v>7</v>
      </c>
      <c r="H17">
        <v>0</v>
      </c>
    </row>
    <row r="18" spans="2:8">
      <c r="B18" t="s">
        <v>28</v>
      </c>
      <c r="C18">
        <v>202400027</v>
      </c>
      <c r="D18">
        <v>10</v>
      </c>
      <c r="E18">
        <v>76</v>
      </c>
      <c r="F18">
        <v>6</v>
      </c>
      <c r="G18">
        <v>10</v>
      </c>
      <c r="H18">
        <v>0</v>
      </c>
    </row>
    <row r="19" spans="2:8">
      <c r="B19" t="s">
        <v>195</v>
      </c>
      <c r="C19">
        <v>202400194</v>
      </c>
      <c r="D19">
        <v>10</v>
      </c>
      <c r="E19">
        <v>98</v>
      </c>
      <c r="F19">
        <v>10</v>
      </c>
      <c r="G19">
        <v>9</v>
      </c>
      <c r="H19">
        <v>0</v>
      </c>
    </row>
    <row r="20" spans="2:8">
      <c r="B20" t="s">
        <v>164</v>
      </c>
      <c r="C20">
        <v>202400163</v>
      </c>
      <c r="D20">
        <v>14</v>
      </c>
      <c r="E20">
        <v>53</v>
      </c>
      <c r="F20">
        <v>10</v>
      </c>
      <c r="G20">
        <v>7</v>
      </c>
      <c r="H20">
        <v>0</v>
      </c>
    </row>
    <row r="21" spans="2:8">
      <c r="B21" t="s">
        <v>74</v>
      </c>
      <c r="C21">
        <v>202400073</v>
      </c>
      <c r="D21">
        <v>11</v>
      </c>
      <c r="E21">
        <v>31</v>
      </c>
      <c r="F21">
        <v>8</v>
      </c>
      <c r="G21">
        <v>10</v>
      </c>
      <c r="H21">
        <v>0</v>
      </c>
    </row>
    <row r="22" spans="2:8">
      <c r="B22" t="s">
        <v>113</v>
      </c>
      <c r="C22">
        <v>202400112</v>
      </c>
      <c r="D22">
        <v>13</v>
      </c>
      <c r="E22">
        <v>86</v>
      </c>
      <c r="F22">
        <v>9</v>
      </c>
      <c r="G22">
        <v>5</v>
      </c>
      <c r="H22">
        <v>0</v>
      </c>
    </row>
    <row r="23" spans="2:8">
      <c r="B23" t="s">
        <v>393</v>
      </c>
      <c r="C23">
        <v>202400392</v>
      </c>
      <c r="D23">
        <v>17</v>
      </c>
      <c r="E23">
        <v>82</v>
      </c>
      <c r="F23">
        <v>6</v>
      </c>
      <c r="G23">
        <v>10</v>
      </c>
      <c r="H23">
        <v>0</v>
      </c>
    </row>
    <row r="24" spans="2:8">
      <c r="B24" t="s">
        <v>376</v>
      </c>
      <c r="C24">
        <v>202400375</v>
      </c>
      <c r="D24">
        <v>19</v>
      </c>
      <c r="E24">
        <v>85</v>
      </c>
      <c r="F24">
        <v>6</v>
      </c>
      <c r="G24">
        <v>8</v>
      </c>
      <c r="H24">
        <v>0</v>
      </c>
    </row>
    <row r="25" spans="2:8">
      <c r="B25" t="s">
        <v>9</v>
      </c>
      <c r="C25">
        <v>202400008</v>
      </c>
      <c r="D25">
        <v>17</v>
      </c>
      <c r="E25">
        <v>48</v>
      </c>
      <c r="F25">
        <v>5</v>
      </c>
      <c r="G25">
        <v>10</v>
      </c>
      <c r="H25">
        <v>0</v>
      </c>
    </row>
    <row r="26" spans="2:8">
      <c r="B26" t="s">
        <v>265</v>
      </c>
      <c r="C26">
        <v>202400264</v>
      </c>
      <c r="D26">
        <v>17</v>
      </c>
      <c r="E26">
        <v>63</v>
      </c>
      <c r="F26">
        <v>5</v>
      </c>
      <c r="G26">
        <v>9</v>
      </c>
      <c r="H26">
        <v>0</v>
      </c>
    </row>
    <row r="27" spans="2:8">
      <c r="B27" t="s">
        <v>131</v>
      </c>
      <c r="C27">
        <v>202400130</v>
      </c>
      <c r="D27">
        <v>11</v>
      </c>
      <c r="E27">
        <v>31</v>
      </c>
      <c r="F27">
        <v>5</v>
      </c>
      <c r="G27">
        <v>5</v>
      </c>
      <c r="H27">
        <v>0</v>
      </c>
    </row>
    <row r="28" spans="2:8">
      <c r="B28" t="s">
        <v>283</v>
      </c>
      <c r="C28">
        <v>202400282</v>
      </c>
      <c r="D28">
        <v>17</v>
      </c>
      <c r="E28">
        <v>63</v>
      </c>
      <c r="F28">
        <v>9</v>
      </c>
      <c r="G28">
        <v>7</v>
      </c>
      <c r="H28">
        <v>0</v>
      </c>
    </row>
    <row r="29" spans="2:8">
      <c r="B29" t="s">
        <v>296</v>
      </c>
      <c r="C29">
        <v>202400295</v>
      </c>
      <c r="D29">
        <v>19</v>
      </c>
      <c r="E29">
        <v>51</v>
      </c>
      <c r="F29">
        <v>10</v>
      </c>
      <c r="G29">
        <v>9</v>
      </c>
      <c r="H29">
        <v>0</v>
      </c>
    </row>
    <row r="30" spans="2:8">
      <c r="B30" t="s">
        <v>119</v>
      </c>
      <c r="C30">
        <v>202400118</v>
      </c>
      <c r="D30">
        <v>17</v>
      </c>
      <c r="E30">
        <v>74</v>
      </c>
      <c r="F30">
        <v>5</v>
      </c>
      <c r="G30">
        <v>8</v>
      </c>
      <c r="H30">
        <v>0</v>
      </c>
    </row>
    <row r="31" spans="2:8">
      <c r="B31" t="s">
        <v>302</v>
      </c>
      <c r="C31">
        <v>202400301</v>
      </c>
      <c r="D31">
        <v>11</v>
      </c>
      <c r="E31">
        <v>93</v>
      </c>
      <c r="F31">
        <v>5</v>
      </c>
      <c r="G31">
        <v>8</v>
      </c>
      <c r="H31">
        <v>0</v>
      </c>
    </row>
    <row r="32" spans="2:8">
      <c r="B32" t="s">
        <v>267</v>
      </c>
      <c r="C32">
        <v>202400266</v>
      </c>
      <c r="D32">
        <v>13</v>
      </c>
      <c r="E32">
        <v>37</v>
      </c>
      <c r="F32">
        <v>7</v>
      </c>
      <c r="G32">
        <v>9</v>
      </c>
      <c r="H32">
        <v>0</v>
      </c>
    </row>
    <row r="33" spans="2:8">
      <c r="B33" t="s">
        <v>97</v>
      </c>
      <c r="C33">
        <v>202400096</v>
      </c>
      <c r="D33">
        <v>13</v>
      </c>
      <c r="E33">
        <v>40</v>
      </c>
      <c r="F33">
        <v>8</v>
      </c>
      <c r="G33">
        <v>6</v>
      </c>
      <c r="H33">
        <v>0</v>
      </c>
    </row>
    <row r="34" spans="2:8">
      <c r="B34" t="s">
        <v>357</v>
      </c>
      <c r="C34">
        <v>202400356</v>
      </c>
      <c r="D34">
        <v>15</v>
      </c>
      <c r="E34">
        <v>63</v>
      </c>
      <c r="F34">
        <v>8</v>
      </c>
      <c r="G34">
        <v>5</v>
      </c>
      <c r="H34">
        <v>0</v>
      </c>
    </row>
    <row r="35" spans="2:8">
      <c r="B35" t="s">
        <v>89</v>
      </c>
      <c r="C35">
        <v>202400088</v>
      </c>
      <c r="D35">
        <v>14</v>
      </c>
      <c r="E35">
        <v>35</v>
      </c>
      <c r="F35">
        <v>6</v>
      </c>
      <c r="G35">
        <v>8</v>
      </c>
      <c r="H35">
        <v>0</v>
      </c>
    </row>
    <row r="36" spans="2:8">
      <c r="B36" t="s">
        <v>107</v>
      </c>
      <c r="C36">
        <v>202400106</v>
      </c>
      <c r="D36">
        <v>14</v>
      </c>
      <c r="E36">
        <v>62</v>
      </c>
      <c r="F36">
        <v>6</v>
      </c>
      <c r="G36">
        <v>10</v>
      </c>
      <c r="H36">
        <v>0</v>
      </c>
    </row>
    <row r="37" spans="2:8">
      <c r="B37" t="s">
        <v>274</v>
      </c>
      <c r="C37">
        <v>202400273</v>
      </c>
      <c r="D37">
        <v>16</v>
      </c>
      <c r="E37">
        <v>98</v>
      </c>
      <c r="F37">
        <v>5</v>
      </c>
      <c r="G37">
        <v>10</v>
      </c>
      <c r="H37">
        <v>0</v>
      </c>
    </row>
    <row r="38" spans="2:8">
      <c r="B38" t="s">
        <v>400</v>
      </c>
      <c r="C38">
        <v>202400399</v>
      </c>
      <c r="D38">
        <v>11</v>
      </c>
      <c r="E38">
        <v>55</v>
      </c>
      <c r="F38">
        <v>8</v>
      </c>
      <c r="G38">
        <v>9</v>
      </c>
      <c r="H38">
        <v>0</v>
      </c>
    </row>
    <row r="39" spans="2:8">
      <c r="B39" t="s">
        <v>122</v>
      </c>
      <c r="C39">
        <v>202400121</v>
      </c>
      <c r="D39">
        <v>12</v>
      </c>
      <c r="E39">
        <v>32</v>
      </c>
      <c r="F39">
        <v>5</v>
      </c>
      <c r="G39">
        <v>8</v>
      </c>
      <c r="H39">
        <v>0</v>
      </c>
    </row>
    <row r="40" spans="2:8">
      <c r="B40" t="s">
        <v>23</v>
      </c>
      <c r="C40">
        <v>202400022</v>
      </c>
      <c r="D40">
        <v>12</v>
      </c>
      <c r="E40">
        <v>53</v>
      </c>
      <c r="F40">
        <v>8</v>
      </c>
      <c r="G40">
        <v>7</v>
      </c>
      <c r="H40">
        <v>0</v>
      </c>
    </row>
    <row r="41" spans="2:8">
      <c r="B41" t="s">
        <v>78</v>
      </c>
      <c r="C41">
        <v>202400077</v>
      </c>
      <c r="D41">
        <v>17</v>
      </c>
      <c r="E41">
        <v>98</v>
      </c>
      <c r="F41">
        <v>5</v>
      </c>
      <c r="G41">
        <v>10</v>
      </c>
      <c r="H41">
        <v>0</v>
      </c>
    </row>
    <row r="42" spans="2:8">
      <c r="B42" t="s">
        <v>383</v>
      </c>
      <c r="C42">
        <v>202400382</v>
      </c>
      <c r="D42">
        <v>13</v>
      </c>
      <c r="E42">
        <v>92</v>
      </c>
      <c r="F42">
        <v>5</v>
      </c>
      <c r="G42">
        <v>7</v>
      </c>
      <c r="H42">
        <v>0</v>
      </c>
    </row>
    <row r="43" spans="2:8">
      <c r="B43" t="s">
        <v>229</v>
      </c>
      <c r="C43">
        <v>202400228</v>
      </c>
      <c r="D43">
        <v>20</v>
      </c>
      <c r="E43">
        <v>62</v>
      </c>
      <c r="F43">
        <v>7</v>
      </c>
      <c r="G43">
        <v>5</v>
      </c>
      <c r="H43">
        <v>0</v>
      </c>
    </row>
    <row r="44" spans="2:8">
      <c r="B44" t="s">
        <v>63</v>
      </c>
      <c r="C44">
        <v>202400062</v>
      </c>
      <c r="D44">
        <v>11</v>
      </c>
      <c r="E44">
        <v>97</v>
      </c>
      <c r="F44">
        <v>5</v>
      </c>
      <c r="G44">
        <v>8</v>
      </c>
      <c r="H44">
        <v>0</v>
      </c>
    </row>
    <row r="45" spans="2:8">
      <c r="B45" t="s">
        <v>41</v>
      </c>
      <c r="C45">
        <v>202400040</v>
      </c>
      <c r="D45">
        <v>19</v>
      </c>
      <c r="E45">
        <v>87</v>
      </c>
      <c r="F45">
        <v>6</v>
      </c>
      <c r="G45">
        <v>5</v>
      </c>
      <c r="H45">
        <v>0</v>
      </c>
    </row>
    <row r="46" spans="2:8">
      <c r="B46" t="s">
        <v>37</v>
      </c>
      <c r="C46">
        <v>202400036</v>
      </c>
      <c r="D46">
        <v>14</v>
      </c>
      <c r="E46">
        <v>88</v>
      </c>
      <c r="F46">
        <v>7</v>
      </c>
      <c r="G46">
        <v>8</v>
      </c>
      <c r="H46">
        <v>0</v>
      </c>
    </row>
    <row r="47" spans="2:8">
      <c r="B47" t="s">
        <v>166</v>
      </c>
      <c r="C47">
        <v>202400165</v>
      </c>
      <c r="D47">
        <v>17</v>
      </c>
      <c r="E47">
        <v>35</v>
      </c>
      <c r="F47">
        <v>10</v>
      </c>
      <c r="G47">
        <v>7</v>
      </c>
      <c r="H47">
        <v>0</v>
      </c>
    </row>
    <row r="48" spans="2:8">
      <c r="B48" t="s">
        <v>192</v>
      </c>
      <c r="C48">
        <v>202400191</v>
      </c>
      <c r="D48">
        <v>18</v>
      </c>
      <c r="E48">
        <v>69</v>
      </c>
      <c r="F48">
        <v>5</v>
      </c>
      <c r="G48">
        <v>9</v>
      </c>
      <c r="H48">
        <v>0</v>
      </c>
    </row>
    <row r="49" spans="2:8">
      <c r="B49" t="s">
        <v>332</v>
      </c>
      <c r="C49">
        <v>202400331</v>
      </c>
      <c r="D49">
        <v>13</v>
      </c>
      <c r="E49">
        <v>30</v>
      </c>
      <c r="F49">
        <v>10</v>
      </c>
      <c r="G49">
        <v>7</v>
      </c>
      <c r="H49">
        <v>0</v>
      </c>
    </row>
    <row r="50" spans="2:8">
      <c r="B50" t="s">
        <v>202</v>
      </c>
      <c r="C50">
        <v>202400201</v>
      </c>
      <c r="D50">
        <v>10</v>
      </c>
      <c r="E50">
        <v>64</v>
      </c>
      <c r="F50">
        <v>9</v>
      </c>
      <c r="G50">
        <v>9</v>
      </c>
      <c r="H50">
        <v>0</v>
      </c>
    </row>
    <row r="51" spans="2:8">
      <c r="B51" t="s">
        <v>204</v>
      </c>
      <c r="C51">
        <v>202400203</v>
      </c>
      <c r="D51">
        <v>15</v>
      </c>
      <c r="E51">
        <v>77</v>
      </c>
      <c r="F51">
        <v>10</v>
      </c>
      <c r="G51">
        <v>7</v>
      </c>
      <c r="H51">
        <v>0</v>
      </c>
    </row>
    <row r="52" spans="2:8">
      <c r="B52" t="s">
        <v>375</v>
      </c>
      <c r="C52">
        <v>202400374</v>
      </c>
      <c r="D52">
        <v>14</v>
      </c>
      <c r="E52">
        <v>31</v>
      </c>
      <c r="F52">
        <v>8</v>
      </c>
      <c r="G52">
        <v>7</v>
      </c>
      <c r="H52">
        <v>0</v>
      </c>
    </row>
    <row r="53" spans="2:8">
      <c r="B53" t="s">
        <v>54</v>
      </c>
      <c r="C53">
        <v>202400053</v>
      </c>
      <c r="D53">
        <v>18</v>
      </c>
      <c r="E53">
        <v>94</v>
      </c>
      <c r="F53">
        <v>6</v>
      </c>
      <c r="G53">
        <v>6</v>
      </c>
      <c r="H53">
        <v>0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DC5B-01DE-3140-9D29-1E9FCE689EA5}">
  <sheetPr>
    <tabColor theme="6" tint="0.79998168889431442"/>
  </sheetPr>
  <dimension ref="B1:M94"/>
  <sheetViews>
    <sheetView workbookViewId="0">
      <selection activeCell="H4" sqref="H4:H94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497</v>
      </c>
      <c r="C2">
        <v>1</v>
      </c>
      <c r="D2" t="s">
        <v>511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321</v>
      </c>
      <c r="C4">
        <v>202400320</v>
      </c>
      <c r="D4">
        <v>22</v>
      </c>
      <c r="E4">
        <v>80</v>
      </c>
      <c r="F4">
        <v>5</v>
      </c>
      <c r="G4">
        <v>9</v>
      </c>
      <c r="H4">
        <v>0</v>
      </c>
    </row>
    <row r="5" spans="2:13">
      <c r="B5" t="s">
        <v>4</v>
      </c>
      <c r="C5">
        <v>202400003</v>
      </c>
      <c r="D5">
        <v>16</v>
      </c>
      <c r="E5">
        <v>71</v>
      </c>
      <c r="F5">
        <v>7</v>
      </c>
      <c r="G5">
        <v>8</v>
      </c>
      <c r="H5">
        <v>0</v>
      </c>
    </row>
    <row r="6" spans="2:13">
      <c r="B6" t="s">
        <v>323</v>
      </c>
      <c r="C6">
        <v>202400322</v>
      </c>
      <c r="D6">
        <v>21</v>
      </c>
      <c r="E6">
        <v>89</v>
      </c>
      <c r="F6">
        <v>5</v>
      </c>
      <c r="G6">
        <v>10</v>
      </c>
      <c r="H6">
        <v>0</v>
      </c>
    </row>
    <row r="7" spans="2:13">
      <c r="B7" t="s">
        <v>358</v>
      </c>
      <c r="C7">
        <v>202400357</v>
      </c>
      <c r="D7">
        <v>27</v>
      </c>
      <c r="E7">
        <v>76</v>
      </c>
      <c r="F7">
        <v>3</v>
      </c>
      <c r="G7">
        <v>9</v>
      </c>
      <c r="H7">
        <v>0</v>
      </c>
    </row>
    <row r="8" spans="2:13">
      <c r="B8" t="s">
        <v>184</v>
      </c>
      <c r="C8">
        <v>202400183</v>
      </c>
      <c r="D8">
        <v>28</v>
      </c>
      <c r="E8">
        <v>57</v>
      </c>
      <c r="F8">
        <v>6</v>
      </c>
      <c r="G8">
        <v>8</v>
      </c>
      <c r="H8">
        <v>0</v>
      </c>
    </row>
    <row r="9" spans="2:13">
      <c r="B9" t="s">
        <v>475</v>
      </c>
      <c r="C9">
        <v>202400370</v>
      </c>
      <c r="D9">
        <v>29</v>
      </c>
      <c r="E9">
        <v>60</v>
      </c>
      <c r="F9">
        <v>9</v>
      </c>
      <c r="G9">
        <v>8</v>
      </c>
      <c r="H9">
        <v>0</v>
      </c>
    </row>
    <row r="10" spans="2:13">
      <c r="B10" t="s">
        <v>58</v>
      </c>
      <c r="C10">
        <v>202400057</v>
      </c>
      <c r="D10">
        <v>26</v>
      </c>
      <c r="E10">
        <v>99</v>
      </c>
      <c r="F10">
        <v>6</v>
      </c>
      <c r="G10">
        <v>9</v>
      </c>
      <c r="H10">
        <v>0</v>
      </c>
    </row>
    <row r="11" spans="2:13">
      <c r="B11" t="s">
        <v>100</v>
      </c>
      <c r="C11">
        <v>202400099</v>
      </c>
      <c r="D11">
        <v>22</v>
      </c>
      <c r="E11">
        <v>59</v>
      </c>
      <c r="F11">
        <v>4</v>
      </c>
      <c r="G11">
        <v>9</v>
      </c>
      <c r="H11">
        <v>0</v>
      </c>
    </row>
    <row r="12" spans="2:13">
      <c r="B12" t="s">
        <v>185</v>
      </c>
      <c r="C12">
        <v>202400184</v>
      </c>
      <c r="D12">
        <v>23</v>
      </c>
      <c r="E12">
        <v>73</v>
      </c>
      <c r="F12">
        <v>5</v>
      </c>
      <c r="G12">
        <v>8</v>
      </c>
      <c r="H12">
        <v>0</v>
      </c>
    </row>
    <row r="13" spans="2:13">
      <c r="B13" t="s">
        <v>361</v>
      </c>
      <c r="C13">
        <v>202400360</v>
      </c>
      <c r="D13">
        <v>23</v>
      </c>
      <c r="E13">
        <v>76</v>
      </c>
      <c r="F13">
        <v>5</v>
      </c>
      <c r="G13">
        <v>10</v>
      </c>
      <c r="H13">
        <v>0</v>
      </c>
    </row>
    <row r="14" spans="2:13">
      <c r="B14" t="s">
        <v>332</v>
      </c>
      <c r="C14">
        <v>202400331</v>
      </c>
      <c r="D14">
        <v>27</v>
      </c>
      <c r="E14">
        <v>70</v>
      </c>
      <c r="F14">
        <v>10</v>
      </c>
      <c r="G14">
        <v>9</v>
      </c>
      <c r="H14">
        <v>0</v>
      </c>
    </row>
    <row r="15" spans="2:13">
      <c r="B15" t="s">
        <v>231</v>
      </c>
      <c r="C15">
        <v>202400230</v>
      </c>
      <c r="D15">
        <v>30</v>
      </c>
      <c r="E15">
        <v>73</v>
      </c>
      <c r="F15">
        <v>6</v>
      </c>
      <c r="G15">
        <v>9</v>
      </c>
      <c r="H15">
        <v>0</v>
      </c>
    </row>
    <row r="16" spans="2:13">
      <c r="B16" t="s">
        <v>139</v>
      </c>
      <c r="C16">
        <v>202400138</v>
      </c>
      <c r="D16">
        <v>18</v>
      </c>
      <c r="E16">
        <v>95</v>
      </c>
      <c r="F16">
        <v>5</v>
      </c>
      <c r="G16">
        <v>8</v>
      </c>
      <c r="H16">
        <v>0</v>
      </c>
    </row>
    <row r="17" spans="2:8">
      <c r="B17" t="s">
        <v>128</v>
      </c>
      <c r="C17">
        <v>202400127</v>
      </c>
      <c r="D17">
        <v>17</v>
      </c>
      <c r="E17">
        <v>78</v>
      </c>
      <c r="F17">
        <v>5</v>
      </c>
      <c r="G17">
        <v>10</v>
      </c>
      <c r="H17">
        <v>0</v>
      </c>
    </row>
    <row r="18" spans="2:8">
      <c r="B18" t="s">
        <v>199</v>
      </c>
      <c r="C18">
        <v>202400198</v>
      </c>
      <c r="D18">
        <v>26</v>
      </c>
      <c r="E18">
        <v>56</v>
      </c>
      <c r="F18">
        <v>7</v>
      </c>
      <c r="G18">
        <v>8</v>
      </c>
      <c r="H18">
        <v>0</v>
      </c>
    </row>
    <row r="19" spans="2:8">
      <c r="B19" t="s">
        <v>158</v>
      </c>
      <c r="C19">
        <v>202400157</v>
      </c>
      <c r="D19">
        <v>18</v>
      </c>
      <c r="E19">
        <v>97</v>
      </c>
      <c r="F19">
        <v>10</v>
      </c>
      <c r="G19">
        <v>8</v>
      </c>
      <c r="H19">
        <v>0</v>
      </c>
    </row>
    <row r="20" spans="2:8">
      <c r="B20" t="s">
        <v>157</v>
      </c>
      <c r="C20">
        <v>202400156</v>
      </c>
      <c r="D20">
        <v>25</v>
      </c>
      <c r="E20">
        <v>90</v>
      </c>
      <c r="F20">
        <v>7</v>
      </c>
      <c r="G20">
        <v>10</v>
      </c>
      <c r="H20">
        <v>0</v>
      </c>
    </row>
    <row r="21" spans="2:8">
      <c r="B21" t="s">
        <v>211</v>
      </c>
      <c r="C21">
        <v>202400210</v>
      </c>
      <c r="D21">
        <v>12</v>
      </c>
      <c r="E21">
        <v>77</v>
      </c>
      <c r="F21">
        <v>4</v>
      </c>
      <c r="G21">
        <v>8</v>
      </c>
      <c r="H21">
        <v>0</v>
      </c>
    </row>
    <row r="22" spans="2:8">
      <c r="B22" t="s">
        <v>251</v>
      </c>
      <c r="C22">
        <v>202400250</v>
      </c>
      <c r="D22">
        <v>18</v>
      </c>
      <c r="E22">
        <v>50</v>
      </c>
      <c r="F22">
        <v>6</v>
      </c>
      <c r="G22">
        <v>10</v>
      </c>
      <c r="H22">
        <v>0</v>
      </c>
    </row>
    <row r="23" spans="2:8">
      <c r="B23" t="s">
        <v>363</v>
      </c>
      <c r="C23">
        <v>202400362</v>
      </c>
      <c r="D23">
        <v>27</v>
      </c>
      <c r="E23">
        <v>55</v>
      </c>
      <c r="F23">
        <v>4</v>
      </c>
      <c r="G23">
        <v>9</v>
      </c>
      <c r="H23">
        <v>0</v>
      </c>
    </row>
    <row r="24" spans="2:8">
      <c r="B24" t="s">
        <v>41</v>
      </c>
      <c r="C24">
        <v>202400040</v>
      </c>
      <c r="D24">
        <v>23</v>
      </c>
      <c r="E24">
        <v>89</v>
      </c>
      <c r="F24">
        <v>7</v>
      </c>
      <c r="G24">
        <v>8</v>
      </c>
      <c r="H24">
        <v>0</v>
      </c>
    </row>
    <row r="25" spans="2:8">
      <c r="B25" t="s">
        <v>27</v>
      </c>
      <c r="C25">
        <v>202400026</v>
      </c>
      <c r="D25">
        <v>24</v>
      </c>
      <c r="E25">
        <v>65</v>
      </c>
      <c r="F25">
        <v>6</v>
      </c>
      <c r="G25">
        <v>10</v>
      </c>
      <c r="H25">
        <v>0</v>
      </c>
    </row>
    <row r="26" spans="2:8">
      <c r="B26" t="s">
        <v>200</v>
      </c>
      <c r="C26">
        <v>202400199</v>
      </c>
      <c r="D26">
        <v>18</v>
      </c>
      <c r="E26">
        <v>64</v>
      </c>
      <c r="F26">
        <v>9</v>
      </c>
      <c r="G26">
        <v>9</v>
      </c>
      <c r="H26">
        <v>0</v>
      </c>
    </row>
    <row r="27" spans="2:8">
      <c r="B27" t="s">
        <v>44</v>
      </c>
      <c r="C27">
        <v>202400043</v>
      </c>
      <c r="D27">
        <v>16</v>
      </c>
      <c r="E27">
        <v>58</v>
      </c>
      <c r="F27">
        <v>10</v>
      </c>
      <c r="G27">
        <v>9</v>
      </c>
      <c r="H27">
        <v>0</v>
      </c>
    </row>
    <row r="28" spans="2:8">
      <c r="B28" t="s">
        <v>264</v>
      </c>
      <c r="C28">
        <v>202400263</v>
      </c>
      <c r="D28">
        <v>25</v>
      </c>
      <c r="E28">
        <v>52</v>
      </c>
      <c r="F28">
        <v>10</v>
      </c>
      <c r="G28">
        <v>10</v>
      </c>
      <c r="H28">
        <v>0</v>
      </c>
    </row>
    <row r="29" spans="2:8">
      <c r="B29" t="s">
        <v>79</v>
      </c>
      <c r="C29">
        <v>202400078</v>
      </c>
      <c r="D29">
        <v>29</v>
      </c>
      <c r="E29">
        <v>100</v>
      </c>
      <c r="F29">
        <v>9</v>
      </c>
      <c r="G29">
        <v>10</v>
      </c>
      <c r="H29">
        <v>0</v>
      </c>
    </row>
    <row r="30" spans="2:8">
      <c r="B30" t="s">
        <v>197</v>
      </c>
      <c r="C30">
        <v>202400196</v>
      </c>
      <c r="D30">
        <v>14</v>
      </c>
      <c r="E30">
        <v>81</v>
      </c>
      <c r="F30">
        <v>4</v>
      </c>
      <c r="G30">
        <v>8</v>
      </c>
      <c r="H30">
        <v>0</v>
      </c>
    </row>
    <row r="31" spans="2:8">
      <c r="B31" t="s">
        <v>241</v>
      </c>
      <c r="C31">
        <v>202400240</v>
      </c>
      <c r="D31">
        <v>12</v>
      </c>
      <c r="E31">
        <v>72</v>
      </c>
      <c r="F31">
        <v>5</v>
      </c>
      <c r="G31">
        <v>10</v>
      </c>
      <c r="H31">
        <v>0</v>
      </c>
    </row>
    <row r="32" spans="2:8">
      <c r="B32" t="s">
        <v>135</v>
      </c>
      <c r="C32">
        <v>202400134</v>
      </c>
      <c r="D32">
        <v>24</v>
      </c>
      <c r="E32">
        <v>61</v>
      </c>
      <c r="F32">
        <v>7</v>
      </c>
      <c r="G32">
        <v>10</v>
      </c>
      <c r="H32">
        <v>0</v>
      </c>
    </row>
    <row r="33" spans="2:8">
      <c r="B33" t="s">
        <v>156</v>
      </c>
      <c r="C33">
        <v>202400155</v>
      </c>
      <c r="D33">
        <v>13</v>
      </c>
      <c r="E33">
        <v>82</v>
      </c>
      <c r="F33">
        <v>7</v>
      </c>
      <c r="G33">
        <v>9</v>
      </c>
      <c r="H33">
        <v>0</v>
      </c>
    </row>
    <row r="34" spans="2:8">
      <c r="B34" t="s">
        <v>280</v>
      </c>
      <c r="C34">
        <v>202400279</v>
      </c>
      <c r="D34">
        <v>14</v>
      </c>
      <c r="E34">
        <v>57</v>
      </c>
      <c r="F34">
        <v>8</v>
      </c>
      <c r="G34">
        <v>8</v>
      </c>
      <c r="H34">
        <v>0</v>
      </c>
    </row>
    <row r="35" spans="2:8">
      <c r="B35" t="s">
        <v>172</v>
      </c>
      <c r="C35">
        <v>202400171</v>
      </c>
      <c r="D35">
        <v>13</v>
      </c>
      <c r="E35">
        <v>64</v>
      </c>
      <c r="F35">
        <v>4</v>
      </c>
      <c r="G35">
        <v>9</v>
      </c>
      <c r="H35">
        <v>0</v>
      </c>
    </row>
    <row r="36" spans="2:8">
      <c r="B36" t="s">
        <v>341</v>
      </c>
      <c r="C36">
        <v>202400340</v>
      </c>
      <c r="D36">
        <v>27</v>
      </c>
      <c r="E36">
        <v>97</v>
      </c>
      <c r="F36">
        <v>8</v>
      </c>
      <c r="G36">
        <v>9</v>
      </c>
      <c r="H36">
        <v>0</v>
      </c>
    </row>
    <row r="37" spans="2:8">
      <c r="B37" t="s">
        <v>248</v>
      </c>
      <c r="C37">
        <v>202400247</v>
      </c>
      <c r="D37">
        <v>16</v>
      </c>
      <c r="E37">
        <v>89</v>
      </c>
      <c r="F37">
        <v>7</v>
      </c>
      <c r="G37">
        <v>8</v>
      </c>
      <c r="H37">
        <v>0</v>
      </c>
    </row>
    <row r="38" spans="2:8">
      <c r="B38" t="s">
        <v>317</v>
      </c>
      <c r="C38">
        <v>202400316</v>
      </c>
      <c r="D38">
        <v>20</v>
      </c>
      <c r="E38">
        <v>78</v>
      </c>
      <c r="F38">
        <v>10</v>
      </c>
      <c r="G38">
        <v>8</v>
      </c>
      <c r="H38">
        <v>0</v>
      </c>
    </row>
    <row r="39" spans="2:8">
      <c r="B39" t="s">
        <v>102</v>
      </c>
      <c r="C39">
        <v>202400101</v>
      </c>
      <c r="D39">
        <v>21</v>
      </c>
      <c r="E39">
        <v>75</v>
      </c>
      <c r="F39">
        <v>3</v>
      </c>
      <c r="G39">
        <v>8</v>
      </c>
      <c r="H39">
        <v>0</v>
      </c>
    </row>
    <row r="40" spans="2:8">
      <c r="B40" t="s">
        <v>205</v>
      </c>
      <c r="C40">
        <v>202400204</v>
      </c>
      <c r="D40">
        <v>16</v>
      </c>
      <c r="E40">
        <v>74</v>
      </c>
      <c r="F40">
        <v>10</v>
      </c>
      <c r="G40">
        <v>9</v>
      </c>
      <c r="H40">
        <v>0</v>
      </c>
    </row>
    <row r="41" spans="2:8">
      <c r="B41" t="s">
        <v>297</v>
      </c>
      <c r="C41">
        <v>202400296</v>
      </c>
      <c r="D41">
        <v>13</v>
      </c>
      <c r="E41">
        <v>84</v>
      </c>
      <c r="F41">
        <v>9</v>
      </c>
      <c r="G41">
        <v>9</v>
      </c>
      <c r="H41">
        <v>0</v>
      </c>
    </row>
    <row r="42" spans="2:8">
      <c r="B42" t="s">
        <v>138</v>
      </c>
      <c r="C42">
        <v>202400137</v>
      </c>
      <c r="D42">
        <v>13</v>
      </c>
      <c r="E42">
        <v>91</v>
      </c>
      <c r="F42">
        <v>5</v>
      </c>
      <c r="G42">
        <v>10</v>
      </c>
      <c r="H42">
        <v>0</v>
      </c>
    </row>
    <row r="43" spans="2:8">
      <c r="B43" t="s">
        <v>118</v>
      </c>
      <c r="C43">
        <v>202400117</v>
      </c>
      <c r="D43">
        <v>21</v>
      </c>
      <c r="E43">
        <v>54</v>
      </c>
      <c r="F43">
        <v>4</v>
      </c>
      <c r="G43">
        <v>10</v>
      </c>
      <c r="H43">
        <v>0</v>
      </c>
    </row>
    <row r="44" spans="2:8">
      <c r="B44" t="s">
        <v>379</v>
      </c>
      <c r="C44">
        <v>202400378</v>
      </c>
      <c r="D44">
        <v>12</v>
      </c>
      <c r="E44">
        <v>81</v>
      </c>
      <c r="F44">
        <v>6</v>
      </c>
      <c r="G44">
        <v>8</v>
      </c>
      <c r="H44">
        <v>0</v>
      </c>
    </row>
    <row r="45" spans="2:8">
      <c r="B45" t="s">
        <v>164</v>
      </c>
      <c r="C45">
        <v>202400163</v>
      </c>
      <c r="D45">
        <v>16</v>
      </c>
      <c r="E45">
        <v>75</v>
      </c>
      <c r="F45">
        <v>3</v>
      </c>
      <c r="G45">
        <v>10</v>
      </c>
      <c r="H45">
        <v>0</v>
      </c>
    </row>
    <row r="46" spans="2:8">
      <c r="B46" t="s">
        <v>132</v>
      </c>
      <c r="C46">
        <v>202400131</v>
      </c>
      <c r="D46">
        <v>28</v>
      </c>
      <c r="E46">
        <v>74</v>
      </c>
      <c r="F46">
        <v>10</v>
      </c>
      <c r="G46">
        <v>9</v>
      </c>
      <c r="H46">
        <v>0</v>
      </c>
    </row>
    <row r="47" spans="2:8">
      <c r="B47" t="s">
        <v>25</v>
      </c>
      <c r="C47">
        <v>202400024</v>
      </c>
      <c r="D47">
        <v>14</v>
      </c>
      <c r="E47">
        <v>72</v>
      </c>
      <c r="F47">
        <v>3</v>
      </c>
      <c r="G47">
        <v>8</v>
      </c>
      <c r="H47">
        <v>0</v>
      </c>
    </row>
    <row r="48" spans="2:8">
      <c r="B48" t="s">
        <v>277</v>
      </c>
      <c r="C48">
        <v>202400276</v>
      </c>
      <c r="D48">
        <v>28</v>
      </c>
      <c r="E48">
        <v>92</v>
      </c>
      <c r="F48">
        <v>4</v>
      </c>
      <c r="G48">
        <v>9</v>
      </c>
      <c r="H48">
        <v>0</v>
      </c>
    </row>
    <row r="49" spans="2:8">
      <c r="B49" t="s">
        <v>474</v>
      </c>
      <c r="C49">
        <v>202400017</v>
      </c>
      <c r="D49">
        <v>12</v>
      </c>
      <c r="E49">
        <v>58</v>
      </c>
      <c r="F49">
        <v>9</v>
      </c>
      <c r="G49">
        <v>10</v>
      </c>
      <c r="H49">
        <v>0</v>
      </c>
    </row>
    <row r="50" spans="2:8">
      <c r="B50" t="s">
        <v>49</v>
      </c>
      <c r="C50">
        <v>202400048</v>
      </c>
      <c r="D50">
        <v>25</v>
      </c>
      <c r="E50">
        <v>97</v>
      </c>
      <c r="F50">
        <v>6</v>
      </c>
      <c r="G50">
        <v>8</v>
      </c>
      <c r="H50">
        <v>0</v>
      </c>
    </row>
    <row r="51" spans="2:8">
      <c r="B51" t="s">
        <v>344</v>
      </c>
      <c r="C51">
        <v>202400343</v>
      </c>
      <c r="D51">
        <v>30</v>
      </c>
      <c r="E51">
        <v>62</v>
      </c>
      <c r="F51">
        <v>8</v>
      </c>
      <c r="G51">
        <v>9</v>
      </c>
      <c r="H51">
        <v>0</v>
      </c>
    </row>
    <row r="52" spans="2:8">
      <c r="B52" t="s">
        <v>335</v>
      </c>
      <c r="C52">
        <v>202400334</v>
      </c>
      <c r="D52">
        <v>20</v>
      </c>
      <c r="E52">
        <v>73</v>
      </c>
      <c r="F52">
        <v>5</v>
      </c>
      <c r="G52">
        <v>9</v>
      </c>
      <c r="H52">
        <v>0</v>
      </c>
    </row>
    <row r="53" spans="2:8">
      <c r="B53" t="s">
        <v>202</v>
      </c>
      <c r="C53">
        <v>202400201</v>
      </c>
      <c r="D53">
        <v>29</v>
      </c>
      <c r="E53">
        <v>94</v>
      </c>
      <c r="F53">
        <v>3</v>
      </c>
      <c r="G53">
        <v>10</v>
      </c>
      <c r="H53">
        <v>0</v>
      </c>
    </row>
    <row r="54" spans="2:8">
      <c r="B54" t="s">
        <v>213</v>
      </c>
      <c r="C54">
        <v>202400212</v>
      </c>
      <c r="D54">
        <v>20</v>
      </c>
      <c r="E54">
        <v>95</v>
      </c>
      <c r="F54">
        <v>9</v>
      </c>
      <c r="G54">
        <v>8</v>
      </c>
      <c r="H54">
        <v>0</v>
      </c>
    </row>
    <row r="55" spans="2:8">
      <c r="B55" t="s">
        <v>377</v>
      </c>
      <c r="C55">
        <v>202400376</v>
      </c>
      <c r="D55">
        <v>16</v>
      </c>
      <c r="E55">
        <v>71</v>
      </c>
      <c r="F55">
        <v>4</v>
      </c>
      <c r="G55">
        <v>8</v>
      </c>
      <c r="H55">
        <v>0</v>
      </c>
    </row>
    <row r="56" spans="2:8">
      <c r="B56" t="s">
        <v>399</v>
      </c>
      <c r="C56">
        <v>202400398</v>
      </c>
      <c r="D56">
        <v>12</v>
      </c>
      <c r="E56">
        <v>63</v>
      </c>
      <c r="F56">
        <v>4</v>
      </c>
      <c r="G56">
        <v>9</v>
      </c>
      <c r="H56">
        <v>0</v>
      </c>
    </row>
    <row r="57" spans="2:8">
      <c r="B57" t="s">
        <v>307</v>
      </c>
      <c r="C57">
        <v>202400306</v>
      </c>
      <c r="D57">
        <v>19</v>
      </c>
      <c r="E57">
        <v>86</v>
      </c>
      <c r="F57">
        <v>4</v>
      </c>
      <c r="G57">
        <v>9</v>
      </c>
      <c r="H57">
        <v>0</v>
      </c>
    </row>
    <row r="58" spans="2:8">
      <c r="B58" t="s">
        <v>247</v>
      </c>
      <c r="C58">
        <v>202400246</v>
      </c>
      <c r="D58">
        <v>30</v>
      </c>
      <c r="E58">
        <v>59</v>
      </c>
      <c r="F58">
        <v>6</v>
      </c>
      <c r="G58">
        <v>9</v>
      </c>
      <c r="H58">
        <v>0</v>
      </c>
    </row>
    <row r="59" spans="2:8">
      <c r="B59" t="s">
        <v>283</v>
      </c>
      <c r="C59">
        <v>202400282</v>
      </c>
      <c r="D59">
        <v>14</v>
      </c>
      <c r="E59">
        <v>67</v>
      </c>
      <c r="F59">
        <v>7</v>
      </c>
      <c r="G59">
        <v>9</v>
      </c>
      <c r="H59">
        <v>0</v>
      </c>
    </row>
    <row r="60" spans="2:8">
      <c r="B60" t="s">
        <v>380</v>
      </c>
      <c r="C60">
        <v>202400379</v>
      </c>
      <c r="D60">
        <v>19</v>
      </c>
      <c r="E60">
        <v>98</v>
      </c>
      <c r="F60">
        <v>10</v>
      </c>
      <c r="G60">
        <v>9</v>
      </c>
      <c r="H60">
        <v>0</v>
      </c>
    </row>
    <row r="61" spans="2:8">
      <c r="B61" t="s">
        <v>93</v>
      </c>
      <c r="C61">
        <v>202400092</v>
      </c>
      <c r="D61">
        <v>17</v>
      </c>
      <c r="E61">
        <v>85</v>
      </c>
      <c r="F61">
        <v>3</v>
      </c>
      <c r="G61">
        <v>9</v>
      </c>
      <c r="H61">
        <v>0</v>
      </c>
    </row>
    <row r="62" spans="2:8">
      <c r="B62" t="s">
        <v>121</v>
      </c>
      <c r="C62">
        <v>202400120</v>
      </c>
      <c r="D62">
        <v>28</v>
      </c>
      <c r="E62">
        <v>59</v>
      </c>
      <c r="F62">
        <v>8</v>
      </c>
      <c r="G62">
        <v>10</v>
      </c>
      <c r="H62">
        <v>0</v>
      </c>
    </row>
    <row r="63" spans="2:8">
      <c r="B63" t="s">
        <v>299</v>
      </c>
      <c r="C63">
        <v>202400298</v>
      </c>
      <c r="D63">
        <v>24</v>
      </c>
      <c r="E63">
        <v>96</v>
      </c>
      <c r="F63">
        <v>6</v>
      </c>
      <c r="G63">
        <v>8</v>
      </c>
      <c r="H63">
        <v>0</v>
      </c>
    </row>
    <row r="64" spans="2:8">
      <c r="B64" t="s">
        <v>181</v>
      </c>
      <c r="C64">
        <v>202400180</v>
      </c>
      <c r="D64">
        <v>30</v>
      </c>
      <c r="E64">
        <v>96</v>
      </c>
      <c r="F64">
        <v>7</v>
      </c>
      <c r="G64">
        <v>10</v>
      </c>
      <c r="H64">
        <v>0</v>
      </c>
    </row>
    <row r="65" spans="2:8">
      <c r="B65" t="s">
        <v>16</v>
      </c>
      <c r="C65">
        <v>202400015</v>
      </c>
      <c r="D65">
        <v>11</v>
      </c>
      <c r="E65">
        <v>92</v>
      </c>
      <c r="F65">
        <v>5</v>
      </c>
      <c r="G65">
        <v>8</v>
      </c>
      <c r="H65">
        <v>0</v>
      </c>
    </row>
    <row r="66" spans="2:8">
      <c r="B66" t="s">
        <v>238</v>
      </c>
      <c r="C66">
        <v>202400237</v>
      </c>
      <c r="D66">
        <v>15</v>
      </c>
      <c r="E66">
        <v>94</v>
      </c>
      <c r="F66">
        <v>4</v>
      </c>
      <c r="G66">
        <v>8</v>
      </c>
      <c r="H66">
        <v>0</v>
      </c>
    </row>
    <row r="67" spans="2:8">
      <c r="B67" t="s">
        <v>256</v>
      </c>
      <c r="C67">
        <v>202400255</v>
      </c>
      <c r="D67">
        <v>12</v>
      </c>
      <c r="E67">
        <v>53</v>
      </c>
      <c r="F67">
        <v>8</v>
      </c>
      <c r="G67">
        <v>9</v>
      </c>
      <c r="H67">
        <v>0</v>
      </c>
    </row>
    <row r="68" spans="2:8">
      <c r="B68" t="s">
        <v>88</v>
      </c>
      <c r="C68">
        <v>202400087</v>
      </c>
      <c r="D68">
        <v>18</v>
      </c>
      <c r="E68">
        <v>61</v>
      </c>
      <c r="F68">
        <v>5</v>
      </c>
      <c r="G68">
        <v>9</v>
      </c>
      <c r="H68">
        <v>0</v>
      </c>
    </row>
    <row r="69" spans="2:8">
      <c r="B69" t="s">
        <v>349</v>
      </c>
      <c r="C69">
        <v>202400348</v>
      </c>
      <c r="D69">
        <v>20</v>
      </c>
      <c r="E69">
        <v>66</v>
      </c>
      <c r="F69">
        <v>4</v>
      </c>
      <c r="G69">
        <v>9</v>
      </c>
      <c r="H69">
        <v>0</v>
      </c>
    </row>
    <row r="70" spans="2:8">
      <c r="B70" t="s">
        <v>328</v>
      </c>
      <c r="C70">
        <v>202400327</v>
      </c>
      <c r="D70">
        <v>10</v>
      </c>
      <c r="E70">
        <v>96</v>
      </c>
      <c r="F70">
        <v>4</v>
      </c>
      <c r="G70">
        <v>9</v>
      </c>
      <c r="H70">
        <v>0</v>
      </c>
    </row>
    <row r="71" spans="2:8">
      <c r="B71" t="s">
        <v>246</v>
      </c>
      <c r="C71">
        <v>202400245</v>
      </c>
      <c r="D71">
        <v>23</v>
      </c>
      <c r="E71">
        <v>60</v>
      </c>
      <c r="F71">
        <v>3</v>
      </c>
      <c r="G71">
        <v>8</v>
      </c>
      <c r="H71">
        <v>0</v>
      </c>
    </row>
    <row r="72" spans="2:8">
      <c r="B72" t="s">
        <v>263</v>
      </c>
      <c r="C72">
        <v>202400262</v>
      </c>
      <c r="D72">
        <v>13</v>
      </c>
      <c r="E72">
        <v>74</v>
      </c>
      <c r="F72">
        <v>8</v>
      </c>
      <c r="G72">
        <v>9</v>
      </c>
      <c r="H72">
        <v>0</v>
      </c>
    </row>
    <row r="73" spans="2:8">
      <c r="B73" t="s">
        <v>314</v>
      </c>
      <c r="C73">
        <v>202400313</v>
      </c>
      <c r="D73">
        <v>15</v>
      </c>
      <c r="E73">
        <v>64</v>
      </c>
      <c r="F73">
        <v>7</v>
      </c>
      <c r="G73">
        <v>8</v>
      </c>
      <c r="H73">
        <v>0</v>
      </c>
    </row>
    <row r="74" spans="2:8">
      <c r="B74" t="s">
        <v>161</v>
      </c>
      <c r="C74">
        <v>202400160</v>
      </c>
      <c r="D74">
        <v>23</v>
      </c>
      <c r="E74">
        <v>87</v>
      </c>
      <c r="F74">
        <v>3</v>
      </c>
      <c r="G74">
        <v>9</v>
      </c>
      <c r="H74">
        <v>0</v>
      </c>
    </row>
    <row r="75" spans="2:8">
      <c r="B75" t="s">
        <v>179</v>
      </c>
      <c r="C75">
        <v>202400178</v>
      </c>
      <c r="D75">
        <v>18</v>
      </c>
      <c r="E75">
        <v>91</v>
      </c>
      <c r="F75">
        <v>8</v>
      </c>
      <c r="G75">
        <v>8</v>
      </c>
      <c r="H75">
        <v>0</v>
      </c>
    </row>
    <row r="76" spans="2:8">
      <c r="B76" t="s">
        <v>320</v>
      </c>
      <c r="C76">
        <v>202400319</v>
      </c>
      <c r="D76">
        <v>21</v>
      </c>
      <c r="E76">
        <v>95</v>
      </c>
      <c r="F76">
        <v>8</v>
      </c>
      <c r="G76">
        <v>8</v>
      </c>
      <c r="H76">
        <v>0</v>
      </c>
    </row>
    <row r="77" spans="2:8">
      <c r="B77" t="s">
        <v>388</v>
      </c>
      <c r="C77">
        <v>202400387</v>
      </c>
      <c r="D77">
        <v>26</v>
      </c>
      <c r="E77">
        <v>96</v>
      </c>
      <c r="F77">
        <v>3</v>
      </c>
      <c r="G77">
        <v>10</v>
      </c>
      <c r="H77">
        <v>0</v>
      </c>
    </row>
    <row r="78" spans="2:8">
      <c r="B78" t="s">
        <v>0</v>
      </c>
      <c r="C78">
        <v>202400001</v>
      </c>
      <c r="D78">
        <v>14</v>
      </c>
      <c r="E78">
        <v>80</v>
      </c>
      <c r="F78">
        <v>6</v>
      </c>
      <c r="G78">
        <v>9</v>
      </c>
      <c r="H78">
        <v>0</v>
      </c>
    </row>
    <row r="79" spans="2:8">
      <c r="B79" t="s">
        <v>54</v>
      </c>
      <c r="C79">
        <v>202400053</v>
      </c>
      <c r="D79">
        <v>11</v>
      </c>
      <c r="E79">
        <v>88</v>
      </c>
      <c r="F79">
        <v>4</v>
      </c>
      <c r="G79">
        <v>10</v>
      </c>
      <c r="H79">
        <v>0</v>
      </c>
    </row>
    <row r="80" spans="2:8">
      <c r="B80" t="s">
        <v>244</v>
      </c>
      <c r="C80">
        <v>202400243</v>
      </c>
      <c r="D80">
        <v>24</v>
      </c>
      <c r="E80">
        <v>79</v>
      </c>
      <c r="F80">
        <v>9</v>
      </c>
      <c r="G80">
        <v>8</v>
      </c>
      <c r="H80">
        <v>0</v>
      </c>
    </row>
    <row r="81" spans="2:8">
      <c r="B81" t="s">
        <v>467</v>
      </c>
      <c r="C81">
        <v>202400023</v>
      </c>
      <c r="D81">
        <v>14</v>
      </c>
      <c r="E81">
        <v>99</v>
      </c>
      <c r="F81">
        <v>5</v>
      </c>
      <c r="G81">
        <v>9</v>
      </c>
      <c r="H81">
        <v>0</v>
      </c>
    </row>
    <row r="82" spans="2:8">
      <c r="B82" t="s">
        <v>77</v>
      </c>
      <c r="C82">
        <v>202400076</v>
      </c>
      <c r="D82">
        <v>27</v>
      </c>
      <c r="E82">
        <v>81</v>
      </c>
      <c r="F82">
        <v>3</v>
      </c>
      <c r="G82">
        <v>10</v>
      </c>
      <c r="H82">
        <v>0</v>
      </c>
    </row>
    <row r="83" spans="2:8">
      <c r="B83" t="s">
        <v>261</v>
      </c>
      <c r="C83">
        <v>202400260</v>
      </c>
      <c r="D83">
        <v>10</v>
      </c>
      <c r="E83">
        <v>82</v>
      </c>
      <c r="F83">
        <v>5</v>
      </c>
      <c r="G83">
        <v>8</v>
      </c>
      <c r="H83">
        <v>0</v>
      </c>
    </row>
    <row r="84" spans="2:8">
      <c r="B84" t="s">
        <v>338</v>
      </c>
      <c r="C84">
        <v>202400337</v>
      </c>
      <c r="D84">
        <v>19</v>
      </c>
      <c r="E84">
        <v>84</v>
      </c>
      <c r="F84">
        <v>9</v>
      </c>
      <c r="G84">
        <v>8</v>
      </c>
      <c r="H84">
        <v>0</v>
      </c>
    </row>
    <row r="85" spans="2:8">
      <c r="B85" t="s">
        <v>374</v>
      </c>
      <c r="C85">
        <v>202400373</v>
      </c>
      <c r="D85">
        <v>29</v>
      </c>
      <c r="E85">
        <v>92</v>
      </c>
      <c r="F85">
        <v>6</v>
      </c>
      <c r="G85">
        <v>8</v>
      </c>
      <c r="H85">
        <v>0</v>
      </c>
    </row>
    <row r="86" spans="2:8">
      <c r="B86" t="s">
        <v>42</v>
      </c>
      <c r="C86">
        <v>202400041</v>
      </c>
      <c r="D86">
        <v>23</v>
      </c>
      <c r="E86">
        <v>67</v>
      </c>
      <c r="F86">
        <v>7</v>
      </c>
      <c r="G86">
        <v>9</v>
      </c>
      <c r="H86">
        <v>0</v>
      </c>
    </row>
    <row r="87" spans="2:8">
      <c r="B87" t="s">
        <v>295</v>
      </c>
      <c r="C87">
        <v>202400294</v>
      </c>
      <c r="D87">
        <v>21</v>
      </c>
      <c r="E87">
        <v>59</v>
      </c>
      <c r="F87">
        <v>5</v>
      </c>
      <c r="G87">
        <v>9</v>
      </c>
      <c r="H87">
        <v>0</v>
      </c>
    </row>
    <row r="88" spans="2:8">
      <c r="B88" t="s">
        <v>348</v>
      </c>
      <c r="C88">
        <v>202400347</v>
      </c>
      <c r="D88">
        <v>19</v>
      </c>
      <c r="E88">
        <v>88</v>
      </c>
      <c r="F88">
        <v>9</v>
      </c>
      <c r="G88">
        <v>9</v>
      </c>
      <c r="H88">
        <v>0</v>
      </c>
    </row>
    <row r="89" spans="2:8">
      <c r="B89" t="s">
        <v>339</v>
      </c>
      <c r="C89">
        <v>202400338</v>
      </c>
      <c r="D89">
        <v>21</v>
      </c>
      <c r="E89">
        <v>65</v>
      </c>
      <c r="F89">
        <v>7</v>
      </c>
      <c r="G89">
        <v>8</v>
      </c>
      <c r="H89">
        <v>0</v>
      </c>
    </row>
    <row r="90" spans="2:8">
      <c r="B90" t="s">
        <v>232</v>
      </c>
      <c r="C90">
        <v>202400231</v>
      </c>
      <c r="D90">
        <v>23</v>
      </c>
      <c r="E90">
        <v>65</v>
      </c>
      <c r="F90">
        <v>6</v>
      </c>
      <c r="G90">
        <v>10</v>
      </c>
      <c r="H90">
        <v>0</v>
      </c>
    </row>
    <row r="91" spans="2:8">
      <c r="B91" t="s">
        <v>329</v>
      </c>
      <c r="C91">
        <v>202400328</v>
      </c>
      <c r="D91">
        <v>29</v>
      </c>
      <c r="E91">
        <v>83</v>
      </c>
      <c r="F91">
        <v>3</v>
      </c>
      <c r="G91">
        <v>9</v>
      </c>
      <c r="H91">
        <v>0</v>
      </c>
    </row>
    <row r="92" spans="2:8">
      <c r="B92" t="s">
        <v>2</v>
      </c>
      <c r="C92">
        <v>202400002</v>
      </c>
      <c r="D92">
        <v>19</v>
      </c>
      <c r="E92">
        <v>89</v>
      </c>
      <c r="F92">
        <v>9</v>
      </c>
      <c r="G92">
        <v>9</v>
      </c>
      <c r="H92">
        <v>0</v>
      </c>
    </row>
    <row r="93" spans="2:8">
      <c r="B93" t="s">
        <v>269</v>
      </c>
      <c r="C93">
        <v>202400268</v>
      </c>
      <c r="D93">
        <v>25</v>
      </c>
      <c r="E93">
        <v>66</v>
      </c>
      <c r="F93">
        <v>3</v>
      </c>
      <c r="G93">
        <v>9</v>
      </c>
      <c r="H93">
        <v>0</v>
      </c>
    </row>
    <row r="94" spans="2:8">
      <c r="B94" t="s">
        <v>13</v>
      </c>
      <c r="C94">
        <v>202400012</v>
      </c>
      <c r="D94">
        <v>19</v>
      </c>
      <c r="E94">
        <v>59</v>
      </c>
      <c r="F94">
        <v>7</v>
      </c>
      <c r="G94">
        <v>9</v>
      </c>
      <c r="H9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8981-65F0-C642-845D-0239B561A63F}">
  <dimension ref="A1:C393"/>
  <sheetViews>
    <sheetView view="pageBreakPreview" zoomScale="91" zoomScaleNormal="68" zoomScaleSheetLayoutView="100" workbookViewId="0">
      <selection activeCell="B9" sqref="B9"/>
    </sheetView>
  </sheetViews>
  <sheetFormatPr baseColWidth="10" defaultRowHeight="18"/>
  <cols>
    <col min="1" max="1" width="4.140625" style="6" customWidth="1"/>
    <col min="2" max="2" width="15.42578125" customWidth="1"/>
  </cols>
  <sheetData>
    <row r="1" spans="1:3">
      <c r="A1" s="10"/>
      <c r="B1" s="11" t="s">
        <v>441</v>
      </c>
      <c r="C1" s="11" t="s">
        <v>458</v>
      </c>
    </row>
    <row r="2" spans="1:3">
      <c r="A2" s="14"/>
      <c r="B2" s="18"/>
      <c r="C2" s="18"/>
    </row>
    <row r="3" spans="1:3">
      <c r="A3" s="32">
        <v>1</v>
      </c>
      <c r="B3" s="17" t="s">
        <v>479</v>
      </c>
      <c r="C3" s="20">
        <v>12345678</v>
      </c>
    </row>
    <row r="26" spans="2:3" s="6" customFormat="1" hidden="1">
      <c r="B26"/>
      <c r="C26"/>
    </row>
    <row r="27" spans="2:3" s="6" customFormat="1" hidden="1">
      <c r="B27"/>
      <c r="C27"/>
    </row>
    <row r="28" spans="2:3" s="6" customFormat="1" hidden="1">
      <c r="B28"/>
      <c r="C28"/>
    </row>
    <row r="29" spans="2:3" s="6" customFormat="1" hidden="1">
      <c r="B29"/>
      <c r="C29"/>
    </row>
    <row r="30" spans="2:3" s="6" customFormat="1" hidden="1">
      <c r="B30"/>
      <c r="C30"/>
    </row>
    <row r="31" spans="2:3" s="6" customFormat="1" hidden="1">
      <c r="B31"/>
      <c r="C31"/>
    </row>
    <row r="32" spans="2:3" s="6" customFormat="1" hidden="1">
      <c r="B32"/>
      <c r="C32"/>
    </row>
    <row r="33" spans="2:3" s="6" customFormat="1" hidden="1">
      <c r="B33"/>
      <c r="C33"/>
    </row>
    <row r="34" spans="2:3" s="6" customFormat="1" hidden="1">
      <c r="B34"/>
      <c r="C34"/>
    </row>
    <row r="35" spans="2:3" s="6" customFormat="1" hidden="1">
      <c r="B35"/>
      <c r="C35"/>
    </row>
    <row r="36" spans="2:3" s="6" customFormat="1" hidden="1">
      <c r="B36"/>
      <c r="C36"/>
    </row>
    <row r="37" spans="2:3" s="6" customFormat="1" hidden="1">
      <c r="B37"/>
      <c r="C37"/>
    </row>
    <row r="38" spans="2:3" s="6" customFormat="1" hidden="1">
      <c r="B38"/>
      <c r="C38"/>
    </row>
    <row r="39" spans="2:3" s="6" customFormat="1" hidden="1">
      <c r="B39"/>
      <c r="C39"/>
    </row>
    <row r="40" spans="2:3" s="6" customFormat="1" hidden="1">
      <c r="B40"/>
      <c r="C40"/>
    </row>
    <row r="41" spans="2:3" s="6" customFormat="1" hidden="1">
      <c r="B41"/>
      <c r="C41"/>
    </row>
    <row r="42" spans="2:3" s="6" customFormat="1" hidden="1">
      <c r="B42"/>
      <c r="C42"/>
    </row>
    <row r="43" spans="2:3" s="6" customFormat="1" hidden="1">
      <c r="B43"/>
      <c r="C43"/>
    </row>
    <row r="44" spans="2:3" s="6" customFormat="1" hidden="1">
      <c r="B44"/>
      <c r="C44"/>
    </row>
    <row r="45" spans="2:3" s="6" customFormat="1" hidden="1">
      <c r="B45"/>
      <c r="C45"/>
    </row>
    <row r="46" spans="2:3" s="6" customFormat="1" hidden="1">
      <c r="B46"/>
      <c r="C46"/>
    </row>
    <row r="47" spans="2:3" s="6" customFormat="1" hidden="1">
      <c r="B47"/>
      <c r="C47"/>
    </row>
    <row r="48" spans="2:3" s="6" customFormat="1" hidden="1">
      <c r="B48"/>
      <c r="C48"/>
    </row>
    <row r="49" spans="2:3" s="6" customFormat="1" hidden="1">
      <c r="B49"/>
      <c r="C49"/>
    </row>
    <row r="50" spans="2:3" s="6" customFormat="1" hidden="1">
      <c r="B50"/>
      <c r="C50"/>
    </row>
    <row r="51" spans="2:3" s="6" customFormat="1" hidden="1">
      <c r="B51"/>
      <c r="C51"/>
    </row>
    <row r="52" spans="2:3" s="6" customFormat="1" hidden="1">
      <c r="B52"/>
      <c r="C52"/>
    </row>
    <row r="53" spans="2:3" s="6" customFormat="1" hidden="1">
      <c r="B53"/>
      <c r="C53"/>
    </row>
    <row r="54" spans="2:3" s="6" customFormat="1" hidden="1">
      <c r="B54"/>
      <c r="C54"/>
    </row>
    <row r="55" spans="2:3" s="6" customFormat="1" hidden="1">
      <c r="B55"/>
      <c r="C55"/>
    </row>
    <row r="56" spans="2:3" s="6" customFormat="1" hidden="1">
      <c r="B56"/>
      <c r="C56"/>
    </row>
    <row r="57" spans="2:3" s="6" customFormat="1" hidden="1">
      <c r="B57"/>
      <c r="C57"/>
    </row>
    <row r="58" spans="2:3" s="6" customFormat="1" hidden="1">
      <c r="B58"/>
      <c r="C58"/>
    </row>
    <row r="59" spans="2:3" s="6" customFormat="1" hidden="1">
      <c r="B59"/>
      <c r="C59"/>
    </row>
    <row r="60" spans="2:3" s="6" customFormat="1" hidden="1">
      <c r="B60"/>
      <c r="C60"/>
    </row>
    <row r="61" spans="2:3" s="6" customFormat="1" hidden="1">
      <c r="B61"/>
      <c r="C61"/>
    </row>
    <row r="62" spans="2:3" s="6" customFormat="1" hidden="1">
      <c r="B62"/>
      <c r="C62"/>
    </row>
    <row r="63" spans="2:3" s="6" customFormat="1" hidden="1">
      <c r="B63"/>
      <c r="C63"/>
    </row>
    <row r="64" spans="2:3" s="6" customFormat="1" hidden="1">
      <c r="B64"/>
      <c r="C64"/>
    </row>
    <row r="65" spans="2:3" s="6" customFormat="1" hidden="1">
      <c r="B65"/>
      <c r="C65"/>
    </row>
    <row r="66" spans="2:3" s="6" customFormat="1" hidden="1">
      <c r="B66"/>
      <c r="C66"/>
    </row>
    <row r="67" spans="2:3" s="6" customFormat="1" hidden="1">
      <c r="B67"/>
      <c r="C67"/>
    </row>
    <row r="68" spans="2:3" s="6" customFormat="1" hidden="1">
      <c r="B68"/>
      <c r="C68"/>
    </row>
    <row r="69" spans="2:3" s="6" customFormat="1" hidden="1">
      <c r="B69"/>
      <c r="C69"/>
    </row>
    <row r="70" spans="2:3" s="6" customFormat="1" hidden="1">
      <c r="B70"/>
      <c r="C70"/>
    </row>
    <row r="71" spans="2:3" s="6" customFormat="1" hidden="1">
      <c r="B71"/>
      <c r="C71"/>
    </row>
    <row r="72" spans="2:3" s="6" customFormat="1" hidden="1">
      <c r="B72"/>
      <c r="C72"/>
    </row>
    <row r="73" spans="2:3" s="6" customFormat="1" hidden="1">
      <c r="B73"/>
      <c r="C73"/>
    </row>
    <row r="74" spans="2:3" s="6" customFormat="1" hidden="1">
      <c r="B74"/>
      <c r="C74"/>
    </row>
    <row r="75" spans="2:3" s="6" customFormat="1" hidden="1">
      <c r="B75"/>
      <c r="C75"/>
    </row>
    <row r="76" spans="2:3" s="6" customFormat="1" hidden="1">
      <c r="B76"/>
      <c r="C76"/>
    </row>
    <row r="77" spans="2:3" s="6" customFormat="1" hidden="1">
      <c r="B77"/>
      <c r="C77"/>
    </row>
    <row r="78" spans="2:3" s="6" customFormat="1" hidden="1">
      <c r="B78"/>
      <c r="C78"/>
    </row>
    <row r="79" spans="2:3" s="6" customFormat="1" hidden="1">
      <c r="B79"/>
      <c r="C79"/>
    </row>
    <row r="80" spans="2:3" s="6" customFormat="1" hidden="1">
      <c r="B80"/>
      <c r="C80"/>
    </row>
    <row r="81" spans="2:3" s="6" customFormat="1" hidden="1">
      <c r="B81"/>
      <c r="C81"/>
    </row>
    <row r="82" spans="2:3" s="6" customFormat="1" hidden="1">
      <c r="B82"/>
      <c r="C82"/>
    </row>
    <row r="83" spans="2:3" s="6" customFormat="1" hidden="1">
      <c r="B83"/>
      <c r="C83"/>
    </row>
    <row r="84" spans="2:3" s="6" customFormat="1" hidden="1">
      <c r="B84"/>
      <c r="C84"/>
    </row>
    <row r="85" spans="2:3" s="6" customFormat="1" hidden="1">
      <c r="B85"/>
      <c r="C85"/>
    </row>
    <row r="86" spans="2:3" s="6" customFormat="1" hidden="1">
      <c r="B86"/>
      <c r="C86"/>
    </row>
    <row r="87" spans="2:3" s="6" customFormat="1" hidden="1">
      <c r="B87"/>
      <c r="C87"/>
    </row>
    <row r="88" spans="2:3" s="6" customFormat="1" hidden="1">
      <c r="B88"/>
      <c r="C88"/>
    </row>
    <row r="89" spans="2:3" s="6" customFormat="1" hidden="1">
      <c r="B89"/>
      <c r="C89"/>
    </row>
    <row r="90" spans="2:3" s="6" customFormat="1" hidden="1">
      <c r="B90"/>
      <c r="C90"/>
    </row>
    <row r="91" spans="2:3" s="6" customFormat="1" hidden="1">
      <c r="B91"/>
      <c r="C91"/>
    </row>
    <row r="92" spans="2:3" s="6" customFormat="1" hidden="1">
      <c r="B92"/>
      <c r="C92"/>
    </row>
    <row r="93" spans="2:3" s="6" customFormat="1" hidden="1">
      <c r="B93"/>
      <c r="C93"/>
    </row>
    <row r="94" spans="2:3" s="6" customFormat="1" hidden="1">
      <c r="B94"/>
      <c r="C94"/>
    </row>
    <row r="95" spans="2:3" s="6" customFormat="1" hidden="1">
      <c r="B95"/>
      <c r="C95"/>
    </row>
    <row r="96" spans="2:3" s="6" customFormat="1" hidden="1">
      <c r="B96"/>
      <c r="C96"/>
    </row>
    <row r="97" spans="2:3" s="6" customFormat="1" hidden="1">
      <c r="B97"/>
      <c r="C97"/>
    </row>
    <row r="98" spans="2:3" s="6" customFormat="1" hidden="1">
      <c r="B98"/>
      <c r="C98"/>
    </row>
    <row r="99" spans="2:3" s="6" customFormat="1" hidden="1">
      <c r="B99"/>
      <c r="C99"/>
    </row>
    <row r="100" spans="2:3" s="6" customFormat="1" hidden="1">
      <c r="B100"/>
      <c r="C100"/>
    </row>
    <row r="101" spans="2:3" s="6" customFormat="1" hidden="1">
      <c r="B101"/>
      <c r="C101"/>
    </row>
    <row r="102" spans="2:3" s="6" customFormat="1" hidden="1">
      <c r="B102"/>
      <c r="C102"/>
    </row>
    <row r="103" spans="2:3" s="6" customFormat="1" hidden="1">
      <c r="B103"/>
      <c r="C103"/>
    </row>
    <row r="104" spans="2:3" s="6" customFormat="1" hidden="1">
      <c r="B104"/>
      <c r="C104"/>
    </row>
    <row r="105" spans="2:3" s="6" customFormat="1" hidden="1">
      <c r="B105"/>
      <c r="C105"/>
    </row>
    <row r="106" spans="2:3" s="6" customFormat="1" hidden="1">
      <c r="B106"/>
      <c r="C106"/>
    </row>
    <row r="107" spans="2:3" s="6" customFormat="1" hidden="1">
      <c r="B107"/>
      <c r="C107"/>
    </row>
    <row r="108" spans="2:3" s="6" customFormat="1" hidden="1">
      <c r="B108"/>
      <c r="C108"/>
    </row>
    <row r="109" spans="2:3" s="6" customFormat="1" hidden="1">
      <c r="B109"/>
      <c r="C109"/>
    </row>
    <row r="110" spans="2:3" s="6" customFormat="1" hidden="1">
      <c r="B110"/>
      <c r="C110"/>
    </row>
    <row r="111" spans="2:3" s="6" customFormat="1" hidden="1">
      <c r="B111"/>
      <c r="C111"/>
    </row>
    <row r="112" spans="2:3" s="6" customFormat="1" hidden="1">
      <c r="B112"/>
      <c r="C112"/>
    </row>
    <row r="113" spans="2:3" s="6" customFormat="1" hidden="1">
      <c r="B113"/>
      <c r="C113"/>
    </row>
    <row r="114" spans="2:3" s="6" customFormat="1" hidden="1">
      <c r="B114"/>
      <c r="C114"/>
    </row>
    <row r="115" spans="2:3" s="6" customFormat="1" hidden="1">
      <c r="B115"/>
      <c r="C115"/>
    </row>
    <row r="116" spans="2:3" s="6" customFormat="1" hidden="1">
      <c r="B116"/>
      <c r="C116"/>
    </row>
    <row r="117" spans="2:3" s="6" customFormat="1" hidden="1">
      <c r="B117"/>
      <c r="C117"/>
    </row>
    <row r="118" spans="2:3" s="6" customFormat="1" hidden="1">
      <c r="B118"/>
      <c r="C118"/>
    </row>
    <row r="119" spans="2:3" s="6" customFormat="1" hidden="1">
      <c r="B119"/>
      <c r="C119"/>
    </row>
    <row r="120" spans="2:3" s="6" customFormat="1" hidden="1">
      <c r="B120"/>
      <c r="C120"/>
    </row>
    <row r="121" spans="2:3" s="6" customFormat="1" hidden="1">
      <c r="B121"/>
      <c r="C121"/>
    </row>
    <row r="122" spans="2:3" s="6" customFormat="1" hidden="1">
      <c r="B122"/>
      <c r="C122"/>
    </row>
    <row r="123" spans="2:3" s="6" customFormat="1" hidden="1">
      <c r="B123"/>
      <c r="C123"/>
    </row>
    <row r="124" spans="2:3" s="6" customFormat="1" hidden="1">
      <c r="B124"/>
      <c r="C124"/>
    </row>
    <row r="125" spans="2:3" s="6" customFormat="1" hidden="1">
      <c r="B125"/>
      <c r="C125"/>
    </row>
    <row r="126" spans="2:3" s="6" customFormat="1" hidden="1">
      <c r="B126"/>
      <c r="C126"/>
    </row>
    <row r="127" spans="2:3" s="6" customFormat="1" hidden="1">
      <c r="B127"/>
      <c r="C127"/>
    </row>
    <row r="128" spans="2:3" s="6" customFormat="1" hidden="1">
      <c r="B128"/>
      <c r="C128"/>
    </row>
    <row r="129" spans="2:3" s="6" customFormat="1" hidden="1">
      <c r="B129"/>
      <c r="C129"/>
    </row>
    <row r="130" spans="2:3" s="6" customFormat="1" hidden="1">
      <c r="B130"/>
      <c r="C130"/>
    </row>
    <row r="131" spans="2:3" s="6" customFormat="1" hidden="1">
      <c r="B131"/>
      <c r="C131"/>
    </row>
    <row r="132" spans="2:3" s="6" customFormat="1" hidden="1">
      <c r="B132"/>
      <c r="C132"/>
    </row>
    <row r="133" spans="2:3" s="6" customFormat="1" hidden="1">
      <c r="B133"/>
      <c r="C133"/>
    </row>
    <row r="134" spans="2:3" s="6" customFormat="1" hidden="1">
      <c r="B134"/>
      <c r="C134"/>
    </row>
    <row r="135" spans="2:3" s="6" customFormat="1" hidden="1">
      <c r="B135"/>
      <c r="C135"/>
    </row>
    <row r="136" spans="2:3" s="6" customFormat="1" hidden="1">
      <c r="B136"/>
      <c r="C136"/>
    </row>
    <row r="137" spans="2:3" s="6" customFormat="1" hidden="1">
      <c r="B137"/>
      <c r="C137"/>
    </row>
    <row r="138" spans="2:3" s="6" customFormat="1" hidden="1">
      <c r="B138"/>
      <c r="C138"/>
    </row>
    <row r="139" spans="2:3" s="6" customFormat="1" hidden="1">
      <c r="B139"/>
      <c r="C139"/>
    </row>
    <row r="140" spans="2:3" s="6" customFormat="1" hidden="1">
      <c r="B140"/>
      <c r="C140"/>
    </row>
    <row r="141" spans="2:3" s="6" customFormat="1" hidden="1">
      <c r="B141"/>
      <c r="C141"/>
    </row>
    <row r="142" spans="2:3" s="6" customFormat="1" hidden="1">
      <c r="B142"/>
      <c r="C142"/>
    </row>
    <row r="143" spans="2:3" s="6" customFormat="1" hidden="1">
      <c r="B143"/>
      <c r="C143"/>
    </row>
    <row r="144" spans="2:3" s="6" customFormat="1" hidden="1">
      <c r="B144"/>
      <c r="C144"/>
    </row>
    <row r="145" spans="2:3" s="6" customFormat="1" hidden="1">
      <c r="B145"/>
      <c r="C145"/>
    </row>
    <row r="146" spans="2:3" s="6" customFormat="1" hidden="1">
      <c r="B146"/>
      <c r="C146"/>
    </row>
    <row r="147" spans="2:3" s="6" customFormat="1" hidden="1">
      <c r="B147"/>
      <c r="C147"/>
    </row>
    <row r="148" spans="2:3" s="6" customFormat="1" hidden="1">
      <c r="B148"/>
      <c r="C148"/>
    </row>
    <row r="149" spans="2:3" s="6" customFormat="1" hidden="1">
      <c r="B149"/>
      <c r="C149"/>
    </row>
    <row r="150" spans="2:3" s="6" customFormat="1" hidden="1">
      <c r="B150"/>
      <c r="C150"/>
    </row>
    <row r="151" spans="2:3" s="6" customFormat="1" hidden="1">
      <c r="B151"/>
      <c r="C151"/>
    </row>
    <row r="152" spans="2:3" s="6" customFormat="1" hidden="1">
      <c r="B152"/>
      <c r="C152"/>
    </row>
    <row r="153" spans="2:3" s="6" customFormat="1" hidden="1">
      <c r="B153"/>
      <c r="C153"/>
    </row>
    <row r="154" spans="2:3" s="6" customFormat="1" hidden="1">
      <c r="B154"/>
      <c r="C154"/>
    </row>
    <row r="155" spans="2:3" s="6" customFormat="1" hidden="1">
      <c r="B155"/>
      <c r="C155"/>
    </row>
    <row r="156" spans="2:3" s="6" customFormat="1" hidden="1">
      <c r="B156"/>
      <c r="C156"/>
    </row>
    <row r="157" spans="2:3" s="6" customFormat="1" hidden="1">
      <c r="B157"/>
      <c r="C157"/>
    </row>
    <row r="158" spans="2:3" s="6" customFormat="1" hidden="1">
      <c r="B158"/>
      <c r="C158"/>
    </row>
    <row r="159" spans="2:3" s="6" customFormat="1" hidden="1">
      <c r="B159"/>
      <c r="C159"/>
    </row>
    <row r="160" spans="2:3" s="6" customFormat="1" hidden="1">
      <c r="B160"/>
      <c r="C160"/>
    </row>
    <row r="161" spans="2:3" s="6" customFormat="1" hidden="1">
      <c r="B161"/>
      <c r="C161"/>
    </row>
    <row r="162" spans="2:3" s="6" customFormat="1" hidden="1">
      <c r="B162"/>
      <c r="C162"/>
    </row>
    <row r="163" spans="2:3" s="6" customFormat="1" hidden="1">
      <c r="B163"/>
      <c r="C163"/>
    </row>
    <row r="164" spans="2:3" s="6" customFormat="1" hidden="1">
      <c r="B164"/>
      <c r="C164"/>
    </row>
    <row r="165" spans="2:3" s="6" customFormat="1" hidden="1">
      <c r="B165"/>
      <c r="C165"/>
    </row>
    <row r="166" spans="2:3" s="6" customFormat="1" hidden="1">
      <c r="B166"/>
      <c r="C166"/>
    </row>
    <row r="167" spans="2:3" s="6" customFormat="1" hidden="1">
      <c r="B167"/>
      <c r="C167"/>
    </row>
    <row r="168" spans="2:3" s="6" customFormat="1" hidden="1">
      <c r="B168"/>
      <c r="C168"/>
    </row>
    <row r="169" spans="2:3" s="6" customFormat="1" hidden="1">
      <c r="B169"/>
      <c r="C169"/>
    </row>
    <row r="170" spans="2:3" s="6" customFormat="1" hidden="1">
      <c r="B170"/>
      <c r="C170"/>
    </row>
    <row r="171" spans="2:3" s="6" customFormat="1" hidden="1">
      <c r="B171"/>
      <c r="C171"/>
    </row>
    <row r="172" spans="2:3" s="6" customFormat="1" hidden="1">
      <c r="B172"/>
      <c r="C172"/>
    </row>
    <row r="173" spans="2:3" s="6" customFormat="1" hidden="1">
      <c r="B173"/>
      <c r="C173"/>
    </row>
    <row r="174" spans="2:3" s="6" customFormat="1" hidden="1">
      <c r="B174"/>
      <c r="C174"/>
    </row>
    <row r="175" spans="2:3" s="6" customFormat="1" hidden="1">
      <c r="B175"/>
      <c r="C175"/>
    </row>
    <row r="176" spans="2:3" s="6" customFormat="1" hidden="1">
      <c r="B176"/>
      <c r="C176"/>
    </row>
    <row r="177" spans="2:3" s="6" customFormat="1" hidden="1">
      <c r="B177"/>
      <c r="C177"/>
    </row>
    <row r="178" spans="2:3" s="6" customFormat="1" hidden="1">
      <c r="B178"/>
      <c r="C178"/>
    </row>
    <row r="179" spans="2:3" s="6" customFormat="1" hidden="1">
      <c r="B179"/>
      <c r="C179"/>
    </row>
    <row r="180" spans="2:3" s="6" customFormat="1" hidden="1">
      <c r="B180"/>
      <c r="C180"/>
    </row>
    <row r="181" spans="2:3" s="6" customFormat="1" hidden="1">
      <c r="B181"/>
      <c r="C181"/>
    </row>
    <row r="182" spans="2:3" s="6" customFormat="1" hidden="1">
      <c r="B182"/>
      <c r="C182"/>
    </row>
    <row r="183" spans="2:3" s="6" customFormat="1" hidden="1">
      <c r="B183"/>
      <c r="C183"/>
    </row>
    <row r="184" spans="2:3" s="6" customFormat="1" hidden="1">
      <c r="B184"/>
      <c r="C184"/>
    </row>
    <row r="185" spans="2:3" s="6" customFormat="1" hidden="1">
      <c r="B185"/>
      <c r="C185"/>
    </row>
    <row r="186" spans="2:3" s="6" customFormat="1" hidden="1">
      <c r="B186"/>
      <c r="C186"/>
    </row>
    <row r="187" spans="2:3" s="6" customFormat="1" hidden="1">
      <c r="B187"/>
      <c r="C187"/>
    </row>
    <row r="188" spans="2:3" s="6" customFormat="1" hidden="1">
      <c r="B188"/>
      <c r="C188"/>
    </row>
    <row r="189" spans="2:3" s="6" customFormat="1" hidden="1">
      <c r="B189"/>
      <c r="C189"/>
    </row>
    <row r="190" spans="2:3" s="6" customFormat="1" hidden="1">
      <c r="B190"/>
      <c r="C190"/>
    </row>
    <row r="191" spans="2:3" s="6" customFormat="1" hidden="1">
      <c r="B191"/>
      <c r="C191"/>
    </row>
    <row r="192" spans="2:3" s="6" customFormat="1" hidden="1">
      <c r="B192"/>
      <c r="C192"/>
    </row>
    <row r="193" spans="2:3" s="6" customFormat="1" hidden="1">
      <c r="B193"/>
      <c r="C193"/>
    </row>
    <row r="194" spans="2:3" s="6" customFormat="1" hidden="1">
      <c r="B194"/>
      <c r="C194"/>
    </row>
    <row r="195" spans="2:3" s="6" customFormat="1" hidden="1">
      <c r="B195"/>
      <c r="C195"/>
    </row>
    <row r="196" spans="2:3" s="6" customFormat="1" hidden="1">
      <c r="B196"/>
      <c r="C196"/>
    </row>
    <row r="197" spans="2:3" s="6" customFormat="1" hidden="1">
      <c r="B197"/>
      <c r="C197"/>
    </row>
    <row r="198" spans="2:3" s="6" customFormat="1" hidden="1">
      <c r="B198"/>
      <c r="C198"/>
    </row>
    <row r="199" spans="2:3" s="6" customFormat="1" hidden="1">
      <c r="B199"/>
      <c r="C199"/>
    </row>
    <row r="200" spans="2:3" s="6" customFormat="1" hidden="1">
      <c r="B200"/>
      <c r="C200"/>
    </row>
    <row r="201" spans="2:3" s="6" customFormat="1" hidden="1">
      <c r="B201"/>
      <c r="C201"/>
    </row>
    <row r="202" spans="2:3" s="6" customFormat="1" hidden="1">
      <c r="B202"/>
      <c r="C202"/>
    </row>
    <row r="203" spans="2:3" s="6" customFormat="1" hidden="1">
      <c r="B203"/>
      <c r="C203"/>
    </row>
    <row r="204" spans="2:3" s="6" customFormat="1" hidden="1">
      <c r="B204"/>
      <c r="C204"/>
    </row>
    <row r="205" spans="2:3" s="6" customFormat="1" hidden="1">
      <c r="B205"/>
      <c r="C205"/>
    </row>
    <row r="206" spans="2:3" s="6" customFormat="1" hidden="1">
      <c r="B206"/>
      <c r="C206"/>
    </row>
    <row r="207" spans="2:3" s="6" customFormat="1" hidden="1">
      <c r="B207"/>
      <c r="C207"/>
    </row>
    <row r="208" spans="2:3" s="6" customFormat="1" hidden="1">
      <c r="B208"/>
      <c r="C208"/>
    </row>
    <row r="209" spans="2:3" s="6" customFormat="1" hidden="1">
      <c r="B209"/>
      <c r="C209"/>
    </row>
    <row r="210" spans="2:3" s="6" customFormat="1" hidden="1">
      <c r="B210"/>
      <c r="C210"/>
    </row>
    <row r="211" spans="2:3" s="6" customFormat="1" hidden="1">
      <c r="B211"/>
      <c r="C211"/>
    </row>
    <row r="212" spans="2:3" s="6" customFormat="1" hidden="1">
      <c r="B212"/>
      <c r="C212"/>
    </row>
    <row r="213" spans="2:3" s="6" customFormat="1" hidden="1">
      <c r="B213"/>
      <c r="C213"/>
    </row>
    <row r="214" spans="2:3" s="6" customFormat="1" hidden="1">
      <c r="B214"/>
      <c r="C214"/>
    </row>
    <row r="215" spans="2:3" s="6" customFormat="1" hidden="1">
      <c r="B215"/>
      <c r="C215"/>
    </row>
    <row r="216" spans="2:3" s="6" customFormat="1" hidden="1">
      <c r="B216"/>
      <c r="C216"/>
    </row>
    <row r="217" spans="2:3" s="6" customFormat="1" hidden="1">
      <c r="B217"/>
      <c r="C217"/>
    </row>
    <row r="218" spans="2:3" s="6" customFormat="1" hidden="1">
      <c r="B218"/>
      <c r="C218"/>
    </row>
    <row r="219" spans="2:3" s="6" customFormat="1" hidden="1">
      <c r="B219"/>
      <c r="C219"/>
    </row>
    <row r="220" spans="2:3" s="6" customFormat="1" hidden="1">
      <c r="B220"/>
      <c r="C220"/>
    </row>
    <row r="221" spans="2:3" s="6" customFormat="1" hidden="1">
      <c r="B221"/>
      <c r="C221"/>
    </row>
    <row r="222" spans="2:3" s="6" customFormat="1" hidden="1">
      <c r="B222"/>
      <c r="C222"/>
    </row>
    <row r="223" spans="2:3" s="6" customFormat="1" hidden="1">
      <c r="B223"/>
      <c r="C223"/>
    </row>
    <row r="224" spans="2:3" s="6" customFormat="1" hidden="1">
      <c r="B224"/>
      <c r="C224"/>
    </row>
    <row r="225" spans="2:3" s="6" customFormat="1" hidden="1">
      <c r="B225"/>
      <c r="C225"/>
    </row>
    <row r="226" spans="2:3" s="6" customFormat="1" hidden="1">
      <c r="B226"/>
      <c r="C226"/>
    </row>
    <row r="227" spans="2:3" s="6" customFormat="1" hidden="1">
      <c r="B227"/>
      <c r="C227"/>
    </row>
    <row r="228" spans="2:3" s="6" customFormat="1" hidden="1">
      <c r="B228"/>
      <c r="C228"/>
    </row>
    <row r="229" spans="2:3" s="6" customFormat="1" hidden="1">
      <c r="B229"/>
      <c r="C229"/>
    </row>
    <row r="230" spans="2:3" s="6" customFormat="1" hidden="1">
      <c r="B230"/>
      <c r="C230"/>
    </row>
    <row r="231" spans="2:3" s="6" customFormat="1" hidden="1">
      <c r="B231"/>
      <c r="C231"/>
    </row>
    <row r="232" spans="2:3" s="6" customFormat="1" hidden="1">
      <c r="B232"/>
      <c r="C232"/>
    </row>
    <row r="233" spans="2:3" s="6" customFormat="1" hidden="1">
      <c r="B233"/>
      <c r="C233"/>
    </row>
    <row r="234" spans="2:3" s="6" customFormat="1" hidden="1">
      <c r="B234"/>
      <c r="C234"/>
    </row>
    <row r="235" spans="2:3" s="6" customFormat="1" hidden="1">
      <c r="B235"/>
      <c r="C235"/>
    </row>
    <row r="236" spans="2:3" s="6" customFormat="1" hidden="1">
      <c r="B236"/>
      <c r="C236"/>
    </row>
    <row r="237" spans="2:3" s="6" customFormat="1" hidden="1">
      <c r="B237"/>
      <c r="C237"/>
    </row>
    <row r="238" spans="2:3" s="6" customFormat="1" hidden="1">
      <c r="B238"/>
      <c r="C238"/>
    </row>
    <row r="239" spans="2:3" s="6" customFormat="1" hidden="1">
      <c r="B239"/>
      <c r="C239"/>
    </row>
    <row r="240" spans="2:3" s="6" customFormat="1" hidden="1">
      <c r="B240"/>
      <c r="C240"/>
    </row>
    <row r="241" spans="2:3" s="6" customFormat="1" hidden="1">
      <c r="B241"/>
      <c r="C241"/>
    </row>
    <row r="242" spans="2:3" s="6" customFormat="1" hidden="1">
      <c r="B242"/>
      <c r="C242"/>
    </row>
    <row r="243" spans="2:3" s="6" customFormat="1" hidden="1">
      <c r="B243"/>
      <c r="C243"/>
    </row>
    <row r="244" spans="2:3" s="6" customFormat="1" hidden="1">
      <c r="B244"/>
      <c r="C244"/>
    </row>
    <row r="245" spans="2:3" s="6" customFormat="1" hidden="1">
      <c r="B245"/>
      <c r="C245"/>
    </row>
    <row r="246" spans="2:3" s="6" customFormat="1" hidden="1">
      <c r="B246"/>
      <c r="C246"/>
    </row>
    <row r="247" spans="2:3" s="6" customFormat="1" hidden="1">
      <c r="B247"/>
      <c r="C247"/>
    </row>
    <row r="248" spans="2:3" s="6" customFormat="1" hidden="1">
      <c r="B248"/>
      <c r="C248"/>
    </row>
    <row r="249" spans="2:3" s="6" customFormat="1" hidden="1">
      <c r="B249"/>
      <c r="C249"/>
    </row>
    <row r="250" spans="2:3" s="6" customFormat="1" hidden="1">
      <c r="B250"/>
      <c r="C250"/>
    </row>
    <row r="251" spans="2:3" s="6" customFormat="1" hidden="1">
      <c r="B251"/>
      <c r="C251"/>
    </row>
    <row r="252" spans="2:3" s="6" customFormat="1" hidden="1">
      <c r="B252"/>
      <c r="C252"/>
    </row>
    <row r="253" spans="2:3" s="6" customFormat="1" hidden="1">
      <c r="B253"/>
      <c r="C253"/>
    </row>
    <row r="254" spans="2:3" s="6" customFormat="1" hidden="1">
      <c r="B254"/>
      <c r="C254"/>
    </row>
    <row r="255" spans="2:3" s="6" customFormat="1" hidden="1">
      <c r="B255"/>
      <c r="C255"/>
    </row>
    <row r="256" spans="2:3" s="6" customFormat="1" hidden="1">
      <c r="B256"/>
      <c r="C256"/>
    </row>
    <row r="257" spans="2:3" s="6" customFormat="1" hidden="1">
      <c r="B257"/>
      <c r="C257"/>
    </row>
    <row r="258" spans="2:3" s="6" customFormat="1" hidden="1">
      <c r="B258"/>
      <c r="C258"/>
    </row>
    <row r="259" spans="2:3" s="6" customFormat="1" hidden="1">
      <c r="B259"/>
      <c r="C259"/>
    </row>
    <row r="260" spans="2:3" s="6" customFormat="1" hidden="1">
      <c r="B260"/>
      <c r="C260"/>
    </row>
    <row r="261" spans="2:3" s="6" customFormat="1" hidden="1">
      <c r="B261"/>
      <c r="C261"/>
    </row>
    <row r="262" spans="2:3" s="6" customFormat="1" hidden="1">
      <c r="B262"/>
      <c r="C262"/>
    </row>
    <row r="263" spans="2:3" s="6" customFormat="1" hidden="1">
      <c r="B263"/>
      <c r="C263"/>
    </row>
    <row r="264" spans="2:3" s="6" customFormat="1" hidden="1">
      <c r="B264"/>
      <c r="C264"/>
    </row>
    <row r="265" spans="2:3" s="6" customFormat="1" hidden="1">
      <c r="B265"/>
      <c r="C265"/>
    </row>
    <row r="266" spans="2:3" s="6" customFormat="1" hidden="1">
      <c r="B266"/>
      <c r="C266"/>
    </row>
    <row r="267" spans="2:3" s="6" customFormat="1" hidden="1">
      <c r="B267"/>
      <c r="C267"/>
    </row>
    <row r="268" spans="2:3" s="6" customFormat="1" hidden="1">
      <c r="B268"/>
      <c r="C268"/>
    </row>
    <row r="269" spans="2:3" s="6" customFormat="1" hidden="1">
      <c r="B269"/>
      <c r="C269"/>
    </row>
    <row r="270" spans="2:3" s="6" customFormat="1" hidden="1">
      <c r="B270"/>
      <c r="C270"/>
    </row>
    <row r="271" spans="2:3" s="6" customFormat="1" hidden="1">
      <c r="B271"/>
      <c r="C271"/>
    </row>
    <row r="272" spans="2:3" s="6" customFormat="1" hidden="1">
      <c r="B272"/>
      <c r="C272"/>
    </row>
    <row r="273" spans="2:3" s="6" customFormat="1" hidden="1">
      <c r="B273"/>
      <c r="C273"/>
    </row>
    <row r="274" spans="2:3" s="6" customFormat="1" hidden="1">
      <c r="B274"/>
      <c r="C274"/>
    </row>
    <row r="275" spans="2:3" s="6" customFormat="1" hidden="1">
      <c r="B275"/>
      <c r="C275"/>
    </row>
    <row r="276" spans="2:3" s="6" customFormat="1" hidden="1">
      <c r="B276"/>
      <c r="C276"/>
    </row>
    <row r="277" spans="2:3" s="6" customFormat="1" hidden="1">
      <c r="B277"/>
      <c r="C277"/>
    </row>
    <row r="278" spans="2:3" s="6" customFormat="1" hidden="1">
      <c r="B278"/>
      <c r="C278"/>
    </row>
    <row r="279" spans="2:3" s="6" customFormat="1" hidden="1">
      <c r="B279"/>
      <c r="C279"/>
    </row>
    <row r="280" spans="2:3" s="6" customFormat="1" hidden="1">
      <c r="B280"/>
      <c r="C280"/>
    </row>
    <row r="281" spans="2:3" s="6" customFormat="1" hidden="1">
      <c r="B281"/>
      <c r="C281"/>
    </row>
    <row r="282" spans="2:3" s="6" customFormat="1" hidden="1">
      <c r="B282"/>
      <c r="C282"/>
    </row>
    <row r="283" spans="2:3" s="6" customFormat="1" hidden="1">
      <c r="B283"/>
      <c r="C283"/>
    </row>
    <row r="284" spans="2:3" s="6" customFormat="1" hidden="1">
      <c r="B284"/>
      <c r="C284"/>
    </row>
    <row r="285" spans="2:3" s="6" customFormat="1" hidden="1">
      <c r="B285"/>
      <c r="C285"/>
    </row>
    <row r="286" spans="2:3" s="6" customFormat="1" hidden="1">
      <c r="B286"/>
      <c r="C286"/>
    </row>
    <row r="287" spans="2:3" s="6" customFormat="1" hidden="1">
      <c r="B287"/>
      <c r="C287"/>
    </row>
    <row r="288" spans="2:3" s="6" customFormat="1" hidden="1">
      <c r="B288"/>
      <c r="C288"/>
    </row>
    <row r="289" spans="2:3" s="6" customFormat="1" hidden="1">
      <c r="B289"/>
      <c r="C289"/>
    </row>
    <row r="290" spans="2:3" s="6" customFormat="1" hidden="1">
      <c r="B290"/>
      <c r="C290"/>
    </row>
    <row r="291" spans="2:3" s="6" customFormat="1" hidden="1">
      <c r="B291"/>
      <c r="C291"/>
    </row>
    <row r="292" spans="2:3" s="6" customFormat="1" hidden="1">
      <c r="B292"/>
      <c r="C292"/>
    </row>
    <row r="293" spans="2:3" s="6" customFormat="1" hidden="1">
      <c r="B293"/>
      <c r="C293"/>
    </row>
    <row r="294" spans="2:3" s="6" customFormat="1" hidden="1">
      <c r="B294"/>
      <c r="C294"/>
    </row>
    <row r="295" spans="2:3" s="6" customFormat="1" hidden="1">
      <c r="B295"/>
      <c r="C295"/>
    </row>
    <row r="296" spans="2:3" s="6" customFormat="1" hidden="1">
      <c r="B296"/>
      <c r="C296"/>
    </row>
    <row r="297" spans="2:3" s="6" customFormat="1" hidden="1">
      <c r="B297"/>
      <c r="C297"/>
    </row>
    <row r="298" spans="2:3" s="6" customFormat="1" hidden="1">
      <c r="B298"/>
      <c r="C298"/>
    </row>
    <row r="299" spans="2:3" s="6" customFormat="1" hidden="1">
      <c r="B299"/>
      <c r="C299"/>
    </row>
    <row r="300" spans="2:3" s="6" customFormat="1" hidden="1">
      <c r="B300"/>
      <c r="C300"/>
    </row>
    <row r="301" spans="2:3" s="6" customFormat="1" hidden="1">
      <c r="B301"/>
      <c r="C301"/>
    </row>
    <row r="302" spans="2:3" s="6" customFormat="1" hidden="1">
      <c r="B302"/>
      <c r="C302"/>
    </row>
    <row r="303" spans="2:3" s="6" customFormat="1" hidden="1">
      <c r="B303"/>
      <c r="C303"/>
    </row>
    <row r="304" spans="2:3" s="6" customFormat="1" hidden="1">
      <c r="B304"/>
      <c r="C304"/>
    </row>
    <row r="305" spans="2:3" s="6" customFormat="1" hidden="1">
      <c r="B305"/>
      <c r="C305"/>
    </row>
    <row r="306" spans="2:3" s="6" customFormat="1" hidden="1">
      <c r="B306"/>
      <c r="C306"/>
    </row>
    <row r="307" spans="2:3" s="6" customFormat="1" hidden="1">
      <c r="B307"/>
      <c r="C307"/>
    </row>
    <row r="308" spans="2:3" s="6" customFormat="1" hidden="1">
      <c r="B308"/>
      <c r="C308"/>
    </row>
    <row r="309" spans="2:3" s="6" customFormat="1" hidden="1">
      <c r="B309"/>
      <c r="C309"/>
    </row>
    <row r="310" spans="2:3" s="6" customFormat="1" hidden="1">
      <c r="B310"/>
      <c r="C310"/>
    </row>
    <row r="311" spans="2:3" s="6" customFormat="1" hidden="1">
      <c r="B311"/>
      <c r="C311"/>
    </row>
    <row r="312" spans="2:3" s="6" customFormat="1" hidden="1">
      <c r="B312"/>
      <c r="C312"/>
    </row>
    <row r="313" spans="2:3" s="6" customFormat="1" hidden="1">
      <c r="B313"/>
      <c r="C313"/>
    </row>
    <row r="314" spans="2:3" s="6" customFormat="1" hidden="1">
      <c r="B314"/>
      <c r="C314"/>
    </row>
    <row r="315" spans="2:3" s="6" customFormat="1" hidden="1">
      <c r="B315"/>
      <c r="C315"/>
    </row>
    <row r="316" spans="2:3" s="6" customFormat="1" hidden="1">
      <c r="B316"/>
      <c r="C316"/>
    </row>
    <row r="317" spans="2:3" s="6" customFormat="1" hidden="1">
      <c r="B317"/>
      <c r="C317"/>
    </row>
    <row r="318" spans="2:3" s="6" customFormat="1" hidden="1">
      <c r="B318"/>
      <c r="C318"/>
    </row>
    <row r="319" spans="2:3" s="6" customFormat="1" hidden="1">
      <c r="B319"/>
      <c r="C319"/>
    </row>
    <row r="320" spans="2:3" s="6" customFormat="1" hidden="1">
      <c r="B320"/>
      <c r="C320"/>
    </row>
    <row r="321" spans="2:3" s="6" customFormat="1" hidden="1">
      <c r="B321"/>
      <c r="C321"/>
    </row>
    <row r="322" spans="2:3" s="6" customFormat="1" hidden="1">
      <c r="B322"/>
      <c r="C322"/>
    </row>
    <row r="323" spans="2:3" s="6" customFormat="1" hidden="1">
      <c r="B323"/>
      <c r="C323"/>
    </row>
    <row r="324" spans="2:3" s="6" customFormat="1" hidden="1">
      <c r="B324"/>
      <c r="C324"/>
    </row>
    <row r="325" spans="2:3" s="6" customFormat="1" hidden="1">
      <c r="B325"/>
      <c r="C325"/>
    </row>
    <row r="326" spans="2:3" s="6" customFormat="1" hidden="1">
      <c r="B326"/>
      <c r="C326"/>
    </row>
    <row r="327" spans="2:3" s="6" customFormat="1" hidden="1">
      <c r="B327"/>
      <c r="C327"/>
    </row>
    <row r="328" spans="2:3" s="6" customFormat="1" hidden="1">
      <c r="B328"/>
      <c r="C328"/>
    </row>
    <row r="329" spans="2:3" s="6" customFormat="1" hidden="1">
      <c r="B329"/>
      <c r="C329"/>
    </row>
    <row r="330" spans="2:3" s="6" customFormat="1" hidden="1">
      <c r="B330"/>
      <c r="C330"/>
    </row>
    <row r="331" spans="2:3" s="6" customFormat="1" hidden="1">
      <c r="B331"/>
      <c r="C331"/>
    </row>
    <row r="332" spans="2:3" s="6" customFormat="1" hidden="1">
      <c r="B332"/>
      <c r="C332"/>
    </row>
    <row r="333" spans="2:3" s="6" customFormat="1" hidden="1">
      <c r="B333"/>
      <c r="C333"/>
    </row>
    <row r="334" spans="2:3" s="6" customFormat="1" hidden="1">
      <c r="B334"/>
      <c r="C334"/>
    </row>
    <row r="335" spans="2:3" s="6" customFormat="1" hidden="1">
      <c r="B335"/>
      <c r="C335"/>
    </row>
    <row r="336" spans="2:3" s="6" customFormat="1" hidden="1">
      <c r="B336"/>
      <c r="C336"/>
    </row>
    <row r="337" spans="2:3" s="6" customFormat="1" hidden="1">
      <c r="B337"/>
      <c r="C337"/>
    </row>
    <row r="338" spans="2:3" s="6" customFormat="1" hidden="1">
      <c r="B338"/>
      <c r="C338"/>
    </row>
    <row r="339" spans="2:3" s="6" customFormat="1" hidden="1">
      <c r="B339"/>
      <c r="C339"/>
    </row>
    <row r="340" spans="2:3" s="6" customFormat="1" hidden="1">
      <c r="B340"/>
      <c r="C340"/>
    </row>
    <row r="341" spans="2:3" s="6" customFormat="1" hidden="1">
      <c r="B341"/>
      <c r="C341"/>
    </row>
    <row r="342" spans="2:3" s="6" customFormat="1" hidden="1">
      <c r="B342"/>
      <c r="C342"/>
    </row>
    <row r="343" spans="2:3" s="6" customFormat="1" hidden="1">
      <c r="B343"/>
      <c r="C343"/>
    </row>
    <row r="344" spans="2:3" s="6" customFormat="1" hidden="1">
      <c r="B344"/>
      <c r="C344"/>
    </row>
    <row r="345" spans="2:3" s="6" customFormat="1" hidden="1">
      <c r="B345"/>
      <c r="C345"/>
    </row>
    <row r="346" spans="2:3" s="6" customFormat="1" hidden="1">
      <c r="B346"/>
      <c r="C346"/>
    </row>
    <row r="347" spans="2:3" s="6" customFormat="1" hidden="1">
      <c r="B347"/>
      <c r="C347"/>
    </row>
    <row r="348" spans="2:3" s="6" customFormat="1" hidden="1">
      <c r="B348"/>
      <c r="C348"/>
    </row>
    <row r="349" spans="2:3" s="6" customFormat="1" hidden="1">
      <c r="B349"/>
      <c r="C349"/>
    </row>
    <row r="350" spans="2:3" s="6" customFormat="1" hidden="1">
      <c r="B350"/>
      <c r="C350"/>
    </row>
    <row r="351" spans="2:3" s="6" customFormat="1" hidden="1">
      <c r="B351"/>
      <c r="C351"/>
    </row>
    <row r="352" spans="2:3" s="6" customFormat="1" hidden="1">
      <c r="B352"/>
      <c r="C352"/>
    </row>
    <row r="353" spans="2:3" s="6" customFormat="1" hidden="1">
      <c r="B353"/>
      <c r="C353"/>
    </row>
    <row r="354" spans="2:3" s="6" customFormat="1" hidden="1">
      <c r="B354"/>
      <c r="C354"/>
    </row>
    <row r="355" spans="2:3" s="6" customFormat="1" hidden="1">
      <c r="B355"/>
      <c r="C355"/>
    </row>
    <row r="356" spans="2:3" s="6" customFormat="1" hidden="1">
      <c r="B356"/>
      <c r="C356"/>
    </row>
    <row r="357" spans="2:3" s="6" customFormat="1" hidden="1">
      <c r="B357"/>
      <c r="C357"/>
    </row>
    <row r="358" spans="2:3" s="6" customFormat="1" hidden="1">
      <c r="B358"/>
      <c r="C358"/>
    </row>
    <row r="359" spans="2:3" s="6" customFormat="1" hidden="1">
      <c r="B359"/>
      <c r="C359"/>
    </row>
    <row r="360" spans="2:3" s="6" customFormat="1" hidden="1">
      <c r="B360"/>
      <c r="C360"/>
    </row>
    <row r="361" spans="2:3" s="6" customFormat="1" hidden="1">
      <c r="B361"/>
      <c r="C361"/>
    </row>
    <row r="362" spans="2:3" s="6" customFormat="1" hidden="1">
      <c r="B362"/>
      <c r="C362"/>
    </row>
    <row r="363" spans="2:3" s="6" customFormat="1" hidden="1">
      <c r="B363"/>
      <c r="C363"/>
    </row>
    <row r="364" spans="2:3" s="6" customFormat="1" hidden="1">
      <c r="B364"/>
      <c r="C364"/>
    </row>
    <row r="365" spans="2:3" s="6" customFormat="1" hidden="1">
      <c r="B365"/>
      <c r="C365"/>
    </row>
    <row r="366" spans="2:3" s="6" customFormat="1" hidden="1">
      <c r="B366"/>
      <c r="C366"/>
    </row>
    <row r="367" spans="2:3" s="6" customFormat="1" hidden="1">
      <c r="B367"/>
      <c r="C367"/>
    </row>
    <row r="368" spans="2:3" s="6" customFormat="1" hidden="1">
      <c r="B368"/>
      <c r="C368"/>
    </row>
    <row r="369" spans="2:3" s="6" customFormat="1" hidden="1">
      <c r="B369"/>
      <c r="C369"/>
    </row>
    <row r="370" spans="2:3" s="6" customFormat="1" hidden="1">
      <c r="B370"/>
      <c r="C370"/>
    </row>
    <row r="371" spans="2:3" s="6" customFormat="1" hidden="1">
      <c r="B371"/>
      <c r="C371"/>
    </row>
    <row r="372" spans="2:3" s="6" customFormat="1" hidden="1">
      <c r="B372"/>
      <c r="C372"/>
    </row>
    <row r="373" spans="2:3" s="6" customFormat="1" hidden="1">
      <c r="B373"/>
      <c r="C373"/>
    </row>
    <row r="374" spans="2:3" s="6" customFormat="1" hidden="1">
      <c r="B374"/>
      <c r="C374"/>
    </row>
    <row r="375" spans="2:3" s="6" customFormat="1" hidden="1">
      <c r="B375"/>
      <c r="C375"/>
    </row>
    <row r="376" spans="2:3" s="6" customFormat="1" hidden="1">
      <c r="B376"/>
      <c r="C376"/>
    </row>
    <row r="377" spans="2:3" s="6" customFormat="1" hidden="1">
      <c r="B377"/>
      <c r="C377"/>
    </row>
    <row r="378" spans="2:3" s="6" customFormat="1" hidden="1">
      <c r="B378"/>
      <c r="C378"/>
    </row>
    <row r="379" spans="2:3" s="6" customFormat="1" hidden="1">
      <c r="B379"/>
      <c r="C379"/>
    </row>
    <row r="380" spans="2:3" s="6" customFormat="1" hidden="1">
      <c r="B380"/>
      <c r="C380"/>
    </row>
    <row r="381" spans="2:3" s="6" customFormat="1" hidden="1">
      <c r="B381"/>
      <c r="C381"/>
    </row>
    <row r="382" spans="2:3" s="6" customFormat="1" hidden="1">
      <c r="B382"/>
      <c r="C382"/>
    </row>
    <row r="383" spans="2:3" s="6" customFormat="1" hidden="1">
      <c r="B383"/>
      <c r="C383"/>
    </row>
    <row r="384" spans="2:3" s="6" customFormat="1" hidden="1">
      <c r="B384"/>
      <c r="C384"/>
    </row>
    <row r="385" spans="2:3" s="6" customFormat="1" hidden="1">
      <c r="B385"/>
      <c r="C385"/>
    </row>
    <row r="386" spans="2:3" s="6" customFormat="1" hidden="1">
      <c r="B386"/>
      <c r="C386"/>
    </row>
    <row r="387" spans="2:3" s="6" customFormat="1" hidden="1">
      <c r="B387"/>
      <c r="C387"/>
    </row>
    <row r="388" spans="2:3" s="6" customFormat="1" hidden="1">
      <c r="B388"/>
      <c r="C388"/>
    </row>
    <row r="389" spans="2:3" s="6" customFormat="1" hidden="1">
      <c r="B389"/>
      <c r="C389"/>
    </row>
    <row r="390" spans="2:3" s="6" customFormat="1" hidden="1">
      <c r="B390"/>
      <c r="C390"/>
    </row>
    <row r="391" spans="2:3" s="6" customFormat="1" hidden="1">
      <c r="B391"/>
      <c r="C391"/>
    </row>
    <row r="392" spans="2:3" s="6" customFormat="1" hidden="1">
      <c r="B392"/>
      <c r="C392"/>
    </row>
    <row r="393" spans="2:3" s="6" customFormat="1" hidden="1">
      <c r="B393"/>
      <c r="C393"/>
    </row>
  </sheetData>
  <phoneticPr fontId="2" type="noConversion"/>
  <pageMargins left="0.7" right="0.7" top="0.75" bottom="0.75" header="0.3" footer="0.3"/>
  <pageSetup paperSize="9" scale="95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C84E-A908-6148-A4AF-6CFB0D00F539}">
  <sheetPr>
    <tabColor theme="6" tint="0.79998168889431442"/>
  </sheetPr>
  <dimension ref="B1:M91"/>
  <sheetViews>
    <sheetView workbookViewId="0">
      <selection activeCell="H4" sqref="H4:H91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497</v>
      </c>
      <c r="C2">
        <v>2</v>
      </c>
      <c r="D2" t="s">
        <v>513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198</v>
      </c>
      <c r="C4">
        <v>202400197</v>
      </c>
      <c r="D4">
        <v>26</v>
      </c>
      <c r="E4">
        <v>84</v>
      </c>
      <c r="F4">
        <v>7</v>
      </c>
      <c r="G4">
        <v>10</v>
      </c>
      <c r="H4">
        <v>0</v>
      </c>
    </row>
    <row r="5" spans="2:13">
      <c r="B5" t="s">
        <v>330</v>
      </c>
      <c r="C5">
        <v>202400329</v>
      </c>
      <c r="D5">
        <v>14</v>
      </c>
      <c r="E5">
        <v>99</v>
      </c>
      <c r="F5">
        <v>10</v>
      </c>
      <c r="G5">
        <v>10</v>
      </c>
      <c r="H5">
        <v>0</v>
      </c>
    </row>
    <row r="6" spans="2:13">
      <c r="B6" t="s">
        <v>178</v>
      </c>
      <c r="C6">
        <v>202400177</v>
      </c>
      <c r="D6">
        <v>19</v>
      </c>
      <c r="E6">
        <v>84</v>
      </c>
      <c r="F6">
        <v>5</v>
      </c>
      <c r="G6">
        <v>10</v>
      </c>
      <c r="H6">
        <v>0</v>
      </c>
    </row>
    <row r="7" spans="2:13">
      <c r="B7" t="s">
        <v>288</v>
      </c>
      <c r="C7">
        <v>202400287</v>
      </c>
      <c r="D7">
        <v>25</v>
      </c>
      <c r="E7">
        <v>63</v>
      </c>
      <c r="F7">
        <v>9</v>
      </c>
      <c r="G7">
        <v>9</v>
      </c>
      <c r="H7">
        <v>0</v>
      </c>
    </row>
    <row r="8" spans="2:13">
      <c r="B8" t="s">
        <v>337</v>
      </c>
      <c r="C8">
        <v>202400336</v>
      </c>
      <c r="D8">
        <v>16</v>
      </c>
      <c r="E8">
        <v>94</v>
      </c>
      <c r="F8">
        <v>4</v>
      </c>
      <c r="G8">
        <v>9</v>
      </c>
      <c r="H8">
        <v>0</v>
      </c>
    </row>
    <row r="9" spans="2:13">
      <c r="B9" t="s">
        <v>119</v>
      </c>
      <c r="C9">
        <v>202400118</v>
      </c>
      <c r="D9">
        <v>27</v>
      </c>
      <c r="E9">
        <v>96</v>
      </c>
      <c r="F9">
        <v>3</v>
      </c>
      <c r="G9">
        <v>9</v>
      </c>
      <c r="H9">
        <v>0</v>
      </c>
    </row>
    <row r="10" spans="2:13">
      <c r="B10" t="s">
        <v>254</v>
      </c>
      <c r="C10">
        <v>202400253</v>
      </c>
      <c r="D10">
        <v>14</v>
      </c>
      <c r="E10">
        <v>92</v>
      </c>
      <c r="F10">
        <v>7</v>
      </c>
      <c r="G10">
        <v>9</v>
      </c>
      <c r="H10">
        <v>0</v>
      </c>
    </row>
    <row r="11" spans="2:13">
      <c r="B11" t="s">
        <v>191</v>
      </c>
      <c r="C11">
        <v>202400190</v>
      </c>
      <c r="D11">
        <v>16</v>
      </c>
      <c r="E11">
        <v>78</v>
      </c>
      <c r="F11">
        <v>6</v>
      </c>
      <c r="G11">
        <v>10</v>
      </c>
      <c r="H11">
        <v>0</v>
      </c>
    </row>
    <row r="12" spans="2:13">
      <c r="B12" t="s">
        <v>392</v>
      </c>
      <c r="C12">
        <v>202400391</v>
      </c>
      <c r="D12">
        <v>14</v>
      </c>
      <c r="E12">
        <v>57</v>
      </c>
      <c r="F12">
        <v>9</v>
      </c>
      <c r="G12">
        <v>8</v>
      </c>
      <c r="H12">
        <v>0</v>
      </c>
    </row>
    <row r="13" spans="2:13">
      <c r="B13" t="s">
        <v>165</v>
      </c>
      <c r="C13">
        <v>202400164</v>
      </c>
      <c r="D13">
        <v>29</v>
      </c>
      <c r="E13">
        <v>88</v>
      </c>
      <c r="F13">
        <v>5</v>
      </c>
      <c r="G13">
        <v>8</v>
      </c>
      <c r="H13">
        <v>0</v>
      </c>
    </row>
    <row r="14" spans="2:13">
      <c r="B14" t="s">
        <v>324</v>
      </c>
      <c r="C14">
        <v>202400323</v>
      </c>
      <c r="D14">
        <v>20</v>
      </c>
      <c r="E14">
        <v>52</v>
      </c>
      <c r="F14">
        <v>4</v>
      </c>
      <c r="G14">
        <v>9</v>
      </c>
      <c r="H14">
        <v>0</v>
      </c>
    </row>
    <row r="15" spans="2:13">
      <c r="B15" t="s">
        <v>259</v>
      </c>
      <c r="C15">
        <v>202400258</v>
      </c>
      <c r="D15">
        <v>28</v>
      </c>
      <c r="E15">
        <v>78</v>
      </c>
      <c r="F15">
        <v>7</v>
      </c>
      <c r="G15">
        <v>10</v>
      </c>
      <c r="H15">
        <v>0</v>
      </c>
    </row>
    <row r="16" spans="2:13">
      <c r="B16" t="s">
        <v>136</v>
      </c>
      <c r="C16">
        <v>202400135</v>
      </c>
      <c r="D16">
        <v>27</v>
      </c>
      <c r="E16">
        <v>74</v>
      </c>
      <c r="F16">
        <v>7</v>
      </c>
      <c r="G16">
        <v>8</v>
      </c>
      <c r="H16">
        <v>0</v>
      </c>
    </row>
    <row r="17" spans="2:8">
      <c r="B17" t="s">
        <v>187</v>
      </c>
      <c r="C17">
        <v>202400186</v>
      </c>
      <c r="D17">
        <v>10</v>
      </c>
      <c r="E17">
        <v>98</v>
      </c>
      <c r="F17">
        <v>3</v>
      </c>
      <c r="G17">
        <v>10</v>
      </c>
      <c r="H17">
        <v>0</v>
      </c>
    </row>
    <row r="18" spans="2:8">
      <c r="B18" t="s">
        <v>189</v>
      </c>
      <c r="C18">
        <v>202400188</v>
      </c>
      <c r="D18">
        <v>22</v>
      </c>
      <c r="E18">
        <v>71</v>
      </c>
      <c r="F18">
        <v>8</v>
      </c>
      <c r="G18">
        <v>10</v>
      </c>
      <c r="H18">
        <v>0</v>
      </c>
    </row>
    <row r="19" spans="2:8">
      <c r="B19" t="s">
        <v>216</v>
      </c>
      <c r="C19">
        <v>202400215</v>
      </c>
      <c r="D19">
        <v>22</v>
      </c>
      <c r="E19">
        <v>80</v>
      </c>
      <c r="F19">
        <v>10</v>
      </c>
      <c r="G19">
        <v>9</v>
      </c>
      <c r="H19">
        <v>0</v>
      </c>
    </row>
    <row r="20" spans="2:8">
      <c r="B20" t="s">
        <v>298</v>
      </c>
      <c r="C20">
        <v>202400297</v>
      </c>
      <c r="D20">
        <v>29</v>
      </c>
      <c r="E20">
        <v>65</v>
      </c>
      <c r="F20">
        <v>7</v>
      </c>
      <c r="G20">
        <v>9</v>
      </c>
      <c r="H20">
        <v>0</v>
      </c>
    </row>
    <row r="21" spans="2:8">
      <c r="B21" t="s">
        <v>235</v>
      </c>
      <c r="C21">
        <v>202400234</v>
      </c>
      <c r="D21">
        <v>15</v>
      </c>
      <c r="E21">
        <v>88</v>
      </c>
      <c r="F21">
        <v>4</v>
      </c>
      <c r="G21">
        <v>8</v>
      </c>
      <c r="H21">
        <v>0</v>
      </c>
    </row>
    <row r="22" spans="2:8">
      <c r="B22" t="s">
        <v>89</v>
      </c>
      <c r="C22">
        <v>202400088</v>
      </c>
      <c r="D22">
        <v>16</v>
      </c>
      <c r="E22">
        <v>50</v>
      </c>
      <c r="F22">
        <v>10</v>
      </c>
      <c r="G22">
        <v>8</v>
      </c>
      <c r="H22">
        <v>0</v>
      </c>
    </row>
    <row r="23" spans="2:8">
      <c r="B23" t="s">
        <v>123</v>
      </c>
      <c r="C23">
        <v>202400122</v>
      </c>
      <c r="D23">
        <v>30</v>
      </c>
      <c r="E23">
        <v>50</v>
      </c>
      <c r="F23">
        <v>4</v>
      </c>
      <c r="G23">
        <v>8</v>
      </c>
      <c r="H23">
        <v>0</v>
      </c>
    </row>
    <row r="24" spans="2:8">
      <c r="B24" t="s">
        <v>183</v>
      </c>
      <c r="C24">
        <v>202400182</v>
      </c>
      <c r="D24">
        <v>17</v>
      </c>
      <c r="E24">
        <v>54</v>
      </c>
      <c r="F24">
        <v>9</v>
      </c>
      <c r="G24">
        <v>8</v>
      </c>
      <c r="H24">
        <v>0</v>
      </c>
    </row>
    <row r="25" spans="2:8">
      <c r="B25" t="s">
        <v>106</v>
      </c>
      <c r="C25">
        <v>202400105</v>
      </c>
      <c r="D25">
        <v>29</v>
      </c>
      <c r="E25">
        <v>90</v>
      </c>
      <c r="F25">
        <v>10</v>
      </c>
      <c r="G25">
        <v>10</v>
      </c>
      <c r="H25">
        <v>0</v>
      </c>
    </row>
    <row r="26" spans="2:8">
      <c r="B26" t="s">
        <v>375</v>
      </c>
      <c r="C26">
        <v>202400374</v>
      </c>
      <c r="D26">
        <v>15</v>
      </c>
      <c r="E26">
        <v>57</v>
      </c>
      <c r="F26">
        <v>5</v>
      </c>
      <c r="G26">
        <v>9</v>
      </c>
      <c r="H26">
        <v>0</v>
      </c>
    </row>
    <row r="27" spans="2:8">
      <c r="B27" t="s">
        <v>331</v>
      </c>
      <c r="C27">
        <v>202400330</v>
      </c>
      <c r="D27">
        <v>26</v>
      </c>
      <c r="E27">
        <v>93</v>
      </c>
      <c r="F27">
        <v>4</v>
      </c>
      <c r="G27">
        <v>8</v>
      </c>
      <c r="H27">
        <v>0</v>
      </c>
    </row>
    <row r="28" spans="2:8">
      <c r="B28" t="s">
        <v>362</v>
      </c>
      <c r="C28">
        <v>202400361</v>
      </c>
      <c r="D28">
        <v>21</v>
      </c>
      <c r="E28">
        <v>70</v>
      </c>
      <c r="F28">
        <v>10</v>
      </c>
      <c r="G28">
        <v>8</v>
      </c>
      <c r="H28">
        <v>0</v>
      </c>
    </row>
    <row r="29" spans="2:8">
      <c r="B29" t="s">
        <v>370</v>
      </c>
      <c r="C29">
        <v>202400369</v>
      </c>
      <c r="D29">
        <v>21</v>
      </c>
      <c r="E29">
        <v>93</v>
      </c>
      <c r="F29">
        <v>8</v>
      </c>
      <c r="G29">
        <v>9</v>
      </c>
      <c r="H29">
        <v>0</v>
      </c>
    </row>
    <row r="30" spans="2:8">
      <c r="B30" t="s">
        <v>316</v>
      </c>
      <c r="C30">
        <v>202400315</v>
      </c>
      <c r="D30">
        <v>11</v>
      </c>
      <c r="E30">
        <v>70</v>
      </c>
      <c r="F30">
        <v>7</v>
      </c>
      <c r="G30">
        <v>8</v>
      </c>
      <c r="H30">
        <v>0</v>
      </c>
    </row>
    <row r="31" spans="2:8">
      <c r="B31" t="s">
        <v>385</v>
      </c>
      <c r="C31">
        <v>202400384</v>
      </c>
      <c r="D31">
        <v>12</v>
      </c>
      <c r="E31">
        <v>69</v>
      </c>
      <c r="F31">
        <v>9</v>
      </c>
      <c r="G31">
        <v>9</v>
      </c>
      <c r="H31">
        <v>0</v>
      </c>
    </row>
    <row r="32" spans="2:8">
      <c r="B32" t="s">
        <v>252</v>
      </c>
      <c r="C32">
        <v>202400251</v>
      </c>
      <c r="D32">
        <v>29</v>
      </c>
      <c r="E32">
        <v>91</v>
      </c>
      <c r="F32">
        <v>10</v>
      </c>
      <c r="G32">
        <v>8</v>
      </c>
      <c r="H32">
        <v>0</v>
      </c>
    </row>
    <row r="33" spans="2:8">
      <c r="B33" t="s">
        <v>273</v>
      </c>
      <c r="C33">
        <v>202400272</v>
      </c>
      <c r="D33">
        <v>30</v>
      </c>
      <c r="E33">
        <v>66</v>
      </c>
      <c r="F33">
        <v>8</v>
      </c>
      <c r="G33">
        <v>9</v>
      </c>
      <c r="H33">
        <v>0</v>
      </c>
    </row>
    <row r="34" spans="2:8">
      <c r="B34" t="s">
        <v>32</v>
      </c>
      <c r="C34">
        <v>202400031</v>
      </c>
      <c r="D34">
        <v>17</v>
      </c>
      <c r="E34">
        <v>84</v>
      </c>
      <c r="F34">
        <v>5</v>
      </c>
      <c r="G34">
        <v>8</v>
      </c>
      <c r="H34">
        <v>0</v>
      </c>
    </row>
    <row r="35" spans="2:8">
      <c r="B35" t="s">
        <v>75</v>
      </c>
      <c r="C35">
        <v>202400074</v>
      </c>
      <c r="D35">
        <v>21</v>
      </c>
      <c r="E35">
        <v>78</v>
      </c>
      <c r="F35">
        <v>10</v>
      </c>
      <c r="G35">
        <v>10</v>
      </c>
      <c r="H35">
        <v>0</v>
      </c>
    </row>
    <row r="36" spans="2:8">
      <c r="B36" t="s">
        <v>180</v>
      </c>
      <c r="C36">
        <v>202400179</v>
      </c>
      <c r="D36">
        <v>22</v>
      </c>
      <c r="E36">
        <v>65</v>
      </c>
      <c r="F36">
        <v>3</v>
      </c>
      <c r="G36">
        <v>9</v>
      </c>
      <c r="H36">
        <v>0</v>
      </c>
    </row>
    <row r="37" spans="2:8">
      <c r="B37" t="s">
        <v>50</v>
      </c>
      <c r="C37">
        <v>202400049</v>
      </c>
      <c r="D37">
        <v>11</v>
      </c>
      <c r="E37">
        <v>82</v>
      </c>
      <c r="F37">
        <v>8</v>
      </c>
      <c r="G37">
        <v>8</v>
      </c>
      <c r="H37">
        <v>0</v>
      </c>
    </row>
    <row r="38" spans="2:8">
      <c r="B38" t="s">
        <v>117</v>
      </c>
      <c r="C38">
        <v>202400116</v>
      </c>
      <c r="D38">
        <v>23</v>
      </c>
      <c r="E38">
        <v>53</v>
      </c>
      <c r="F38">
        <v>7</v>
      </c>
      <c r="G38">
        <v>10</v>
      </c>
      <c r="H38">
        <v>0</v>
      </c>
    </row>
    <row r="39" spans="2:8">
      <c r="B39" t="s">
        <v>83</v>
      </c>
      <c r="C39">
        <v>202400082</v>
      </c>
      <c r="D39">
        <v>14</v>
      </c>
      <c r="E39">
        <v>77</v>
      </c>
      <c r="F39">
        <v>7</v>
      </c>
      <c r="G39">
        <v>9</v>
      </c>
      <c r="H39">
        <v>0</v>
      </c>
    </row>
    <row r="40" spans="2:8">
      <c r="B40" t="s">
        <v>365</v>
      </c>
      <c r="C40">
        <v>202400364</v>
      </c>
      <c r="D40">
        <v>24</v>
      </c>
      <c r="E40">
        <v>63</v>
      </c>
      <c r="F40">
        <v>4</v>
      </c>
      <c r="G40">
        <v>9</v>
      </c>
      <c r="H40">
        <v>0</v>
      </c>
    </row>
    <row r="41" spans="2:8">
      <c r="B41" t="s">
        <v>220</v>
      </c>
      <c r="C41">
        <v>202400219</v>
      </c>
      <c r="D41">
        <v>13</v>
      </c>
      <c r="E41">
        <v>77</v>
      </c>
      <c r="F41">
        <v>8</v>
      </c>
      <c r="G41">
        <v>9</v>
      </c>
      <c r="H41">
        <v>0</v>
      </c>
    </row>
    <row r="42" spans="2:8">
      <c r="B42" t="s">
        <v>134</v>
      </c>
      <c r="C42">
        <v>202400133</v>
      </c>
      <c r="D42">
        <v>18</v>
      </c>
      <c r="E42">
        <v>50</v>
      </c>
      <c r="F42">
        <v>7</v>
      </c>
      <c r="G42">
        <v>10</v>
      </c>
      <c r="H42">
        <v>0</v>
      </c>
    </row>
    <row r="43" spans="2:8">
      <c r="B43" t="s">
        <v>382</v>
      </c>
      <c r="C43">
        <v>202400381</v>
      </c>
      <c r="D43">
        <v>28</v>
      </c>
      <c r="E43">
        <v>71</v>
      </c>
      <c r="F43">
        <v>7</v>
      </c>
      <c r="G43">
        <v>10</v>
      </c>
      <c r="H43">
        <v>0</v>
      </c>
    </row>
    <row r="44" spans="2:8">
      <c r="B44" t="s">
        <v>240</v>
      </c>
      <c r="C44">
        <v>202400239</v>
      </c>
      <c r="D44">
        <v>26</v>
      </c>
      <c r="E44">
        <v>58</v>
      </c>
      <c r="F44">
        <v>4</v>
      </c>
      <c r="G44">
        <v>8</v>
      </c>
      <c r="H44">
        <v>0</v>
      </c>
    </row>
    <row r="45" spans="2:8">
      <c r="B45" t="s">
        <v>59</v>
      </c>
      <c r="C45">
        <v>202400058</v>
      </c>
      <c r="D45">
        <v>25</v>
      </c>
      <c r="E45">
        <v>50</v>
      </c>
      <c r="F45">
        <v>10</v>
      </c>
      <c r="G45">
        <v>10</v>
      </c>
      <c r="H45">
        <v>0</v>
      </c>
    </row>
    <row r="46" spans="2:8">
      <c r="B46" t="s">
        <v>110</v>
      </c>
      <c r="C46">
        <v>202400109</v>
      </c>
      <c r="D46">
        <v>29</v>
      </c>
      <c r="E46">
        <v>54</v>
      </c>
      <c r="F46">
        <v>3</v>
      </c>
      <c r="G46">
        <v>8</v>
      </c>
      <c r="H46">
        <v>0</v>
      </c>
    </row>
    <row r="47" spans="2:8">
      <c r="B47" t="s">
        <v>74</v>
      </c>
      <c r="C47">
        <v>202400073</v>
      </c>
      <c r="D47">
        <v>12</v>
      </c>
      <c r="E47">
        <v>80</v>
      </c>
      <c r="F47">
        <v>5</v>
      </c>
      <c r="G47">
        <v>9</v>
      </c>
      <c r="H47">
        <v>0</v>
      </c>
    </row>
    <row r="48" spans="2:8">
      <c r="B48" t="s">
        <v>63</v>
      </c>
      <c r="C48">
        <v>202400062</v>
      </c>
      <c r="D48">
        <v>29</v>
      </c>
      <c r="E48">
        <v>69</v>
      </c>
      <c r="F48">
        <v>9</v>
      </c>
      <c r="G48">
        <v>9</v>
      </c>
      <c r="H48">
        <v>0</v>
      </c>
    </row>
    <row r="49" spans="2:8">
      <c r="B49" t="s">
        <v>147</v>
      </c>
      <c r="C49">
        <v>202400146</v>
      </c>
      <c r="D49">
        <v>14</v>
      </c>
      <c r="E49">
        <v>53</v>
      </c>
      <c r="F49">
        <v>4</v>
      </c>
      <c r="G49">
        <v>9</v>
      </c>
      <c r="H49">
        <v>0</v>
      </c>
    </row>
    <row r="50" spans="2:8">
      <c r="B50" t="s">
        <v>250</v>
      </c>
      <c r="C50">
        <v>202400249</v>
      </c>
      <c r="D50">
        <v>12</v>
      </c>
      <c r="E50">
        <v>92</v>
      </c>
      <c r="F50">
        <v>7</v>
      </c>
      <c r="G50">
        <v>10</v>
      </c>
      <c r="H50">
        <v>0</v>
      </c>
    </row>
    <row r="51" spans="2:8">
      <c r="B51" t="s">
        <v>108</v>
      </c>
      <c r="C51">
        <v>202400107</v>
      </c>
      <c r="D51">
        <v>30</v>
      </c>
      <c r="E51">
        <v>76</v>
      </c>
      <c r="F51">
        <v>10</v>
      </c>
      <c r="G51">
        <v>9</v>
      </c>
      <c r="H51">
        <v>0</v>
      </c>
    </row>
    <row r="52" spans="2:8">
      <c r="B52" t="s">
        <v>176</v>
      </c>
      <c r="C52">
        <v>202400175</v>
      </c>
      <c r="D52">
        <v>13</v>
      </c>
      <c r="E52">
        <v>69</v>
      </c>
      <c r="F52">
        <v>6</v>
      </c>
      <c r="G52">
        <v>8</v>
      </c>
      <c r="H52">
        <v>0</v>
      </c>
    </row>
    <row r="53" spans="2:8">
      <c r="B53" t="s">
        <v>271</v>
      </c>
      <c r="C53">
        <v>202400270</v>
      </c>
      <c r="D53">
        <v>12</v>
      </c>
      <c r="E53">
        <v>69</v>
      </c>
      <c r="F53">
        <v>7</v>
      </c>
      <c r="G53">
        <v>9</v>
      </c>
      <c r="H53">
        <v>0</v>
      </c>
    </row>
    <row r="54" spans="2:8">
      <c r="B54" t="s">
        <v>143</v>
      </c>
      <c r="C54">
        <v>202400142</v>
      </c>
      <c r="D54">
        <v>18</v>
      </c>
      <c r="E54">
        <v>62</v>
      </c>
      <c r="F54">
        <v>5</v>
      </c>
      <c r="G54">
        <v>9</v>
      </c>
      <c r="H54">
        <v>0</v>
      </c>
    </row>
    <row r="55" spans="2:8">
      <c r="B55" t="s">
        <v>233</v>
      </c>
      <c r="C55">
        <v>202400232</v>
      </c>
      <c r="D55">
        <v>23</v>
      </c>
      <c r="E55">
        <v>64</v>
      </c>
      <c r="F55">
        <v>10</v>
      </c>
      <c r="G55">
        <v>10</v>
      </c>
      <c r="H55">
        <v>0</v>
      </c>
    </row>
    <row r="56" spans="2:8">
      <c r="B56" t="s">
        <v>190</v>
      </c>
      <c r="C56">
        <v>202400189</v>
      </c>
      <c r="D56">
        <v>29</v>
      </c>
      <c r="E56">
        <v>55</v>
      </c>
      <c r="F56">
        <v>7</v>
      </c>
      <c r="G56">
        <v>9</v>
      </c>
      <c r="H56">
        <v>0</v>
      </c>
    </row>
    <row r="57" spans="2:8">
      <c r="B57" t="s">
        <v>357</v>
      </c>
      <c r="C57">
        <v>202400356</v>
      </c>
      <c r="D57">
        <v>22</v>
      </c>
      <c r="E57">
        <v>88</v>
      </c>
      <c r="F57">
        <v>5</v>
      </c>
      <c r="G57">
        <v>9</v>
      </c>
      <c r="H57">
        <v>0</v>
      </c>
    </row>
    <row r="58" spans="2:8">
      <c r="B58" t="s">
        <v>171</v>
      </c>
      <c r="C58">
        <v>202400170</v>
      </c>
      <c r="D58">
        <v>18</v>
      </c>
      <c r="E58">
        <v>91</v>
      </c>
      <c r="F58">
        <v>5</v>
      </c>
      <c r="G58">
        <v>8</v>
      </c>
      <c r="H58">
        <v>0</v>
      </c>
    </row>
    <row r="59" spans="2:8">
      <c r="B59" t="s">
        <v>105</v>
      </c>
      <c r="C59">
        <v>202400104</v>
      </c>
      <c r="D59">
        <v>25</v>
      </c>
      <c r="E59">
        <v>96</v>
      </c>
      <c r="F59">
        <v>4</v>
      </c>
      <c r="G59">
        <v>9</v>
      </c>
      <c r="H59">
        <v>0</v>
      </c>
    </row>
    <row r="60" spans="2:8">
      <c r="B60" t="s">
        <v>30</v>
      </c>
      <c r="C60">
        <v>202400029</v>
      </c>
      <c r="D60">
        <v>22</v>
      </c>
      <c r="E60">
        <v>68</v>
      </c>
      <c r="F60">
        <v>8</v>
      </c>
      <c r="G60">
        <v>10</v>
      </c>
      <c r="H60">
        <v>0</v>
      </c>
    </row>
    <row r="61" spans="2:8">
      <c r="B61" t="s">
        <v>214</v>
      </c>
      <c r="C61">
        <v>202400213</v>
      </c>
      <c r="D61">
        <v>28</v>
      </c>
      <c r="E61">
        <v>82</v>
      </c>
      <c r="F61">
        <v>4</v>
      </c>
      <c r="G61">
        <v>8</v>
      </c>
      <c r="H61">
        <v>0</v>
      </c>
    </row>
    <row r="62" spans="2:8">
      <c r="B62" t="s">
        <v>91</v>
      </c>
      <c r="C62">
        <v>202400090</v>
      </c>
      <c r="D62">
        <v>17</v>
      </c>
      <c r="E62">
        <v>68</v>
      </c>
      <c r="F62">
        <v>6</v>
      </c>
      <c r="G62">
        <v>9</v>
      </c>
      <c r="H62">
        <v>0</v>
      </c>
    </row>
    <row r="63" spans="2:8">
      <c r="B63" t="s">
        <v>193</v>
      </c>
      <c r="C63">
        <v>202400192</v>
      </c>
      <c r="D63">
        <v>17</v>
      </c>
      <c r="E63">
        <v>66</v>
      </c>
      <c r="F63">
        <v>8</v>
      </c>
      <c r="G63">
        <v>8</v>
      </c>
      <c r="H63">
        <v>0</v>
      </c>
    </row>
    <row r="64" spans="2:8">
      <c r="B64" t="s">
        <v>6</v>
      </c>
      <c r="C64">
        <v>202400005</v>
      </c>
      <c r="D64">
        <v>16</v>
      </c>
      <c r="E64">
        <v>80</v>
      </c>
      <c r="F64">
        <v>7</v>
      </c>
      <c r="G64">
        <v>8</v>
      </c>
      <c r="H64">
        <v>0</v>
      </c>
    </row>
    <row r="65" spans="2:8">
      <c r="B65" t="s">
        <v>284</v>
      </c>
      <c r="C65">
        <v>202400283</v>
      </c>
      <c r="D65">
        <v>11</v>
      </c>
      <c r="E65">
        <v>93</v>
      </c>
      <c r="F65">
        <v>6</v>
      </c>
      <c r="G65">
        <v>10</v>
      </c>
      <c r="H65">
        <v>0</v>
      </c>
    </row>
    <row r="66" spans="2:8">
      <c r="B66" t="s">
        <v>34</v>
      </c>
      <c r="C66">
        <v>202400033</v>
      </c>
      <c r="D66">
        <v>29</v>
      </c>
      <c r="E66">
        <v>81</v>
      </c>
      <c r="F66">
        <v>5</v>
      </c>
      <c r="G66">
        <v>9</v>
      </c>
      <c r="H66">
        <v>0</v>
      </c>
    </row>
    <row r="67" spans="2:8">
      <c r="B67" t="s">
        <v>101</v>
      </c>
      <c r="C67">
        <v>202400100</v>
      </c>
      <c r="D67">
        <v>29</v>
      </c>
      <c r="E67">
        <v>95</v>
      </c>
      <c r="F67">
        <v>7</v>
      </c>
      <c r="G67">
        <v>9</v>
      </c>
      <c r="H67">
        <v>0</v>
      </c>
    </row>
    <row r="68" spans="2:8">
      <c r="B68" t="s">
        <v>140</v>
      </c>
      <c r="C68">
        <v>202400139</v>
      </c>
      <c r="D68">
        <v>25</v>
      </c>
      <c r="E68">
        <v>67</v>
      </c>
      <c r="F68">
        <v>9</v>
      </c>
      <c r="G68">
        <v>9</v>
      </c>
      <c r="H68">
        <v>0</v>
      </c>
    </row>
    <row r="69" spans="2:8">
      <c r="B69" t="s">
        <v>73</v>
      </c>
      <c r="C69">
        <v>202400072</v>
      </c>
      <c r="D69">
        <v>25</v>
      </c>
      <c r="E69">
        <v>90</v>
      </c>
      <c r="F69">
        <v>6</v>
      </c>
      <c r="G69">
        <v>8</v>
      </c>
      <c r="H69">
        <v>0</v>
      </c>
    </row>
    <row r="70" spans="2:8">
      <c r="B70" t="s">
        <v>137</v>
      </c>
      <c r="C70">
        <v>202400136</v>
      </c>
      <c r="D70">
        <v>11</v>
      </c>
      <c r="E70">
        <v>79</v>
      </c>
      <c r="F70">
        <v>9</v>
      </c>
      <c r="G70">
        <v>8</v>
      </c>
      <c r="H70">
        <v>0</v>
      </c>
    </row>
    <row r="71" spans="2:8">
      <c r="B71" t="s">
        <v>133</v>
      </c>
      <c r="C71">
        <v>202400132</v>
      </c>
      <c r="D71">
        <v>19</v>
      </c>
      <c r="E71">
        <v>71</v>
      </c>
      <c r="F71">
        <v>7</v>
      </c>
      <c r="G71">
        <v>10</v>
      </c>
      <c r="H71">
        <v>0</v>
      </c>
    </row>
    <row r="72" spans="2:8">
      <c r="B72" t="s">
        <v>167</v>
      </c>
      <c r="C72">
        <v>202400166</v>
      </c>
      <c r="D72">
        <v>15</v>
      </c>
      <c r="E72">
        <v>87</v>
      </c>
      <c r="F72">
        <v>5</v>
      </c>
      <c r="G72">
        <v>8</v>
      </c>
      <c r="H72">
        <v>0</v>
      </c>
    </row>
    <row r="73" spans="2:8">
      <c r="B73" t="s">
        <v>146</v>
      </c>
      <c r="C73">
        <v>202400145</v>
      </c>
      <c r="D73">
        <v>17</v>
      </c>
      <c r="E73">
        <v>58</v>
      </c>
      <c r="F73">
        <v>5</v>
      </c>
      <c r="G73">
        <v>10</v>
      </c>
      <c r="H73">
        <v>0</v>
      </c>
    </row>
    <row r="74" spans="2:8">
      <c r="B74" t="s">
        <v>333</v>
      </c>
      <c r="C74">
        <v>202400332</v>
      </c>
      <c r="D74">
        <v>17</v>
      </c>
      <c r="E74">
        <v>77</v>
      </c>
      <c r="F74">
        <v>3</v>
      </c>
      <c r="G74">
        <v>9</v>
      </c>
      <c r="H74">
        <v>0</v>
      </c>
    </row>
    <row r="75" spans="2:8">
      <c r="B75" t="s">
        <v>56</v>
      </c>
      <c r="C75">
        <v>202400055</v>
      </c>
      <c r="D75">
        <v>29</v>
      </c>
      <c r="E75">
        <v>55</v>
      </c>
      <c r="F75">
        <v>5</v>
      </c>
      <c r="G75">
        <v>9</v>
      </c>
      <c r="H75">
        <v>0</v>
      </c>
    </row>
    <row r="76" spans="2:8">
      <c r="B76" t="s">
        <v>222</v>
      </c>
      <c r="C76">
        <v>202400221</v>
      </c>
      <c r="D76">
        <v>24</v>
      </c>
      <c r="E76">
        <v>66</v>
      </c>
      <c r="F76">
        <v>6</v>
      </c>
      <c r="G76">
        <v>8</v>
      </c>
      <c r="H76">
        <v>0</v>
      </c>
    </row>
    <row r="77" spans="2:8">
      <c r="B77" t="s">
        <v>242</v>
      </c>
      <c r="C77">
        <v>202400241</v>
      </c>
      <c r="D77">
        <v>14</v>
      </c>
      <c r="E77">
        <v>74</v>
      </c>
      <c r="F77">
        <v>8</v>
      </c>
      <c r="G77">
        <v>9</v>
      </c>
      <c r="H77">
        <v>0</v>
      </c>
    </row>
    <row r="78" spans="2:8">
      <c r="B78" t="s">
        <v>127</v>
      </c>
      <c r="C78">
        <v>202400126</v>
      </c>
      <c r="D78">
        <v>26</v>
      </c>
      <c r="E78">
        <v>95</v>
      </c>
      <c r="F78">
        <v>3</v>
      </c>
      <c r="G78">
        <v>9</v>
      </c>
      <c r="H78">
        <v>0</v>
      </c>
    </row>
    <row r="79" spans="2:8">
      <c r="B79" t="s">
        <v>28</v>
      </c>
      <c r="C79">
        <v>202400027</v>
      </c>
      <c r="D79">
        <v>24</v>
      </c>
      <c r="E79">
        <v>69</v>
      </c>
      <c r="F79">
        <v>3</v>
      </c>
      <c r="G79">
        <v>9</v>
      </c>
      <c r="H79">
        <v>0</v>
      </c>
    </row>
    <row r="80" spans="2:8">
      <c r="B80" t="s">
        <v>195</v>
      </c>
      <c r="C80">
        <v>202400194</v>
      </c>
      <c r="D80">
        <v>22</v>
      </c>
      <c r="E80">
        <v>56</v>
      </c>
      <c r="F80">
        <v>7</v>
      </c>
      <c r="G80">
        <v>10</v>
      </c>
      <c r="H80">
        <v>0</v>
      </c>
    </row>
    <row r="81" spans="2:8">
      <c r="B81" t="s">
        <v>8</v>
      </c>
      <c r="C81">
        <v>202400007</v>
      </c>
      <c r="D81">
        <v>16</v>
      </c>
      <c r="E81">
        <v>98</v>
      </c>
      <c r="F81">
        <v>7</v>
      </c>
      <c r="G81">
        <v>8</v>
      </c>
      <c r="H81">
        <v>0</v>
      </c>
    </row>
    <row r="82" spans="2:8">
      <c r="B82" t="s">
        <v>168</v>
      </c>
      <c r="C82">
        <v>202400167</v>
      </c>
      <c r="D82">
        <v>24</v>
      </c>
      <c r="E82">
        <v>87</v>
      </c>
      <c r="F82">
        <v>6</v>
      </c>
      <c r="G82">
        <v>8</v>
      </c>
      <c r="H82">
        <v>0</v>
      </c>
    </row>
    <row r="83" spans="2:8">
      <c r="B83" t="s">
        <v>372</v>
      </c>
      <c r="C83">
        <v>202400371</v>
      </c>
      <c r="D83">
        <v>26</v>
      </c>
      <c r="E83">
        <v>80</v>
      </c>
      <c r="F83">
        <v>9</v>
      </c>
      <c r="G83">
        <v>9</v>
      </c>
      <c r="H83">
        <v>0</v>
      </c>
    </row>
    <row r="84" spans="2:8">
      <c r="B84" t="s">
        <v>287</v>
      </c>
      <c r="C84">
        <v>202400286</v>
      </c>
      <c r="D84">
        <v>25</v>
      </c>
      <c r="E84">
        <v>56</v>
      </c>
      <c r="F84">
        <v>6</v>
      </c>
      <c r="G84">
        <v>8</v>
      </c>
      <c r="H84">
        <v>0</v>
      </c>
    </row>
    <row r="85" spans="2:8">
      <c r="B85" t="s">
        <v>208</v>
      </c>
      <c r="C85">
        <v>202400207</v>
      </c>
      <c r="D85">
        <v>29</v>
      </c>
      <c r="E85">
        <v>60</v>
      </c>
      <c r="F85">
        <v>7</v>
      </c>
      <c r="G85">
        <v>10</v>
      </c>
      <c r="H85">
        <v>0</v>
      </c>
    </row>
    <row r="86" spans="2:8">
      <c r="B86" t="s">
        <v>265</v>
      </c>
      <c r="C86">
        <v>202400264</v>
      </c>
      <c r="D86">
        <v>22</v>
      </c>
      <c r="E86">
        <v>76</v>
      </c>
      <c r="F86">
        <v>3</v>
      </c>
      <c r="G86">
        <v>9</v>
      </c>
      <c r="H86">
        <v>0</v>
      </c>
    </row>
    <row r="87" spans="2:8">
      <c r="B87" t="s">
        <v>319</v>
      </c>
      <c r="C87">
        <v>202400318</v>
      </c>
      <c r="D87">
        <v>18</v>
      </c>
      <c r="E87">
        <v>94</v>
      </c>
      <c r="F87">
        <v>5</v>
      </c>
      <c r="G87">
        <v>9</v>
      </c>
      <c r="H87">
        <v>0</v>
      </c>
    </row>
    <row r="88" spans="2:8">
      <c r="B88" t="s">
        <v>311</v>
      </c>
      <c r="C88">
        <v>202400310</v>
      </c>
      <c r="D88">
        <v>13</v>
      </c>
      <c r="E88">
        <v>57</v>
      </c>
      <c r="F88">
        <v>5</v>
      </c>
      <c r="G88">
        <v>9</v>
      </c>
      <c r="H88">
        <v>0</v>
      </c>
    </row>
    <row r="89" spans="2:8">
      <c r="B89" t="s">
        <v>401</v>
      </c>
      <c r="C89">
        <v>202400400</v>
      </c>
      <c r="D89">
        <v>30</v>
      </c>
      <c r="E89">
        <v>78</v>
      </c>
      <c r="F89">
        <v>8</v>
      </c>
      <c r="G89">
        <v>10</v>
      </c>
      <c r="H89">
        <v>0</v>
      </c>
    </row>
    <row r="90" spans="2:8">
      <c r="B90" t="s">
        <v>97</v>
      </c>
      <c r="C90">
        <v>202400096</v>
      </c>
      <c r="D90">
        <v>29</v>
      </c>
      <c r="E90">
        <v>57</v>
      </c>
      <c r="F90">
        <v>10</v>
      </c>
      <c r="G90">
        <v>9</v>
      </c>
      <c r="H90">
        <v>0</v>
      </c>
    </row>
    <row r="91" spans="2:8">
      <c r="B91" t="s">
        <v>170</v>
      </c>
      <c r="C91">
        <v>202400169</v>
      </c>
      <c r="D91">
        <v>30</v>
      </c>
      <c r="E91">
        <v>68</v>
      </c>
      <c r="F91">
        <v>7</v>
      </c>
      <c r="G91">
        <v>9</v>
      </c>
      <c r="H91">
        <v>0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2A885-3E35-A445-808B-D511969615FD}">
  <dimension ref="B1:M33"/>
  <sheetViews>
    <sheetView workbookViewId="0">
      <selection activeCell="H4" sqref="H4:H33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498</v>
      </c>
      <c r="C2">
        <v>1</v>
      </c>
      <c r="D2" t="s">
        <v>514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55</v>
      </c>
      <c r="C4">
        <v>202400054</v>
      </c>
      <c r="D4">
        <v>12</v>
      </c>
      <c r="E4">
        <v>96</v>
      </c>
      <c r="F4">
        <v>19</v>
      </c>
      <c r="G4">
        <v>5</v>
      </c>
      <c r="H4">
        <v>0</v>
      </c>
    </row>
    <row r="5" spans="2:13">
      <c r="B5" t="s">
        <v>22</v>
      </c>
      <c r="C5">
        <v>202400021</v>
      </c>
      <c r="D5">
        <v>4</v>
      </c>
      <c r="E5">
        <v>88</v>
      </c>
      <c r="F5">
        <v>18</v>
      </c>
      <c r="G5">
        <v>9</v>
      </c>
      <c r="H5">
        <v>0</v>
      </c>
    </row>
    <row r="6" spans="2:13">
      <c r="B6" t="s">
        <v>54</v>
      </c>
      <c r="C6">
        <v>202400053</v>
      </c>
      <c r="D6">
        <v>17</v>
      </c>
      <c r="E6">
        <v>70</v>
      </c>
      <c r="F6">
        <v>5</v>
      </c>
      <c r="G6">
        <v>9</v>
      </c>
      <c r="H6">
        <v>0</v>
      </c>
    </row>
    <row r="7" spans="2:13">
      <c r="B7" t="s">
        <v>56</v>
      </c>
      <c r="C7">
        <v>202400055</v>
      </c>
      <c r="D7">
        <v>12</v>
      </c>
      <c r="E7">
        <v>62</v>
      </c>
      <c r="F7">
        <v>17</v>
      </c>
      <c r="G7">
        <v>10</v>
      </c>
      <c r="H7">
        <v>0</v>
      </c>
    </row>
    <row r="8" spans="2:13">
      <c r="B8" t="s">
        <v>14</v>
      </c>
      <c r="C8">
        <v>202400013</v>
      </c>
      <c r="D8">
        <v>20</v>
      </c>
      <c r="E8">
        <v>94</v>
      </c>
      <c r="F8">
        <v>16</v>
      </c>
      <c r="G8">
        <v>6</v>
      </c>
      <c r="H8">
        <v>0</v>
      </c>
    </row>
    <row r="9" spans="2:13">
      <c r="B9" t="s">
        <v>58</v>
      </c>
      <c r="C9">
        <v>202400057</v>
      </c>
      <c r="D9">
        <v>8</v>
      </c>
      <c r="E9">
        <v>92</v>
      </c>
      <c r="F9">
        <v>11</v>
      </c>
      <c r="G9">
        <v>7</v>
      </c>
      <c r="H9">
        <v>0</v>
      </c>
    </row>
    <row r="10" spans="2:13">
      <c r="B10" t="s">
        <v>15</v>
      </c>
      <c r="C10">
        <v>202400014</v>
      </c>
      <c r="D10">
        <v>19</v>
      </c>
      <c r="E10">
        <v>86</v>
      </c>
      <c r="F10">
        <v>16</v>
      </c>
      <c r="G10">
        <v>8</v>
      </c>
      <c r="H10">
        <v>0</v>
      </c>
    </row>
    <row r="11" spans="2:13">
      <c r="B11" t="s">
        <v>7</v>
      </c>
      <c r="C11">
        <v>202400006</v>
      </c>
      <c r="D11">
        <v>5</v>
      </c>
      <c r="E11">
        <v>85</v>
      </c>
      <c r="F11">
        <v>13</v>
      </c>
      <c r="G11">
        <v>5</v>
      </c>
      <c r="H11">
        <v>0</v>
      </c>
    </row>
    <row r="12" spans="2:13">
      <c r="B12" t="s">
        <v>86</v>
      </c>
      <c r="C12">
        <v>202400085</v>
      </c>
      <c r="D12">
        <v>5</v>
      </c>
      <c r="E12">
        <v>63</v>
      </c>
      <c r="F12">
        <v>11</v>
      </c>
      <c r="G12">
        <v>6</v>
      </c>
      <c r="H12">
        <v>0</v>
      </c>
    </row>
    <row r="13" spans="2:13">
      <c r="B13" t="s">
        <v>2</v>
      </c>
      <c r="C13">
        <v>202400002</v>
      </c>
      <c r="D13">
        <v>20</v>
      </c>
      <c r="E13">
        <v>97</v>
      </c>
      <c r="F13">
        <v>11</v>
      </c>
      <c r="G13">
        <v>9</v>
      </c>
      <c r="H13">
        <v>0</v>
      </c>
    </row>
    <row r="14" spans="2:13">
      <c r="B14" t="s">
        <v>32</v>
      </c>
      <c r="C14">
        <v>202400031</v>
      </c>
      <c r="D14">
        <v>1</v>
      </c>
      <c r="E14">
        <v>84</v>
      </c>
      <c r="F14">
        <v>7</v>
      </c>
      <c r="G14">
        <v>7</v>
      </c>
      <c r="H14">
        <v>0</v>
      </c>
    </row>
    <row r="15" spans="2:13">
      <c r="B15" t="s">
        <v>73</v>
      </c>
      <c r="C15">
        <v>202400072</v>
      </c>
      <c r="D15">
        <v>11</v>
      </c>
      <c r="E15">
        <v>85</v>
      </c>
      <c r="F15">
        <v>15</v>
      </c>
      <c r="G15">
        <v>8</v>
      </c>
      <c r="H15">
        <v>0</v>
      </c>
    </row>
    <row r="16" spans="2:13">
      <c r="B16" t="s">
        <v>80</v>
      </c>
      <c r="C16">
        <v>202400079</v>
      </c>
      <c r="D16">
        <v>10</v>
      </c>
      <c r="E16">
        <v>65</v>
      </c>
      <c r="F16">
        <v>19</v>
      </c>
      <c r="G16">
        <v>5</v>
      </c>
      <c r="H16">
        <v>0</v>
      </c>
    </row>
    <row r="17" spans="2:8">
      <c r="B17" t="s">
        <v>18</v>
      </c>
      <c r="C17">
        <v>202400017</v>
      </c>
      <c r="D17">
        <v>6</v>
      </c>
      <c r="E17">
        <v>93</v>
      </c>
      <c r="F17">
        <v>10</v>
      </c>
      <c r="G17">
        <v>8</v>
      </c>
      <c r="H17">
        <v>0</v>
      </c>
    </row>
    <row r="18" spans="2:8">
      <c r="B18" t="s">
        <v>91</v>
      </c>
      <c r="C18">
        <v>202400090</v>
      </c>
      <c r="D18">
        <v>13</v>
      </c>
      <c r="E18">
        <v>87</v>
      </c>
      <c r="F18">
        <v>11</v>
      </c>
      <c r="G18">
        <v>6</v>
      </c>
      <c r="H18">
        <v>0</v>
      </c>
    </row>
    <row r="19" spans="2:8">
      <c r="B19" t="s">
        <v>97</v>
      </c>
      <c r="C19">
        <v>202400096</v>
      </c>
      <c r="D19">
        <v>20</v>
      </c>
      <c r="E19">
        <v>94</v>
      </c>
      <c r="F19">
        <v>5</v>
      </c>
      <c r="G19">
        <v>6</v>
      </c>
      <c r="H19">
        <v>0</v>
      </c>
    </row>
    <row r="20" spans="2:8">
      <c r="B20" t="s">
        <v>38</v>
      </c>
      <c r="C20">
        <v>202400037</v>
      </c>
      <c r="D20">
        <v>3</v>
      </c>
      <c r="E20">
        <v>86</v>
      </c>
      <c r="F20">
        <v>6</v>
      </c>
      <c r="G20">
        <v>7</v>
      </c>
      <c r="H20">
        <v>0</v>
      </c>
    </row>
    <row r="21" spans="2:8">
      <c r="B21" t="s">
        <v>83</v>
      </c>
      <c r="C21">
        <v>202400082</v>
      </c>
      <c r="D21">
        <v>19</v>
      </c>
      <c r="E21">
        <v>89</v>
      </c>
      <c r="F21">
        <v>6</v>
      </c>
      <c r="G21">
        <v>10</v>
      </c>
      <c r="H21">
        <v>0</v>
      </c>
    </row>
    <row r="22" spans="2:8">
      <c r="B22" t="s">
        <v>5</v>
      </c>
      <c r="C22">
        <v>202400004</v>
      </c>
      <c r="D22">
        <v>6</v>
      </c>
      <c r="E22">
        <v>90</v>
      </c>
      <c r="F22">
        <v>5</v>
      </c>
      <c r="G22">
        <v>7</v>
      </c>
      <c r="H22">
        <v>0</v>
      </c>
    </row>
    <row r="23" spans="2:8">
      <c r="B23" t="s">
        <v>79</v>
      </c>
      <c r="C23">
        <v>202400078</v>
      </c>
      <c r="D23">
        <v>18</v>
      </c>
      <c r="E23">
        <v>95</v>
      </c>
      <c r="F23">
        <v>14</v>
      </c>
      <c r="G23">
        <v>9</v>
      </c>
      <c r="H23">
        <v>0</v>
      </c>
    </row>
    <row r="24" spans="2:8">
      <c r="B24" t="s">
        <v>52</v>
      </c>
      <c r="C24">
        <v>202400051</v>
      </c>
      <c r="D24">
        <v>8</v>
      </c>
      <c r="E24">
        <v>69</v>
      </c>
      <c r="F24">
        <v>9</v>
      </c>
      <c r="G24">
        <v>9</v>
      </c>
      <c r="H24">
        <v>0</v>
      </c>
    </row>
    <row r="25" spans="2:8">
      <c r="B25" t="s">
        <v>40</v>
      </c>
      <c r="C25">
        <v>202400039</v>
      </c>
      <c r="D25">
        <v>10</v>
      </c>
      <c r="E25">
        <v>93</v>
      </c>
      <c r="F25">
        <v>13</v>
      </c>
      <c r="G25">
        <v>9</v>
      </c>
      <c r="H25">
        <v>0</v>
      </c>
    </row>
    <row r="26" spans="2:8">
      <c r="B26" t="s">
        <v>67</v>
      </c>
      <c r="C26">
        <v>202400066</v>
      </c>
      <c r="D26">
        <v>13</v>
      </c>
      <c r="E26">
        <v>83</v>
      </c>
      <c r="F26">
        <v>18</v>
      </c>
      <c r="G26">
        <v>8</v>
      </c>
      <c r="H26">
        <v>0</v>
      </c>
    </row>
    <row r="27" spans="2:8">
      <c r="B27" t="s">
        <v>9</v>
      </c>
      <c r="C27">
        <v>202400008</v>
      </c>
      <c r="D27">
        <v>17</v>
      </c>
      <c r="E27">
        <v>88</v>
      </c>
      <c r="F27">
        <v>9</v>
      </c>
      <c r="G27">
        <v>5</v>
      </c>
      <c r="H27">
        <v>0</v>
      </c>
    </row>
    <row r="28" spans="2:8">
      <c r="B28" t="s">
        <v>57</v>
      </c>
      <c r="C28">
        <v>202400056</v>
      </c>
      <c r="D28">
        <v>9</v>
      </c>
      <c r="E28">
        <v>85</v>
      </c>
      <c r="F28">
        <v>10</v>
      </c>
      <c r="G28">
        <v>8</v>
      </c>
      <c r="H28">
        <v>0</v>
      </c>
    </row>
    <row r="29" spans="2:8">
      <c r="B29" t="s">
        <v>93</v>
      </c>
      <c r="C29">
        <v>202400092</v>
      </c>
      <c r="D29">
        <v>4</v>
      </c>
      <c r="E29">
        <v>85</v>
      </c>
      <c r="F29">
        <v>13</v>
      </c>
      <c r="G29">
        <v>5</v>
      </c>
      <c r="H29">
        <v>0</v>
      </c>
    </row>
    <row r="30" spans="2:8">
      <c r="B30" t="s">
        <v>76</v>
      </c>
      <c r="C30">
        <v>202400075</v>
      </c>
      <c r="D30">
        <v>9</v>
      </c>
      <c r="E30">
        <v>91</v>
      </c>
      <c r="F30">
        <v>12</v>
      </c>
      <c r="G30">
        <v>9</v>
      </c>
      <c r="H30">
        <v>0</v>
      </c>
    </row>
    <row r="31" spans="2:8">
      <c r="B31" t="s">
        <v>77</v>
      </c>
      <c r="C31">
        <v>202400076</v>
      </c>
      <c r="D31">
        <v>3</v>
      </c>
      <c r="E31">
        <v>87</v>
      </c>
      <c r="F31">
        <v>15</v>
      </c>
      <c r="G31">
        <v>7</v>
      </c>
      <c r="H31">
        <v>0</v>
      </c>
    </row>
    <row r="32" spans="2:8">
      <c r="B32" t="s">
        <v>47</v>
      </c>
      <c r="C32">
        <v>202400046</v>
      </c>
      <c r="D32">
        <v>7</v>
      </c>
      <c r="E32">
        <v>71</v>
      </c>
      <c r="F32">
        <v>17</v>
      </c>
      <c r="G32">
        <v>10</v>
      </c>
      <c r="H32">
        <v>0</v>
      </c>
    </row>
    <row r="33" spans="2:8">
      <c r="B33" t="s">
        <v>95</v>
      </c>
      <c r="C33">
        <v>202400094</v>
      </c>
      <c r="D33">
        <v>16</v>
      </c>
      <c r="E33">
        <v>71</v>
      </c>
      <c r="F33">
        <v>8</v>
      </c>
      <c r="G33">
        <v>6</v>
      </c>
      <c r="H33">
        <v>0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1EA87-2103-5840-A07B-530ED9DD43C8}">
  <dimension ref="B1:M50"/>
  <sheetViews>
    <sheetView workbookViewId="0">
      <selection activeCell="H4" sqref="H4:H50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499</v>
      </c>
      <c r="C2">
        <v>1</v>
      </c>
      <c r="D2" t="s">
        <v>514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134</v>
      </c>
      <c r="C4">
        <v>202400133</v>
      </c>
      <c r="D4">
        <v>16</v>
      </c>
      <c r="E4">
        <v>51</v>
      </c>
      <c r="F4">
        <v>9</v>
      </c>
      <c r="G4">
        <v>9</v>
      </c>
      <c r="H4">
        <v>0</v>
      </c>
    </row>
    <row r="5" spans="2:13">
      <c r="B5" t="s">
        <v>184</v>
      </c>
      <c r="C5">
        <v>202400183</v>
      </c>
      <c r="D5">
        <v>19</v>
      </c>
      <c r="E5">
        <v>60</v>
      </c>
      <c r="F5">
        <v>9</v>
      </c>
      <c r="G5">
        <v>7</v>
      </c>
      <c r="H5">
        <v>0</v>
      </c>
    </row>
    <row r="6" spans="2:13">
      <c r="B6" t="s">
        <v>200</v>
      </c>
      <c r="C6">
        <v>202400199</v>
      </c>
      <c r="D6">
        <v>15</v>
      </c>
      <c r="E6">
        <v>75</v>
      </c>
      <c r="F6">
        <v>11</v>
      </c>
      <c r="G6">
        <v>8</v>
      </c>
      <c r="H6">
        <v>0</v>
      </c>
    </row>
    <row r="7" spans="2:13">
      <c r="B7" t="s">
        <v>162</v>
      </c>
      <c r="C7">
        <v>202400161</v>
      </c>
      <c r="D7">
        <v>20</v>
      </c>
      <c r="E7">
        <v>60</v>
      </c>
      <c r="F7">
        <v>15</v>
      </c>
      <c r="G7">
        <v>9</v>
      </c>
      <c r="H7">
        <v>0</v>
      </c>
    </row>
    <row r="8" spans="2:13">
      <c r="B8" t="s">
        <v>147</v>
      </c>
      <c r="C8">
        <v>202400146</v>
      </c>
      <c r="D8">
        <v>11</v>
      </c>
      <c r="E8">
        <v>70</v>
      </c>
      <c r="F8">
        <v>10</v>
      </c>
      <c r="G8">
        <v>9</v>
      </c>
      <c r="H8">
        <v>0</v>
      </c>
    </row>
    <row r="9" spans="2:13">
      <c r="B9" t="s">
        <v>195</v>
      </c>
      <c r="C9">
        <v>202400194</v>
      </c>
      <c r="D9">
        <v>15</v>
      </c>
      <c r="E9">
        <v>50</v>
      </c>
      <c r="F9">
        <v>13</v>
      </c>
      <c r="G9">
        <v>8</v>
      </c>
      <c r="H9">
        <v>0</v>
      </c>
    </row>
    <row r="10" spans="2:13">
      <c r="B10" t="s">
        <v>144</v>
      </c>
      <c r="C10">
        <v>202400143</v>
      </c>
      <c r="D10">
        <v>9</v>
      </c>
      <c r="E10">
        <v>62</v>
      </c>
      <c r="F10">
        <v>7</v>
      </c>
      <c r="G10">
        <v>6</v>
      </c>
      <c r="H10">
        <v>0</v>
      </c>
    </row>
    <row r="11" spans="2:13">
      <c r="B11" t="s">
        <v>179</v>
      </c>
      <c r="C11">
        <v>202400178</v>
      </c>
      <c r="D11">
        <v>9</v>
      </c>
      <c r="E11">
        <v>69</v>
      </c>
      <c r="F11">
        <v>7</v>
      </c>
      <c r="G11">
        <v>9</v>
      </c>
      <c r="H11">
        <v>0</v>
      </c>
    </row>
    <row r="12" spans="2:13">
      <c r="B12" t="s">
        <v>170</v>
      </c>
      <c r="C12">
        <v>202400169</v>
      </c>
      <c r="D12">
        <v>15</v>
      </c>
      <c r="E12">
        <v>57</v>
      </c>
      <c r="F12">
        <v>15</v>
      </c>
      <c r="G12">
        <v>7</v>
      </c>
      <c r="H12">
        <v>0</v>
      </c>
    </row>
    <row r="13" spans="2:13">
      <c r="B13" t="s">
        <v>107</v>
      </c>
      <c r="C13">
        <v>202400106</v>
      </c>
      <c r="D13">
        <v>12</v>
      </c>
      <c r="E13">
        <v>60</v>
      </c>
      <c r="F13">
        <v>15</v>
      </c>
      <c r="G13">
        <v>9</v>
      </c>
      <c r="H13">
        <v>0</v>
      </c>
    </row>
    <row r="14" spans="2:13">
      <c r="B14" t="s">
        <v>159</v>
      </c>
      <c r="C14">
        <v>202400158</v>
      </c>
      <c r="D14">
        <v>16</v>
      </c>
      <c r="E14">
        <v>63</v>
      </c>
      <c r="F14">
        <v>5</v>
      </c>
      <c r="G14">
        <v>7</v>
      </c>
      <c r="H14">
        <v>0</v>
      </c>
    </row>
    <row r="15" spans="2:13">
      <c r="B15" t="s">
        <v>145</v>
      </c>
      <c r="C15">
        <v>202400144</v>
      </c>
      <c r="D15">
        <v>12</v>
      </c>
      <c r="E15">
        <v>53</v>
      </c>
      <c r="F15">
        <v>8</v>
      </c>
      <c r="G15">
        <v>7</v>
      </c>
      <c r="H15">
        <v>0</v>
      </c>
    </row>
    <row r="16" spans="2:13">
      <c r="B16" t="s">
        <v>137</v>
      </c>
      <c r="C16">
        <v>202400136</v>
      </c>
      <c r="D16">
        <v>14</v>
      </c>
      <c r="E16">
        <v>65</v>
      </c>
      <c r="F16">
        <v>5</v>
      </c>
      <c r="G16">
        <v>9</v>
      </c>
      <c r="H16">
        <v>0</v>
      </c>
    </row>
    <row r="17" spans="2:8">
      <c r="B17" t="s">
        <v>119</v>
      </c>
      <c r="C17">
        <v>202400118</v>
      </c>
      <c r="D17">
        <v>20</v>
      </c>
      <c r="E17">
        <v>75</v>
      </c>
      <c r="F17">
        <v>5</v>
      </c>
      <c r="G17">
        <v>6</v>
      </c>
      <c r="H17">
        <v>0</v>
      </c>
    </row>
    <row r="18" spans="2:8">
      <c r="B18" t="s">
        <v>172</v>
      </c>
      <c r="C18">
        <v>202400171</v>
      </c>
      <c r="D18">
        <v>9</v>
      </c>
      <c r="E18">
        <v>62</v>
      </c>
      <c r="F18">
        <v>9</v>
      </c>
      <c r="G18">
        <v>6</v>
      </c>
      <c r="H18">
        <v>0</v>
      </c>
    </row>
    <row r="19" spans="2:8">
      <c r="B19" t="s">
        <v>177</v>
      </c>
      <c r="C19">
        <v>202400176</v>
      </c>
      <c r="D19">
        <v>20</v>
      </c>
      <c r="E19">
        <v>59</v>
      </c>
      <c r="F19">
        <v>5</v>
      </c>
      <c r="G19">
        <v>9</v>
      </c>
      <c r="H19">
        <v>0</v>
      </c>
    </row>
    <row r="20" spans="2:8">
      <c r="B20" t="s">
        <v>141</v>
      </c>
      <c r="C20">
        <v>202400140</v>
      </c>
      <c r="D20">
        <v>18</v>
      </c>
      <c r="E20">
        <v>60</v>
      </c>
      <c r="F20">
        <v>14</v>
      </c>
      <c r="G20">
        <v>6</v>
      </c>
      <c r="H20">
        <v>0</v>
      </c>
    </row>
    <row r="21" spans="2:8">
      <c r="B21" t="s">
        <v>136</v>
      </c>
      <c r="C21">
        <v>202400135</v>
      </c>
      <c r="D21">
        <v>19</v>
      </c>
      <c r="E21">
        <v>54</v>
      </c>
      <c r="F21">
        <v>14</v>
      </c>
      <c r="G21">
        <v>8</v>
      </c>
      <c r="H21">
        <v>0</v>
      </c>
    </row>
    <row r="22" spans="2:8">
      <c r="B22" t="s">
        <v>116</v>
      </c>
      <c r="C22">
        <v>202400115</v>
      </c>
      <c r="D22">
        <v>17</v>
      </c>
      <c r="E22">
        <v>73</v>
      </c>
      <c r="F22">
        <v>11</v>
      </c>
      <c r="G22">
        <v>7</v>
      </c>
      <c r="H22">
        <v>0</v>
      </c>
    </row>
    <row r="23" spans="2:8">
      <c r="B23" t="s">
        <v>118</v>
      </c>
      <c r="C23">
        <v>202400117</v>
      </c>
      <c r="D23">
        <v>18</v>
      </c>
      <c r="E23">
        <v>56</v>
      </c>
      <c r="F23">
        <v>6</v>
      </c>
      <c r="G23">
        <v>9</v>
      </c>
      <c r="H23">
        <v>0</v>
      </c>
    </row>
    <row r="24" spans="2:8">
      <c r="B24" t="s">
        <v>102</v>
      </c>
      <c r="C24">
        <v>202400101</v>
      </c>
      <c r="D24">
        <v>16</v>
      </c>
      <c r="E24">
        <v>68</v>
      </c>
      <c r="F24">
        <v>10</v>
      </c>
      <c r="G24">
        <v>9</v>
      </c>
      <c r="H24">
        <v>0</v>
      </c>
    </row>
    <row r="25" spans="2:8">
      <c r="B25" t="s">
        <v>140</v>
      </c>
      <c r="C25">
        <v>202400139</v>
      </c>
      <c r="D25">
        <v>19</v>
      </c>
      <c r="E25">
        <v>73</v>
      </c>
      <c r="F25">
        <v>11</v>
      </c>
      <c r="G25">
        <v>8</v>
      </c>
      <c r="H25">
        <v>0</v>
      </c>
    </row>
    <row r="26" spans="2:8">
      <c r="B26" t="s">
        <v>151</v>
      </c>
      <c r="C26">
        <v>202400150</v>
      </c>
      <c r="D26">
        <v>16</v>
      </c>
      <c r="E26">
        <v>60</v>
      </c>
      <c r="F26">
        <v>12</v>
      </c>
      <c r="G26">
        <v>8</v>
      </c>
      <c r="H26">
        <v>0</v>
      </c>
    </row>
    <row r="27" spans="2:8">
      <c r="B27" t="s">
        <v>146</v>
      </c>
      <c r="C27">
        <v>202400145</v>
      </c>
      <c r="D27">
        <v>19</v>
      </c>
      <c r="E27">
        <v>63</v>
      </c>
      <c r="F27">
        <v>13</v>
      </c>
      <c r="G27">
        <v>10</v>
      </c>
      <c r="H27">
        <v>0</v>
      </c>
    </row>
    <row r="28" spans="2:8">
      <c r="B28" t="s">
        <v>171</v>
      </c>
      <c r="C28">
        <v>202400170</v>
      </c>
      <c r="D28">
        <v>10</v>
      </c>
      <c r="E28">
        <v>53</v>
      </c>
      <c r="F28">
        <v>12</v>
      </c>
      <c r="G28">
        <v>9</v>
      </c>
      <c r="H28">
        <v>0</v>
      </c>
    </row>
    <row r="29" spans="2:8">
      <c r="B29" t="s">
        <v>190</v>
      </c>
      <c r="C29">
        <v>202400189</v>
      </c>
      <c r="D29">
        <v>16</v>
      </c>
      <c r="E29">
        <v>77</v>
      </c>
      <c r="F29">
        <v>8</v>
      </c>
      <c r="G29">
        <v>8</v>
      </c>
      <c r="H29">
        <v>0</v>
      </c>
    </row>
    <row r="30" spans="2:8">
      <c r="B30" t="s">
        <v>129</v>
      </c>
      <c r="C30">
        <v>202400128</v>
      </c>
      <c r="D30">
        <v>20</v>
      </c>
      <c r="E30">
        <v>61</v>
      </c>
      <c r="F30">
        <v>9</v>
      </c>
      <c r="G30">
        <v>6</v>
      </c>
      <c r="H30">
        <v>0</v>
      </c>
    </row>
    <row r="31" spans="2:8">
      <c r="B31" t="s">
        <v>121</v>
      </c>
      <c r="C31">
        <v>202400120</v>
      </c>
      <c r="D31">
        <v>12</v>
      </c>
      <c r="E31">
        <v>69</v>
      </c>
      <c r="F31">
        <v>9</v>
      </c>
      <c r="G31">
        <v>6</v>
      </c>
      <c r="H31">
        <v>0</v>
      </c>
    </row>
    <row r="32" spans="2:8">
      <c r="B32" t="s">
        <v>186</v>
      </c>
      <c r="C32">
        <v>202400185</v>
      </c>
      <c r="D32">
        <v>10</v>
      </c>
      <c r="E32">
        <v>73</v>
      </c>
      <c r="F32">
        <v>8</v>
      </c>
      <c r="G32">
        <v>7</v>
      </c>
      <c r="H32">
        <v>0</v>
      </c>
    </row>
    <row r="33" spans="2:8">
      <c r="B33" t="s">
        <v>128</v>
      </c>
      <c r="C33">
        <v>202400127</v>
      </c>
      <c r="D33">
        <v>13</v>
      </c>
      <c r="E33">
        <v>58</v>
      </c>
      <c r="F33">
        <v>9</v>
      </c>
      <c r="G33">
        <v>8</v>
      </c>
      <c r="H33">
        <v>0</v>
      </c>
    </row>
    <row r="34" spans="2:8">
      <c r="B34" t="s">
        <v>468</v>
      </c>
      <c r="C34">
        <v>202400038</v>
      </c>
      <c r="D34">
        <v>14</v>
      </c>
      <c r="E34">
        <v>80</v>
      </c>
      <c r="F34">
        <v>13</v>
      </c>
      <c r="G34">
        <v>7</v>
      </c>
      <c r="H34">
        <v>0</v>
      </c>
    </row>
    <row r="35" spans="2:8">
      <c r="B35" t="s">
        <v>132</v>
      </c>
      <c r="C35">
        <v>202400131</v>
      </c>
      <c r="D35">
        <v>15</v>
      </c>
      <c r="E35">
        <v>52</v>
      </c>
      <c r="F35">
        <v>11</v>
      </c>
      <c r="G35">
        <v>8</v>
      </c>
      <c r="H35">
        <v>0</v>
      </c>
    </row>
    <row r="36" spans="2:8">
      <c r="B36" t="s">
        <v>123</v>
      </c>
      <c r="C36">
        <v>202400122</v>
      </c>
      <c r="D36">
        <v>10</v>
      </c>
      <c r="E36">
        <v>67</v>
      </c>
      <c r="F36">
        <v>5</v>
      </c>
      <c r="G36">
        <v>6</v>
      </c>
      <c r="H36">
        <v>0</v>
      </c>
    </row>
    <row r="37" spans="2:8">
      <c r="B37" t="s">
        <v>165</v>
      </c>
      <c r="C37">
        <v>202400164</v>
      </c>
      <c r="D37">
        <v>12</v>
      </c>
      <c r="E37">
        <v>64</v>
      </c>
      <c r="F37">
        <v>14</v>
      </c>
      <c r="G37">
        <v>9</v>
      </c>
      <c r="H37">
        <v>0</v>
      </c>
    </row>
    <row r="38" spans="2:8">
      <c r="B38" t="s">
        <v>153</v>
      </c>
      <c r="C38">
        <v>202400152</v>
      </c>
      <c r="D38">
        <v>14</v>
      </c>
      <c r="E38">
        <v>64</v>
      </c>
      <c r="F38">
        <v>9</v>
      </c>
      <c r="G38">
        <v>8</v>
      </c>
      <c r="H38">
        <v>0</v>
      </c>
    </row>
    <row r="39" spans="2:8">
      <c r="B39" t="s">
        <v>183</v>
      </c>
      <c r="C39">
        <v>202400182</v>
      </c>
      <c r="D39">
        <v>12</v>
      </c>
      <c r="E39">
        <v>75</v>
      </c>
      <c r="F39">
        <v>6</v>
      </c>
      <c r="G39">
        <v>8</v>
      </c>
      <c r="H39">
        <v>0</v>
      </c>
    </row>
    <row r="40" spans="2:8">
      <c r="B40" t="s">
        <v>182</v>
      </c>
      <c r="C40">
        <v>202400181</v>
      </c>
      <c r="D40">
        <v>15</v>
      </c>
      <c r="E40">
        <v>64</v>
      </c>
      <c r="F40">
        <v>13</v>
      </c>
      <c r="G40">
        <v>6</v>
      </c>
      <c r="H40">
        <v>0</v>
      </c>
    </row>
    <row r="41" spans="2:8">
      <c r="B41" t="s">
        <v>122</v>
      </c>
      <c r="C41">
        <v>202400121</v>
      </c>
      <c r="D41">
        <v>17</v>
      </c>
      <c r="E41">
        <v>54</v>
      </c>
      <c r="F41">
        <v>14</v>
      </c>
      <c r="G41">
        <v>9</v>
      </c>
      <c r="H41">
        <v>0</v>
      </c>
    </row>
    <row r="42" spans="2:8">
      <c r="B42" t="s">
        <v>127</v>
      </c>
      <c r="C42">
        <v>202400126</v>
      </c>
      <c r="D42">
        <v>20</v>
      </c>
      <c r="E42">
        <v>64</v>
      </c>
      <c r="F42">
        <v>9</v>
      </c>
      <c r="G42">
        <v>6</v>
      </c>
      <c r="H42">
        <v>0</v>
      </c>
    </row>
    <row r="43" spans="2:8">
      <c r="B43" t="s">
        <v>120</v>
      </c>
      <c r="C43">
        <v>202400119</v>
      </c>
      <c r="D43">
        <v>9</v>
      </c>
      <c r="E43">
        <v>54</v>
      </c>
      <c r="F43">
        <v>10</v>
      </c>
      <c r="G43">
        <v>10</v>
      </c>
      <c r="H43">
        <v>0</v>
      </c>
    </row>
    <row r="44" spans="2:8">
      <c r="B44" t="s">
        <v>114</v>
      </c>
      <c r="C44">
        <v>202400113</v>
      </c>
      <c r="D44">
        <v>15</v>
      </c>
      <c r="E44">
        <v>74</v>
      </c>
      <c r="F44">
        <v>8</v>
      </c>
      <c r="G44">
        <v>10</v>
      </c>
      <c r="H44">
        <v>0</v>
      </c>
    </row>
    <row r="45" spans="2:8">
      <c r="B45" t="s">
        <v>149</v>
      </c>
      <c r="C45">
        <v>202400148</v>
      </c>
      <c r="D45">
        <v>16</v>
      </c>
      <c r="E45">
        <v>52</v>
      </c>
      <c r="F45">
        <v>15</v>
      </c>
      <c r="G45">
        <v>10</v>
      </c>
      <c r="H45">
        <v>0</v>
      </c>
    </row>
    <row r="46" spans="2:8">
      <c r="B46" t="s">
        <v>176</v>
      </c>
      <c r="C46">
        <v>202400175</v>
      </c>
      <c r="D46">
        <v>19</v>
      </c>
      <c r="E46">
        <v>77</v>
      </c>
      <c r="F46">
        <v>11</v>
      </c>
      <c r="G46">
        <v>7</v>
      </c>
      <c r="H46">
        <v>0</v>
      </c>
    </row>
    <row r="47" spans="2:8">
      <c r="B47" t="s">
        <v>155</v>
      </c>
      <c r="C47">
        <v>202400154</v>
      </c>
      <c r="D47">
        <v>11</v>
      </c>
      <c r="E47">
        <v>55</v>
      </c>
      <c r="F47">
        <v>10</v>
      </c>
      <c r="G47">
        <v>7</v>
      </c>
      <c r="H47">
        <v>0</v>
      </c>
    </row>
    <row r="48" spans="2:8">
      <c r="B48" t="s">
        <v>167</v>
      </c>
      <c r="C48">
        <v>202400166</v>
      </c>
      <c r="D48">
        <v>11</v>
      </c>
      <c r="E48">
        <v>73</v>
      </c>
      <c r="F48">
        <v>13</v>
      </c>
      <c r="G48">
        <v>6</v>
      </c>
      <c r="H48">
        <v>0</v>
      </c>
    </row>
    <row r="49" spans="2:8">
      <c r="B49" t="s">
        <v>199</v>
      </c>
      <c r="C49">
        <v>202400198</v>
      </c>
      <c r="D49">
        <v>13</v>
      </c>
      <c r="E49">
        <v>62</v>
      </c>
      <c r="F49">
        <v>15</v>
      </c>
      <c r="G49">
        <v>7</v>
      </c>
      <c r="H49">
        <v>0</v>
      </c>
    </row>
    <row r="50" spans="2:8">
      <c r="B50" t="s">
        <v>109</v>
      </c>
      <c r="C50">
        <v>202400108</v>
      </c>
      <c r="D50">
        <v>9</v>
      </c>
      <c r="E50">
        <v>63</v>
      </c>
      <c r="F50">
        <v>10</v>
      </c>
      <c r="G50">
        <v>7</v>
      </c>
      <c r="H50">
        <v>0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CB8A-74C7-814A-B55C-A6B725FB3CDF}">
  <dimension ref="B1:M67"/>
  <sheetViews>
    <sheetView workbookViewId="0">
      <selection activeCell="H4" sqref="H4:H67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500</v>
      </c>
      <c r="C2">
        <v>1</v>
      </c>
      <c r="D2" t="s">
        <v>515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164</v>
      </c>
      <c r="C4">
        <v>202400163</v>
      </c>
      <c r="D4">
        <v>10</v>
      </c>
      <c r="E4">
        <v>65</v>
      </c>
      <c r="F4">
        <v>8</v>
      </c>
      <c r="G4">
        <v>4</v>
      </c>
      <c r="H4">
        <v>0</v>
      </c>
    </row>
    <row r="5" spans="2:13">
      <c r="B5" t="s">
        <v>171</v>
      </c>
      <c r="C5">
        <v>202400170</v>
      </c>
      <c r="D5">
        <v>15</v>
      </c>
      <c r="E5">
        <v>88</v>
      </c>
      <c r="F5">
        <v>12</v>
      </c>
      <c r="G5">
        <v>4</v>
      </c>
      <c r="H5">
        <v>0</v>
      </c>
    </row>
    <row r="6" spans="2:13">
      <c r="B6" t="s">
        <v>178</v>
      </c>
      <c r="C6">
        <v>202400177</v>
      </c>
      <c r="D6">
        <v>1</v>
      </c>
      <c r="E6">
        <v>83</v>
      </c>
      <c r="F6">
        <v>12</v>
      </c>
      <c r="G6">
        <v>4</v>
      </c>
      <c r="H6">
        <v>0</v>
      </c>
    </row>
    <row r="7" spans="2:13">
      <c r="B7" t="s">
        <v>152</v>
      </c>
      <c r="C7">
        <v>202400151</v>
      </c>
      <c r="D7">
        <v>8</v>
      </c>
      <c r="E7">
        <v>58</v>
      </c>
      <c r="F7">
        <v>10</v>
      </c>
      <c r="G7">
        <v>10</v>
      </c>
      <c r="H7">
        <v>0</v>
      </c>
    </row>
    <row r="8" spans="2:13">
      <c r="B8" t="s">
        <v>132</v>
      </c>
      <c r="C8">
        <v>202400131</v>
      </c>
      <c r="D8">
        <v>9</v>
      </c>
      <c r="E8">
        <v>95</v>
      </c>
      <c r="F8">
        <v>7</v>
      </c>
      <c r="G8">
        <v>10</v>
      </c>
      <c r="H8">
        <v>0</v>
      </c>
    </row>
    <row r="9" spans="2:13">
      <c r="B9" t="s">
        <v>129</v>
      </c>
      <c r="C9">
        <v>202400128</v>
      </c>
      <c r="D9">
        <v>9</v>
      </c>
      <c r="E9">
        <v>98</v>
      </c>
      <c r="F9">
        <v>7</v>
      </c>
      <c r="G9">
        <v>4</v>
      </c>
      <c r="H9">
        <v>0</v>
      </c>
    </row>
    <row r="10" spans="2:13">
      <c r="B10" t="s">
        <v>126</v>
      </c>
      <c r="C10">
        <v>202400125</v>
      </c>
      <c r="D10">
        <v>7</v>
      </c>
      <c r="E10">
        <v>81</v>
      </c>
      <c r="F10">
        <v>6</v>
      </c>
      <c r="G10">
        <v>3</v>
      </c>
      <c r="H10">
        <v>0</v>
      </c>
    </row>
    <row r="11" spans="2:13">
      <c r="B11" t="s">
        <v>107</v>
      </c>
      <c r="C11">
        <v>202400106</v>
      </c>
      <c r="D11">
        <v>12</v>
      </c>
      <c r="E11">
        <v>91</v>
      </c>
      <c r="F11">
        <v>15</v>
      </c>
      <c r="G11">
        <v>7</v>
      </c>
      <c r="H11">
        <v>0</v>
      </c>
    </row>
    <row r="12" spans="2:13">
      <c r="B12" t="s">
        <v>194</v>
      </c>
      <c r="C12">
        <v>202400193</v>
      </c>
      <c r="D12">
        <v>4</v>
      </c>
      <c r="E12">
        <v>61</v>
      </c>
      <c r="F12">
        <v>11</v>
      </c>
      <c r="G12">
        <v>6</v>
      </c>
      <c r="H12">
        <v>0</v>
      </c>
    </row>
    <row r="13" spans="2:13">
      <c r="B13" t="s">
        <v>105</v>
      </c>
      <c r="C13">
        <v>202400104</v>
      </c>
      <c r="D13">
        <v>8</v>
      </c>
      <c r="E13">
        <v>84</v>
      </c>
      <c r="F13">
        <v>15</v>
      </c>
      <c r="G13">
        <v>8</v>
      </c>
      <c r="H13">
        <v>0</v>
      </c>
    </row>
    <row r="14" spans="2:13">
      <c r="B14" t="s">
        <v>198</v>
      </c>
      <c r="C14">
        <v>202400197</v>
      </c>
      <c r="D14">
        <v>18</v>
      </c>
      <c r="E14">
        <v>88</v>
      </c>
      <c r="F14">
        <v>5</v>
      </c>
      <c r="G14">
        <v>9</v>
      </c>
      <c r="H14">
        <v>0</v>
      </c>
    </row>
    <row r="15" spans="2:13">
      <c r="B15" t="s">
        <v>131</v>
      </c>
      <c r="C15">
        <v>202400130</v>
      </c>
      <c r="D15">
        <v>3</v>
      </c>
      <c r="E15">
        <v>54</v>
      </c>
      <c r="F15">
        <v>15</v>
      </c>
      <c r="G15">
        <v>10</v>
      </c>
      <c r="H15">
        <v>0</v>
      </c>
    </row>
    <row r="16" spans="2:13">
      <c r="B16" t="s">
        <v>122</v>
      </c>
      <c r="C16">
        <v>202400121</v>
      </c>
      <c r="D16">
        <v>7</v>
      </c>
      <c r="E16">
        <v>90</v>
      </c>
      <c r="F16">
        <v>8</v>
      </c>
      <c r="G16">
        <v>6</v>
      </c>
      <c r="H16">
        <v>0</v>
      </c>
    </row>
    <row r="17" spans="2:8">
      <c r="B17" t="s">
        <v>125</v>
      </c>
      <c r="C17">
        <v>202400124</v>
      </c>
      <c r="D17">
        <v>11</v>
      </c>
      <c r="E17">
        <v>95</v>
      </c>
      <c r="F17">
        <v>11</v>
      </c>
      <c r="G17">
        <v>10</v>
      </c>
      <c r="H17">
        <v>0</v>
      </c>
    </row>
    <row r="18" spans="2:8">
      <c r="B18" t="s">
        <v>138</v>
      </c>
      <c r="C18">
        <v>202400137</v>
      </c>
      <c r="D18">
        <v>20</v>
      </c>
      <c r="E18">
        <v>71</v>
      </c>
      <c r="F18">
        <v>13</v>
      </c>
      <c r="G18">
        <v>4</v>
      </c>
      <c r="H18">
        <v>0</v>
      </c>
    </row>
    <row r="19" spans="2:8">
      <c r="B19" t="s">
        <v>19</v>
      </c>
      <c r="C19">
        <v>202400018</v>
      </c>
      <c r="D19">
        <v>20</v>
      </c>
      <c r="E19">
        <v>85</v>
      </c>
      <c r="F19">
        <v>10</v>
      </c>
      <c r="G19">
        <v>7</v>
      </c>
      <c r="H19">
        <v>0</v>
      </c>
    </row>
    <row r="20" spans="2:8">
      <c r="B20" t="s">
        <v>200</v>
      </c>
      <c r="C20">
        <v>202400199</v>
      </c>
      <c r="D20">
        <v>12</v>
      </c>
      <c r="E20">
        <v>93</v>
      </c>
      <c r="F20">
        <v>13</v>
      </c>
      <c r="G20">
        <v>3</v>
      </c>
      <c r="H20">
        <v>0</v>
      </c>
    </row>
    <row r="21" spans="2:8">
      <c r="B21" t="s">
        <v>133</v>
      </c>
      <c r="C21">
        <v>202400132</v>
      </c>
      <c r="D21">
        <v>11</v>
      </c>
      <c r="E21">
        <v>76</v>
      </c>
      <c r="F21">
        <v>14</v>
      </c>
      <c r="G21">
        <v>7</v>
      </c>
      <c r="H21">
        <v>0</v>
      </c>
    </row>
    <row r="22" spans="2:8">
      <c r="B22" t="s">
        <v>128</v>
      </c>
      <c r="C22">
        <v>202400127</v>
      </c>
      <c r="D22">
        <v>2</v>
      </c>
      <c r="E22">
        <v>91</v>
      </c>
      <c r="F22">
        <v>9</v>
      </c>
      <c r="G22">
        <v>6</v>
      </c>
      <c r="H22">
        <v>0</v>
      </c>
    </row>
    <row r="23" spans="2:8">
      <c r="B23" t="s">
        <v>183</v>
      </c>
      <c r="C23">
        <v>202400182</v>
      </c>
      <c r="D23">
        <v>0</v>
      </c>
      <c r="E23">
        <v>70</v>
      </c>
      <c r="F23">
        <v>5</v>
      </c>
      <c r="G23">
        <v>6</v>
      </c>
      <c r="H23">
        <v>0</v>
      </c>
    </row>
    <row r="24" spans="2:8">
      <c r="B24" t="s">
        <v>111</v>
      </c>
      <c r="C24">
        <v>202400110</v>
      </c>
      <c r="D24">
        <v>15</v>
      </c>
      <c r="E24">
        <v>75</v>
      </c>
      <c r="F24">
        <v>5</v>
      </c>
      <c r="G24">
        <v>9</v>
      </c>
      <c r="H24">
        <v>0</v>
      </c>
    </row>
    <row r="25" spans="2:8">
      <c r="B25" t="s">
        <v>173</v>
      </c>
      <c r="C25">
        <v>202400172</v>
      </c>
      <c r="D25">
        <v>15</v>
      </c>
      <c r="E25">
        <v>82</v>
      </c>
      <c r="F25">
        <v>7</v>
      </c>
      <c r="G25">
        <v>7</v>
      </c>
      <c r="H25">
        <v>0</v>
      </c>
    </row>
    <row r="26" spans="2:8">
      <c r="B26" t="s">
        <v>118</v>
      </c>
      <c r="C26">
        <v>202400117</v>
      </c>
      <c r="D26">
        <v>4</v>
      </c>
      <c r="E26">
        <v>56</v>
      </c>
      <c r="F26">
        <v>5</v>
      </c>
      <c r="G26">
        <v>10</v>
      </c>
      <c r="H26">
        <v>0</v>
      </c>
    </row>
    <row r="27" spans="2:8">
      <c r="B27" t="s">
        <v>170</v>
      </c>
      <c r="C27">
        <v>202400169</v>
      </c>
      <c r="D27">
        <v>19</v>
      </c>
      <c r="E27">
        <v>67</v>
      </c>
      <c r="F27">
        <v>15</v>
      </c>
      <c r="G27">
        <v>6</v>
      </c>
      <c r="H27">
        <v>0</v>
      </c>
    </row>
    <row r="28" spans="2:8">
      <c r="B28" t="s">
        <v>146</v>
      </c>
      <c r="C28">
        <v>202400145</v>
      </c>
      <c r="D28">
        <v>7</v>
      </c>
      <c r="E28">
        <v>97</v>
      </c>
      <c r="F28">
        <v>9</v>
      </c>
      <c r="G28">
        <v>5</v>
      </c>
      <c r="H28">
        <v>0</v>
      </c>
    </row>
    <row r="29" spans="2:8">
      <c r="B29" t="s">
        <v>161</v>
      </c>
      <c r="C29">
        <v>202400160</v>
      </c>
      <c r="D29">
        <v>14</v>
      </c>
      <c r="E29">
        <v>79</v>
      </c>
      <c r="F29">
        <v>5</v>
      </c>
      <c r="G29">
        <v>8</v>
      </c>
      <c r="H29">
        <v>0</v>
      </c>
    </row>
    <row r="30" spans="2:8">
      <c r="B30" t="s">
        <v>179</v>
      </c>
      <c r="C30">
        <v>202400178</v>
      </c>
      <c r="D30">
        <v>0</v>
      </c>
      <c r="E30">
        <v>70</v>
      </c>
      <c r="F30">
        <v>15</v>
      </c>
      <c r="G30">
        <v>5</v>
      </c>
      <c r="H30">
        <v>0</v>
      </c>
    </row>
    <row r="31" spans="2:8">
      <c r="B31" t="s">
        <v>148</v>
      </c>
      <c r="C31">
        <v>202400147</v>
      </c>
      <c r="D31">
        <v>18</v>
      </c>
      <c r="E31">
        <v>70</v>
      </c>
      <c r="F31">
        <v>8</v>
      </c>
      <c r="G31">
        <v>8</v>
      </c>
      <c r="H31">
        <v>0</v>
      </c>
    </row>
    <row r="32" spans="2:8">
      <c r="B32" t="s">
        <v>142</v>
      </c>
      <c r="C32">
        <v>202400141</v>
      </c>
      <c r="D32">
        <v>11</v>
      </c>
      <c r="E32">
        <v>54</v>
      </c>
      <c r="F32">
        <v>8</v>
      </c>
      <c r="G32">
        <v>5</v>
      </c>
      <c r="H32">
        <v>0</v>
      </c>
    </row>
    <row r="33" spans="2:8">
      <c r="B33" t="s">
        <v>112</v>
      </c>
      <c r="C33">
        <v>202400111</v>
      </c>
      <c r="D33">
        <v>14</v>
      </c>
      <c r="E33">
        <v>59</v>
      </c>
      <c r="F33">
        <v>12</v>
      </c>
      <c r="G33">
        <v>5</v>
      </c>
      <c r="H33">
        <v>0</v>
      </c>
    </row>
    <row r="34" spans="2:8">
      <c r="B34" t="s">
        <v>188</v>
      </c>
      <c r="C34">
        <v>202400187</v>
      </c>
      <c r="D34">
        <v>17</v>
      </c>
      <c r="E34">
        <v>57</v>
      </c>
      <c r="F34">
        <v>12</v>
      </c>
      <c r="G34">
        <v>10</v>
      </c>
      <c r="H34">
        <v>0</v>
      </c>
    </row>
    <row r="35" spans="2:8">
      <c r="B35" t="s">
        <v>154</v>
      </c>
      <c r="C35">
        <v>202400153</v>
      </c>
      <c r="D35">
        <v>17</v>
      </c>
      <c r="E35">
        <v>56</v>
      </c>
      <c r="F35">
        <v>8</v>
      </c>
      <c r="G35">
        <v>6</v>
      </c>
      <c r="H35">
        <v>0</v>
      </c>
    </row>
    <row r="36" spans="2:8">
      <c r="B36" t="s">
        <v>123</v>
      </c>
      <c r="C36">
        <v>202400122</v>
      </c>
      <c r="D36">
        <v>18</v>
      </c>
      <c r="E36">
        <v>98</v>
      </c>
      <c r="F36">
        <v>8</v>
      </c>
      <c r="G36">
        <v>9</v>
      </c>
      <c r="H36">
        <v>0</v>
      </c>
    </row>
    <row r="37" spans="2:8">
      <c r="B37" t="s">
        <v>102</v>
      </c>
      <c r="C37">
        <v>202400101</v>
      </c>
      <c r="D37">
        <v>4</v>
      </c>
      <c r="E37">
        <v>80</v>
      </c>
      <c r="F37">
        <v>7</v>
      </c>
      <c r="G37">
        <v>6</v>
      </c>
      <c r="H37">
        <v>0</v>
      </c>
    </row>
    <row r="38" spans="2:8">
      <c r="B38" t="s">
        <v>120</v>
      </c>
      <c r="C38">
        <v>202400119</v>
      </c>
      <c r="D38">
        <v>0</v>
      </c>
      <c r="E38">
        <v>72</v>
      </c>
      <c r="F38">
        <v>11</v>
      </c>
      <c r="G38">
        <v>3</v>
      </c>
      <c r="H38">
        <v>0</v>
      </c>
    </row>
    <row r="39" spans="2:8">
      <c r="B39" t="s">
        <v>167</v>
      </c>
      <c r="C39">
        <v>202400166</v>
      </c>
      <c r="D39">
        <v>9</v>
      </c>
      <c r="E39">
        <v>52</v>
      </c>
      <c r="F39">
        <v>10</v>
      </c>
      <c r="G39">
        <v>10</v>
      </c>
      <c r="H39">
        <v>0</v>
      </c>
    </row>
    <row r="40" spans="2:8">
      <c r="B40" t="s">
        <v>104</v>
      </c>
      <c r="C40">
        <v>202400103</v>
      </c>
      <c r="D40">
        <v>3</v>
      </c>
      <c r="E40">
        <v>56</v>
      </c>
      <c r="F40">
        <v>9</v>
      </c>
      <c r="G40">
        <v>4</v>
      </c>
      <c r="H40">
        <v>0</v>
      </c>
    </row>
    <row r="41" spans="2:8">
      <c r="B41" t="s">
        <v>185</v>
      </c>
      <c r="C41">
        <v>202400184</v>
      </c>
      <c r="D41">
        <v>13</v>
      </c>
      <c r="E41">
        <v>70</v>
      </c>
      <c r="F41">
        <v>8</v>
      </c>
      <c r="G41">
        <v>7</v>
      </c>
      <c r="H41">
        <v>0</v>
      </c>
    </row>
    <row r="42" spans="2:8">
      <c r="B42" t="s">
        <v>162</v>
      </c>
      <c r="C42">
        <v>202400161</v>
      </c>
      <c r="D42">
        <v>12</v>
      </c>
      <c r="E42">
        <v>90</v>
      </c>
      <c r="F42">
        <v>5</v>
      </c>
      <c r="G42">
        <v>7</v>
      </c>
      <c r="H42">
        <v>0</v>
      </c>
    </row>
    <row r="43" spans="2:8">
      <c r="B43" t="s">
        <v>193</v>
      </c>
      <c r="C43">
        <v>202400192</v>
      </c>
      <c r="D43">
        <v>20</v>
      </c>
      <c r="E43">
        <v>60</v>
      </c>
      <c r="F43">
        <v>13</v>
      </c>
      <c r="G43">
        <v>6</v>
      </c>
      <c r="H43">
        <v>0</v>
      </c>
    </row>
    <row r="44" spans="2:8">
      <c r="B44" t="s">
        <v>110</v>
      </c>
      <c r="C44">
        <v>202400109</v>
      </c>
      <c r="D44">
        <v>19</v>
      </c>
      <c r="E44">
        <v>92</v>
      </c>
      <c r="F44">
        <v>15</v>
      </c>
      <c r="G44">
        <v>9</v>
      </c>
      <c r="H44">
        <v>0</v>
      </c>
    </row>
    <row r="45" spans="2:8">
      <c r="B45" t="s">
        <v>106</v>
      </c>
      <c r="C45">
        <v>202400105</v>
      </c>
      <c r="D45">
        <v>14</v>
      </c>
      <c r="E45">
        <v>59</v>
      </c>
      <c r="F45">
        <v>10</v>
      </c>
      <c r="G45">
        <v>7</v>
      </c>
      <c r="H45">
        <v>0</v>
      </c>
    </row>
    <row r="46" spans="2:8">
      <c r="B46" t="s">
        <v>156</v>
      </c>
      <c r="C46">
        <v>202400155</v>
      </c>
      <c r="D46">
        <v>10</v>
      </c>
      <c r="E46">
        <v>62</v>
      </c>
      <c r="F46">
        <v>7</v>
      </c>
      <c r="G46">
        <v>9</v>
      </c>
      <c r="H46">
        <v>0</v>
      </c>
    </row>
    <row r="47" spans="2:8">
      <c r="B47" t="s">
        <v>144</v>
      </c>
      <c r="C47">
        <v>202400143</v>
      </c>
      <c r="D47">
        <v>17</v>
      </c>
      <c r="E47">
        <v>75</v>
      </c>
      <c r="F47">
        <v>10</v>
      </c>
      <c r="G47">
        <v>6</v>
      </c>
      <c r="H47">
        <v>0</v>
      </c>
    </row>
    <row r="48" spans="2:8">
      <c r="B48" t="s">
        <v>108</v>
      </c>
      <c r="C48">
        <v>202400107</v>
      </c>
      <c r="D48">
        <v>12</v>
      </c>
      <c r="E48">
        <v>58</v>
      </c>
      <c r="F48">
        <v>10</v>
      </c>
      <c r="G48">
        <v>8</v>
      </c>
      <c r="H48">
        <v>0</v>
      </c>
    </row>
    <row r="49" spans="2:8">
      <c r="B49" t="s">
        <v>182</v>
      </c>
      <c r="C49">
        <v>202400181</v>
      </c>
      <c r="D49">
        <v>8</v>
      </c>
      <c r="E49">
        <v>96</v>
      </c>
      <c r="F49">
        <v>8</v>
      </c>
      <c r="G49">
        <v>4</v>
      </c>
      <c r="H49">
        <v>0</v>
      </c>
    </row>
    <row r="50" spans="2:8">
      <c r="B50" t="s">
        <v>160</v>
      </c>
      <c r="C50">
        <v>202400159</v>
      </c>
      <c r="D50">
        <v>11</v>
      </c>
      <c r="E50">
        <v>73</v>
      </c>
      <c r="F50">
        <v>8</v>
      </c>
      <c r="G50">
        <v>4</v>
      </c>
      <c r="H50">
        <v>0</v>
      </c>
    </row>
    <row r="51" spans="2:8">
      <c r="B51" t="s">
        <v>187</v>
      </c>
      <c r="C51">
        <v>202400186</v>
      </c>
      <c r="D51">
        <v>10</v>
      </c>
      <c r="E51">
        <v>99</v>
      </c>
      <c r="F51">
        <v>5</v>
      </c>
      <c r="G51">
        <v>6</v>
      </c>
      <c r="H51">
        <v>0</v>
      </c>
    </row>
    <row r="52" spans="2:8">
      <c r="B52" t="s">
        <v>177</v>
      </c>
      <c r="C52">
        <v>202400176</v>
      </c>
      <c r="D52">
        <v>2</v>
      </c>
      <c r="E52">
        <v>97</v>
      </c>
      <c r="F52">
        <v>11</v>
      </c>
      <c r="G52">
        <v>5</v>
      </c>
      <c r="H52">
        <v>0</v>
      </c>
    </row>
    <row r="53" spans="2:8">
      <c r="B53" t="s">
        <v>192</v>
      </c>
      <c r="C53">
        <v>202400191</v>
      </c>
      <c r="D53">
        <v>18</v>
      </c>
      <c r="E53">
        <v>83</v>
      </c>
      <c r="F53">
        <v>14</v>
      </c>
      <c r="G53">
        <v>9</v>
      </c>
      <c r="H53">
        <v>0</v>
      </c>
    </row>
    <row r="54" spans="2:8">
      <c r="B54" t="s">
        <v>168</v>
      </c>
      <c r="C54">
        <v>202400167</v>
      </c>
      <c r="D54">
        <v>11</v>
      </c>
      <c r="E54">
        <v>64</v>
      </c>
      <c r="F54">
        <v>8</v>
      </c>
      <c r="G54">
        <v>8</v>
      </c>
      <c r="H54">
        <v>0</v>
      </c>
    </row>
    <row r="55" spans="2:8">
      <c r="B55" t="s">
        <v>158</v>
      </c>
      <c r="C55">
        <v>202400157</v>
      </c>
      <c r="D55">
        <v>3</v>
      </c>
      <c r="E55">
        <v>54</v>
      </c>
      <c r="F55">
        <v>12</v>
      </c>
      <c r="G55">
        <v>3</v>
      </c>
      <c r="H55">
        <v>0</v>
      </c>
    </row>
    <row r="56" spans="2:8">
      <c r="B56" t="s">
        <v>189</v>
      </c>
      <c r="C56">
        <v>202400188</v>
      </c>
      <c r="D56">
        <v>16</v>
      </c>
      <c r="E56">
        <v>88</v>
      </c>
      <c r="F56">
        <v>7</v>
      </c>
      <c r="G56">
        <v>10</v>
      </c>
      <c r="H56">
        <v>0</v>
      </c>
    </row>
    <row r="57" spans="2:8">
      <c r="B57" t="s">
        <v>163</v>
      </c>
      <c r="C57">
        <v>202400162</v>
      </c>
      <c r="D57">
        <v>17</v>
      </c>
      <c r="E57">
        <v>62</v>
      </c>
      <c r="F57">
        <v>6</v>
      </c>
      <c r="G57">
        <v>7</v>
      </c>
      <c r="H57">
        <v>0</v>
      </c>
    </row>
    <row r="58" spans="2:8">
      <c r="B58" t="s">
        <v>157</v>
      </c>
      <c r="C58">
        <v>202400156</v>
      </c>
      <c r="D58">
        <v>2</v>
      </c>
      <c r="E58">
        <v>68</v>
      </c>
      <c r="F58">
        <v>6</v>
      </c>
      <c r="G58">
        <v>5</v>
      </c>
      <c r="H58">
        <v>0</v>
      </c>
    </row>
    <row r="59" spans="2:8">
      <c r="B59" t="s">
        <v>121</v>
      </c>
      <c r="C59">
        <v>202400120</v>
      </c>
      <c r="D59">
        <v>14</v>
      </c>
      <c r="E59">
        <v>80</v>
      </c>
      <c r="F59">
        <v>7</v>
      </c>
      <c r="G59">
        <v>8</v>
      </c>
      <c r="H59">
        <v>0</v>
      </c>
    </row>
    <row r="60" spans="2:8">
      <c r="B60" t="s">
        <v>115</v>
      </c>
      <c r="C60">
        <v>202400114</v>
      </c>
      <c r="D60">
        <v>13</v>
      </c>
      <c r="E60">
        <v>97</v>
      </c>
      <c r="F60">
        <v>8</v>
      </c>
      <c r="G60">
        <v>6</v>
      </c>
      <c r="H60">
        <v>0</v>
      </c>
    </row>
    <row r="61" spans="2:8">
      <c r="B61" t="s">
        <v>176</v>
      </c>
      <c r="C61">
        <v>202400175</v>
      </c>
      <c r="D61">
        <v>5</v>
      </c>
      <c r="E61">
        <v>81</v>
      </c>
      <c r="F61">
        <v>11</v>
      </c>
      <c r="G61">
        <v>4</v>
      </c>
      <c r="H61">
        <v>0</v>
      </c>
    </row>
    <row r="62" spans="2:8">
      <c r="B62" t="s">
        <v>109</v>
      </c>
      <c r="C62">
        <v>202400108</v>
      </c>
      <c r="D62">
        <v>2</v>
      </c>
      <c r="E62">
        <v>95</v>
      </c>
      <c r="F62">
        <v>5</v>
      </c>
      <c r="G62">
        <v>3</v>
      </c>
      <c r="H62">
        <v>0</v>
      </c>
    </row>
    <row r="63" spans="2:8">
      <c r="B63" t="s">
        <v>165</v>
      </c>
      <c r="C63">
        <v>202400164</v>
      </c>
      <c r="D63">
        <v>2</v>
      </c>
      <c r="E63">
        <v>96</v>
      </c>
      <c r="F63">
        <v>15</v>
      </c>
      <c r="G63">
        <v>8</v>
      </c>
      <c r="H63">
        <v>0</v>
      </c>
    </row>
    <row r="64" spans="2:8">
      <c r="B64" t="s">
        <v>174</v>
      </c>
      <c r="C64">
        <v>202400173</v>
      </c>
      <c r="D64">
        <v>7</v>
      </c>
      <c r="E64">
        <v>100</v>
      </c>
      <c r="F64">
        <v>14</v>
      </c>
      <c r="G64">
        <v>10</v>
      </c>
      <c r="H64">
        <v>0</v>
      </c>
    </row>
    <row r="65" spans="2:8">
      <c r="B65" t="s">
        <v>140</v>
      </c>
      <c r="C65">
        <v>202400139</v>
      </c>
      <c r="D65">
        <v>10</v>
      </c>
      <c r="E65">
        <v>68</v>
      </c>
      <c r="F65">
        <v>7</v>
      </c>
      <c r="G65">
        <v>7</v>
      </c>
      <c r="H65">
        <v>0</v>
      </c>
    </row>
    <row r="66" spans="2:8">
      <c r="B66" t="s">
        <v>180</v>
      </c>
      <c r="C66">
        <v>202400179</v>
      </c>
      <c r="D66">
        <v>10</v>
      </c>
      <c r="E66">
        <v>78</v>
      </c>
      <c r="F66">
        <v>11</v>
      </c>
      <c r="G66">
        <v>7</v>
      </c>
      <c r="H66">
        <v>0</v>
      </c>
    </row>
    <row r="67" spans="2:8">
      <c r="B67" t="s">
        <v>149</v>
      </c>
      <c r="C67">
        <v>202400148</v>
      </c>
      <c r="D67">
        <v>0</v>
      </c>
      <c r="E67">
        <v>86</v>
      </c>
      <c r="F67">
        <v>11</v>
      </c>
      <c r="G67">
        <v>5</v>
      </c>
      <c r="H67">
        <v>0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94DF-F6D0-1A4D-85B3-81B2505FF3C4}">
  <dimension ref="B1:M62"/>
  <sheetViews>
    <sheetView workbookViewId="0">
      <selection activeCell="H4" sqref="H4:H62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501</v>
      </c>
      <c r="C2">
        <v>1</v>
      </c>
      <c r="D2" t="s">
        <v>513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88</v>
      </c>
      <c r="C4">
        <v>202400087</v>
      </c>
      <c r="D4">
        <v>18</v>
      </c>
      <c r="E4">
        <v>82</v>
      </c>
      <c r="F4">
        <v>9</v>
      </c>
      <c r="G4">
        <v>9</v>
      </c>
      <c r="H4">
        <v>0</v>
      </c>
    </row>
    <row r="5" spans="2:13">
      <c r="B5" t="s">
        <v>20</v>
      </c>
      <c r="C5">
        <v>202400019</v>
      </c>
      <c r="D5">
        <v>10</v>
      </c>
      <c r="E5">
        <v>57</v>
      </c>
      <c r="F5">
        <v>5</v>
      </c>
      <c r="G5">
        <v>9</v>
      </c>
      <c r="H5">
        <v>0</v>
      </c>
    </row>
    <row r="6" spans="2:13">
      <c r="B6" t="s">
        <v>45</v>
      </c>
      <c r="C6">
        <v>202400044</v>
      </c>
      <c r="D6">
        <v>18</v>
      </c>
      <c r="E6">
        <v>53</v>
      </c>
      <c r="F6">
        <v>7</v>
      </c>
      <c r="G6">
        <v>8</v>
      </c>
      <c r="H6">
        <v>0</v>
      </c>
    </row>
    <row r="7" spans="2:13">
      <c r="B7" t="s">
        <v>92</v>
      </c>
      <c r="C7">
        <v>202400091</v>
      </c>
      <c r="D7">
        <v>14</v>
      </c>
      <c r="E7">
        <v>77</v>
      </c>
      <c r="F7">
        <v>8</v>
      </c>
      <c r="G7">
        <v>8</v>
      </c>
      <c r="H7">
        <v>0</v>
      </c>
    </row>
    <row r="8" spans="2:13">
      <c r="B8" t="s">
        <v>95</v>
      </c>
      <c r="C8">
        <v>202400094</v>
      </c>
      <c r="D8">
        <v>16</v>
      </c>
      <c r="E8">
        <v>97</v>
      </c>
      <c r="F8">
        <v>3</v>
      </c>
      <c r="G8">
        <v>9</v>
      </c>
      <c r="H8">
        <v>0</v>
      </c>
    </row>
    <row r="9" spans="2:13">
      <c r="B9" t="s">
        <v>31</v>
      </c>
      <c r="C9">
        <v>202400030</v>
      </c>
      <c r="D9">
        <v>13</v>
      </c>
      <c r="E9">
        <v>72</v>
      </c>
      <c r="F9">
        <v>7</v>
      </c>
      <c r="G9">
        <v>8</v>
      </c>
      <c r="H9">
        <v>0</v>
      </c>
    </row>
    <row r="10" spans="2:13">
      <c r="B10" t="s">
        <v>85</v>
      </c>
      <c r="C10">
        <v>202400084</v>
      </c>
      <c r="D10">
        <v>16</v>
      </c>
      <c r="E10">
        <v>89</v>
      </c>
      <c r="F10">
        <v>7</v>
      </c>
      <c r="G10">
        <v>9</v>
      </c>
      <c r="H10">
        <v>0</v>
      </c>
    </row>
    <row r="11" spans="2:13">
      <c r="B11" t="s">
        <v>98</v>
      </c>
      <c r="C11">
        <v>202400097</v>
      </c>
      <c r="D11">
        <v>17</v>
      </c>
      <c r="E11">
        <v>92</v>
      </c>
      <c r="F11">
        <v>10</v>
      </c>
      <c r="G11">
        <v>9</v>
      </c>
      <c r="H11">
        <v>0</v>
      </c>
    </row>
    <row r="12" spans="2:13">
      <c r="B12" t="s">
        <v>71</v>
      </c>
      <c r="C12">
        <v>202400070</v>
      </c>
      <c r="D12">
        <v>20</v>
      </c>
      <c r="E12">
        <v>85</v>
      </c>
      <c r="F12">
        <v>7</v>
      </c>
      <c r="G12">
        <v>10</v>
      </c>
      <c r="H12">
        <v>0</v>
      </c>
    </row>
    <row r="13" spans="2:13">
      <c r="B13" t="s">
        <v>94</v>
      </c>
      <c r="C13">
        <v>202400093</v>
      </c>
      <c r="D13">
        <v>14</v>
      </c>
      <c r="E13">
        <v>79</v>
      </c>
      <c r="F13">
        <v>9</v>
      </c>
      <c r="G13">
        <v>10</v>
      </c>
      <c r="H13">
        <v>0</v>
      </c>
    </row>
    <row r="14" spans="2:13">
      <c r="B14" t="s">
        <v>73</v>
      </c>
      <c r="C14">
        <v>202400072</v>
      </c>
      <c r="D14">
        <v>13</v>
      </c>
      <c r="E14">
        <v>71</v>
      </c>
      <c r="F14">
        <v>9</v>
      </c>
      <c r="G14">
        <v>8</v>
      </c>
      <c r="H14">
        <v>0</v>
      </c>
    </row>
    <row r="15" spans="2:13">
      <c r="B15" t="s">
        <v>61</v>
      </c>
      <c r="C15">
        <v>202400060</v>
      </c>
      <c r="D15">
        <v>10</v>
      </c>
      <c r="E15">
        <v>66</v>
      </c>
      <c r="F15">
        <v>6</v>
      </c>
      <c r="G15">
        <v>10</v>
      </c>
      <c r="H15">
        <v>0</v>
      </c>
    </row>
    <row r="16" spans="2:13">
      <c r="B16" t="s">
        <v>57</v>
      </c>
      <c r="C16">
        <v>202400056</v>
      </c>
      <c r="D16">
        <v>19</v>
      </c>
      <c r="E16">
        <v>53</v>
      </c>
      <c r="F16">
        <v>9</v>
      </c>
      <c r="G16">
        <v>8</v>
      </c>
      <c r="H16">
        <v>0</v>
      </c>
    </row>
    <row r="17" spans="2:8">
      <c r="B17" t="s">
        <v>69</v>
      </c>
      <c r="C17">
        <v>202400068</v>
      </c>
      <c r="D17">
        <v>11</v>
      </c>
      <c r="E17">
        <v>64</v>
      </c>
      <c r="F17">
        <v>4</v>
      </c>
      <c r="G17">
        <v>8</v>
      </c>
      <c r="H17">
        <v>0</v>
      </c>
    </row>
    <row r="18" spans="2:8">
      <c r="B18" t="s">
        <v>28</v>
      </c>
      <c r="C18">
        <v>202400027</v>
      </c>
      <c r="D18">
        <v>19</v>
      </c>
      <c r="E18">
        <v>87</v>
      </c>
      <c r="F18">
        <v>5</v>
      </c>
      <c r="G18">
        <v>10</v>
      </c>
      <c r="H18">
        <v>0</v>
      </c>
    </row>
    <row r="19" spans="2:8">
      <c r="B19" t="s">
        <v>63</v>
      </c>
      <c r="C19">
        <v>202400062</v>
      </c>
      <c r="D19">
        <v>10</v>
      </c>
      <c r="E19">
        <v>52</v>
      </c>
      <c r="F19">
        <v>10</v>
      </c>
      <c r="G19">
        <v>8</v>
      </c>
      <c r="H19">
        <v>0</v>
      </c>
    </row>
    <row r="20" spans="2:8">
      <c r="B20" t="s">
        <v>58</v>
      </c>
      <c r="C20">
        <v>202400057</v>
      </c>
      <c r="D20">
        <v>15</v>
      </c>
      <c r="E20">
        <v>65</v>
      </c>
      <c r="F20">
        <v>10</v>
      </c>
      <c r="G20">
        <v>8</v>
      </c>
      <c r="H20">
        <v>0</v>
      </c>
    </row>
    <row r="21" spans="2:8">
      <c r="B21" t="s">
        <v>29</v>
      </c>
      <c r="C21">
        <v>202400028</v>
      </c>
      <c r="D21">
        <v>15</v>
      </c>
      <c r="E21">
        <v>60</v>
      </c>
      <c r="F21">
        <v>4</v>
      </c>
      <c r="G21">
        <v>9</v>
      </c>
      <c r="H21">
        <v>0</v>
      </c>
    </row>
    <row r="22" spans="2:8">
      <c r="B22" t="s">
        <v>9</v>
      </c>
      <c r="C22">
        <v>202400008</v>
      </c>
      <c r="D22">
        <v>12</v>
      </c>
      <c r="E22">
        <v>98</v>
      </c>
      <c r="F22">
        <v>5</v>
      </c>
      <c r="G22">
        <v>10</v>
      </c>
      <c r="H22">
        <v>0</v>
      </c>
    </row>
    <row r="23" spans="2:8">
      <c r="B23" t="s">
        <v>78</v>
      </c>
      <c r="C23">
        <v>202400077</v>
      </c>
      <c r="D23">
        <v>16</v>
      </c>
      <c r="E23">
        <v>86</v>
      </c>
      <c r="F23">
        <v>9</v>
      </c>
      <c r="G23">
        <v>9</v>
      </c>
      <c r="H23">
        <v>0</v>
      </c>
    </row>
    <row r="24" spans="2:8">
      <c r="B24" t="s">
        <v>89</v>
      </c>
      <c r="C24">
        <v>202400088</v>
      </c>
      <c r="D24">
        <v>13</v>
      </c>
      <c r="E24">
        <v>56</v>
      </c>
      <c r="F24">
        <v>9</v>
      </c>
      <c r="G24">
        <v>10</v>
      </c>
      <c r="H24">
        <v>0</v>
      </c>
    </row>
    <row r="25" spans="2:8">
      <c r="B25" t="s">
        <v>77</v>
      </c>
      <c r="C25">
        <v>202400076</v>
      </c>
      <c r="D25">
        <v>20</v>
      </c>
      <c r="E25">
        <v>50</v>
      </c>
      <c r="F25">
        <v>10</v>
      </c>
      <c r="G25">
        <v>10</v>
      </c>
      <c r="H25">
        <v>0</v>
      </c>
    </row>
    <row r="26" spans="2:8">
      <c r="B26" t="s">
        <v>21</v>
      </c>
      <c r="C26">
        <v>202400020</v>
      </c>
      <c r="D26">
        <v>17</v>
      </c>
      <c r="E26">
        <v>89</v>
      </c>
      <c r="F26">
        <v>8</v>
      </c>
      <c r="G26">
        <v>8</v>
      </c>
      <c r="H26">
        <v>0</v>
      </c>
    </row>
    <row r="27" spans="2:8">
      <c r="B27" t="s">
        <v>12</v>
      </c>
      <c r="C27">
        <v>202400011</v>
      </c>
      <c r="D27">
        <v>12</v>
      </c>
      <c r="E27">
        <v>69</v>
      </c>
      <c r="F27">
        <v>6</v>
      </c>
      <c r="G27">
        <v>8</v>
      </c>
      <c r="H27">
        <v>0</v>
      </c>
    </row>
    <row r="28" spans="2:8">
      <c r="B28" t="s">
        <v>30</v>
      </c>
      <c r="C28">
        <v>202400029</v>
      </c>
      <c r="D28">
        <v>13</v>
      </c>
      <c r="E28">
        <v>65</v>
      </c>
      <c r="F28">
        <v>3</v>
      </c>
      <c r="G28">
        <v>10</v>
      </c>
      <c r="H28">
        <v>0</v>
      </c>
    </row>
    <row r="29" spans="2:8">
      <c r="B29" t="s">
        <v>36</v>
      </c>
      <c r="C29">
        <v>202400035</v>
      </c>
      <c r="D29">
        <v>15</v>
      </c>
      <c r="E29">
        <v>94</v>
      </c>
      <c r="F29">
        <v>9</v>
      </c>
      <c r="G29">
        <v>10</v>
      </c>
      <c r="H29">
        <v>0</v>
      </c>
    </row>
    <row r="30" spans="2:8">
      <c r="B30" t="s">
        <v>40</v>
      </c>
      <c r="C30">
        <v>202400039</v>
      </c>
      <c r="D30">
        <v>18</v>
      </c>
      <c r="E30">
        <v>94</v>
      </c>
      <c r="F30">
        <v>4</v>
      </c>
      <c r="G30">
        <v>9</v>
      </c>
      <c r="H30">
        <v>0</v>
      </c>
    </row>
    <row r="31" spans="2:8">
      <c r="B31" t="s">
        <v>86</v>
      </c>
      <c r="C31">
        <v>202400085</v>
      </c>
      <c r="D31">
        <v>17</v>
      </c>
      <c r="E31">
        <v>71</v>
      </c>
      <c r="F31">
        <v>6</v>
      </c>
      <c r="G31">
        <v>10</v>
      </c>
      <c r="H31">
        <v>0</v>
      </c>
    </row>
    <row r="32" spans="2:8">
      <c r="B32" t="s">
        <v>44</v>
      </c>
      <c r="C32">
        <v>202400043</v>
      </c>
      <c r="D32">
        <v>10</v>
      </c>
      <c r="E32">
        <v>86</v>
      </c>
      <c r="F32">
        <v>5</v>
      </c>
      <c r="G32">
        <v>10</v>
      </c>
      <c r="H32">
        <v>0</v>
      </c>
    </row>
    <row r="33" spans="2:8">
      <c r="B33" t="s">
        <v>50</v>
      </c>
      <c r="C33">
        <v>202400049</v>
      </c>
      <c r="D33">
        <v>17</v>
      </c>
      <c r="E33">
        <v>84</v>
      </c>
      <c r="F33">
        <v>10</v>
      </c>
      <c r="G33">
        <v>10</v>
      </c>
      <c r="H33">
        <v>0</v>
      </c>
    </row>
    <row r="34" spans="2:8">
      <c r="B34" t="s">
        <v>87</v>
      </c>
      <c r="C34">
        <v>202400086</v>
      </c>
      <c r="D34">
        <v>10</v>
      </c>
      <c r="E34">
        <v>88</v>
      </c>
      <c r="F34">
        <v>4</v>
      </c>
      <c r="G34">
        <v>9</v>
      </c>
      <c r="H34">
        <v>0</v>
      </c>
    </row>
    <row r="35" spans="2:8">
      <c r="B35" t="s">
        <v>48</v>
      </c>
      <c r="C35">
        <v>202400047</v>
      </c>
      <c r="D35">
        <v>13</v>
      </c>
      <c r="E35">
        <v>90</v>
      </c>
      <c r="F35">
        <v>3</v>
      </c>
      <c r="G35">
        <v>10</v>
      </c>
      <c r="H35">
        <v>0</v>
      </c>
    </row>
    <row r="36" spans="2:8">
      <c r="B36" t="s">
        <v>23</v>
      </c>
      <c r="C36">
        <v>202400022</v>
      </c>
      <c r="D36">
        <v>16</v>
      </c>
      <c r="E36">
        <v>95</v>
      </c>
      <c r="F36">
        <v>10</v>
      </c>
      <c r="G36">
        <v>10</v>
      </c>
      <c r="H36">
        <v>0</v>
      </c>
    </row>
    <row r="37" spans="2:8">
      <c r="B37" t="s">
        <v>37</v>
      </c>
      <c r="C37">
        <v>202400036</v>
      </c>
      <c r="D37">
        <v>19</v>
      </c>
      <c r="E37">
        <v>98</v>
      </c>
      <c r="F37">
        <v>3</v>
      </c>
      <c r="G37">
        <v>8</v>
      </c>
      <c r="H37">
        <v>0</v>
      </c>
    </row>
    <row r="38" spans="2:8">
      <c r="B38" t="s">
        <v>97</v>
      </c>
      <c r="C38">
        <v>202400096</v>
      </c>
      <c r="D38">
        <v>14</v>
      </c>
      <c r="E38">
        <v>100</v>
      </c>
      <c r="F38">
        <v>3</v>
      </c>
      <c r="G38">
        <v>9</v>
      </c>
      <c r="H38">
        <v>0</v>
      </c>
    </row>
    <row r="39" spans="2:8">
      <c r="B39" t="s">
        <v>81</v>
      </c>
      <c r="C39">
        <v>202400080</v>
      </c>
      <c r="D39">
        <v>17</v>
      </c>
      <c r="E39">
        <v>80</v>
      </c>
      <c r="F39">
        <v>3</v>
      </c>
      <c r="G39">
        <v>10</v>
      </c>
      <c r="H39">
        <v>0</v>
      </c>
    </row>
    <row r="40" spans="2:8">
      <c r="B40" t="s">
        <v>68</v>
      </c>
      <c r="C40">
        <v>202400067</v>
      </c>
      <c r="D40">
        <v>11</v>
      </c>
      <c r="E40">
        <v>71</v>
      </c>
      <c r="F40">
        <v>6</v>
      </c>
      <c r="G40">
        <v>9</v>
      </c>
      <c r="H40">
        <v>0</v>
      </c>
    </row>
    <row r="41" spans="2:8">
      <c r="B41" t="s">
        <v>6</v>
      </c>
      <c r="C41">
        <v>202400005</v>
      </c>
      <c r="D41">
        <v>10</v>
      </c>
      <c r="E41">
        <v>66</v>
      </c>
      <c r="F41">
        <v>8</v>
      </c>
      <c r="G41">
        <v>10</v>
      </c>
      <c r="H41">
        <v>0</v>
      </c>
    </row>
    <row r="42" spans="2:8">
      <c r="B42" t="s">
        <v>52</v>
      </c>
      <c r="C42">
        <v>202400051</v>
      </c>
      <c r="D42">
        <v>10</v>
      </c>
      <c r="E42">
        <v>97</v>
      </c>
      <c r="F42">
        <v>6</v>
      </c>
      <c r="G42">
        <v>10</v>
      </c>
      <c r="H42">
        <v>0</v>
      </c>
    </row>
    <row r="43" spans="2:8">
      <c r="B43" t="s">
        <v>10</v>
      </c>
      <c r="C43">
        <v>202400009</v>
      </c>
      <c r="D43">
        <v>16</v>
      </c>
      <c r="E43">
        <v>67</v>
      </c>
      <c r="F43">
        <v>7</v>
      </c>
      <c r="G43">
        <v>9</v>
      </c>
      <c r="H43">
        <v>0</v>
      </c>
    </row>
    <row r="44" spans="2:8">
      <c r="B44" t="s">
        <v>90</v>
      </c>
      <c r="C44">
        <v>202400089</v>
      </c>
      <c r="D44">
        <v>15</v>
      </c>
      <c r="E44">
        <v>83</v>
      </c>
      <c r="F44">
        <v>10</v>
      </c>
      <c r="G44">
        <v>9</v>
      </c>
      <c r="H44">
        <v>0</v>
      </c>
    </row>
    <row r="45" spans="2:8">
      <c r="B45" t="s">
        <v>64</v>
      </c>
      <c r="C45">
        <v>202400063</v>
      </c>
      <c r="D45">
        <v>14</v>
      </c>
      <c r="E45">
        <v>64</v>
      </c>
      <c r="F45">
        <v>8</v>
      </c>
      <c r="G45">
        <v>10</v>
      </c>
      <c r="H45">
        <v>0</v>
      </c>
    </row>
    <row r="46" spans="2:8">
      <c r="B46" t="s">
        <v>27</v>
      </c>
      <c r="C46">
        <v>202400026</v>
      </c>
      <c r="D46">
        <v>10</v>
      </c>
      <c r="E46">
        <v>94</v>
      </c>
      <c r="F46">
        <v>10</v>
      </c>
      <c r="G46">
        <v>8</v>
      </c>
      <c r="H46">
        <v>0</v>
      </c>
    </row>
    <row r="47" spans="2:8">
      <c r="B47" t="s">
        <v>80</v>
      </c>
      <c r="C47">
        <v>202400079</v>
      </c>
      <c r="D47">
        <v>20</v>
      </c>
      <c r="E47">
        <v>52</v>
      </c>
      <c r="F47">
        <v>8</v>
      </c>
      <c r="G47">
        <v>10</v>
      </c>
      <c r="H47">
        <v>0</v>
      </c>
    </row>
    <row r="48" spans="2:8">
      <c r="B48" t="s">
        <v>25</v>
      </c>
      <c r="C48">
        <v>202400024</v>
      </c>
      <c r="D48">
        <v>15</v>
      </c>
      <c r="E48">
        <v>52</v>
      </c>
      <c r="F48">
        <v>8</v>
      </c>
      <c r="G48">
        <v>9</v>
      </c>
      <c r="H48">
        <v>0</v>
      </c>
    </row>
    <row r="49" spans="2:8">
      <c r="B49" t="s">
        <v>46</v>
      </c>
      <c r="C49">
        <v>202400045</v>
      </c>
      <c r="D49">
        <v>15</v>
      </c>
      <c r="E49">
        <v>52</v>
      </c>
      <c r="F49">
        <v>4</v>
      </c>
      <c r="G49">
        <v>10</v>
      </c>
      <c r="H49">
        <v>0</v>
      </c>
    </row>
    <row r="50" spans="2:8">
      <c r="B50" t="s">
        <v>91</v>
      </c>
      <c r="C50">
        <v>202400090</v>
      </c>
      <c r="D50">
        <v>10</v>
      </c>
      <c r="E50">
        <v>88</v>
      </c>
      <c r="F50">
        <v>3</v>
      </c>
      <c r="G50">
        <v>8</v>
      </c>
      <c r="H50">
        <v>0</v>
      </c>
    </row>
    <row r="51" spans="2:8">
      <c r="B51" t="s">
        <v>67</v>
      </c>
      <c r="C51">
        <v>202400066</v>
      </c>
      <c r="D51">
        <v>12</v>
      </c>
      <c r="E51">
        <v>82</v>
      </c>
      <c r="F51">
        <v>3</v>
      </c>
      <c r="G51">
        <v>9</v>
      </c>
      <c r="H51">
        <v>0</v>
      </c>
    </row>
    <row r="52" spans="2:8">
      <c r="B52" t="s">
        <v>82</v>
      </c>
      <c r="C52">
        <v>202400081</v>
      </c>
      <c r="D52">
        <v>15</v>
      </c>
      <c r="E52">
        <v>82</v>
      </c>
      <c r="F52">
        <v>4</v>
      </c>
      <c r="G52">
        <v>9</v>
      </c>
      <c r="H52">
        <v>0</v>
      </c>
    </row>
    <row r="53" spans="2:8">
      <c r="B53" t="s">
        <v>22</v>
      </c>
      <c r="C53">
        <v>202400021</v>
      </c>
      <c r="D53">
        <v>12</v>
      </c>
      <c r="E53">
        <v>78</v>
      </c>
      <c r="F53">
        <v>10</v>
      </c>
      <c r="G53">
        <v>8</v>
      </c>
      <c r="H53">
        <v>0</v>
      </c>
    </row>
    <row r="54" spans="2:8">
      <c r="B54" t="s">
        <v>70</v>
      </c>
      <c r="C54">
        <v>202400069</v>
      </c>
      <c r="D54">
        <v>12</v>
      </c>
      <c r="E54">
        <v>62</v>
      </c>
      <c r="F54">
        <v>10</v>
      </c>
      <c r="G54">
        <v>8</v>
      </c>
      <c r="H54">
        <v>0</v>
      </c>
    </row>
    <row r="55" spans="2:8">
      <c r="B55" t="s">
        <v>26</v>
      </c>
      <c r="C55">
        <v>202400025</v>
      </c>
      <c r="D55">
        <v>16</v>
      </c>
      <c r="E55">
        <v>73</v>
      </c>
      <c r="F55">
        <v>10</v>
      </c>
      <c r="G55">
        <v>10</v>
      </c>
      <c r="H55">
        <v>0</v>
      </c>
    </row>
    <row r="56" spans="2:8">
      <c r="B56" t="s">
        <v>42</v>
      </c>
      <c r="C56">
        <v>202400041</v>
      </c>
      <c r="D56">
        <v>13</v>
      </c>
      <c r="E56">
        <v>63</v>
      </c>
      <c r="F56">
        <v>5</v>
      </c>
      <c r="G56">
        <v>9</v>
      </c>
      <c r="H56">
        <v>0</v>
      </c>
    </row>
    <row r="57" spans="2:8">
      <c r="B57" t="s">
        <v>5</v>
      </c>
      <c r="C57">
        <v>202400004</v>
      </c>
      <c r="D57">
        <v>14</v>
      </c>
      <c r="E57">
        <v>98</v>
      </c>
      <c r="F57">
        <v>4</v>
      </c>
      <c r="G57">
        <v>10</v>
      </c>
      <c r="H57">
        <v>0</v>
      </c>
    </row>
    <row r="58" spans="2:8">
      <c r="B58" t="s">
        <v>74</v>
      </c>
      <c r="C58">
        <v>202400073</v>
      </c>
      <c r="D58">
        <v>20</v>
      </c>
      <c r="E58">
        <v>63</v>
      </c>
      <c r="F58">
        <v>3</v>
      </c>
      <c r="G58">
        <v>9</v>
      </c>
      <c r="H58">
        <v>0</v>
      </c>
    </row>
    <row r="59" spans="2:8">
      <c r="B59" t="s">
        <v>84</v>
      </c>
      <c r="C59">
        <v>202400083</v>
      </c>
      <c r="D59">
        <v>13</v>
      </c>
      <c r="E59">
        <v>61</v>
      </c>
      <c r="F59">
        <v>9</v>
      </c>
      <c r="G59">
        <v>10</v>
      </c>
      <c r="H59">
        <v>0</v>
      </c>
    </row>
    <row r="60" spans="2:8">
      <c r="B60" t="s">
        <v>11</v>
      </c>
      <c r="C60">
        <v>202400010</v>
      </c>
      <c r="D60">
        <v>13</v>
      </c>
      <c r="E60">
        <v>97</v>
      </c>
      <c r="F60">
        <v>10</v>
      </c>
      <c r="G60">
        <v>9</v>
      </c>
      <c r="H60">
        <v>0</v>
      </c>
    </row>
    <row r="61" spans="2:8">
      <c r="B61" t="s">
        <v>2</v>
      </c>
      <c r="C61">
        <v>202400002</v>
      </c>
      <c r="D61">
        <v>14</v>
      </c>
      <c r="E61">
        <v>64</v>
      </c>
      <c r="F61">
        <v>5</v>
      </c>
      <c r="G61">
        <v>9</v>
      </c>
      <c r="H61">
        <v>0</v>
      </c>
    </row>
    <row r="62" spans="2:8">
      <c r="B62" t="s">
        <v>43</v>
      </c>
      <c r="C62">
        <v>202400042</v>
      </c>
      <c r="D62">
        <v>16</v>
      </c>
      <c r="E62">
        <v>57</v>
      </c>
      <c r="F62">
        <v>8</v>
      </c>
      <c r="G62">
        <v>9</v>
      </c>
      <c r="H62">
        <v>0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9738-8AB4-7D4E-B777-C04490C72080}">
  <sheetPr>
    <tabColor theme="7" tint="0.79998168889431442"/>
  </sheetPr>
  <dimension ref="B1:M73"/>
  <sheetViews>
    <sheetView workbookViewId="0">
      <selection activeCell="H4" sqref="H4:H73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502</v>
      </c>
      <c r="C2">
        <v>1</v>
      </c>
      <c r="D2" t="s">
        <v>511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68</v>
      </c>
      <c r="C4">
        <v>202400067</v>
      </c>
      <c r="D4">
        <v>36</v>
      </c>
      <c r="E4">
        <v>89</v>
      </c>
      <c r="F4">
        <v>9</v>
      </c>
      <c r="G4">
        <v>10</v>
      </c>
      <c r="H4">
        <v>0</v>
      </c>
    </row>
    <row r="5" spans="2:13">
      <c r="B5" t="s">
        <v>126</v>
      </c>
      <c r="C5">
        <v>202400125</v>
      </c>
      <c r="D5">
        <v>24</v>
      </c>
      <c r="E5">
        <v>86</v>
      </c>
      <c r="F5">
        <v>8</v>
      </c>
      <c r="G5">
        <v>9</v>
      </c>
      <c r="H5">
        <v>0</v>
      </c>
    </row>
    <row r="6" spans="2:13">
      <c r="B6" t="s">
        <v>181</v>
      </c>
      <c r="C6">
        <v>202400180</v>
      </c>
      <c r="D6">
        <v>41</v>
      </c>
      <c r="E6">
        <v>78</v>
      </c>
      <c r="F6">
        <v>9</v>
      </c>
      <c r="G6">
        <v>9</v>
      </c>
      <c r="H6">
        <v>0</v>
      </c>
    </row>
    <row r="7" spans="2:13">
      <c r="B7" t="s">
        <v>14</v>
      </c>
      <c r="C7">
        <v>202400013</v>
      </c>
      <c r="D7">
        <v>27</v>
      </c>
      <c r="E7">
        <v>80</v>
      </c>
      <c r="F7">
        <v>9</v>
      </c>
      <c r="G7">
        <v>10</v>
      </c>
      <c r="H7">
        <v>0</v>
      </c>
    </row>
    <row r="8" spans="2:13">
      <c r="B8" t="s">
        <v>42</v>
      </c>
      <c r="C8">
        <v>202400041</v>
      </c>
      <c r="D8">
        <v>37</v>
      </c>
      <c r="E8">
        <v>50</v>
      </c>
      <c r="F8">
        <v>8</v>
      </c>
      <c r="G8">
        <v>9</v>
      </c>
      <c r="H8">
        <v>0</v>
      </c>
    </row>
    <row r="9" spans="2:13">
      <c r="B9" t="s">
        <v>299</v>
      </c>
      <c r="C9">
        <v>202400298</v>
      </c>
      <c r="D9">
        <v>39</v>
      </c>
      <c r="E9">
        <v>68</v>
      </c>
      <c r="F9">
        <v>8</v>
      </c>
      <c r="G9">
        <v>9</v>
      </c>
      <c r="H9">
        <v>0</v>
      </c>
    </row>
    <row r="10" spans="2:13">
      <c r="B10" t="s">
        <v>132</v>
      </c>
      <c r="C10">
        <v>202400131</v>
      </c>
      <c r="D10">
        <v>34</v>
      </c>
      <c r="E10">
        <v>63</v>
      </c>
      <c r="F10">
        <v>10</v>
      </c>
      <c r="G10">
        <v>8</v>
      </c>
      <c r="H10">
        <v>0</v>
      </c>
    </row>
    <row r="11" spans="2:13">
      <c r="B11" t="s">
        <v>173</v>
      </c>
      <c r="C11">
        <v>202400172</v>
      </c>
      <c r="D11">
        <v>46</v>
      </c>
      <c r="E11">
        <v>91</v>
      </c>
      <c r="F11">
        <v>8</v>
      </c>
      <c r="G11">
        <v>10</v>
      </c>
      <c r="H11">
        <v>0</v>
      </c>
    </row>
    <row r="12" spans="2:13">
      <c r="B12" t="s">
        <v>212</v>
      </c>
      <c r="C12">
        <v>202400211</v>
      </c>
      <c r="D12">
        <v>26</v>
      </c>
      <c r="E12">
        <v>60</v>
      </c>
      <c r="F12">
        <v>10</v>
      </c>
      <c r="G12">
        <v>10</v>
      </c>
      <c r="H12">
        <v>0</v>
      </c>
    </row>
    <row r="13" spans="2:13">
      <c r="B13" t="s">
        <v>268</v>
      </c>
      <c r="C13">
        <v>202400267</v>
      </c>
      <c r="D13">
        <v>20</v>
      </c>
      <c r="E13">
        <v>61</v>
      </c>
      <c r="F13">
        <v>8</v>
      </c>
      <c r="G13">
        <v>9</v>
      </c>
      <c r="H13">
        <v>0</v>
      </c>
    </row>
    <row r="14" spans="2:13">
      <c r="B14" t="s">
        <v>178</v>
      </c>
      <c r="C14">
        <v>202400177</v>
      </c>
      <c r="D14">
        <v>25</v>
      </c>
      <c r="E14">
        <v>95</v>
      </c>
      <c r="F14">
        <v>9</v>
      </c>
      <c r="G14">
        <v>8</v>
      </c>
      <c r="H14">
        <v>0</v>
      </c>
    </row>
    <row r="15" spans="2:13">
      <c r="B15" t="s">
        <v>187</v>
      </c>
      <c r="C15">
        <v>202400186</v>
      </c>
      <c r="D15">
        <v>28</v>
      </c>
      <c r="E15">
        <v>79</v>
      </c>
      <c r="F15">
        <v>10</v>
      </c>
      <c r="G15">
        <v>8</v>
      </c>
      <c r="H15">
        <v>0</v>
      </c>
    </row>
    <row r="16" spans="2:13">
      <c r="B16" t="s">
        <v>161</v>
      </c>
      <c r="C16">
        <v>202400160</v>
      </c>
      <c r="D16">
        <v>27</v>
      </c>
      <c r="E16">
        <v>53</v>
      </c>
      <c r="F16">
        <v>9</v>
      </c>
      <c r="G16">
        <v>9</v>
      </c>
      <c r="H16">
        <v>0</v>
      </c>
    </row>
    <row r="17" spans="2:8">
      <c r="B17" t="s">
        <v>150</v>
      </c>
      <c r="C17">
        <v>202400149</v>
      </c>
      <c r="D17">
        <v>21</v>
      </c>
      <c r="E17">
        <v>60</v>
      </c>
      <c r="F17">
        <v>9</v>
      </c>
      <c r="G17">
        <v>10</v>
      </c>
      <c r="H17">
        <v>0</v>
      </c>
    </row>
    <row r="18" spans="2:8">
      <c r="B18" t="s">
        <v>228</v>
      </c>
      <c r="C18">
        <v>202400227</v>
      </c>
      <c r="D18">
        <v>44</v>
      </c>
      <c r="E18">
        <v>83</v>
      </c>
      <c r="F18">
        <v>8</v>
      </c>
      <c r="G18">
        <v>8</v>
      </c>
      <c r="H18">
        <v>0</v>
      </c>
    </row>
    <row r="19" spans="2:8">
      <c r="B19" t="s">
        <v>254</v>
      </c>
      <c r="C19">
        <v>202400253</v>
      </c>
      <c r="D19">
        <v>25</v>
      </c>
      <c r="E19">
        <v>70</v>
      </c>
      <c r="F19">
        <v>10</v>
      </c>
      <c r="G19">
        <v>8</v>
      </c>
      <c r="H19">
        <v>0</v>
      </c>
    </row>
    <row r="20" spans="2:8">
      <c r="B20" t="s">
        <v>290</v>
      </c>
      <c r="C20">
        <v>202400289</v>
      </c>
      <c r="D20">
        <v>47</v>
      </c>
      <c r="E20">
        <v>74</v>
      </c>
      <c r="F20">
        <v>8</v>
      </c>
      <c r="G20">
        <v>8</v>
      </c>
      <c r="H20">
        <v>0</v>
      </c>
    </row>
    <row r="21" spans="2:8">
      <c r="B21" t="s">
        <v>213</v>
      </c>
      <c r="C21">
        <v>202400212</v>
      </c>
      <c r="D21">
        <v>25</v>
      </c>
      <c r="E21">
        <v>50</v>
      </c>
      <c r="F21">
        <v>9</v>
      </c>
      <c r="G21">
        <v>10</v>
      </c>
      <c r="H21">
        <v>0</v>
      </c>
    </row>
    <row r="22" spans="2:8">
      <c r="B22" t="s">
        <v>22</v>
      </c>
      <c r="C22">
        <v>202400021</v>
      </c>
      <c r="D22">
        <v>49</v>
      </c>
      <c r="E22">
        <v>99</v>
      </c>
      <c r="F22">
        <v>9</v>
      </c>
      <c r="G22">
        <v>10</v>
      </c>
      <c r="H22">
        <v>0</v>
      </c>
    </row>
    <row r="23" spans="2:8">
      <c r="B23" t="s">
        <v>71</v>
      </c>
      <c r="C23">
        <v>202400070</v>
      </c>
      <c r="D23">
        <v>45</v>
      </c>
      <c r="E23">
        <v>64</v>
      </c>
      <c r="F23">
        <v>9</v>
      </c>
      <c r="G23">
        <v>10</v>
      </c>
      <c r="H23">
        <v>0</v>
      </c>
    </row>
    <row r="24" spans="2:8">
      <c r="B24" t="s">
        <v>12</v>
      </c>
      <c r="C24">
        <v>202400011</v>
      </c>
      <c r="D24">
        <v>30</v>
      </c>
      <c r="E24">
        <v>57</v>
      </c>
      <c r="F24">
        <v>8</v>
      </c>
      <c r="G24">
        <v>9</v>
      </c>
      <c r="H24">
        <v>0</v>
      </c>
    </row>
    <row r="25" spans="2:8">
      <c r="B25" t="s">
        <v>229</v>
      </c>
      <c r="C25">
        <v>202400228</v>
      </c>
      <c r="D25">
        <v>31</v>
      </c>
      <c r="E25">
        <v>73</v>
      </c>
      <c r="F25">
        <v>8</v>
      </c>
      <c r="G25">
        <v>10</v>
      </c>
      <c r="H25">
        <v>0</v>
      </c>
    </row>
    <row r="26" spans="2:8">
      <c r="B26" t="s">
        <v>35</v>
      </c>
      <c r="C26">
        <v>202400034</v>
      </c>
      <c r="D26">
        <v>35</v>
      </c>
      <c r="E26">
        <v>94</v>
      </c>
      <c r="F26">
        <v>10</v>
      </c>
      <c r="G26">
        <v>8</v>
      </c>
      <c r="H26">
        <v>0</v>
      </c>
    </row>
    <row r="27" spans="2:8">
      <c r="B27" t="s">
        <v>163</v>
      </c>
      <c r="C27">
        <v>202400162</v>
      </c>
      <c r="D27">
        <v>29</v>
      </c>
      <c r="E27">
        <v>69</v>
      </c>
      <c r="F27">
        <v>9</v>
      </c>
      <c r="G27">
        <v>8</v>
      </c>
      <c r="H27">
        <v>0</v>
      </c>
    </row>
    <row r="28" spans="2:8">
      <c r="B28" t="s">
        <v>271</v>
      </c>
      <c r="C28">
        <v>202400270</v>
      </c>
      <c r="D28">
        <v>28</v>
      </c>
      <c r="E28">
        <v>97</v>
      </c>
      <c r="F28">
        <v>10</v>
      </c>
      <c r="G28">
        <v>10</v>
      </c>
      <c r="H28">
        <v>0</v>
      </c>
    </row>
    <row r="29" spans="2:8">
      <c r="B29" t="s">
        <v>195</v>
      </c>
      <c r="C29">
        <v>202400194</v>
      </c>
      <c r="D29">
        <v>29</v>
      </c>
      <c r="E29">
        <v>68</v>
      </c>
      <c r="F29">
        <v>10</v>
      </c>
      <c r="G29">
        <v>8</v>
      </c>
      <c r="H29">
        <v>0</v>
      </c>
    </row>
    <row r="30" spans="2:8">
      <c r="B30" t="s">
        <v>157</v>
      </c>
      <c r="C30">
        <v>202400156</v>
      </c>
      <c r="D30">
        <v>39</v>
      </c>
      <c r="E30">
        <v>75</v>
      </c>
      <c r="F30">
        <v>9</v>
      </c>
      <c r="G30">
        <v>10</v>
      </c>
      <c r="H30">
        <v>0</v>
      </c>
    </row>
    <row r="31" spans="2:8">
      <c r="B31" t="s">
        <v>8</v>
      </c>
      <c r="C31">
        <v>202400007</v>
      </c>
      <c r="D31">
        <v>47</v>
      </c>
      <c r="E31">
        <v>81</v>
      </c>
      <c r="F31">
        <v>9</v>
      </c>
      <c r="G31">
        <v>9</v>
      </c>
      <c r="H31">
        <v>0</v>
      </c>
    </row>
    <row r="32" spans="2:8">
      <c r="B32" t="s">
        <v>77</v>
      </c>
      <c r="C32">
        <v>202400076</v>
      </c>
      <c r="D32">
        <v>31</v>
      </c>
      <c r="E32">
        <v>79</v>
      </c>
      <c r="F32">
        <v>10</v>
      </c>
      <c r="G32">
        <v>10</v>
      </c>
      <c r="H32">
        <v>0</v>
      </c>
    </row>
    <row r="33" spans="2:8">
      <c r="B33" t="s">
        <v>171</v>
      </c>
      <c r="C33">
        <v>202400170</v>
      </c>
      <c r="D33">
        <v>42</v>
      </c>
      <c r="E33">
        <v>91</v>
      </c>
      <c r="F33">
        <v>8</v>
      </c>
      <c r="G33">
        <v>9</v>
      </c>
      <c r="H33">
        <v>0</v>
      </c>
    </row>
    <row r="34" spans="2:8">
      <c r="B34" t="s">
        <v>241</v>
      </c>
      <c r="C34">
        <v>202400240</v>
      </c>
      <c r="D34">
        <v>21</v>
      </c>
      <c r="E34">
        <v>91</v>
      </c>
      <c r="F34">
        <v>8</v>
      </c>
      <c r="G34">
        <v>9</v>
      </c>
      <c r="H34">
        <v>0</v>
      </c>
    </row>
    <row r="35" spans="2:8">
      <c r="B35" t="s">
        <v>23</v>
      </c>
      <c r="C35">
        <v>202400022</v>
      </c>
      <c r="D35">
        <v>39</v>
      </c>
      <c r="E35">
        <v>93</v>
      </c>
      <c r="F35">
        <v>9</v>
      </c>
      <c r="G35">
        <v>9</v>
      </c>
      <c r="H35">
        <v>0</v>
      </c>
    </row>
    <row r="36" spans="2:8">
      <c r="B36" t="s">
        <v>272</v>
      </c>
      <c r="C36">
        <v>202400271</v>
      </c>
      <c r="D36">
        <v>46</v>
      </c>
      <c r="E36">
        <v>54</v>
      </c>
      <c r="F36">
        <v>10</v>
      </c>
      <c r="G36">
        <v>9</v>
      </c>
      <c r="H36">
        <v>0</v>
      </c>
    </row>
    <row r="37" spans="2:8">
      <c r="B37" t="s">
        <v>269</v>
      </c>
      <c r="C37">
        <v>202400268</v>
      </c>
      <c r="D37">
        <v>34</v>
      </c>
      <c r="E37">
        <v>78</v>
      </c>
      <c r="F37">
        <v>10</v>
      </c>
      <c r="G37">
        <v>8</v>
      </c>
      <c r="H37">
        <v>0</v>
      </c>
    </row>
    <row r="38" spans="2:8">
      <c r="B38" t="s">
        <v>16</v>
      </c>
      <c r="C38">
        <v>202400015</v>
      </c>
      <c r="D38">
        <v>34</v>
      </c>
      <c r="E38">
        <v>79</v>
      </c>
      <c r="F38">
        <v>8</v>
      </c>
      <c r="G38">
        <v>8</v>
      </c>
      <c r="H38">
        <v>0</v>
      </c>
    </row>
    <row r="39" spans="2:8">
      <c r="B39" t="s">
        <v>85</v>
      </c>
      <c r="C39">
        <v>202400084</v>
      </c>
      <c r="D39">
        <v>19</v>
      </c>
      <c r="E39">
        <v>56</v>
      </c>
      <c r="F39">
        <v>10</v>
      </c>
      <c r="G39">
        <v>8</v>
      </c>
      <c r="H39">
        <v>0</v>
      </c>
    </row>
    <row r="40" spans="2:8">
      <c r="B40" t="s">
        <v>275</v>
      </c>
      <c r="C40">
        <v>202400274</v>
      </c>
      <c r="D40">
        <v>42</v>
      </c>
      <c r="E40">
        <v>98</v>
      </c>
      <c r="F40">
        <v>10</v>
      </c>
      <c r="G40">
        <v>9</v>
      </c>
      <c r="H40">
        <v>0</v>
      </c>
    </row>
    <row r="41" spans="2:8">
      <c r="B41" t="s">
        <v>30</v>
      </c>
      <c r="C41">
        <v>202400029</v>
      </c>
      <c r="D41">
        <v>46</v>
      </c>
      <c r="E41">
        <v>100</v>
      </c>
      <c r="F41">
        <v>9</v>
      </c>
      <c r="G41">
        <v>9</v>
      </c>
      <c r="H41">
        <v>0</v>
      </c>
    </row>
    <row r="42" spans="2:8">
      <c r="B42" t="s">
        <v>124</v>
      </c>
      <c r="C42">
        <v>202400123</v>
      </c>
      <c r="D42">
        <v>33</v>
      </c>
      <c r="E42">
        <v>58</v>
      </c>
      <c r="F42">
        <v>9</v>
      </c>
      <c r="G42">
        <v>10</v>
      </c>
      <c r="H42">
        <v>0</v>
      </c>
    </row>
    <row r="43" spans="2:8">
      <c r="B43" t="s">
        <v>162</v>
      </c>
      <c r="C43">
        <v>202400161</v>
      </c>
      <c r="D43">
        <v>30</v>
      </c>
      <c r="E43">
        <v>61</v>
      </c>
      <c r="F43">
        <v>9</v>
      </c>
      <c r="G43">
        <v>9</v>
      </c>
      <c r="H43">
        <v>0</v>
      </c>
    </row>
    <row r="44" spans="2:8">
      <c r="B44" t="s">
        <v>80</v>
      </c>
      <c r="C44">
        <v>202400079</v>
      </c>
      <c r="D44">
        <v>22</v>
      </c>
      <c r="E44">
        <v>96</v>
      </c>
      <c r="F44">
        <v>8</v>
      </c>
      <c r="G44">
        <v>9</v>
      </c>
      <c r="H44">
        <v>0</v>
      </c>
    </row>
    <row r="45" spans="2:8">
      <c r="B45" t="s">
        <v>238</v>
      </c>
      <c r="C45">
        <v>202400237</v>
      </c>
      <c r="D45">
        <v>28</v>
      </c>
      <c r="E45">
        <v>73</v>
      </c>
      <c r="F45">
        <v>8</v>
      </c>
      <c r="G45">
        <v>10</v>
      </c>
      <c r="H45">
        <v>0</v>
      </c>
    </row>
    <row r="46" spans="2:8">
      <c r="B46" t="s">
        <v>300</v>
      </c>
      <c r="C46">
        <v>202400299</v>
      </c>
      <c r="D46">
        <v>45</v>
      </c>
      <c r="E46">
        <v>98</v>
      </c>
      <c r="F46">
        <v>8</v>
      </c>
      <c r="G46">
        <v>9</v>
      </c>
      <c r="H46">
        <v>0</v>
      </c>
    </row>
    <row r="47" spans="2:8">
      <c r="B47" t="s">
        <v>87</v>
      </c>
      <c r="C47">
        <v>202400086</v>
      </c>
      <c r="D47">
        <v>34</v>
      </c>
      <c r="E47">
        <v>54</v>
      </c>
      <c r="F47">
        <v>9</v>
      </c>
      <c r="G47">
        <v>9</v>
      </c>
      <c r="H47">
        <v>0</v>
      </c>
    </row>
    <row r="48" spans="2:8">
      <c r="B48" t="s">
        <v>232</v>
      </c>
      <c r="C48">
        <v>202400231</v>
      </c>
      <c r="D48">
        <v>45</v>
      </c>
      <c r="E48">
        <v>59</v>
      </c>
      <c r="F48">
        <v>9</v>
      </c>
      <c r="G48">
        <v>9</v>
      </c>
      <c r="H48">
        <v>0</v>
      </c>
    </row>
    <row r="49" spans="2:8">
      <c r="B49" t="s">
        <v>223</v>
      </c>
      <c r="C49">
        <v>202400222</v>
      </c>
      <c r="D49">
        <v>26</v>
      </c>
      <c r="E49">
        <v>64</v>
      </c>
      <c r="F49">
        <v>9</v>
      </c>
      <c r="G49">
        <v>10</v>
      </c>
      <c r="H49">
        <v>0</v>
      </c>
    </row>
    <row r="50" spans="2:8">
      <c r="B50" t="s">
        <v>76</v>
      </c>
      <c r="C50">
        <v>202400075</v>
      </c>
      <c r="D50">
        <v>40</v>
      </c>
      <c r="E50">
        <v>60</v>
      </c>
      <c r="F50">
        <v>9</v>
      </c>
      <c r="G50">
        <v>10</v>
      </c>
      <c r="H50">
        <v>0</v>
      </c>
    </row>
    <row r="51" spans="2:8">
      <c r="B51" t="s">
        <v>208</v>
      </c>
      <c r="C51">
        <v>202400207</v>
      </c>
      <c r="D51">
        <v>19</v>
      </c>
      <c r="E51">
        <v>50</v>
      </c>
      <c r="F51">
        <v>9</v>
      </c>
      <c r="G51">
        <v>10</v>
      </c>
      <c r="H51">
        <v>0</v>
      </c>
    </row>
    <row r="52" spans="2:8">
      <c r="B52" t="s">
        <v>265</v>
      </c>
      <c r="C52">
        <v>202400264</v>
      </c>
      <c r="D52">
        <v>37</v>
      </c>
      <c r="E52">
        <v>59</v>
      </c>
      <c r="F52">
        <v>9</v>
      </c>
      <c r="G52">
        <v>9</v>
      </c>
      <c r="H52">
        <v>0</v>
      </c>
    </row>
    <row r="53" spans="2:8">
      <c r="B53" t="s">
        <v>176</v>
      </c>
      <c r="C53">
        <v>202400175</v>
      </c>
      <c r="D53">
        <v>45</v>
      </c>
      <c r="E53">
        <v>64</v>
      </c>
      <c r="F53">
        <v>9</v>
      </c>
      <c r="G53">
        <v>9</v>
      </c>
      <c r="H53">
        <v>0</v>
      </c>
    </row>
    <row r="54" spans="2:8">
      <c r="B54" t="s">
        <v>151</v>
      </c>
      <c r="C54">
        <v>202400150</v>
      </c>
      <c r="D54">
        <v>31</v>
      </c>
      <c r="E54">
        <v>60</v>
      </c>
      <c r="F54">
        <v>9</v>
      </c>
      <c r="G54">
        <v>9</v>
      </c>
      <c r="H54">
        <v>0</v>
      </c>
    </row>
    <row r="55" spans="2:8">
      <c r="B55" t="s">
        <v>65</v>
      </c>
      <c r="C55">
        <v>202400064</v>
      </c>
      <c r="D55">
        <v>38</v>
      </c>
      <c r="E55">
        <v>85</v>
      </c>
      <c r="F55">
        <v>9</v>
      </c>
      <c r="G55">
        <v>8</v>
      </c>
      <c r="H55">
        <v>0</v>
      </c>
    </row>
    <row r="56" spans="2:8">
      <c r="B56" t="s">
        <v>184</v>
      </c>
      <c r="C56">
        <v>202400183</v>
      </c>
      <c r="D56">
        <v>50</v>
      </c>
      <c r="E56">
        <v>74</v>
      </c>
      <c r="F56">
        <v>8</v>
      </c>
      <c r="G56">
        <v>8</v>
      </c>
      <c r="H56">
        <v>0</v>
      </c>
    </row>
    <row r="57" spans="2:8">
      <c r="B57" t="s">
        <v>280</v>
      </c>
      <c r="C57">
        <v>202400279</v>
      </c>
      <c r="D57">
        <v>46</v>
      </c>
      <c r="E57">
        <v>50</v>
      </c>
      <c r="F57">
        <v>9</v>
      </c>
      <c r="G57">
        <v>10</v>
      </c>
      <c r="H57">
        <v>0</v>
      </c>
    </row>
    <row r="58" spans="2:8">
      <c r="B58" t="s">
        <v>31</v>
      </c>
      <c r="C58">
        <v>202400030</v>
      </c>
      <c r="D58">
        <v>47</v>
      </c>
      <c r="E58">
        <v>99</v>
      </c>
      <c r="F58">
        <v>9</v>
      </c>
      <c r="G58">
        <v>10</v>
      </c>
      <c r="H58">
        <v>0</v>
      </c>
    </row>
    <row r="59" spans="2:8">
      <c r="B59" t="s">
        <v>109</v>
      </c>
      <c r="C59">
        <v>202400108</v>
      </c>
      <c r="D59">
        <v>28</v>
      </c>
      <c r="E59">
        <v>83</v>
      </c>
      <c r="F59">
        <v>10</v>
      </c>
      <c r="G59">
        <v>10</v>
      </c>
      <c r="H59">
        <v>0</v>
      </c>
    </row>
    <row r="60" spans="2:8">
      <c r="B60" t="s">
        <v>10</v>
      </c>
      <c r="C60">
        <v>202400009</v>
      </c>
      <c r="D60">
        <v>41</v>
      </c>
      <c r="E60">
        <v>82</v>
      </c>
      <c r="F60">
        <v>8</v>
      </c>
      <c r="G60">
        <v>10</v>
      </c>
      <c r="H60">
        <v>0</v>
      </c>
    </row>
    <row r="61" spans="2:8">
      <c r="B61" t="s">
        <v>279</v>
      </c>
      <c r="C61">
        <v>202400278</v>
      </c>
      <c r="D61">
        <v>39</v>
      </c>
      <c r="E61">
        <v>89</v>
      </c>
      <c r="F61">
        <v>9</v>
      </c>
      <c r="G61">
        <v>9</v>
      </c>
      <c r="H61">
        <v>0</v>
      </c>
    </row>
    <row r="62" spans="2:8">
      <c r="B62" t="s">
        <v>59</v>
      </c>
      <c r="C62">
        <v>202400058</v>
      </c>
      <c r="D62">
        <v>45</v>
      </c>
      <c r="E62">
        <v>65</v>
      </c>
      <c r="F62">
        <v>8</v>
      </c>
      <c r="G62">
        <v>9</v>
      </c>
      <c r="H62">
        <v>0</v>
      </c>
    </row>
    <row r="63" spans="2:8">
      <c r="B63" t="s">
        <v>185</v>
      </c>
      <c r="C63">
        <v>202400184</v>
      </c>
      <c r="D63">
        <v>32</v>
      </c>
      <c r="E63">
        <v>93</v>
      </c>
      <c r="F63">
        <v>9</v>
      </c>
      <c r="G63">
        <v>8</v>
      </c>
      <c r="H63">
        <v>0</v>
      </c>
    </row>
    <row r="64" spans="2:8">
      <c r="B64" t="s">
        <v>276</v>
      </c>
      <c r="C64">
        <v>202400275</v>
      </c>
      <c r="D64">
        <v>44</v>
      </c>
      <c r="E64">
        <v>53</v>
      </c>
      <c r="F64">
        <v>8</v>
      </c>
      <c r="G64">
        <v>10</v>
      </c>
      <c r="H64">
        <v>0</v>
      </c>
    </row>
    <row r="65" spans="2:8">
      <c r="B65" t="s">
        <v>88</v>
      </c>
      <c r="C65">
        <v>202400087</v>
      </c>
      <c r="D65">
        <v>48</v>
      </c>
      <c r="E65">
        <v>72</v>
      </c>
      <c r="F65">
        <v>10</v>
      </c>
      <c r="G65">
        <v>8</v>
      </c>
      <c r="H65">
        <v>0</v>
      </c>
    </row>
    <row r="66" spans="2:8">
      <c r="B66" t="s">
        <v>250</v>
      </c>
      <c r="C66">
        <v>202400249</v>
      </c>
      <c r="D66">
        <v>30</v>
      </c>
      <c r="E66">
        <v>75</v>
      </c>
      <c r="F66">
        <v>9</v>
      </c>
      <c r="G66">
        <v>10</v>
      </c>
      <c r="H66">
        <v>0</v>
      </c>
    </row>
    <row r="67" spans="2:8">
      <c r="B67" t="s">
        <v>111</v>
      </c>
      <c r="C67">
        <v>202400110</v>
      </c>
      <c r="D67">
        <v>19</v>
      </c>
      <c r="E67">
        <v>100</v>
      </c>
      <c r="F67">
        <v>10</v>
      </c>
      <c r="G67">
        <v>10</v>
      </c>
      <c r="H67">
        <v>0</v>
      </c>
    </row>
    <row r="68" spans="2:8">
      <c r="B68" t="s">
        <v>91</v>
      </c>
      <c r="C68">
        <v>202400090</v>
      </c>
      <c r="D68">
        <v>39</v>
      </c>
      <c r="E68">
        <v>57</v>
      </c>
      <c r="F68">
        <v>8</v>
      </c>
      <c r="G68">
        <v>8</v>
      </c>
      <c r="H68">
        <v>0</v>
      </c>
    </row>
    <row r="69" spans="2:8">
      <c r="B69" t="s">
        <v>112</v>
      </c>
      <c r="C69">
        <v>202400111</v>
      </c>
      <c r="D69">
        <v>30</v>
      </c>
      <c r="E69">
        <v>73</v>
      </c>
      <c r="F69">
        <v>9</v>
      </c>
      <c r="G69">
        <v>9</v>
      </c>
      <c r="H69">
        <v>0</v>
      </c>
    </row>
    <row r="70" spans="2:8">
      <c r="B70" t="s">
        <v>270</v>
      </c>
      <c r="C70">
        <v>202400269</v>
      </c>
      <c r="D70">
        <v>40</v>
      </c>
      <c r="E70">
        <v>73</v>
      </c>
      <c r="F70">
        <v>10</v>
      </c>
      <c r="G70">
        <v>9</v>
      </c>
      <c r="H70">
        <v>0</v>
      </c>
    </row>
    <row r="71" spans="2:8">
      <c r="B71" t="s">
        <v>41</v>
      </c>
      <c r="C71">
        <v>202400040</v>
      </c>
      <c r="D71">
        <v>34</v>
      </c>
      <c r="E71">
        <v>94</v>
      </c>
      <c r="F71">
        <v>8</v>
      </c>
      <c r="G71">
        <v>10</v>
      </c>
      <c r="H71">
        <v>0</v>
      </c>
    </row>
    <row r="72" spans="2:8">
      <c r="B72" t="s">
        <v>93</v>
      </c>
      <c r="C72">
        <v>202400092</v>
      </c>
      <c r="D72">
        <v>29</v>
      </c>
      <c r="E72">
        <v>93</v>
      </c>
      <c r="F72">
        <v>9</v>
      </c>
      <c r="G72">
        <v>10</v>
      </c>
      <c r="H72">
        <v>0</v>
      </c>
    </row>
    <row r="73" spans="2:8">
      <c r="B73" t="s">
        <v>283</v>
      </c>
      <c r="C73">
        <v>202400282</v>
      </c>
      <c r="D73">
        <v>20</v>
      </c>
      <c r="E73">
        <v>54</v>
      </c>
      <c r="F73">
        <v>9</v>
      </c>
      <c r="G73">
        <v>10</v>
      </c>
      <c r="H73">
        <v>0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394F-57F8-624E-A883-18672D1EFACF}">
  <sheetPr>
    <tabColor theme="7" tint="0.79998168889431442"/>
  </sheetPr>
  <dimension ref="B1:M61"/>
  <sheetViews>
    <sheetView workbookViewId="0">
      <selection activeCell="H4" sqref="H4:H61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502</v>
      </c>
      <c r="C2">
        <v>2</v>
      </c>
      <c r="D2" t="s">
        <v>513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215</v>
      </c>
      <c r="C4">
        <v>202400214</v>
      </c>
      <c r="D4">
        <v>37</v>
      </c>
      <c r="E4">
        <v>83</v>
      </c>
      <c r="F4">
        <v>10</v>
      </c>
      <c r="G4">
        <v>10</v>
      </c>
      <c r="H4">
        <v>0</v>
      </c>
    </row>
    <row r="5" spans="2:13">
      <c r="B5" t="s">
        <v>222</v>
      </c>
      <c r="C5">
        <v>202400221</v>
      </c>
      <c r="D5">
        <v>31</v>
      </c>
      <c r="E5">
        <v>77</v>
      </c>
      <c r="F5">
        <v>8</v>
      </c>
      <c r="G5">
        <v>10</v>
      </c>
      <c r="H5">
        <v>0</v>
      </c>
    </row>
    <row r="6" spans="2:13">
      <c r="B6" t="s">
        <v>131</v>
      </c>
      <c r="C6">
        <v>202400130</v>
      </c>
      <c r="D6">
        <v>23</v>
      </c>
      <c r="E6">
        <v>72</v>
      </c>
      <c r="F6">
        <v>10</v>
      </c>
      <c r="G6">
        <v>8</v>
      </c>
      <c r="H6">
        <v>0</v>
      </c>
    </row>
    <row r="7" spans="2:13">
      <c r="B7" t="s">
        <v>148</v>
      </c>
      <c r="C7">
        <v>202400147</v>
      </c>
      <c r="D7">
        <v>40</v>
      </c>
      <c r="E7">
        <v>67</v>
      </c>
      <c r="F7">
        <v>9</v>
      </c>
      <c r="G7">
        <v>10</v>
      </c>
      <c r="H7">
        <v>0</v>
      </c>
    </row>
    <row r="8" spans="2:13">
      <c r="B8" t="s">
        <v>155</v>
      </c>
      <c r="C8">
        <v>202400154</v>
      </c>
      <c r="D8">
        <v>19</v>
      </c>
      <c r="E8">
        <v>84</v>
      </c>
      <c r="F8">
        <v>9</v>
      </c>
      <c r="G8">
        <v>8</v>
      </c>
      <c r="H8">
        <v>0</v>
      </c>
    </row>
    <row r="9" spans="2:13">
      <c r="B9" t="s">
        <v>209</v>
      </c>
      <c r="C9">
        <v>202400208</v>
      </c>
      <c r="D9">
        <v>22</v>
      </c>
      <c r="E9">
        <v>51</v>
      </c>
      <c r="F9">
        <v>8</v>
      </c>
      <c r="G9">
        <v>10</v>
      </c>
      <c r="H9">
        <v>0</v>
      </c>
    </row>
    <row r="10" spans="2:13">
      <c r="B10" t="s">
        <v>257</v>
      </c>
      <c r="C10">
        <v>202400256</v>
      </c>
      <c r="D10">
        <v>47</v>
      </c>
      <c r="E10">
        <v>60</v>
      </c>
      <c r="F10">
        <v>8</v>
      </c>
      <c r="G10">
        <v>8</v>
      </c>
      <c r="H10">
        <v>0</v>
      </c>
    </row>
    <row r="11" spans="2:13">
      <c r="B11" t="s">
        <v>273</v>
      </c>
      <c r="C11">
        <v>202400272</v>
      </c>
      <c r="D11">
        <v>25</v>
      </c>
      <c r="E11">
        <v>80</v>
      </c>
      <c r="F11">
        <v>8</v>
      </c>
      <c r="G11">
        <v>9</v>
      </c>
      <c r="H11">
        <v>0</v>
      </c>
    </row>
    <row r="12" spans="2:13">
      <c r="B12" t="s">
        <v>133</v>
      </c>
      <c r="C12">
        <v>202400132</v>
      </c>
      <c r="D12">
        <v>26</v>
      </c>
      <c r="E12">
        <v>67</v>
      </c>
      <c r="F12">
        <v>10</v>
      </c>
      <c r="G12">
        <v>8</v>
      </c>
      <c r="H12">
        <v>0</v>
      </c>
    </row>
    <row r="13" spans="2:13">
      <c r="B13" t="s">
        <v>128</v>
      </c>
      <c r="C13">
        <v>202400127</v>
      </c>
      <c r="D13">
        <v>44</v>
      </c>
      <c r="E13">
        <v>77</v>
      </c>
      <c r="F13">
        <v>8</v>
      </c>
      <c r="G13">
        <v>10</v>
      </c>
      <c r="H13">
        <v>0</v>
      </c>
    </row>
    <row r="14" spans="2:13">
      <c r="B14" t="s">
        <v>26</v>
      </c>
      <c r="C14">
        <v>202400025</v>
      </c>
      <c r="D14">
        <v>29</v>
      </c>
      <c r="E14">
        <v>71</v>
      </c>
      <c r="F14">
        <v>9</v>
      </c>
      <c r="G14">
        <v>10</v>
      </c>
      <c r="H14">
        <v>0</v>
      </c>
    </row>
    <row r="15" spans="2:13">
      <c r="B15" t="s">
        <v>201</v>
      </c>
      <c r="C15">
        <v>202400200</v>
      </c>
      <c r="D15">
        <v>46</v>
      </c>
      <c r="E15">
        <v>91</v>
      </c>
      <c r="F15">
        <v>8</v>
      </c>
      <c r="G15">
        <v>10</v>
      </c>
      <c r="H15">
        <v>0</v>
      </c>
    </row>
    <row r="16" spans="2:13">
      <c r="B16" t="s">
        <v>134</v>
      </c>
      <c r="C16">
        <v>202400133</v>
      </c>
      <c r="D16">
        <v>31</v>
      </c>
      <c r="E16">
        <v>88</v>
      </c>
      <c r="F16">
        <v>9</v>
      </c>
      <c r="G16">
        <v>8</v>
      </c>
      <c r="H16">
        <v>0</v>
      </c>
    </row>
    <row r="17" spans="2:8">
      <c r="B17" t="s">
        <v>182</v>
      </c>
      <c r="C17">
        <v>202400181</v>
      </c>
      <c r="D17">
        <v>24</v>
      </c>
      <c r="E17">
        <v>63</v>
      </c>
      <c r="F17">
        <v>9</v>
      </c>
      <c r="G17">
        <v>8</v>
      </c>
      <c r="H17">
        <v>0</v>
      </c>
    </row>
    <row r="18" spans="2:8">
      <c r="B18" t="s">
        <v>230</v>
      </c>
      <c r="C18">
        <v>202400229</v>
      </c>
      <c r="D18">
        <v>31</v>
      </c>
      <c r="E18">
        <v>62</v>
      </c>
      <c r="F18">
        <v>10</v>
      </c>
      <c r="G18">
        <v>9</v>
      </c>
      <c r="H18">
        <v>0</v>
      </c>
    </row>
    <row r="19" spans="2:8">
      <c r="B19" t="s">
        <v>149</v>
      </c>
      <c r="C19">
        <v>202400148</v>
      </c>
      <c r="D19">
        <v>33</v>
      </c>
      <c r="E19">
        <v>95</v>
      </c>
      <c r="F19">
        <v>9</v>
      </c>
      <c r="G19">
        <v>10</v>
      </c>
      <c r="H19">
        <v>0</v>
      </c>
    </row>
    <row r="20" spans="2:8">
      <c r="B20" t="s">
        <v>101</v>
      </c>
      <c r="C20">
        <v>202400100</v>
      </c>
      <c r="D20">
        <v>40</v>
      </c>
      <c r="E20">
        <v>70</v>
      </c>
      <c r="F20">
        <v>9</v>
      </c>
      <c r="G20">
        <v>8</v>
      </c>
      <c r="H20">
        <v>0</v>
      </c>
    </row>
    <row r="21" spans="2:8">
      <c r="B21" t="s">
        <v>214</v>
      </c>
      <c r="C21">
        <v>202400213</v>
      </c>
      <c r="D21">
        <v>36</v>
      </c>
      <c r="E21">
        <v>88</v>
      </c>
      <c r="F21">
        <v>9</v>
      </c>
      <c r="G21">
        <v>10</v>
      </c>
      <c r="H21">
        <v>0</v>
      </c>
    </row>
    <row r="22" spans="2:8">
      <c r="B22" t="s">
        <v>282</v>
      </c>
      <c r="C22">
        <v>202400281</v>
      </c>
      <c r="D22">
        <v>47</v>
      </c>
      <c r="E22">
        <v>73</v>
      </c>
      <c r="F22">
        <v>10</v>
      </c>
      <c r="G22">
        <v>10</v>
      </c>
      <c r="H22">
        <v>0</v>
      </c>
    </row>
    <row r="23" spans="2:8">
      <c r="B23" t="s">
        <v>248</v>
      </c>
      <c r="C23">
        <v>202400247</v>
      </c>
      <c r="D23">
        <v>32</v>
      </c>
      <c r="E23">
        <v>50</v>
      </c>
      <c r="F23">
        <v>8</v>
      </c>
      <c r="G23">
        <v>10</v>
      </c>
      <c r="H23">
        <v>0</v>
      </c>
    </row>
    <row r="24" spans="2:8">
      <c r="B24" t="s">
        <v>234</v>
      </c>
      <c r="C24">
        <v>202400233</v>
      </c>
      <c r="D24">
        <v>22</v>
      </c>
      <c r="E24">
        <v>59</v>
      </c>
      <c r="F24">
        <v>9</v>
      </c>
      <c r="G24">
        <v>9</v>
      </c>
      <c r="H24">
        <v>0</v>
      </c>
    </row>
    <row r="25" spans="2:8">
      <c r="B25" t="s">
        <v>130</v>
      </c>
      <c r="C25">
        <v>202400129</v>
      </c>
      <c r="D25">
        <v>41</v>
      </c>
      <c r="E25">
        <v>87</v>
      </c>
      <c r="F25">
        <v>8</v>
      </c>
      <c r="G25">
        <v>9</v>
      </c>
      <c r="H25">
        <v>0</v>
      </c>
    </row>
    <row r="26" spans="2:8">
      <c r="B26" t="s">
        <v>246</v>
      </c>
      <c r="C26">
        <v>202400245</v>
      </c>
      <c r="D26">
        <v>25</v>
      </c>
      <c r="E26">
        <v>54</v>
      </c>
      <c r="F26">
        <v>8</v>
      </c>
      <c r="G26">
        <v>10</v>
      </c>
      <c r="H26">
        <v>0</v>
      </c>
    </row>
    <row r="27" spans="2:8">
      <c r="B27" t="s">
        <v>165</v>
      </c>
      <c r="C27">
        <v>202400164</v>
      </c>
      <c r="D27">
        <v>19</v>
      </c>
      <c r="E27">
        <v>70</v>
      </c>
      <c r="F27">
        <v>8</v>
      </c>
      <c r="G27">
        <v>9</v>
      </c>
      <c r="H27">
        <v>0</v>
      </c>
    </row>
    <row r="28" spans="2:8">
      <c r="B28" t="s">
        <v>105</v>
      </c>
      <c r="C28">
        <v>202400104</v>
      </c>
      <c r="D28">
        <v>27</v>
      </c>
      <c r="E28">
        <v>68</v>
      </c>
      <c r="F28">
        <v>9</v>
      </c>
      <c r="G28">
        <v>10</v>
      </c>
      <c r="H28">
        <v>0</v>
      </c>
    </row>
    <row r="29" spans="2:8">
      <c r="B29" t="s">
        <v>113</v>
      </c>
      <c r="C29">
        <v>202400112</v>
      </c>
      <c r="D29">
        <v>50</v>
      </c>
      <c r="E29">
        <v>58</v>
      </c>
      <c r="F29">
        <v>10</v>
      </c>
      <c r="G29">
        <v>8</v>
      </c>
      <c r="H29">
        <v>0</v>
      </c>
    </row>
    <row r="30" spans="2:8">
      <c r="B30" t="s">
        <v>79</v>
      </c>
      <c r="C30">
        <v>202400078</v>
      </c>
      <c r="D30">
        <v>31</v>
      </c>
      <c r="E30">
        <v>65</v>
      </c>
      <c r="F30">
        <v>10</v>
      </c>
      <c r="G30">
        <v>9</v>
      </c>
      <c r="H30">
        <v>0</v>
      </c>
    </row>
    <row r="31" spans="2:8">
      <c r="B31" t="s">
        <v>66</v>
      </c>
      <c r="C31">
        <v>202400065</v>
      </c>
      <c r="D31">
        <v>19</v>
      </c>
      <c r="E31">
        <v>81</v>
      </c>
      <c r="F31">
        <v>9</v>
      </c>
      <c r="G31">
        <v>9</v>
      </c>
      <c r="H31">
        <v>0</v>
      </c>
    </row>
    <row r="32" spans="2:8">
      <c r="B32" t="s">
        <v>224</v>
      </c>
      <c r="C32">
        <v>202400223</v>
      </c>
      <c r="D32">
        <v>28</v>
      </c>
      <c r="E32">
        <v>92</v>
      </c>
      <c r="F32">
        <v>10</v>
      </c>
      <c r="G32">
        <v>10</v>
      </c>
      <c r="H32">
        <v>0</v>
      </c>
    </row>
    <row r="33" spans="2:8">
      <c r="B33" t="s">
        <v>72</v>
      </c>
      <c r="C33">
        <v>202400071</v>
      </c>
      <c r="D33">
        <v>38</v>
      </c>
      <c r="E33">
        <v>90</v>
      </c>
      <c r="F33">
        <v>8</v>
      </c>
      <c r="G33">
        <v>10</v>
      </c>
      <c r="H33">
        <v>0</v>
      </c>
    </row>
    <row r="34" spans="2:8">
      <c r="B34" t="s">
        <v>118</v>
      </c>
      <c r="C34">
        <v>202400117</v>
      </c>
      <c r="D34">
        <v>47</v>
      </c>
      <c r="E34">
        <v>90</v>
      </c>
      <c r="F34">
        <v>9</v>
      </c>
      <c r="G34">
        <v>10</v>
      </c>
      <c r="H34">
        <v>0</v>
      </c>
    </row>
    <row r="35" spans="2:8">
      <c r="B35" t="s">
        <v>121</v>
      </c>
      <c r="C35">
        <v>202400120</v>
      </c>
      <c r="D35">
        <v>32</v>
      </c>
      <c r="E35">
        <v>97</v>
      </c>
      <c r="F35">
        <v>8</v>
      </c>
      <c r="G35">
        <v>10</v>
      </c>
      <c r="H35">
        <v>0</v>
      </c>
    </row>
    <row r="36" spans="2:8">
      <c r="B36" t="s">
        <v>262</v>
      </c>
      <c r="C36">
        <v>202400261</v>
      </c>
      <c r="D36">
        <v>32</v>
      </c>
      <c r="E36">
        <v>53</v>
      </c>
      <c r="F36">
        <v>9</v>
      </c>
      <c r="G36">
        <v>9</v>
      </c>
      <c r="H36">
        <v>0</v>
      </c>
    </row>
    <row r="37" spans="2:8">
      <c r="B37" t="s">
        <v>117</v>
      </c>
      <c r="C37">
        <v>202400116</v>
      </c>
      <c r="D37">
        <v>33</v>
      </c>
      <c r="E37">
        <v>74</v>
      </c>
      <c r="F37">
        <v>9</v>
      </c>
      <c r="G37">
        <v>8</v>
      </c>
      <c r="H37">
        <v>0</v>
      </c>
    </row>
    <row r="38" spans="2:8">
      <c r="B38" t="s">
        <v>277</v>
      </c>
      <c r="C38">
        <v>202400276</v>
      </c>
      <c r="D38">
        <v>29</v>
      </c>
      <c r="E38">
        <v>61</v>
      </c>
      <c r="F38">
        <v>10</v>
      </c>
      <c r="G38">
        <v>8</v>
      </c>
      <c r="H38">
        <v>0</v>
      </c>
    </row>
    <row r="39" spans="2:8">
      <c r="B39" t="s">
        <v>48</v>
      </c>
      <c r="C39">
        <v>202400047</v>
      </c>
      <c r="D39">
        <v>27</v>
      </c>
      <c r="E39">
        <v>52</v>
      </c>
      <c r="F39">
        <v>10</v>
      </c>
      <c r="G39">
        <v>10</v>
      </c>
      <c r="H39">
        <v>0</v>
      </c>
    </row>
    <row r="40" spans="2:8">
      <c r="B40" t="s">
        <v>54</v>
      </c>
      <c r="C40">
        <v>202400053</v>
      </c>
      <c r="D40">
        <v>20</v>
      </c>
      <c r="E40">
        <v>55</v>
      </c>
      <c r="F40">
        <v>9</v>
      </c>
      <c r="G40">
        <v>9</v>
      </c>
      <c r="H40">
        <v>0</v>
      </c>
    </row>
    <row r="41" spans="2:8">
      <c r="B41" t="s">
        <v>47</v>
      </c>
      <c r="C41">
        <v>202400046</v>
      </c>
      <c r="D41">
        <v>35</v>
      </c>
      <c r="E41">
        <v>59</v>
      </c>
      <c r="F41">
        <v>10</v>
      </c>
      <c r="G41">
        <v>8</v>
      </c>
      <c r="H41">
        <v>0</v>
      </c>
    </row>
    <row r="42" spans="2:8">
      <c r="B42" t="s">
        <v>191</v>
      </c>
      <c r="C42">
        <v>202400190</v>
      </c>
      <c r="D42">
        <v>35</v>
      </c>
      <c r="E42">
        <v>66</v>
      </c>
      <c r="F42">
        <v>10</v>
      </c>
      <c r="G42">
        <v>8</v>
      </c>
      <c r="H42">
        <v>0</v>
      </c>
    </row>
    <row r="43" spans="2:8">
      <c r="B43" t="s">
        <v>64</v>
      </c>
      <c r="C43">
        <v>202400063</v>
      </c>
      <c r="D43">
        <v>40</v>
      </c>
      <c r="E43">
        <v>86</v>
      </c>
      <c r="F43">
        <v>8</v>
      </c>
      <c r="G43">
        <v>9</v>
      </c>
      <c r="H43">
        <v>0</v>
      </c>
    </row>
    <row r="44" spans="2:8">
      <c r="B44" t="s">
        <v>225</v>
      </c>
      <c r="C44">
        <v>202400224</v>
      </c>
      <c r="D44">
        <v>30</v>
      </c>
      <c r="E44">
        <v>98</v>
      </c>
      <c r="F44">
        <v>8</v>
      </c>
      <c r="G44">
        <v>8</v>
      </c>
      <c r="H44">
        <v>0</v>
      </c>
    </row>
    <row r="45" spans="2:8">
      <c r="B45" t="s">
        <v>129</v>
      </c>
      <c r="C45">
        <v>202400128</v>
      </c>
      <c r="D45">
        <v>39</v>
      </c>
      <c r="E45">
        <v>54</v>
      </c>
      <c r="F45">
        <v>8</v>
      </c>
      <c r="G45">
        <v>8</v>
      </c>
      <c r="H45">
        <v>0</v>
      </c>
    </row>
    <row r="46" spans="2:8">
      <c r="B46" t="s">
        <v>52</v>
      </c>
      <c r="C46">
        <v>202400051</v>
      </c>
      <c r="D46">
        <v>35</v>
      </c>
      <c r="E46">
        <v>57</v>
      </c>
      <c r="F46">
        <v>8</v>
      </c>
      <c r="G46">
        <v>10</v>
      </c>
      <c r="H46">
        <v>0</v>
      </c>
    </row>
    <row r="47" spans="2:8">
      <c r="B47" t="s">
        <v>55</v>
      </c>
      <c r="C47">
        <v>202400054</v>
      </c>
      <c r="D47">
        <v>24</v>
      </c>
      <c r="E47">
        <v>67</v>
      </c>
      <c r="F47">
        <v>10</v>
      </c>
      <c r="G47">
        <v>10</v>
      </c>
      <c r="H47">
        <v>0</v>
      </c>
    </row>
    <row r="48" spans="2:8">
      <c r="B48" t="s">
        <v>286</v>
      </c>
      <c r="C48">
        <v>202400285</v>
      </c>
      <c r="D48">
        <v>43</v>
      </c>
      <c r="E48">
        <v>59</v>
      </c>
      <c r="F48">
        <v>9</v>
      </c>
      <c r="G48">
        <v>10</v>
      </c>
      <c r="H48">
        <v>0</v>
      </c>
    </row>
    <row r="49" spans="2:8">
      <c r="B49" t="s">
        <v>5</v>
      </c>
      <c r="C49">
        <v>202400004</v>
      </c>
      <c r="D49">
        <v>46</v>
      </c>
      <c r="E49">
        <v>65</v>
      </c>
      <c r="F49">
        <v>10</v>
      </c>
      <c r="G49">
        <v>9</v>
      </c>
      <c r="H49">
        <v>0</v>
      </c>
    </row>
    <row r="50" spans="2:8">
      <c r="B50" t="s">
        <v>60</v>
      </c>
      <c r="C50">
        <v>202400059</v>
      </c>
      <c r="D50">
        <v>27</v>
      </c>
      <c r="E50">
        <v>86</v>
      </c>
      <c r="F50">
        <v>10</v>
      </c>
      <c r="G50">
        <v>10</v>
      </c>
      <c r="H50">
        <v>0</v>
      </c>
    </row>
    <row r="51" spans="2:8">
      <c r="B51" t="s">
        <v>120</v>
      </c>
      <c r="C51">
        <v>202400119</v>
      </c>
      <c r="D51">
        <v>24</v>
      </c>
      <c r="E51">
        <v>72</v>
      </c>
      <c r="F51">
        <v>9</v>
      </c>
      <c r="G51">
        <v>9</v>
      </c>
      <c r="H51">
        <v>0</v>
      </c>
    </row>
    <row r="52" spans="2:8">
      <c r="B52" t="s">
        <v>33</v>
      </c>
      <c r="C52">
        <v>202400032</v>
      </c>
      <c r="D52">
        <v>19</v>
      </c>
      <c r="E52">
        <v>66</v>
      </c>
      <c r="F52">
        <v>8</v>
      </c>
      <c r="G52">
        <v>8</v>
      </c>
      <c r="H52">
        <v>0</v>
      </c>
    </row>
    <row r="53" spans="2:8">
      <c r="B53" t="s">
        <v>108</v>
      </c>
      <c r="C53">
        <v>202400107</v>
      </c>
      <c r="D53">
        <v>29</v>
      </c>
      <c r="E53">
        <v>62</v>
      </c>
      <c r="F53">
        <v>9</v>
      </c>
      <c r="G53">
        <v>10</v>
      </c>
      <c r="H53">
        <v>0</v>
      </c>
    </row>
    <row r="54" spans="2:8">
      <c r="B54" t="s">
        <v>92</v>
      </c>
      <c r="C54">
        <v>202400091</v>
      </c>
      <c r="D54">
        <v>25</v>
      </c>
      <c r="E54">
        <v>56</v>
      </c>
      <c r="F54">
        <v>9</v>
      </c>
      <c r="G54">
        <v>8</v>
      </c>
      <c r="H54">
        <v>0</v>
      </c>
    </row>
    <row r="55" spans="2:8">
      <c r="B55" t="s">
        <v>247</v>
      </c>
      <c r="C55">
        <v>202400246</v>
      </c>
      <c r="D55">
        <v>24</v>
      </c>
      <c r="E55">
        <v>73</v>
      </c>
      <c r="F55">
        <v>9</v>
      </c>
      <c r="G55">
        <v>8</v>
      </c>
      <c r="H55">
        <v>0</v>
      </c>
    </row>
    <row r="56" spans="2:8">
      <c r="B56" t="s">
        <v>29</v>
      </c>
      <c r="C56">
        <v>202400028</v>
      </c>
      <c r="D56">
        <v>19</v>
      </c>
      <c r="E56">
        <v>89</v>
      </c>
      <c r="F56">
        <v>9</v>
      </c>
      <c r="G56">
        <v>10</v>
      </c>
      <c r="H56">
        <v>0</v>
      </c>
    </row>
    <row r="57" spans="2:8">
      <c r="B57" t="s">
        <v>196</v>
      </c>
      <c r="C57">
        <v>202400195</v>
      </c>
      <c r="D57">
        <v>45</v>
      </c>
      <c r="E57">
        <v>94</v>
      </c>
      <c r="F57">
        <v>10</v>
      </c>
      <c r="G57">
        <v>8</v>
      </c>
      <c r="H57">
        <v>0</v>
      </c>
    </row>
    <row r="58" spans="2:8">
      <c r="B58" t="s">
        <v>467</v>
      </c>
      <c r="C58">
        <v>202400023</v>
      </c>
      <c r="D58">
        <v>33</v>
      </c>
      <c r="E58">
        <v>77</v>
      </c>
      <c r="F58">
        <v>9</v>
      </c>
      <c r="G58">
        <v>10</v>
      </c>
      <c r="H58">
        <v>0</v>
      </c>
    </row>
    <row r="59" spans="2:8">
      <c r="B59" t="s">
        <v>242</v>
      </c>
      <c r="C59">
        <v>202400241</v>
      </c>
      <c r="D59">
        <v>27</v>
      </c>
      <c r="E59">
        <v>93</v>
      </c>
      <c r="F59">
        <v>9</v>
      </c>
      <c r="G59">
        <v>9</v>
      </c>
      <c r="H59">
        <v>0</v>
      </c>
    </row>
    <row r="60" spans="2:8">
      <c r="B60" t="s">
        <v>36</v>
      </c>
      <c r="C60">
        <v>202400035</v>
      </c>
      <c r="D60">
        <v>25</v>
      </c>
      <c r="E60">
        <v>95</v>
      </c>
      <c r="F60">
        <v>10</v>
      </c>
      <c r="G60">
        <v>8</v>
      </c>
      <c r="H60">
        <v>0</v>
      </c>
    </row>
    <row r="61" spans="2:8">
      <c r="B61" t="s">
        <v>291</v>
      </c>
      <c r="C61">
        <v>202400290</v>
      </c>
      <c r="D61">
        <v>30</v>
      </c>
      <c r="E61">
        <v>89</v>
      </c>
      <c r="F61">
        <v>9</v>
      </c>
      <c r="G61">
        <v>8</v>
      </c>
      <c r="H61">
        <v>0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CAC4-B7B7-E54F-98CE-15F2D6B7AA5F}">
  <dimension ref="B1:M43"/>
  <sheetViews>
    <sheetView workbookViewId="0">
      <selection activeCell="H4" sqref="H4:H43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503</v>
      </c>
      <c r="C2">
        <v>1</v>
      </c>
      <c r="D2" t="s">
        <v>515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302</v>
      </c>
      <c r="C4">
        <v>202400301</v>
      </c>
      <c r="D4">
        <v>9</v>
      </c>
      <c r="E4">
        <v>76</v>
      </c>
      <c r="F4">
        <v>5</v>
      </c>
      <c r="G4">
        <v>4</v>
      </c>
      <c r="H4">
        <v>0</v>
      </c>
    </row>
    <row r="5" spans="2:13">
      <c r="B5" t="s">
        <v>362</v>
      </c>
      <c r="C5">
        <v>202400361</v>
      </c>
      <c r="D5">
        <v>1</v>
      </c>
      <c r="E5">
        <v>76</v>
      </c>
      <c r="F5">
        <v>6</v>
      </c>
      <c r="G5">
        <v>6</v>
      </c>
      <c r="H5">
        <v>0</v>
      </c>
    </row>
    <row r="6" spans="2:13">
      <c r="B6" t="s">
        <v>326</v>
      </c>
      <c r="C6">
        <v>202400325</v>
      </c>
      <c r="D6">
        <v>12</v>
      </c>
      <c r="E6">
        <v>72</v>
      </c>
      <c r="F6">
        <v>7</v>
      </c>
      <c r="G6">
        <v>3</v>
      </c>
      <c r="H6">
        <v>0</v>
      </c>
    </row>
    <row r="7" spans="2:13">
      <c r="B7" t="s">
        <v>391</v>
      </c>
      <c r="C7">
        <v>202400390</v>
      </c>
      <c r="D7">
        <v>22</v>
      </c>
      <c r="E7">
        <v>93</v>
      </c>
      <c r="F7">
        <v>7</v>
      </c>
      <c r="G7">
        <v>7</v>
      </c>
      <c r="H7">
        <v>0</v>
      </c>
    </row>
    <row r="8" spans="2:13">
      <c r="B8" t="s">
        <v>399</v>
      </c>
      <c r="C8">
        <v>202400398</v>
      </c>
      <c r="D8">
        <v>21</v>
      </c>
      <c r="E8">
        <v>72</v>
      </c>
      <c r="F8">
        <v>1</v>
      </c>
      <c r="G8">
        <v>9</v>
      </c>
      <c r="H8">
        <v>0</v>
      </c>
    </row>
    <row r="9" spans="2:13">
      <c r="B9" t="s">
        <v>350</v>
      </c>
      <c r="C9">
        <v>202400349</v>
      </c>
      <c r="D9">
        <v>11</v>
      </c>
      <c r="E9">
        <v>84</v>
      </c>
      <c r="F9">
        <v>1</v>
      </c>
      <c r="G9">
        <v>3</v>
      </c>
      <c r="H9">
        <v>0</v>
      </c>
    </row>
    <row r="10" spans="2:13">
      <c r="B10" t="s">
        <v>339</v>
      </c>
      <c r="C10">
        <v>202400338</v>
      </c>
      <c r="D10">
        <v>13</v>
      </c>
      <c r="E10">
        <v>91</v>
      </c>
      <c r="F10">
        <v>0</v>
      </c>
      <c r="G10">
        <v>6</v>
      </c>
      <c r="H10">
        <v>0</v>
      </c>
    </row>
    <row r="11" spans="2:13">
      <c r="B11" t="s">
        <v>332</v>
      </c>
      <c r="C11">
        <v>202400331</v>
      </c>
      <c r="D11">
        <v>20</v>
      </c>
      <c r="E11">
        <v>79</v>
      </c>
      <c r="F11">
        <v>7</v>
      </c>
      <c r="G11">
        <v>10</v>
      </c>
      <c r="H11">
        <v>0</v>
      </c>
    </row>
    <row r="12" spans="2:13">
      <c r="B12" t="s">
        <v>396</v>
      </c>
      <c r="C12">
        <v>202400395</v>
      </c>
      <c r="D12">
        <v>19</v>
      </c>
      <c r="E12">
        <v>96</v>
      </c>
      <c r="F12">
        <v>1</v>
      </c>
      <c r="G12">
        <v>5</v>
      </c>
      <c r="H12">
        <v>0</v>
      </c>
    </row>
    <row r="13" spans="2:13">
      <c r="B13" t="s">
        <v>346</v>
      </c>
      <c r="C13">
        <v>202400345</v>
      </c>
      <c r="D13">
        <v>17</v>
      </c>
      <c r="E13">
        <v>85</v>
      </c>
      <c r="F13">
        <v>7</v>
      </c>
      <c r="G13">
        <v>3</v>
      </c>
      <c r="H13">
        <v>0</v>
      </c>
    </row>
    <row r="14" spans="2:13">
      <c r="B14" t="s">
        <v>303</v>
      </c>
      <c r="C14">
        <v>202400302</v>
      </c>
      <c r="D14">
        <v>0</v>
      </c>
      <c r="E14">
        <v>85</v>
      </c>
      <c r="F14">
        <v>1</v>
      </c>
      <c r="G14">
        <v>3</v>
      </c>
      <c r="H14">
        <v>0</v>
      </c>
    </row>
    <row r="15" spans="2:13">
      <c r="B15" t="s">
        <v>367</v>
      </c>
      <c r="C15">
        <v>202400366</v>
      </c>
      <c r="D15">
        <v>2</v>
      </c>
      <c r="E15">
        <v>75</v>
      </c>
      <c r="F15">
        <v>4</v>
      </c>
      <c r="G15">
        <v>3</v>
      </c>
      <c r="H15">
        <v>0</v>
      </c>
    </row>
    <row r="16" spans="2:13">
      <c r="B16" t="s">
        <v>381</v>
      </c>
      <c r="C16">
        <v>202400380</v>
      </c>
      <c r="D16">
        <v>22</v>
      </c>
      <c r="E16">
        <v>72</v>
      </c>
      <c r="F16">
        <v>1</v>
      </c>
      <c r="G16">
        <v>8</v>
      </c>
      <c r="H16">
        <v>0</v>
      </c>
    </row>
    <row r="17" spans="2:8">
      <c r="B17" t="s">
        <v>304</v>
      </c>
      <c r="C17">
        <v>202400303</v>
      </c>
      <c r="D17">
        <v>16</v>
      </c>
      <c r="E17">
        <v>91</v>
      </c>
      <c r="F17">
        <v>10</v>
      </c>
      <c r="G17">
        <v>4</v>
      </c>
      <c r="H17">
        <v>0</v>
      </c>
    </row>
    <row r="18" spans="2:8">
      <c r="B18" t="s">
        <v>375</v>
      </c>
      <c r="C18">
        <v>202400374</v>
      </c>
      <c r="D18">
        <v>2</v>
      </c>
      <c r="E18">
        <v>94</v>
      </c>
      <c r="F18">
        <v>6</v>
      </c>
      <c r="G18">
        <v>5</v>
      </c>
      <c r="H18">
        <v>0</v>
      </c>
    </row>
    <row r="19" spans="2:8">
      <c r="B19" t="s">
        <v>356</v>
      </c>
      <c r="C19">
        <v>202400355</v>
      </c>
      <c r="D19">
        <v>20</v>
      </c>
      <c r="E19">
        <v>100</v>
      </c>
      <c r="F19">
        <v>3</v>
      </c>
      <c r="G19">
        <v>9</v>
      </c>
      <c r="H19">
        <v>0</v>
      </c>
    </row>
    <row r="20" spans="2:8">
      <c r="B20" t="s">
        <v>387</v>
      </c>
      <c r="C20">
        <v>202400386</v>
      </c>
      <c r="D20">
        <v>30</v>
      </c>
      <c r="E20">
        <v>94</v>
      </c>
      <c r="F20">
        <v>9</v>
      </c>
      <c r="G20">
        <v>3</v>
      </c>
      <c r="H20">
        <v>0</v>
      </c>
    </row>
    <row r="21" spans="2:8">
      <c r="B21" t="s">
        <v>307</v>
      </c>
      <c r="C21">
        <v>202400306</v>
      </c>
      <c r="D21">
        <v>2</v>
      </c>
      <c r="E21">
        <v>98</v>
      </c>
      <c r="F21">
        <v>7</v>
      </c>
      <c r="G21">
        <v>4</v>
      </c>
      <c r="H21">
        <v>0</v>
      </c>
    </row>
    <row r="22" spans="2:8">
      <c r="B22" t="s">
        <v>377</v>
      </c>
      <c r="C22">
        <v>202400376</v>
      </c>
      <c r="D22">
        <v>19</v>
      </c>
      <c r="E22">
        <v>99</v>
      </c>
      <c r="F22">
        <v>10</v>
      </c>
      <c r="G22">
        <v>8</v>
      </c>
      <c r="H22">
        <v>0</v>
      </c>
    </row>
    <row r="23" spans="2:8">
      <c r="B23" t="s">
        <v>398</v>
      </c>
      <c r="C23">
        <v>202400397</v>
      </c>
      <c r="D23">
        <v>0</v>
      </c>
      <c r="E23">
        <v>91</v>
      </c>
      <c r="F23">
        <v>2</v>
      </c>
      <c r="G23">
        <v>6</v>
      </c>
      <c r="H23">
        <v>0</v>
      </c>
    </row>
    <row r="24" spans="2:8">
      <c r="B24" t="s">
        <v>309</v>
      </c>
      <c r="C24">
        <v>202400308</v>
      </c>
      <c r="D24">
        <v>19</v>
      </c>
      <c r="E24">
        <v>81</v>
      </c>
      <c r="F24">
        <v>8</v>
      </c>
      <c r="G24">
        <v>7</v>
      </c>
      <c r="H24">
        <v>0</v>
      </c>
    </row>
    <row r="25" spans="2:8">
      <c r="B25" t="s">
        <v>366</v>
      </c>
      <c r="C25">
        <v>202400365</v>
      </c>
      <c r="D25">
        <v>4</v>
      </c>
      <c r="E25">
        <v>85</v>
      </c>
      <c r="F25">
        <v>10</v>
      </c>
      <c r="G25">
        <v>7</v>
      </c>
      <c r="H25">
        <v>0</v>
      </c>
    </row>
    <row r="26" spans="2:8">
      <c r="B26" t="s">
        <v>340</v>
      </c>
      <c r="C26">
        <v>202400339</v>
      </c>
      <c r="D26">
        <v>7</v>
      </c>
      <c r="E26">
        <v>95</v>
      </c>
      <c r="F26">
        <v>2</v>
      </c>
      <c r="G26">
        <v>7</v>
      </c>
      <c r="H26">
        <v>0</v>
      </c>
    </row>
    <row r="27" spans="2:8">
      <c r="B27" t="s">
        <v>324</v>
      </c>
      <c r="C27">
        <v>202400323</v>
      </c>
      <c r="D27">
        <v>20</v>
      </c>
      <c r="E27">
        <v>100</v>
      </c>
      <c r="F27">
        <v>10</v>
      </c>
      <c r="G27">
        <v>5</v>
      </c>
      <c r="H27">
        <v>0</v>
      </c>
    </row>
    <row r="28" spans="2:8">
      <c r="B28" t="s">
        <v>343</v>
      </c>
      <c r="C28">
        <v>202400342</v>
      </c>
      <c r="D28">
        <v>12</v>
      </c>
      <c r="E28">
        <v>72</v>
      </c>
      <c r="F28">
        <v>7</v>
      </c>
      <c r="G28">
        <v>8</v>
      </c>
      <c r="H28">
        <v>0</v>
      </c>
    </row>
    <row r="29" spans="2:8">
      <c r="B29" t="s">
        <v>323</v>
      </c>
      <c r="C29">
        <v>202400322</v>
      </c>
      <c r="D29">
        <v>24</v>
      </c>
      <c r="E29">
        <v>98</v>
      </c>
      <c r="F29">
        <v>6</v>
      </c>
      <c r="G29">
        <v>3</v>
      </c>
      <c r="H29">
        <v>0</v>
      </c>
    </row>
    <row r="30" spans="2:8">
      <c r="B30" t="s">
        <v>395</v>
      </c>
      <c r="C30">
        <v>202400394</v>
      </c>
      <c r="D30">
        <v>20</v>
      </c>
      <c r="E30">
        <v>74</v>
      </c>
      <c r="F30">
        <v>4</v>
      </c>
      <c r="G30">
        <v>5</v>
      </c>
      <c r="H30">
        <v>0</v>
      </c>
    </row>
    <row r="31" spans="2:8">
      <c r="B31" t="s">
        <v>317</v>
      </c>
      <c r="C31">
        <v>202400316</v>
      </c>
      <c r="D31">
        <v>17</v>
      </c>
      <c r="E31">
        <v>80</v>
      </c>
      <c r="F31">
        <v>1</v>
      </c>
      <c r="G31">
        <v>7</v>
      </c>
      <c r="H31">
        <v>0</v>
      </c>
    </row>
    <row r="32" spans="2:8">
      <c r="B32" t="s">
        <v>345</v>
      </c>
      <c r="C32">
        <v>202400344</v>
      </c>
      <c r="D32">
        <v>28</v>
      </c>
      <c r="E32">
        <v>93</v>
      </c>
      <c r="F32">
        <v>7</v>
      </c>
      <c r="G32">
        <v>8</v>
      </c>
      <c r="H32">
        <v>0</v>
      </c>
    </row>
    <row r="33" spans="2:8">
      <c r="B33" t="s">
        <v>390</v>
      </c>
      <c r="C33">
        <v>202400389</v>
      </c>
      <c r="D33">
        <v>3</v>
      </c>
      <c r="E33">
        <v>74</v>
      </c>
      <c r="F33">
        <v>6</v>
      </c>
      <c r="G33">
        <v>7</v>
      </c>
      <c r="H33">
        <v>0</v>
      </c>
    </row>
    <row r="34" spans="2:8">
      <c r="B34" t="s">
        <v>321</v>
      </c>
      <c r="C34">
        <v>202400320</v>
      </c>
      <c r="D34">
        <v>20</v>
      </c>
      <c r="E34">
        <v>82</v>
      </c>
      <c r="F34">
        <v>10</v>
      </c>
      <c r="G34">
        <v>7</v>
      </c>
      <c r="H34">
        <v>0</v>
      </c>
    </row>
    <row r="35" spans="2:8">
      <c r="B35" t="s">
        <v>349</v>
      </c>
      <c r="C35">
        <v>202400348</v>
      </c>
      <c r="D35">
        <v>17</v>
      </c>
      <c r="E35">
        <v>97</v>
      </c>
      <c r="F35">
        <v>2</v>
      </c>
      <c r="G35">
        <v>3</v>
      </c>
      <c r="H35">
        <v>0</v>
      </c>
    </row>
    <row r="36" spans="2:8">
      <c r="B36" t="s">
        <v>315</v>
      </c>
      <c r="C36">
        <v>202400314</v>
      </c>
      <c r="D36">
        <v>13</v>
      </c>
      <c r="E36">
        <v>74</v>
      </c>
      <c r="F36">
        <v>7</v>
      </c>
      <c r="G36">
        <v>10</v>
      </c>
      <c r="H36">
        <v>0</v>
      </c>
    </row>
    <row r="37" spans="2:8">
      <c r="B37" t="s">
        <v>382</v>
      </c>
      <c r="C37">
        <v>202400381</v>
      </c>
      <c r="D37">
        <v>14</v>
      </c>
      <c r="E37">
        <v>86</v>
      </c>
      <c r="F37">
        <v>1</v>
      </c>
      <c r="G37">
        <v>5</v>
      </c>
      <c r="H37">
        <v>0</v>
      </c>
    </row>
    <row r="38" spans="2:8">
      <c r="B38" t="s">
        <v>369</v>
      </c>
      <c r="C38">
        <v>202400368</v>
      </c>
      <c r="D38">
        <v>21</v>
      </c>
      <c r="E38">
        <v>98</v>
      </c>
      <c r="F38">
        <v>8</v>
      </c>
      <c r="G38">
        <v>5</v>
      </c>
      <c r="H38">
        <v>0</v>
      </c>
    </row>
    <row r="39" spans="2:8">
      <c r="B39" t="s">
        <v>320</v>
      </c>
      <c r="C39">
        <v>202400319</v>
      </c>
      <c r="D39">
        <v>20</v>
      </c>
      <c r="E39">
        <v>100</v>
      </c>
      <c r="F39">
        <v>1</v>
      </c>
      <c r="G39">
        <v>4</v>
      </c>
      <c r="H39">
        <v>0</v>
      </c>
    </row>
    <row r="40" spans="2:8">
      <c r="B40" t="s">
        <v>393</v>
      </c>
      <c r="C40">
        <v>202400392</v>
      </c>
      <c r="D40">
        <v>12</v>
      </c>
      <c r="E40">
        <v>89</v>
      </c>
      <c r="F40">
        <v>0</v>
      </c>
      <c r="G40">
        <v>7</v>
      </c>
      <c r="H40">
        <v>0</v>
      </c>
    </row>
    <row r="41" spans="2:8">
      <c r="B41" t="s">
        <v>351</v>
      </c>
      <c r="C41">
        <v>202400350</v>
      </c>
      <c r="D41">
        <v>7</v>
      </c>
      <c r="E41">
        <v>83</v>
      </c>
      <c r="F41">
        <v>6</v>
      </c>
      <c r="G41">
        <v>9</v>
      </c>
      <c r="H41">
        <v>0</v>
      </c>
    </row>
    <row r="42" spans="2:8">
      <c r="B42" t="s">
        <v>372</v>
      </c>
      <c r="C42">
        <v>202400371</v>
      </c>
      <c r="D42">
        <v>27</v>
      </c>
      <c r="E42">
        <v>81</v>
      </c>
      <c r="F42">
        <v>9</v>
      </c>
      <c r="G42">
        <v>5</v>
      </c>
      <c r="H42">
        <v>0</v>
      </c>
    </row>
    <row r="43" spans="2:8">
      <c r="B43" t="s">
        <v>335</v>
      </c>
      <c r="C43">
        <v>202400334</v>
      </c>
      <c r="D43">
        <v>23</v>
      </c>
      <c r="E43">
        <v>79</v>
      </c>
      <c r="F43">
        <v>1</v>
      </c>
      <c r="G43">
        <v>3</v>
      </c>
      <c r="H43">
        <v>0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38DF-3D1A-F44F-A932-2023F64DC8A9}">
  <dimension ref="B1:M73"/>
  <sheetViews>
    <sheetView workbookViewId="0">
      <selection activeCell="H1" sqref="H1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504</v>
      </c>
      <c r="C2">
        <v>1</v>
      </c>
      <c r="D2" t="s">
        <v>516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336</v>
      </c>
      <c r="C4">
        <v>202400335</v>
      </c>
      <c r="D4">
        <v>29</v>
      </c>
      <c r="E4">
        <v>84</v>
      </c>
      <c r="F4">
        <v>5</v>
      </c>
      <c r="G4">
        <v>9</v>
      </c>
      <c r="H4">
        <v>0</v>
      </c>
    </row>
    <row r="5" spans="2:13">
      <c r="B5" t="s">
        <v>379</v>
      </c>
      <c r="C5">
        <v>202400378</v>
      </c>
      <c r="D5">
        <v>21</v>
      </c>
      <c r="E5">
        <v>94</v>
      </c>
      <c r="F5">
        <v>20</v>
      </c>
      <c r="G5">
        <v>8</v>
      </c>
      <c r="H5">
        <v>0</v>
      </c>
    </row>
    <row r="6" spans="2:13">
      <c r="B6" t="s">
        <v>303</v>
      </c>
      <c r="C6">
        <v>202400302</v>
      </c>
      <c r="D6">
        <v>28</v>
      </c>
      <c r="E6">
        <v>95</v>
      </c>
      <c r="F6">
        <v>6</v>
      </c>
      <c r="G6">
        <v>10</v>
      </c>
      <c r="H6">
        <v>0</v>
      </c>
    </row>
    <row r="7" spans="2:13">
      <c r="B7" t="s">
        <v>384</v>
      </c>
      <c r="C7">
        <v>202400383</v>
      </c>
      <c r="D7">
        <v>23</v>
      </c>
      <c r="E7">
        <v>76</v>
      </c>
      <c r="F7">
        <v>5</v>
      </c>
      <c r="G7">
        <v>8</v>
      </c>
      <c r="H7">
        <v>0</v>
      </c>
    </row>
    <row r="8" spans="2:13">
      <c r="B8" t="s">
        <v>355</v>
      </c>
      <c r="C8">
        <v>202400354</v>
      </c>
      <c r="D8">
        <v>9</v>
      </c>
      <c r="E8">
        <v>90</v>
      </c>
      <c r="F8">
        <v>16</v>
      </c>
      <c r="G8">
        <v>9</v>
      </c>
      <c r="H8">
        <v>0</v>
      </c>
    </row>
    <row r="9" spans="2:13">
      <c r="B9" t="s">
        <v>360</v>
      </c>
      <c r="C9">
        <v>202400359</v>
      </c>
      <c r="D9">
        <v>21</v>
      </c>
      <c r="E9">
        <v>99</v>
      </c>
      <c r="F9">
        <v>20</v>
      </c>
      <c r="G9">
        <v>9</v>
      </c>
      <c r="H9">
        <v>0</v>
      </c>
    </row>
    <row r="10" spans="2:13">
      <c r="B10" t="s">
        <v>352</v>
      </c>
      <c r="C10">
        <v>202400351</v>
      </c>
      <c r="D10">
        <v>11</v>
      </c>
      <c r="E10">
        <v>86</v>
      </c>
      <c r="F10">
        <v>6</v>
      </c>
      <c r="G10">
        <v>9</v>
      </c>
      <c r="H10">
        <v>0</v>
      </c>
    </row>
    <row r="11" spans="2:13">
      <c r="B11" t="s">
        <v>400</v>
      </c>
      <c r="C11">
        <v>202400399</v>
      </c>
      <c r="D11">
        <v>25</v>
      </c>
      <c r="E11">
        <v>99</v>
      </c>
      <c r="F11">
        <v>15</v>
      </c>
      <c r="G11">
        <v>9</v>
      </c>
      <c r="H11">
        <v>0</v>
      </c>
    </row>
    <row r="12" spans="2:13">
      <c r="B12" t="s">
        <v>311</v>
      </c>
      <c r="C12">
        <v>202400310</v>
      </c>
      <c r="D12">
        <v>12</v>
      </c>
      <c r="E12">
        <v>82</v>
      </c>
      <c r="F12">
        <v>11</v>
      </c>
      <c r="G12">
        <v>10</v>
      </c>
      <c r="H12">
        <v>0</v>
      </c>
    </row>
    <row r="13" spans="2:13">
      <c r="B13" t="s">
        <v>354</v>
      </c>
      <c r="C13">
        <v>202400353</v>
      </c>
      <c r="D13">
        <v>21</v>
      </c>
      <c r="E13">
        <v>94</v>
      </c>
      <c r="F13">
        <v>9</v>
      </c>
      <c r="G13">
        <v>8</v>
      </c>
      <c r="H13">
        <v>0</v>
      </c>
    </row>
    <row r="14" spans="2:13">
      <c r="B14" t="s">
        <v>343</v>
      </c>
      <c r="C14">
        <v>202400342</v>
      </c>
      <c r="D14">
        <v>24</v>
      </c>
      <c r="E14">
        <v>92</v>
      </c>
      <c r="F14">
        <v>19</v>
      </c>
      <c r="G14">
        <v>9</v>
      </c>
      <c r="H14">
        <v>0</v>
      </c>
    </row>
    <row r="15" spans="2:13">
      <c r="B15" t="s">
        <v>312</v>
      </c>
      <c r="C15">
        <v>202400311</v>
      </c>
      <c r="D15">
        <v>27</v>
      </c>
      <c r="E15">
        <v>90</v>
      </c>
      <c r="F15">
        <v>15</v>
      </c>
      <c r="G15">
        <v>9</v>
      </c>
      <c r="H15">
        <v>0</v>
      </c>
    </row>
    <row r="16" spans="2:13">
      <c r="B16" t="s">
        <v>341</v>
      </c>
      <c r="C16">
        <v>202400340</v>
      </c>
      <c r="D16">
        <v>13</v>
      </c>
      <c r="E16">
        <v>82</v>
      </c>
      <c r="F16">
        <v>16</v>
      </c>
      <c r="G16">
        <v>9</v>
      </c>
      <c r="H16">
        <v>0</v>
      </c>
    </row>
    <row r="17" spans="2:8">
      <c r="B17" t="s">
        <v>313</v>
      </c>
      <c r="C17">
        <v>202400312</v>
      </c>
      <c r="D17">
        <v>21</v>
      </c>
      <c r="E17">
        <v>90</v>
      </c>
      <c r="F17">
        <v>17</v>
      </c>
      <c r="G17">
        <v>10</v>
      </c>
      <c r="H17">
        <v>0</v>
      </c>
    </row>
    <row r="18" spans="2:8">
      <c r="B18" t="s">
        <v>376</v>
      </c>
      <c r="C18">
        <v>202400375</v>
      </c>
      <c r="D18">
        <v>15</v>
      </c>
      <c r="E18">
        <v>83</v>
      </c>
      <c r="F18">
        <v>9</v>
      </c>
      <c r="G18">
        <v>10</v>
      </c>
      <c r="H18">
        <v>0</v>
      </c>
    </row>
    <row r="19" spans="2:8">
      <c r="B19" t="s">
        <v>326</v>
      </c>
      <c r="C19">
        <v>202400325</v>
      </c>
      <c r="D19">
        <v>27</v>
      </c>
      <c r="E19">
        <v>85</v>
      </c>
      <c r="F19">
        <v>7</v>
      </c>
      <c r="G19">
        <v>8</v>
      </c>
      <c r="H19">
        <v>0</v>
      </c>
    </row>
    <row r="20" spans="2:8">
      <c r="B20" t="s">
        <v>383</v>
      </c>
      <c r="C20">
        <v>202400382</v>
      </c>
      <c r="D20">
        <v>9</v>
      </c>
      <c r="E20">
        <v>79</v>
      </c>
      <c r="F20">
        <v>6</v>
      </c>
      <c r="G20">
        <v>10</v>
      </c>
      <c r="H20">
        <v>0</v>
      </c>
    </row>
    <row r="21" spans="2:8">
      <c r="B21" t="s">
        <v>329</v>
      </c>
      <c r="C21">
        <v>202400328</v>
      </c>
      <c r="D21">
        <v>26</v>
      </c>
      <c r="E21">
        <v>98</v>
      </c>
      <c r="F21">
        <v>9</v>
      </c>
      <c r="G21">
        <v>9</v>
      </c>
      <c r="H21">
        <v>0</v>
      </c>
    </row>
    <row r="22" spans="2:8">
      <c r="B22" t="s">
        <v>361</v>
      </c>
      <c r="C22">
        <v>202400360</v>
      </c>
      <c r="D22">
        <v>19</v>
      </c>
      <c r="E22">
        <v>92</v>
      </c>
      <c r="F22">
        <v>16</v>
      </c>
      <c r="G22">
        <v>9</v>
      </c>
      <c r="H22">
        <v>0</v>
      </c>
    </row>
    <row r="23" spans="2:8">
      <c r="B23" t="s">
        <v>474</v>
      </c>
      <c r="C23">
        <v>202400017</v>
      </c>
      <c r="D23">
        <v>26</v>
      </c>
      <c r="E23">
        <v>80</v>
      </c>
      <c r="F23">
        <v>9</v>
      </c>
      <c r="G23">
        <v>10</v>
      </c>
      <c r="H23">
        <v>0</v>
      </c>
    </row>
    <row r="24" spans="2:8">
      <c r="B24" t="s">
        <v>369</v>
      </c>
      <c r="C24">
        <v>202400368</v>
      </c>
      <c r="D24">
        <v>15</v>
      </c>
      <c r="E24">
        <v>84</v>
      </c>
      <c r="F24">
        <v>17</v>
      </c>
      <c r="G24">
        <v>8</v>
      </c>
      <c r="H24">
        <v>0</v>
      </c>
    </row>
    <row r="25" spans="2:8">
      <c r="B25" t="s">
        <v>375</v>
      </c>
      <c r="C25">
        <v>202400374</v>
      </c>
      <c r="D25">
        <v>24</v>
      </c>
      <c r="E25">
        <v>98</v>
      </c>
      <c r="F25">
        <v>12</v>
      </c>
      <c r="G25">
        <v>9</v>
      </c>
      <c r="H25">
        <v>0</v>
      </c>
    </row>
    <row r="26" spans="2:8">
      <c r="B26" t="s">
        <v>472</v>
      </c>
      <c r="C26">
        <v>202400006</v>
      </c>
      <c r="D26">
        <v>21</v>
      </c>
      <c r="E26">
        <v>87</v>
      </c>
      <c r="F26">
        <v>10</v>
      </c>
      <c r="G26">
        <v>8</v>
      </c>
      <c r="H26">
        <v>0</v>
      </c>
    </row>
    <row r="27" spans="2:8">
      <c r="B27" t="s">
        <v>356</v>
      </c>
      <c r="C27">
        <v>202400355</v>
      </c>
      <c r="D27">
        <v>23</v>
      </c>
      <c r="E27">
        <v>97</v>
      </c>
      <c r="F27">
        <v>13</v>
      </c>
      <c r="G27">
        <v>8</v>
      </c>
      <c r="H27">
        <v>0</v>
      </c>
    </row>
    <row r="28" spans="2:8">
      <c r="B28" t="s">
        <v>381</v>
      </c>
      <c r="C28">
        <v>202400380</v>
      </c>
      <c r="D28">
        <v>28</v>
      </c>
      <c r="E28">
        <v>79</v>
      </c>
      <c r="F28">
        <v>9</v>
      </c>
      <c r="G28">
        <v>10</v>
      </c>
      <c r="H28">
        <v>0</v>
      </c>
    </row>
    <row r="29" spans="2:8">
      <c r="B29" t="s">
        <v>302</v>
      </c>
      <c r="C29">
        <v>202400301</v>
      </c>
      <c r="D29">
        <v>17</v>
      </c>
      <c r="E29">
        <v>98</v>
      </c>
      <c r="F29">
        <v>5</v>
      </c>
      <c r="G29">
        <v>9</v>
      </c>
      <c r="H29">
        <v>0</v>
      </c>
    </row>
    <row r="30" spans="2:8">
      <c r="B30" t="s">
        <v>357</v>
      </c>
      <c r="C30">
        <v>202400356</v>
      </c>
      <c r="D30">
        <v>19</v>
      </c>
      <c r="E30">
        <v>79</v>
      </c>
      <c r="F30">
        <v>11</v>
      </c>
      <c r="G30">
        <v>8</v>
      </c>
      <c r="H30">
        <v>0</v>
      </c>
    </row>
    <row r="31" spans="2:8">
      <c r="B31" t="s">
        <v>321</v>
      </c>
      <c r="C31">
        <v>202400320</v>
      </c>
      <c r="D31">
        <v>28</v>
      </c>
      <c r="E31">
        <v>84</v>
      </c>
      <c r="F31">
        <v>13</v>
      </c>
      <c r="G31">
        <v>8</v>
      </c>
      <c r="H31">
        <v>0</v>
      </c>
    </row>
    <row r="32" spans="2:8">
      <c r="B32" t="s">
        <v>373</v>
      </c>
      <c r="C32">
        <v>202400372</v>
      </c>
      <c r="D32">
        <v>25</v>
      </c>
      <c r="E32">
        <v>87</v>
      </c>
      <c r="F32">
        <v>16</v>
      </c>
      <c r="G32">
        <v>9</v>
      </c>
      <c r="H32">
        <v>0</v>
      </c>
    </row>
    <row r="33" spans="2:8">
      <c r="B33" t="s">
        <v>328</v>
      </c>
      <c r="C33">
        <v>202400327</v>
      </c>
      <c r="D33">
        <v>25</v>
      </c>
      <c r="E33">
        <v>89</v>
      </c>
      <c r="F33">
        <v>18</v>
      </c>
      <c r="G33">
        <v>8</v>
      </c>
      <c r="H33">
        <v>0</v>
      </c>
    </row>
    <row r="34" spans="2:8">
      <c r="B34" t="s">
        <v>309</v>
      </c>
      <c r="C34">
        <v>202400308</v>
      </c>
      <c r="D34">
        <v>22</v>
      </c>
      <c r="E34">
        <v>78</v>
      </c>
      <c r="F34">
        <v>16</v>
      </c>
      <c r="G34">
        <v>9</v>
      </c>
      <c r="H34">
        <v>0</v>
      </c>
    </row>
    <row r="35" spans="2:8">
      <c r="B35" t="s">
        <v>389</v>
      </c>
      <c r="C35">
        <v>202400388</v>
      </c>
      <c r="D35">
        <v>29</v>
      </c>
      <c r="E35">
        <v>78</v>
      </c>
      <c r="F35">
        <v>16</v>
      </c>
      <c r="G35">
        <v>9</v>
      </c>
      <c r="H35">
        <v>0</v>
      </c>
    </row>
    <row r="36" spans="2:8">
      <c r="B36" t="s">
        <v>339</v>
      </c>
      <c r="C36">
        <v>202400338</v>
      </c>
      <c r="D36">
        <v>30</v>
      </c>
      <c r="E36">
        <v>81</v>
      </c>
      <c r="F36">
        <v>20</v>
      </c>
      <c r="G36">
        <v>9</v>
      </c>
      <c r="H36">
        <v>0</v>
      </c>
    </row>
    <row r="37" spans="2:8">
      <c r="B37" t="s">
        <v>310</v>
      </c>
      <c r="C37">
        <v>202400309</v>
      </c>
      <c r="D37">
        <v>9</v>
      </c>
      <c r="E37">
        <v>88</v>
      </c>
      <c r="F37">
        <v>18</v>
      </c>
      <c r="G37">
        <v>10</v>
      </c>
      <c r="H37">
        <v>0</v>
      </c>
    </row>
    <row r="38" spans="2:8">
      <c r="B38" t="s">
        <v>370</v>
      </c>
      <c r="C38">
        <v>202400369</v>
      </c>
      <c r="D38">
        <v>24</v>
      </c>
      <c r="E38">
        <v>75</v>
      </c>
      <c r="F38">
        <v>6</v>
      </c>
      <c r="G38">
        <v>10</v>
      </c>
      <c r="H38">
        <v>0</v>
      </c>
    </row>
    <row r="39" spans="2:8">
      <c r="B39" t="s">
        <v>385</v>
      </c>
      <c r="C39">
        <v>202400384</v>
      </c>
      <c r="D39">
        <v>21</v>
      </c>
      <c r="E39">
        <v>76</v>
      </c>
      <c r="F39">
        <v>12</v>
      </c>
      <c r="G39">
        <v>10</v>
      </c>
      <c r="H39">
        <v>0</v>
      </c>
    </row>
    <row r="40" spans="2:8">
      <c r="B40" t="s">
        <v>362</v>
      </c>
      <c r="C40">
        <v>202400361</v>
      </c>
      <c r="D40">
        <v>28</v>
      </c>
      <c r="E40">
        <v>75</v>
      </c>
      <c r="F40">
        <v>13</v>
      </c>
      <c r="G40">
        <v>10</v>
      </c>
      <c r="H40">
        <v>0</v>
      </c>
    </row>
    <row r="41" spans="2:8">
      <c r="B41" t="s">
        <v>308</v>
      </c>
      <c r="C41">
        <v>202400307</v>
      </c>
      <c r="D41">
        <v>28</v>
      </c>
      <c r="E41">
        <v>81</v>
      </c>
      <c r="F41">
        <v>17</v>
      </c>
      <c r="G41">
        <v>9</v>
      </c>
      <c r="H41">
        <v>0</v>
      </c>
    </row>
    <row r="42" spans="2:8">
      <c r="B42" t="s">
        <v>340</v>
      </c>
      <c r="C42">
        <v>202400339</v>
      </c>
      <c r="D42">
        <v>20</v>
      </c>
      <c r="E42">
        <v>83</v>
      </c>
      <c r="F42">
        <v>17</v>
      </c>
      <c r="G42">
        <v>10</v>
      </c>
      <c r="H42">
        <v>0</v>
      </c>
    </row>
    <row r="43" spans="2:8">
      <c r="B43" t="s">
        <v>371</v>
      </c>
      <c r="C43">
        <v>202400370</v>
      </c>
      <c r="D43">
        <v>17</v>
      </c>
      <c r="E43">
        <v>80</v>
      </c>
      <c r="F43">
        <v>13</v>
      </c>
      <c r="G43">
        <v>8</v>
      </c>
      <c r="H43">
        <v>0</v>
      </c>
    </row>
    <row r="44" spans="2:8">
      <c r="B44" t="s">
        <v>390</v>
      </c>
      <c r="C44">
        <v>202400389</v>
      </c>
      <c r="D44">
        <v>17</v>
      </c>
      <c r="E44">
        <v>98</v>
      </c>
      <c r="F44">
        <v>17</v>
      </c>
      <c r="G44">
        <v>8</v>
      </c>
      <c r="H44">
        <v>0</v>
      </c>
    </row>
    <row r="45" spans="2:8">
      <c r="B45" t="s">
        <v>347</v>
      </c>
      <c r="C45">
        <v>202400346</v>
      </c>
      <c r="D45">
        <v>9</v>
      </c>
      <c r="E45">
        <v>96</v>
      </c>
      <c r="F45">
        <v>18</v>
      </c>
      <c r="G45">
        <v>9</v>
      </c>
      <c r="H45">
        <v>0</v>
      </c>
    </row>
    <row r="46" spans="2:8">
      <c r="B46" t="s">
        <v>331</v>
      </c>
      <c r="C46">
        <v>202400330</v>
      </c>
      <c r="D46">
        <v>28</v>
      </c>
      <c r="E46">
        <v>96</v>
      </c>
      <c r="F46">
        <v>16</v>
      </c>
      <c r="G46">
        <v>10</v>
      </c>
      <c r="H46">
        <v>0</v>
      </c>
    </row>
    <row r="47" spans="2:8">
      <c r="B47" t="s">
        <v>324</v>
      </c>
      <c r="C47">
        <v>202400323</v>
      </c>
      <c r="D47">
        <v>17</v>
      </c>
      <c r="E47">
        <v>79</v>
      </c>
      <c r="F47">
        <v>8</v>
      </c>
      <c r="G47">
        <v>10</v>
      </c>
      <c r="H47">
        <v>0</v>
      </c>
    </row>
    <row r="48" spans="2:8">
      <c r="B48" t="s">
        <v>399</v>
      </c>
      <c r="C48">
        <v>202400398</v>
      </c>
      <c r="D48">
        <v>12</v>
      </c>
      <c r="E48">
        <v>95</v>
      </c>
      <c r="F48">
        <v>11</v>
      </c>
      <c r="G48">
        <v>9</v>
      </c>
      <c r="H48">
        <v>0</v>
      </c>
    </row>
    <row r="49" spans="2:8">
      <c r="B49" t="s">
        <v>344</v>
      </c>
      <c r="C49">
        <v>202400343</v>
      </c>
      <c r="D49">
        <v>30</v>
      </c>
      <c r="E49">
        <v>95</v>
      </c>
      <c r="F49">
        <v>8</v>
      </c>
      <c r="G49">
        <v>10</v>
      </c>
      <c r="H49">
        <v>0</v>
      </c>
    </row>
    <row r="50" spans="2:8">
      <c r="B50" t="s">
        <v>317</v>
      </c>
      <c r="C50">
        <v>202400316</v>
      </c>
      <c r="D50">
        <v>24</v>
      </c>
      <c r="E50">
        <v>78</v>
      </c>
      <c r="F50">
        <v>10</v>
      </c>
      <c r="G50">
        <v>8</v>
      </c>
      <c r="H50">
        <v>0</v>
      </c>
    </row>
    <row r="51" spans="2:8">
      <c r="B51" t="s">
        <v>388</v>
      </c>
      <c r="C51">
        <v>202400387</v>
      </c>
      <c r="D51">
        <v>27</v>
      </c>
      <c r="E51">
        <v>81</v>
      </c>
      <c r="F51">
        <v>15</v>
      </c>
      <c r="G51">
        <v>8</v>
      </c>
      <c r="H51">
        <v>0</v>
      </c>
    </row>
    <row r="52" spans="2:8">
      <c r="B52" t="s">
        <v>392</v>
      </c>
      <c r="C52">
        <v>202400391</v>
      </c>
      <c r="D52">
        <v>21</v>
      </c>
      <c r="E52">
        <v>84</v>
      </c>
      <c r="F52">
        <v>14</v>
      </c>
      <c r="G52">
        <v>8</v>
      </c>
      <c r="H52">
        <v>0</v>
      </c>
    </row>
    <row r="53" spans="2:8">
      <c r="B53" t="s">
        <v>327</v>
      </c>
      <c r="C53">
        <v>202400326</v>
      </c>
      <c r="D53">
        <v>19</v>
      </c>
      <c r="E53">
        <v>76</v>
      </c>
      <c r="F53">
        <v>14</v>
      </c>
      <c r="G53">
        <v>8</v>
      </c>
      <c r="H53">
        <v>0</v>
      </c>
    </row>
    <row r="54" spans="2:8">
      <c r="B54" t="s">
        <v>334</v>
      </c>
      <c r="C54">
        <v>202400333</v>
      </c>
      <c r="D54">
        <v>18</v>
      </c>
      <c r="E54">
        <v>94</v>
      </c>
      <c r="F54">
        <v>13</v>
      </c>
      <c r="G54">
        <v>9</v>
      </c>
      <c r="H54">
        <v>0</v>
      </c>
    </row>
    <row r="55" spans="2:8">
      <c r="B55" t="s">
        <v>349</v>
      </c>
      <c r="C55">
        <v>202400348</v>
      </c>
      <c r="D55">
        <v>24</v>
      </c>
      <c r="E55">
        <v>82</v>
      </c>
      <c r="F55">
        <v>18</v>
      </c>
      <c r="G55">
        <v>10</v>
      </c>
      <c r="H55">
        <v>0</v>
      </c>
    </row>
    <row r="56" spans="2:8">
      <c r="B56" t="s">
        <v>351</v>
      </c>
      <c r="C56">
        <v>202400350</v>
      </c>
      <c r="D56">
        <v>12</v>
      </c>
      <c r="E56">
        <v>81</v>
      </c>
      <c r="F56">
        <v>8</v>
      </c>
      <c r="G56">
        <v>8</v>
      </c>
      <c r="H56">
        <v>0</v>
      </c>
    </row>
    <row r="57" spans="2:8">
      <c r="B57" t="s">
        <v>367</v>
      </c>
      <c r="C57">
        <v>202400366</v>
      </c>
      <c r="D57">
        <v>15</v>
      </c>
      <c r="E57">
        <v>77</v>
      </c>
      <c r="F57">
        <v>13</v>
      </c>
      <c r="G57">
        <v>8</v>
      </c>
      <c r="H57">
        <v>0</v>
      </c>
    </row>
    <row r="58" spans="2:8">
      <c r="B58" t="s">
        <v>320</v>
      </c>
      <c r="C58">
        <v>202400319</v>
      </c>
      <c r="D58">
        <v>30</v>
      </c>
      <c r="E58">
        <v>91</v>
      </c>
      <c r="F58">
        <v>16</v>
      </c>
      <c r="G58">
        <v>8</v>
      </c>
      <c r="H58">
        <v>0</v>
      </c>
    </row>
    <row r="59" spans="2:8">
      <c r="B59" t="s">
        <v>338</v>
      </c>
      <c r="C59">
        <v>202400337</v>
      </c>
      <c r="D59">
        <v>25</v>
      </c>
      <c r="E59">
        <v>87</v>
      </c>
      <c r="F59">
        <v>17</v>
      </c>
      <c r="G59">
        <v>8</v>
      </c>
      <c r="H59">
        <v>0</v>
      </c>
    </row>
    <row r="60" spans="2:8">
      <c r="B60" t="s">
        <v>335</v>
      </c>
      <c r="C60">
        <v>202400334</v>
      </c>
      <c r="D60">
        <v>20</v>
      </c>
      <c r="E60">
        <v>94</v>
      </c>
      <c r="F60">
        <v>6</v>
      </c>
      <c r="G60">
        <v>9</v>
      </c>
      <c r="H60">
        <v>0</v>
      </c>
    </row>
    <row r="61" spans="2:8">
      <c r="B61" t="s">
        <v>304</v>
      </c>
      <c r="C61">
        <v>202400303</v>
      </c>
      <c r="D61">
        <v>22</v>
      </c>
      <c r="E61">
        <v>80</v>
      </c>
      <c r="F61">
        <v>17</v>
      </c>
      <c r="G61">
        <v>9</v>
      </c>
      <c r="H61">
        <v>0</v>
      </c>
    </row>
    <row r="62" spans="2:8">
      <c r="B62" t="s">
        <v>345</v>
      </c>
      <c r="C62">
        <v>202400344</v>
      </c>
      <c r="D62">
        <v>15</v>
      </c>
      <c r="E62">
        <v>84</v>
      </c>
      <c r="F62">
        <v>8</v>
      </c>
      <c r="G62">
        <v>8</v>
      </c>
      <c r="H62">
        <v>0</v>
      </c>
    </row>
    <row r="63" spans="2:8">
      <c r="B63" t="s">
        <v>372</v>
      </c>
      <c r="C63">
        <v>202400371</v>
      </c>
      <c r="D63">
        <v>11</v>
      </c>
      <c r="E63">
        <v>91</v>
      </c>
      <c r="F63">
        <v>8</v>
      </c>
      <c r="G63">
        <v>10</v>
      </c>
      <c r="H63">
        <v>0</v>
      </c>
    </row>
    <row r="64" spans="2:8">
      <c r="B64" t="s">
        <v>322</v>
      </c>
      <c r="C64">
        <v>202400321</v>
      </c>
      <c r="D64">
        <v>25</v>
      </c>
      <c r="E64">
        <v>83</v>
      </c>
      <c r="F64">
        <v>16</v>
      </c>
      <c r="G64">
        <v>10</v>
      </c>
      <c r="H64">
        <v>0</v>
      </c>
    </row>
    <row r="65" spans="2:8">
      <c r="B65" t="s">
        <v>368</v>
      </c>
      <c r="C65">
        <v>202400367</v>
      </c>
      <c r="D65">
        <v>17</v>
      </c>
      <c r="E65">
        <v>83</v>
      </c>
      <c r="F65">
        <v>19</v>
      </c>
      <c r="G65">
        <v>10</v>
      </c>
      <c r="H65">
        <v>0</v>
      </c>
    </row>
    <row r="66" spans="2:8">
      <c r="B66" t="s">
        <v>380</v>
      </c>
      <c r="C66">
        <v>202400379</v>
      </c>
      <c r="D66">
        <v>19</v>
      </c>
      <c r="E66">
        <v>86</v>
      </c>
      <c r="F66">
        <v>20</v>
      </c>
      <c r="G66">
        <v>10</v>
      </c>
      <c r="H66">
        <v>0</v>
      </c>
    </row>
    <row r="67" spans="2:8">
      <c r="B67" t="s">
        <v>391</v>
      </c>
      <c r="C67">
        <v>202400390</v>
      </c>
      <c r="D67">
        <v>22</v>
      </c>
      <c r="E67">
        <v>93</v>
      </c>
      <c r="F67">
        <v>13</v>
      </c>
      <c r="G67">
        <v>8</v>
      </c>
      <c r="H67">
        <v>0</v>
      </c>
    </row>
    <row r="68" spans="2:8">
      <c r="B68" t="s">
        <v>342</v>
      </c>
      <c r="C68">
        <v>202400341</v>
      </c>
      <c r="D68">
        <v>13</v>
      </c>
      <c r="E68">
        <v>77</v>
      </c>
      <c r="F68">
        <v>5</v>
      </c>
      <c r="G68">
        <v>9</v>
      </c>
      <c r="H68">
        <v>0</v>
      </c>
    </row>
    <row r="69" spans="2:8">
      <c r="B69" t="s">
        <v>350</v>
      </c>
      <c r="C69">
        <v>202400349</v>
      </c>
      <c r="D69">
        <v>15</v>
      </c>
      <c r="E69">
        <v>78</v>
      </c>
      <c r="F69">
        <v>19</v>
      </c>
      <c r="G69">
        <v>8</v>
      </c>
      <c r="H69">
        <v>0</v>
      </c>
    </row>
    <row r="70" spans="2:8">
      <c r="B70" t="s">
        <v>306</v>
      </c>
      <c r="C70">
        <v>202400305</v>
      </c>
      <c r="D70">
        <v>24</v>
      </c>
      <c r="E70">
        <v>91</v>
      </c>
      <c r="F70">
        <v>13</v>
      </c>
      <c r="G70">
        <v>10</v>
      </c>
      <c r="H70">
        <v>0</v>
      </c>
    </row>
    <row r="71" spans="2:8">
      <c r="B71" t="s">
        <v>325</v>
      </c>
      <c r="C71">
        <v>202400324</v>
      </c>
      <c r="D71">
        <v>18</v>
      </c>
      <c r="E71">
        <v>86</v>
      </c>
      <c r="F71">
        <v>8</v>
      </c>
      <c r="G71">
        <v>8</v>
      </c>
      <c r="H71">
        <v>0</v>
      </c>
    </row>
    <row r="72" spans="2:8">
      <c r="B72" t="s">
        <v>337</v>
      </c>
      <c r="C72">
        <v>202400336</v>
      </c>
      <c r="D72">
        <v>25</v>
      </c>
      <c r="E72">
        <v>96</v>
      </c>
      <c r="F72">
        <v>11</v>
      </c>
      <c r="G72">
        <v>8</v>
      </c>
      <c r="H72">
        <v>0</v>
      </c>
    </row>
    <row r="73" spans="2:8">
      <c r="B73" t="s">
        <v>378</v>
      </c>
      <c r="C73">
        <v>202400377</v>
      </c>
      <c r="D73">
        <v>25</v>
      </c>
      <c r="E73">
        <v>89</v>
      </c>
      <c r="F73">
        <v>5</v>
      </c>
      <c r="G73">
        <v>9</v>
      </c>
      <c r="H73">
        <v>0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BB5F-8A44-B24C-9A63-6652A4A5E5E6}">
  <dimension ref="B1:M69"/>
  <sheetViews>
    <sheetView workbookViewId="0">
      <selection activeCell="H4" sqref="H4:H69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505</v>
      </c>
      <c r="C2">
        <v>1</v>
      </c>
      <c r="D2" t="s">
        <v>517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261</v>
      </c>
      <c r="C4">
        <v>202400260</v>
      </c>
      <c r="D4">
        <v>21</v>
      </c>
      <c r="E4">
        <v>64</v>
      </c>
      <c r="F4">
        <v>15</v>
      </c>
      <c r="G4">
        <v>10</v>
      </c>
      <c r="H4">
        <v>0</v>
      </c>
    </row>
    <row r="5" spans="2:13">
      <c r="B5" t="s">
        <v>264</v>
      </c>
      <c r="C5">
        <v>202400263</v>
      </c>
      <c r="D5">
        <v>19</v>
      </c>
      <c r="E5">
        <v>78</v>
      </c>
      <c r="F5">
        <v>16</v>
      </c>
      <c r="G5">
        <v>8</v>
      </c>
      <c r="H5">
        <v>0</v>
      </c>
    </row>
    <row r="6" spans="2:13">
      <c r="B6" t="s">
        <v>249</v>
      </c>
      <c r="C6">
        <v>202400248</v>
      </c>
      <c r="D6">
        <v>15</v>
      </c>
      <c r="E6">
        <v>57</v>
      </c>
      <c r="F6">
        <v>15</v>
      </c>
      <c r="G6">
        <v>6</v>
      </c>
      <c r="H6">
        <v>0</v>
      </c>
    </row>
    <row r="7" spans="2:13">
      <c r="B7" t="s">
        <v>229</v>
      </c>
      <c r="C7">
        <v>202400228</v>
      </c>
      <c r="D7">
        <v>20</v>
      </c>
      <c r="E7">
        <v>76</v>
      </c>
      <c r="F7">
        <v>18</v>
      </c>
      <c r="G7">
        <v>8</v>
      </c>
      <c r="H7">
        <v>0</v>
      </c>
    </row>
    <row r="8" spans="2:13">
      <c r="B8" t="s">
        <v>252</v>
      </c>
      <c r="C8">
        <v>202400251</v>
      </c>
      <c r="D8">
        <v>21</v>
      </c>
      <c r="E8">
        <v>89</v>
      </c>
      <c r="F8">
        <v>20</v>
      </c>
      <c r="G8">
        <v>6</v>
      </c>
      <c r="H8">
        <v>0</v>
      </c>
    </row>
    <row r="9" spans="2:13">
      <c r="B9" t="s">
        <v>206</v>
      </c>
      <c r="C9">
        <v>202400205</v>
      </c>
      <c r="D9">
        <v>17</v>
      </c>
      <c r="E9">
        <v>61</v>
      </c>
      <c r="F9">
        <v>19</v>
      </c>
      <c r="G9">
        <v>7</v>
      </c>
      <c r="H9">
        <v>0</v>
      </c>
    </row>
    <row r="10" spans="2:13">
      <c r="B10" t="s">
        <v>256</v>
      </c>
      <c r="C10">
        <v>202400255</v>
      </c>
      <c r="D10">
        <v>19</v>
      </c>
      <c r="E10">
        <v>76</v>
      </c>
      <c r="F10">
        <v>17</v>
      </c>
      <c r="G10">
        <v>10</v>
      </c>
      <c r="H10">
        <v>0</v>
      </c>
    </row>
    <row r="11" spans="2:13">
      <c r="B11" t="s">
        <v>251</v>
      </c>
      <c r="C11">
        <v>202400250</v>
      </c>
      <c r="D11">
        <v>17</v>
      </c>
      <c r="E11">
        <v>89</v>
      </c>
      <c r="F11">
        <v>20</v>
      </c>
      <c r="G11">
        <v>10</v>
      </c>
      <c r="H11">
        <v>0</v>
      </c>
    </row>
    <row r="12" spans="2:13">
      <c r="B12" t="s">
        <v>265</v>
      </c>
      <c r="C12">
        <v>202400264</v>
      </c>
      <c r="D12">
        <v>23</v>
      </c>
      <c r="E12">
        <v>84</v>
      </c>
      <c r="F12">
        <v>17</v>
      </c>
      <c r="G12">
        <v>9</v>
      </c>
      <c r="H12">
        <v>0</v>
      </c>
    </row>
    <row r="13" spans="2:13">
      <c r="B13" t="s">
        <v>207</v>
      </c>
      <c r="C13">
        <v>202400206</v>
      </c>
      <c r="D13">
        <v>22</v>
      </c>
      <c r="E13">
        <v>71</v>
      </c>
      <c r="F13">
        <v>19</v>
      </c>
      <c r="G13">
        <v>8</v>
      </c>
      <c r="H13">
        <v>0</v>
      </c>
    </row>
    <row r="14" spans="2:13">
      <c r="B14" t="s">
        <v>295</v>
      </c>
      <c r="C14">
        <v>202400294</v>
      </c>
      <c r="D14">
        <v>30</v>
      </c>
      <c r="E14">
        <v>91</v>
      </c>
      <c r="F14">
        <v>19</v>
      </c>
      <c r="G14">
        <v>6</v>
      </c>
      <c r="H14">
        <v>0</v>
      </c>
    </row>
    <row r="15" spans="2:13">
      <c r="B15" t="s">
        <v>242</v>
      </c>
      <c r="C15">
        <v>202400241</v>
      </c>
      <c r="D15">
        <v>19</v>
      </c>
      <c r="E15">
        <v>66</v>
      </c>
      <c r="F15">
        <v>15</v>
      </c>
      <c r="G15">
        <v>9</v>
      </c>
      <c r="H15">
        <v>0</v>
      </c>
    </row>
    <row r="16" spans="2:13">
      <c r="B16" t="s">
        <v>225</v>
      </c>
      <c r="C16">
        <v>202400224</v>
      </c>
      <c r="D16">
        <v>28</v>
      </c>
      <c r="E16">
        <v>90</v>
      </c>
      <c r="F16">
        <v>15</v>
      </c>
      <c r="G16">
        <v>7</v>
      </c>
      <c r="H16">
        <v>0</v>
      </c>
    </row>
    <row r="17" spans="2:8">
      <c r="B17" t="s">
        <v>239</v>
      </c>
      <c r="C17">
        <v>202400238</v>
      </c>
      <c r="D17">
        <v>30</v>
      </c>
      <c r="E17">
        <v>50</v>
      </c>
      <c r="F17">
        <v>17</v>
      </c>
      <c r="G17">
        <v>8</v>
      </c>
      <c r="H17">
        <v>0</v>
      </c>
    </row>
    <row r="18" spans="2:8">
      <c r="B18" t="s">
        <v>235</v>
      </c>
      <c r="C18">
        <v>202400234</v>
      </c>
      <c r="D18">
        <v>16</v>
      </c>
      <c r="E18">
        <v>71</v>
      </c>
      <c r="F18">
        <v>16</v>
      </c>
      <c r="G18">
        <v>10</v>
      </c>
      <c r="H18">
        <v>0</v>
      </c>
    </row>
    <row r="19" spans="2:8">
      <c r="B19" t="s">
        <v>262</v>
      </c>
      <c r="C19">
        <v>202400261</v>
      </c>
      <c r="D19">
        <v>30</v>
      </c>
      <c r="E19">
        <v>90</v>
      </c>
      <c r="F19">
        <v>17</v>
      </c>
      <c r="G19">
        <v>7</v>
      </c>
      <c r="H19">
        <v>0</v>
      </c>
    </row>
    <row r="20" spans="2:8">
      <c r="B20" t="s">
        <v>286</v>
      </c>
      <c r="C20">
        <v>202400285</v>
      </c>
      <c r="D20">
        <v>18</v>
      </c>
      <c r="E20">
        <v>100</v>
      </c>
      <c r="F20">
        <v>18</v>
      </c>
      <c r="G20">
        <v>8</v>
      </c>
      <c r="H20">
        <v>0</v>
      </c>
    </row>
    <row r="21" spans="2:8">
      <c r="B21" t="s">
        <v>297</v>
      </c>
      <c r="C21">
        <v>202400296</v>
      </c>
      <c r="D21">
        <v>29</v>
      </c>
      <c r="E21">
        <v>71</v>
      </c>
      <c r="F21">
        <v>15</v>
      </c>
      <c r="G21">
        <v>10</v>
      </c>
      <c r="H21">
        <v>0</v>
      </c>
    </row>
    <row r="22" spans="2:8">
      <c r="B22" t="s">
        <v>266</v>
      </c>
      <c r="C22">
        <v>202400265</v>
      </c>
      <c r="D22">
        <v>15</v>
      </c>
      <c r="E22">
        <v>88</v>
      </c>
      <c r="F22">
        <v>17</v>
      </c>
      <c r="G22">
        <v>6</v>
      </c>
      <c r="H22">
        <v>0</v>
      </c>
    </row>
    <row r="23" spans="2:8">
      <c r="B23" t="s">
        <v>470</v>
      </c>
      <c r="C23">
        <v>202400200</v>
      </c>
      <c r="D23">
        <v>21</v>
      </c>
      <c r="E23">
        <v>63</v>
      </c>
      <c r="F23">
        <v>17</v>
      </c>
      <c r="G23">
        <v>10</v>
      </c>
      <c r="H23">
        <v>0</v>
      </c>
    </row>
    <row r="24" spans="2:8">
      <c r="B24" t="s">
        <v>276</v>
      </c>
      <c r="C24">
        <v>202400275</v>
      </c>
      <c r="D24">
        <v>22</v>
      </c>
      <c r="E24">
        <v>69</v>
      </c>
      <c r="F24">
        <v>15</v>
      </c>
      <c r="G24">
        <v>9</v>
      </c>
      <c r="H24">
        <v>0</v>
      </c>
    </row>
    <row r="25" spans="2:8">
      <c r="B25" t="s">
        <v>220</v>
      </c>
      <c r="C25">
        <v>202400219</v>
      </c>
      <c r="D25">
        <v>25</v>
      </c>
      <c r="E25">
        <v>95</v>
      </c>
      <c r="F25">
        <v>19</v>
      </c>
      <c r="G25">
        <v>8</v>
      </c>
      <c r="H25">
        <v>0</v>
      </c>
    </row>
    <row r="26" spans="2:8">
      <c r="B26" t="s">
        <v>290</v>
      </c>
      <c r="C26">
        <v>202400289</v>
      </c>
      <c r="D26">
        <v>27</v>
      </c>
      <c r="E26">
        <v>67</v>
      </c>
      <c r="F26">
        <v>19</v>
      </c>
      <c r="G26">
        <v>9</v>
      </c>
      <c r="H26">
        <v>0</v>
      </c>
    </row>
    <row r="27" spans="2:8">
      <c r="B27" t="s">
        <v>281</v>
      </c>
      <c r="C27">
        <v>202400280</v>
      </c>
      <c r="D27">
        <v>21</v>
      </c>
      <c r="E27">
        <v>99</v>
      </c>
      <c r="F27">
        <v>17</v>
      </c>
      <c r="G27">
        <v>10</v>
      </c>
      <c r="H27">
        <v>0</v>
      </c>
    </row>
    <row r="28" spans="2:8">
      <c r="B28" t="s">
        <v>217</v>
      </c>
      <c r="C28">
        <v>202400216</v>
      </c>
      <c r="D28">
        <v>23</v>
      </c>
      <c r="E28">
        <v>80</v>
      </c>
      <c r="F28">
        <v>16</v>
      </c>
      <c r="G28">
        <v>7</v>
      </c>
      <c r="H28">
        <v>0</v>
      </c>
    </row>
    <row r="29" spans="2:8">
      <c r="B29" t="s">
        <v>221</v>
      </c>
      <c r="C29">
        <v>202400220</v>
      </c>
      <c r="D29">
        <v>18</v>
      </c>
      <c r="E29">
        <v>59</v>
      </c>
      <c r="F29">
        <v>16</v>
      </c>
      <c r="G29">
        <v>8</v>
      </c>
      <c r="H29">
        <v>0</v>
      </c>
    </row>
    <row r="30" spans="2:8">
      <c r="B30" t="s">
        <v>226</v>
      </c>
      <c r="C30">
        <v>202400225</v>
      </c>
      <c r="D30">
        <v>29</v>
      </c>
      <c r="E30">
        <v>86</v>
      </c>
      <c r="F30">
        <v>17</v>
      </c>
      <c r="G30">
        <v>8</v>
      </c>
      <c r="H30">
        <v>0</v>
      </c>
    </row>
    <row r="31" spans="2:8">
      <c r="B31" t="s">
        <v>234</v>
      </c>
      <c r="C31">
        <v>202400233</v>
      </c>
      <c r="D31">
        <v>22</v>
      </c>
      <c r="E31">
        <v>75</v>
      </c>
      <c r="F31">
        <v>15</v>
      </c>
      <c r="G31">
        <v>6</v>
      </c>
      <c r="H31">
        <v>0</v>
      </c>
    </row>
    <row r="32" spans="2:8">
      <c r="B32" t="s">
        <v>292</v>
      </c>
      <c r="C32">
        <v>202400291</v>
      </c>
      <c r="D32">
        <v>18</v>
      </c>
      <c r="E32">
        <v>68</v>
      </c>
      <c r="F32">
        <v>19</v>
      </c>
      <c r="G32">
        <v>8</v>
      </c>
      <c r="H32">
        <v>0</v>
      </c>
    </row>
    <row r="33" spans="2:8">
      <c r="B33" t="s">
        <v>224</v>
      </c>
      <c r="C33">
        <v>202400223</v>
      </c>
      <c r="D33">
        <v>19</v>
      </c>
      <c r="E33">
        <v>59</v>
      </c>
      <c r="F33">
        <v>18</v>
      </c>
      <c r="G33">
        <v>8</v>
      </c>
      <c r="H33">
        <v>0</v>
      </c>
    </row>
    <row r="34" spans="2:8">
      <c r="B34" t="s">
        <v>272</v>
      </c>
      <c r="C34">
        <v>202400271</v>
      </c>
      <c r="D34">
        <v>30</v>
      </c>
      <c r="E34">
        <v>84</v>
      </c>
      <c r="F34">
        <v>16</v>
      </c>
      <c r="G34">
        <v>8</v>
      </c>
      <c r="H34">
        <v>0</v>
      </c>
    </row>
    <row r="35" spans="2:8">
      <c r="B35" t="s">
        <v>209</v>
      </c>
      <c r="C35">
        <v>202400208</v>
      </c>
      <c r="D35">
        <v>26</v>
      </c>
      <c r="E35">
        <v>59</v>
      </c>
      <c r="F35">
        <v>19</v>
      </c>
      <c r="G35">
        <v>9</v>
      </c>
      <c r="H35">
        <v>0</v>
      </c>
    </row>
    <row r="36" spans="2:8">
      <c r="B36" t="s">
        <v>233</v>
      </c>
      <c r="C36">
        <v>202400232</v>
      </c>
      <c r="D36">
        <v>17</v>
      </c>
      <c r="E36">
        <v>74</v>
      </c>
      <c r="F36">
        <v>18</v>
      </c>
      <c r="G36">
        <v>6</v>
      </c>
      <c r="H36">
        <v>0</v>
      </c>
    </row>
    <row r="37" spans="2:8">
      <c r="B37" t="s">
        <v>230</v>
      </c>
      <c r="C37">
        <v>202400229</v>
      </c>
      <c r="D37">
        <v>22</v>
      </c>
      <c r="E37">
        <v>94</v>
      </c>
      <c r="F37">
        <v>17</v>
      </c>
      <c r="G37">
        <v>9</v>
      </c>
      <c r="H37">
        <v>0</v>
      </c>
    </row>
    <row r="38" spans="2:8">
      <c r="B38" t="s">
        <v>227</v>
      </c>
      <c r="C38">
        <v>202400226</v>
      </c>
      <c r="D38">
        <v>20</v>
      </c>
      <c r="E38">
        <v>88</v>
      </c>
      <c r="F38">
        <v>17</v>
      </c>
      <c r="G38">
        <v>10</v>
      </c>
      <c r="H38">
        <v>0</v>
      </c>
    </row>
    <row r="39" spans="2:8">
      <c r="B39" t="s">
        <v>300</v>
      </c>
      <c r="C39">
        <v>202400299</v>
      </c>
      <c r="D39">
        <v>15</v>
      </c>
      <c r="E39">
        <v>53</v>
      </c>
      <c r="F39">
        <v>16</v>
      </c>
      <c r="G39">
        <v>6</v>
      </c>
      <c r="H39">
        <v>0</v>
      </c>
    </row>
    <row r="40" spans="2:8">
      <c r="B40" t="s">
        <v>291</v>
      </c>
      <c r="C40">
        <v>202400290</v>
      </c>
      <c r="D40">
        <v>30</v>
      </c>
      <c r="E40">
        <v>57</v>
      </c>
      <c r="F40">
        <v>17</v>
      </c>
      <c r="G40">
        <v>9</v>
      </c>
      <c r="H40">
        <v>0</v>
      </c>
    </row>
    <row r="41" spans="2:8">
      <c r="B41" t="s">
        <v>275</v>
      </c>
      <c r="C41">
        <v>202400274</v>
      </c>
      <c r="D41">
        <v>26</v>
      </c>
      <c r="E41">
        <v>100</v>
      </c>
      <c r="F41">
        <v>15</v>
      </c>
      <c r="G41">
        <v>10</v>
      </c>
      <c r="H41">
        <v>0</v>
      </c>
    </row>
    <row r="42" spans="2:8">
      <c r="B42" t="s">
        <v>222</v>
      </c>
      <c r="C42">
        <v>202400221</v>
      </c>
      <c r="D42">
        <v>17</v>
      </c>
      <c r="E42">
        <v>62</v>
      </c>
      <c r="F42">
        <v>19</v>
      </c>
      <c r="G42">
        <v>6</v>
      </c>
      <c r="H42">
        <v>0</v>
      </c>
    </row>
    <row r="43" spans="2:8">
      <c r="B43" t="s">
        <v>241</v>
      </c>
      <c r="C43">
        <v>202400240</v>
      </c>
      <c r="D43">
        <v>21</v>
      </c>
      <c r="E43">
        <v>95</v>
      </c>
      <c r="F43">
        <v>20</v>
      </c>
      <c r="G43">
        <v>8</v>
      </c>
      <c r="H43">
        <v>0</v>
      </c>
    </row>
    <row r="44" spans="2:8">
      <c r="B44" t="s">
        <v>288</v>
      </c>
      <c r="C44">
        <v>202400287</v>
      </c>
      <c r="D44">
        <v>18</v>
      </c>
      <c r="E44">
        <v>55</v>
      </c>
      <c r="F44">
        <v>16</v>
      </c>
      <c r="G44">
        <v>7</v>
      </c>
      <c r="H44">
        <v>0</v>
      </c>
    </row>
    <row r="45" spans="2:8">
      <c r="B45" t="s">
        <v>294</v>
      </c>
      <c r="C45">
        <v>202400293</v>
      </c>
      <c r="D45">
        <v>19</v>
      </c>
      <c r="E45">
        <v>100</v>
      </c>
      <c r="F45">
        <v>16</v>
      </c>
      <c r="G45">
        <v>9</v>
      </c>
      <c r="H45">
        <v>0</v>
      </c>
    </row>
    <row r="46" spans="2:8">
      <c r="B46" t="s">
        <v>258</v>
      </c>
      <c r="C46">
        <v>202400257</v>
      </c>
      <c r="D46">
        <v>24</v>
      </c>
      <c r="E46">
        <v>91</v>
      </c>
      <c r="F46">
        <v>20</v>
      </c>
      <c r="G46">
        <v>7</v>
      </c>
      <c r="H46">
        <v>0</v>
      </c>
    </row>
    <row r="47" spans="2:8">
      <c r="B47" t="s">
        <v>237</v>
      </c>
      <c r="C47">
        <v>202400236</v>
      </c>
      <c r="D47">
        <v>26</v>
      </c>
      <c r="E47">
        <v>69</v>
      </c>
      <c r="F47">
        <v>19</v>
      </c>
      <c r="G47">
        <v>6</v>
      </c>
      <c r="H47">
        <v>0</v>
      </c>
    </row>
    <row r="48" spans="2:8">
      <c r="B48" t="s">
        <v>243</v>
      </c>
      <c r="C48">
        <v>202400242</v>
      </c>
      <c r="D48">
        <v>19</v>
      </c>
      <c r="E48">
        <v>81</v>
      </c>
      <c r="F48">
        <v>17</v>
      </c>
      <c r="G48">
        <v>7</v>
      </c>
      <c r="H48">
        <v>0</v>
      </c>
    </row>
    <row r="49" spans="2:8">
      <c r="B49" t="s">
        <v>211</v>
      </c>
      <c r="C49">
        <v>202400210</v>
      </c>
      <c r="D49">
        <v>30</v>
      </c>
      <c r="E49">
        <v>73</v>
      </c>
      <c r="F49">
        <v>20</v>
      </c>
      <c r="G49">
        <v>8</v>
      </c>
      <c r="H49">
        <v>0</v>
      </c>
    </row>
    <row r="50" spans="2:8">
      <c r="B50" t="s">
        <v>232</v>
      </c>
      <c r="C50">
        <v>202400231</v>
      </c>
      <c r="D50">
        <v>25</v>
      </c>
      <c r="E50">
        <v>99</v>
      </c>
      <c r="F50">
        <v>19</v>
      </c>
      <c r="G50">
        <v>10</v>
      </c>
      <c r="H50">
        <v>0</v>
      </c>
    </row>
    <row r="51" spans="2:8">
      <c r="B51" t="s">
        <v>223</v>
      </c>
      <c r="C51">
        <v>202400222</v>
      </c>
      <c r="D51">
        <v>30</v>
      </c>
      <c r="E51">
        <v>56</v>
      </c>
      <c r="F51">
        <v>17</v>
      </c>
      <c r="G51">
        <v>10</v>
      </c>
      <c r="H51">
        <v>0</v>
      </c>
    </row>
    <row r="52" spans="2:8">
      <c r="B52" t="s">
        <v>240</v>
      </c>
      <c r="C52">
        <v>202400239</v>
      </c>
      <c r="D52">
        <v>18</v>
      </c>
      <c r="E52">
        <v>88</v>
      </c>
      <c r="F52">
        <v>20</v>
      </c>
      <c r="G52">
        <v>10</v>
      </c>
      <c r="H52">
        <v>0</v>
      </c>
    </row>
    <row r="53" spans="2:8">
      <c r="B53" t="s">
        <v>269</v>
      </c>
      <c r="C53">
        <v>202400268</v>
      </c>
      <c r="D53">
        <v>30</v>
      </c>
      <c r="E53">
        <v>99</v>
      </c>
      <c r="F53">
        <v>20</v>
      </c>
      <c r="G53">
        <v>10</v>
      </c>
      <c r="H53">
        <v>0</v>
      </c>
    </row>
    <row r="54" spans="2:8">
      <c r="B54" t="s">
        <v>247</v>
      </c>
      <c r="C54">
        <v>202400246</v>
      </c>
      <c r="D54">
        <v>22</v>
      </c>
      <c r="E54">
        <v>52</v>
      </c>
      <c r="F54">
        <v>20</v>
      </c>
      <c r="G54">
        <v>7</v>
      </c>
      <c r="H54">
        <v>0</v>
      </c>
    </row>
    <row r="55" spans="2:8">
      <c r="B55" t="s">
        <v>263</v>
      </c>
      <c r="C55">
        <v>202400262</v>
      </c>
      <c r="D55">
        <v>21</v>
      </c>
      <c r="E55">
        <v>61</v>
      </c>
      <c r="F55">
        <v>15</v>
      </c>
      <c r="G55">
        <v>10</v>
      </c>
      <c r="H55">
        <v>0</v>
      </c>
    </row>
    <row r="56" spans="2:8">
      <c r="B56" t="s">
        <v>278</v>
      </c>
      <c r="C56">
        <v>202400277</v>
      </c>
      <c r="D56">
        <v>30</v>
      </c>
      <c r="E56">
        <v>98</v>
      </c>
      <c r="F56">
        <v>20</v>
      </c>
      <c r="G56">
        <v>6</v>
      </c>
      <c r="H56">
        <v>0</v>
      </c>
    </row>
    <row r="57" spans="2:8">
      <c r="B57" t="s">
        <v>289</v>
      </c>
      <c r="C57">
        <v>202400288</v>
      </c>
      <c r="D57">
        <v>30</v>
      </c>
      <c r="E57">
        <v>90</v>
      </c>
      <c r="F57">
        <v>16</v>
      </c>
      <c r="G57">
        <v>7</v>
      </c>
      <c r="H57">
        <v>0</v>
      </c>
    </row>
    <row r="58" spans="2:8">
      <c r="B58" t="s">
        <v>287</v>
      </c>
      <c r="C58">
        <v>202400286</v>
      </c>
      <c r="D58">
        <v>27</v>
      </c>
      <c r="E58">
        <v>78</v>
      </c>
      <c r="F58">
        <v>20</v>
      </c>
      <c r="G58">
        <v>7</v>
      </c>
      <c r="H58">
        <v>0</v>
      </c>
    </row>
    <row r="59" spans="2:8">
      <c r="B59" t="s">
        <v>216</v>
      </c>
      <c r="C59">
        <v>202400215</v>
      </c>
      <c r="D59">
        <v>29</v>
      </c>
      <c r="E59">
        <v>74</v>
      </c>
      <c r="F59">
        <v>18</v>
      </c>
      <c r="G59">
        <v>7</v>
      </c>
      <c r="H59">
        <v>0</v>
      </c>
    </row>
    <row r="60" spans="2:8">
      <c r="B60" t="s">
        <v>280</v>
      </c>
      <c r="C60">
        <v>202400279</v>
      </c>
      <c r="D60">
        <v>15</v>
      </c>
      <c r="E60">
        <v>94</v>
      </c>
      <c r="F60">
        <v>16</v>
      </c>
      <c r="G60">
        <v>6</v>
      </c>
      <c r="H60">
        <v>0</v>
      </c>
    </row>
    <row r="61" spans="2:8">
      <c r="B61" t="s">
        <v>218</v>
      </c>
      <c r="C61">
        <v>202400217</v>
      </c>
      <c r="D61">
        <v>21</v>
      </c>
      <c r="E61">
        <v>82</v>
      </c>
      <c r="F61">
        <v>18</v>
      </c>
      <c r="G61">
        <v>6</v>
      </c>
      <c r="H61">
        <v>0</v>
      </c>
    </row>
    <row r="62" spans="2:8">
      <c r="B62" t="s">
        <v>270</v>
      </c>
      <c r="C62">
        <v>202400269</v>
      </c>
      <c r="D62">
        <v>29</v>
      </c>
      <c r="E62">
        <v>54</v>
      </c>
      <c r="F62">
        <v>18</v>
      </c>
      <c r="G62">
        <v>9</v>
      </c>
      <c r="H62">
        <v>0</v>
      </c>
    </row>
    <row r="63" spans="2:8">
      <c r="B63" t="s">
        <v>248</v>
      </c>
      <c r="C63">
        <v>202400247</v>
      </c>
      <c r="D63">
        <v>18</v>
      </c>
      <c r="E63">
        <v>90</v>
      </c>
      <c r="F63">
        <v>20</v>
      </c>
      <c r="G63">
        <v>9</v>
      </c>
      <c r="H63">
        <v>0</v>
      </c>
    </row>
    <row r="64" spans="2:8">
      <c r="B64" t="s">
        <v>213</v>
      </c>
      <c r="C64">
        <v>202400212</v>
      </c>
      <c r="D64">
        <v>22</v>
      </c>
      <c r="E64">
        <v>89</v>
      </c>
      <c r="F64">
        <v>19</v>
      </c>
      <c r="G64">
        <v>7</v>
      </c>
      <c r="H64">
        <v>0</v>
      </c>
    </row>
    <row r="65" spans="2:8">
      <c r="B65" t="s">
        <v>296</v>
      </c>
      <c r="C65">
        <v>202400295</v>
      </c>
      <c r="D65">
        <v>29</v>
      </c>
      <c r="E65">
        <v>90</v>
      </c>
      <c r="F65">
        <v>15</v>
      </c>
      <c r="G65">
        <v>8</v>
      </c>
      <c r="H65">
        <v>0</v>
      </c>
    </row>
    <row r="66" spans="2:8">
      <c r="B66" t="s">
        <v>205</v>
      </c>
      <c r="C66">
        <v>202400204</v>
      </c>
      <c r="D66">
        <v>27</v>
      </c>
      <c r="E66">
        <v>52</v>
      </c>
      <c r="F66">
        <v>18</v>
      </c>
      <c r="G66">
        <v>8</v>
      </c>
      <c r="H66">
        <v>0</v>
      </c>
    </row>
    <row r="67" spans="2:8">
      <c r="B67" t="s">
        <v>246</v>
      </c>
      <c r="C67">
        <v>202400245</v>
      </c>
      <c r="D67">
        <v>21</v>
      </c>
      <c r="E67">
        <v>53</v>
      </c>
      <c r="F67">
        <v>18</v>
      </c>
      <c r="G67">
        <v>7</v>
      </c>
      <c r="H67">
        <v>0</v>
      </c>
    </row>
    <row r="68" spans="2:8">
      <c r="B68" t="s">
        <v>228</v>
      </c>
      <c r="C68">
        <v>202400227</v>
      </c>
      <c r="D68">
        <v>20</v>
      </c>
      <c r="E68">
        <v>88</v>
      </c>
      <c r="F68">
        <v>20</v>
      </c>
      <c r="G68">
        <v>8</v>
      </c>
      <c r="H68">
        <v>0</v>
      </c>
    </row>
    <row r="69" spans="2:8">
      <c r="B69" t="s">
        <v>260</v>
      </c>
      <c r="C69">
        <v>202400259</v>
      </c>
      <c r="D69">
        <v>29</v>
      </c>
      <c r="E69">
        <v>57</v>
      </c>
      <c r="F69">
        <v>19</v>
      </c>
      <c r="G69">
        <v>7</v>
      </c>
      <c r="H69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1A05-09D1-814A-8547-1F93C969872B}">
  <dimension ref="A1:C402"/>
  <sheetViews>
    <sheetView view="pageBreakPreview" zoomScale="91" zoomScaleNormal="68" zoomScaleSheetLayoutView="100" workbookViewId="0">
      <selection activeCell="D19" sqref="D19"/>
    </sheetView>
  </sheetViews>
  <sheetFormatPr baseColWidth="10" defaultRowHeight="18"/>
  <cols>
    <col min="1" max="1" width="4.140625" style="6" customWidth="1"/>
    <col min="2" max="2" width="15.42578125" customWidth="1"/>
  </cols>
  <sheetData>
    <row r="1" spans="1:3">
      <c r="A1" s="10"/>
      <c r="B1" s="11" t="s">
        <v>441</v>
      </c>
      <c r="C1" s="11" t="s">
        <v>458</v>
      </c>
    </row>
    <row r="2" spans="1:3">
      <c r="A2" s="14"/>
      <c r="B2" s="18"/>
      <c r="C2" s="18"/>
    </row>
    <row r="3" spans="1:3">
      <c r="A3" s="15">
        <v>1</v>
      </c>
      <c r="B3" s="16" t="s">
        <v>402</v>
      </c>
      <c r="C3" s="19">
        <v>202410000</v>
      </c>
    </row>
    <row r="4" spans="1:3">
      <c r="A4" s="15">
        <v>2</v>
      </c>
      <c r="B4" s="16" t="s">
        <v>403</v>
      </c>
      <c r="C4" s="19">
        <v>202420000</v>
      </c>
    </row>
    <row r="5" spans="1:3">
      <c r="A5" s="15">
        <v>3</v>
      </c>
      <c r="B5" s="16" t="s">
        <v>439</v>
      </c>
      <c r="C5" s="19">
        <v>202430000</v>
      </c>
    </row>
    <row r="6" spans="1:3">
      <c r="A6" s="15">
        <v>4</v>
      </c>
      <c r="B6" s="16" t="s">
        <v>404</v>
      </c>
      <c r="C6" s="19">
        <v>202440000</v>
      </c>
    </row>
    <row r="7" spans="1:3">
      <c r="A7" s="15">
        <v>5</v>
      </c>
      <c r="B7" s="16" t="s">
        <v>405</v>
      </c>
      <c r="C7" s="19">
        <v>202450000</v>
      </c>
    </row>
    <row r="8" spans="1:3">
      <c r="A8" s="15">
        <v>6</v>
      </c>
      <c r="B8" s="16" t="s">
        <v>406</v>
      </c>
      <c r="C8" s="19">
        <v>202460000</v>
      </c>
    </row>
    <row r="9" spans="1:3">
      <c r="A9" s="15">
        <v>7</v>
      </c>
      <c r="B9" s="16" t="s">
        <v>407</v>
      </c>
      <c r="C9" s="19">
        <v>202470000</v>
      </c>
    </row>
    <row r="10" spans="1:3">
      <c r="A10" s="15">
        <v>8</v>
      </c>
      <c r="B10" s="16" t="s">
        <v>408</v>
      </c>
      <c r="C10" s="19">
        <v>202480000</v>
      </c>
    </row>
    <row r="11" spans="1:3">
      <c r="A11" s="15">
        <v>9</v>
      </c>
      <c r="B11" s="16" t="s">
        <v>409</v>
      </c>
      <c r="C11" s="19">
        <v>202490000</v>
      </c>
    </row>
    <row r="12" spans="1:3">
      <c r="A12" s="32">
        <v>10</v>
      </c>
      <c r="B12" s="17" t="s">
        <v>410</v>
      </c>
      <c r="C12" s="20">
        <v>202400000</v>
      </c>
    </row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</sheetData>
  <phoneticPr fontId="2" type="noConversion"/>
  <pageMargins left="0.7" right="0.7" top="0.75" bottom="0.75" header="0.3" footer="0.3"/>
  <pageSetup paperSize="9" scale="95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6E5AE-830C-7F44-AB5D-AEEAF43F88AA}">
  <dimension ref="B1:M38"/>
  <sheetViews>
    <sheetView workbookViewId="0">
      <selection activeCell="H4" sqref="H4:H38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506</v>
      </c>
      <c r="C2">
        <v>1</v>
      </c>
      <c r="D2" t="s">
        <v>515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221</v>
      </c>
      <c r="C4">
        <v>202400220</v>
      </c>
      <c r="D4">
        <v>98</v>
      </c>
      <c r="E4">
        <v>88</v>
      </c>
      <c r="F4">
        <v>15</v>
      </c>
      <c r="G4">
        <v>7</v>
      </c>
      <c r="H4">
        <v>0</v>
      </c>
    </row>
    <row r="5" spans="2:13">
      <c r="B5" t="s">
        <v>281</v>
      </c>
      <c r="C5">
        <v>202400280</v>
      </c>
      <c r="D5">
        <v>88</v>
      </c>
      <c r="E5">
        <v>85</v>
      </c>
      <c r="F5">
        <v>16</v>
      </c>
      <c r="G5">
        <v>8</v>
      </c>
      <c r="H5">
        <v>0</v>
      </c>
    </row>
    <row r="6" spans="2:13">
      <c r="B6" t="s">
        <v>220</v>
      </c>
      <c r="C6">
        <v>202400219</v>
      </c>
      <c r="D6">
        <v>80</v>
      </c>
      <c r="E6">
        <v>92</v>
      </c>
      <c r="F6">
        <v>15</v>
      </c>
      <c r="G6">
        <v>7</v>
      </c>
      <c r="H6">
        <v>0</v>
      </c>
    </row>
    <row r="7" spans="2:13">
      <c r="B7" t="s">
        <v>262</v>
      </c>
      <c r="C7">
        <v>202400261</v>
      </c>
      <c r="D7">
        <v>90</v>
      </c>
      <c r="E7">
        <v>83</v>
      </c>
      <c r="F7">
        <v>15</v>
      </c>
      <c r="G7">
        <v>9</v>
      </c>
      <c r="H7">
        <v>0</v>
      </c>
    </row>
    <row r="8" spans="2:13">
      <c r="B8" t="s">
        <v>266</v>
      </c>
      <c r="C8">
        <v>202400265</v>
      </c>
      <c r="D8">
        <v>89</v>
      </c>
      <c r="E8">
        <v>55</v>
      </c>
      <c r="F8">
        <v>16</v>
      </c>
      <c r="G8">
        <v>10</v>
      </c>
      <c r="H8">
        <v>0</v>
      </c>
    </row>
    <row r="9" spans="2:13">
      <c r="B9" t="s">
        <v>249</v>
      </c>
      <c r="C9">
        <v>202400248</v>
      </c>
      <c r="D9">
        <v>94</v>
      </c>
      <c r="E9">
        <v>91</v>
      </c>
      <c r="F9">
        <v>16</v>
      </c>
      <c r="G9">
        <v>8</v>
      </c>
      <c r="H9">
        <v>0</v>
      </c>
    </row>
    <row r="10" spans="2:13">
      <c r="B10" t="s">
        <v>274</v>
      </c>
      <c r="C10">
        <v>202400273</v>
      </c>
      <c r="D10">
        <v>82</v>
      </c>
      <c r="E10">
        <v>75</v>
      </c>
      <c r="F10">
        <v>16</v>
      </c>
      <c r="G10">
        <v>9</v>
      </c>
      <c r="H10">
        <v>0</v>
      </c>
    </row>
    <row r="11" spans="2:13">
      <c r="B11" t="s">
        <v>252</v>
      </c>
      <c r="C11">
        <v>202400251</v>
      </c>
      <c r="D11">
        <v>95</v>
      </c>
      <c r="E11">
        <v>76</v>
      </c>
      <c r="F11">
        <v>17</v>
      </c>
      <c r="G11">
        <v>9</v>
      </c>
      <c r="H11">
        <v>0</v>
      </c>
    </row>
    <row r="12" spans="2:13">
      <c r="B12" t="s">
        <v>248</v>
      </c>
      <c r="C12">
        <v>202400247</v>
      </c>
      <c r="D12">
        <v>94</v>
      </c>
      <c r="E12">
        <v>78</v>
      </c>
      <c r="F12">
        <v>17</v>
      </c>
      <c r="G12">
        <v>10</v>
      </c>
      <c r="H12">
        <v>0</v>
      </c>
    </row>
    <row r="13" spans="2:13">
      <c r="B13" t="s">
        <v>206</v>
      </c>
      <c r="C13">
        <v>202400205</v>
      </c>
      <c r="D13">
        <v>93</v>
      </c>
      <c r="E13">
        <v>61</v>
      </c>
      <c r="F13">
        <v>20</v>
      </c>
      <c r="G13">
        <v>8</v>
      </c>
      <c r="H13">
        <v>0</v>
      </c>
    </row>
    <row r="14" spans="2:13">
      <c r="B14" t="s">
        <v>210</v>
      </c>
      <c r="C14">
        <v>202400209</v>
      </c>
      <c r="D14">
        <v>97</v>
      </c>
      <c r="E14">
        <v>79</v>
      </c>
      <c r="F14">
        <v>16</v>
      </c>
      <c r="G14">
        <v>10</v>
      </c>
      <c r="H14">
        <v>0</v>
      </c>
    </row>
    <row r="15" spans="2:13">
      <c r="B15" t="s">
        <v>292</v>
      </c>
      <c r="C15">
        <v>202400291</v>
      </c>
      <c r="D15">
        <v>97</v>
      </c>
      <c r="E15">
        <v>60</v>
      </c>
      <c r="F15">
        <v>17</v>
      </c>
      <c r="G15">
        <v>9</v>
      </c>
      <c r="H15">
        <v>0</v>
      </c>
    </row>
    <row r="16" spans="2:13">
      <c r="B16" t="s">
        <v>254</v>
      </c>
      <c r="C16">
        <v>202400253</v>
      </c>
      <c r="D16">
        <v>81</v>
      </c>
      <c r="E16">
        <v>61</v>
      </c>
      <c r="F16">
        <v>17</v>
      </c>
      <c r="G16">
        <v>7</v>
      </c>
      <c r="H16">
        <v>0</v>
      </c>
    </row>
    <row r="17" spans="2:8">
      <c r="B17" t="s">
        <v>288</v>
      </c>
      <c r="C17">
        <v>202400287</v>
      </c>
      <c r="D17">
        <v>86</v>
      </c>
      <c r="E17">
        <v>83</v>
      </c>
      <c r="F17">
        <v>18</v>
      </c>
      <c r="G17">
        <v>10</v>
      </c>
      <c r="H17">
        <v>0</v>
      </c>
    </row>
    <row r="18" spans="2:8">
      <c r="B18" t="s">
        <v>225</v>
      </c>
      <c r="C18">
        <v>202400224</v>
      </c>
      <c r="D18">
        <v>91</v>
      </c>
      <c r="E18">
        <v>98</v>
      </c>
      <c r="F18">
        <v>18</v>
      </c>
      <c r="G18">
        <v>9</v>
      </c>
      <c r="H18">
        <v>0</v>
      </c>
    </row>
    <row r="19" spans="2:8">
      <c r="B19" t="s">
        <v>231</v>
      </c>
      <c r="C19">
        <v>202400230</v>
      </c>
      <c r="D19">
        <v>82</v>
      </c>
      <c r="E19">
        <v>92</v>
      </c>
      <c r="F19">
        <v>16</v>
      </c>
      <c r="G19">
        <v>10</v>
      </c>
      <c r="H19">
        <v>0</v>
      </c>
    </row>
    <row r="20" spans="2:8">
      <c r="B20" t="s">
        <v>218</v>
      </c>
      <c r="C20">
        <v>202400217</v>
      </c>
      <c r="D20">
        <v>81</v>
      </c>
      <c r="E20">
        <v>90</v>
      </c>
      <c r="F20">
        <v>20</v>
      </c>
      <c r="G20">
        <v>7</v>
      </c>
      <c r="H20">
        <v>0</v>
      </c>
    </row>
    <row r="21" spans="2:8">
      <c r="B21" t="s">
        <v>280</v>
      </c>
      <c r="C21">
        <v>202400279</v>
      </c>
      <c r="D21">
        <v>91</v>
      </c>
      <c r="E21">
        <v>78</v>
      </c>
      <c r="F21">
        <v>15</v>
      </c>
      <c r="G21">
        <v>10</v>
      </c>
      <c r="H21">
        <v>0</v>
      </c>
    </row>
    <row r="22" spans="2:8">
      <c r="B22" t="s">
        <v>255</v>
      </c>
      <c r="C22">
        <v>202400254</v>
      </c>
      <c r="D22">
        <v>97</v>
      </c>
      <c r="E22">
        <v>70</v>
      </c>
      <c r="F22">
        <v>17</v>
      </c>
      <c r="G22">
        <v>7</v>
      </c>
      <c r="H22">
        <v>0</v>
      </c>
    </row>
    <row r="23" spans="2:8">
      <c r="B23" t="s">
        <v>294</v>
      </c>
      <c r="C23">
        <v>202400293</v>
      </c>
      <c r="D23">
        <v>83</v>
      </c>
      <c r="E23">
        <v>64</v>
      </c>
      <c r="F23">
        <v>17</v>
      </c>
      <c r="G23">
        <v>6</v>
      </c>
      <c r="H23">
        <v>0</v>
      </c>
    </row>
    <row r="24" spans="2:8">
      <c r="B24" t="s">
        <v>296</v>
      </c>
      <c r="C24">
        <v>202400295</v>
      </c>
      <c r="D24">
        <v>99</v>
      </c>
      <c r="E24">
        <v>68</v>
      </c>
      <c r="F24">
        <v>15</v>
      </c>
      <c r="G24">
        <v>10</v>
      </c>
      <c r="H24">
        <v>0</v>
      </c>
    </row>
    <row r="25" spans="2:8">
      <c r="B25" t="s">
        <v>251</v>
      </c>
      <c r="C25">
        <v>202400250</v>
      </c>
      <c r="D25">
        <v>80</v>
      </c>
      <c r="E25">
        <v>86</v>
      </c>
      <c r="F25">
        <v>15</v>
      </c>
      <c r="G25">
        <v>6</v>
      </c>
      <c r="H25">
        <v>0</v>
      </c>
    </row>
    <row r="26" spans="2:8">
      <c r="B26" t="s">
        <v>301</v>
      </c>
      <c r="C26">
        <v>202400300</v>
      </c>
      <c r="D26">
        <v>90</v>
      </c>
      <c r="E26">
        <v>70</v>
      </c>
      <c r="F26">
        <v>19</v>
      </c>
      <c r="G26">
        <v>7</v>
      </c>
      <c r="H26">
        <v>0</v>
      </c>
    </row>
    <row r="27" spans="2:8">
      <c r="B27" t="s">
        <v>217</v>
      </c>
      <c r="C27">
        <v>202400216</v>
      </c>
      <c r="D27">
        <v>93</v>
      </c>
      <c r="E27">
        <v>68</v>
      </c>
      <c r="F27">
        <v>16</v>
      </c>
      <c r="G27">
        <v>6</v>
      </c>
      <c r="H27">
        <v>0</v>
      </c>
    </row>
    <row r="28" spans="2:8">
      <c r="B28" t="s">
        <v>239</v>
      </c>
      <c r="C28">
        <v>202400238</v>
      </c>
      <c r="D28">
        <v>85</v>
      </c>
      <c r="E28">
        <v>88</v>
      </c>
      <c r="F28">
        <v>15</v>
      </c>
      <c r="G28">
        <v>9</v>
      </c>
      <c r="H28">
        <v>0</v>
      </c>
    </row>
    <row r="29" spans="2:8">
      <c r="B29" t="s">
        <v>207</v>
      </c>
      <c r="C29">
        <v>202400206</v>
      </c>
      <c r="D29">
        <v>93</v>
      </c>
      <c r="E29">
        <v>72</v>
      </c>
      <c r="F29">
        <v>16</v>
      </c>
      <c r="G29">
        <v>8</v>
      </c>
      <c r="H29">
        <v>0</v>
      </c>
    </row>
    <row r="30" spans="2:8">
      <c r="B30" t="s">
        <v>282</v>
      </c>
      <c r="C30">
        <v>202400281</v>
      </c>
      <c r="D30">
        <v>91</v>
      </c>
      <c r="E30">
        <v>62</v>
      </c>
      <c r="F30">
        <v>20</v>
      </c>
      <c r="G30">
        <v>8</v>
      </c>
      <c r="H30">
        <v>0</v>
      </c>
    </row>
    <row r="31" spans="2:8">
      <c r="B31" t="s">
        <v>219</v>
      </c>
      <c r="C31">
        <v>202400218</v>
      </c>
      <c r="D31">
        <v>98</v>
      </c>
      <c r="E31">
        <v>84</v>
      </c>
      <c r="F31">
        <v>15</v>
      </c>
      <c r="G31">
        <v>6</v>
      </c>
      <c r="H31">
        <v>0</v>
      </c>
    </row>
    <row r="32" spans="2:8">
      <c r="B32" t="s">
        <v>243</v>
      </c>
      <c r="C32">
        <v>202400242</v>
      </c>
      <c r="D32">
        <v>95</v>
      </c>
      <c r="E32">
        <v>87</v>
      </c>
      <c r="F32">
        <v>19</v>
      </c>
      <c r="G32">
        <v>9</v>
      </c>
      <c r="H32">
        <v>0</v>
      </c>
    </row>
    <row r="33" spans="2:8">
      <c r="B33" t="s">
        <v>286</v>
      </c>
      <c r="C33">
        <v>202400285</v>
      </c>
      <c r="D33">
        <v>97</v>
      </c>
      <c r="E33">
        <v>73</v>
      </c>
      <c r="F33">
        <v>17</v>
      </c>
      <c r="G33">
        <v>9</v>
      </c>
      <c r="H33">
        <v>0</v>
      </c>
    </row>
    <row r="34" spans="2:8">
      <c r="B34" t="s">
        <v>214</v>
      </c>
      <c r="C34">
        <v>202400213</v>
      </c>
      <c r="D34">
        <v>99</v>
      </c>
      <c r="E34">
        <v>76</v>
      </c>
      <c r="F34">
        <v>17</v>
      </c>
      <c r="G34">
        <v>8</v>
      </c>
      <c r="H34">
        <v>0</v>
      </c>
    </row>
    <row r="35" spans="2:8">
      <c r="B35" t="s">
        <v>256</v>
      </c>
      <c r="C35">
        <v>202400255</v>
      </c>
      <c r="D35">
        <v>97</v>
      </c>
      <c r="E35">
        <v>100</v>
      </c>
      <c r="F35">
        <v>20</v>
      </c>
      <c r="G35">
        <v>10</v>
      </c>
      <c r="H35">
        <v>0</v>
      </c>
    </row>
    <row r="36" spans="2:8">
      <c r="B36" t="s">
        <v>287</v>
      </c>
      <c r="C36">
        <v>202400286</v>
      </c>
      <c r="D36">
        <v>83</v>
      </c>
      <c r="E36">
        <v>81</v>
      </c>
      <c r="F36">
        <v>19</v>
      </c>
      <c r="G36">
        <v>9</v>
      </c>
      <c r="H36">
        <v>0</v>
      </c>
    </row>
    <row r="37" spans="2:8">
      <c r="B37" t="s">
        <v>295</v>
      </c>
      <c r="C37">
        <v>202400294</v>
      </c>
      <c r="D37">
        <v>85</v>
      </c>
      <c r="E37">
        <v>56</v>
      </c>
      <c r="F37">
        <v>20</v>
      </c>
      <c r="G37">
        <v>10</v>
      </c>
      <c r="H37">
        <v>0</v>
      </c>
    </row>
    <row r="38" spans="2:8">
      <c r="B38" t="s">
        <v>261</v>
      </c>
      <c r="C38">
        <v>202400260</v>
      </c>
      <c r="D38">
        <v>83</v>
      </c>
      <c r="E38">
        <v>55</v>
      </c>
      <c r="F38">
        <v>18</v>
      </c>
      <c r="G38">
        <v>10</v>
      </c>
      <c r="H38">
        <v>0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BE46E-5A62-574F-915E-2EDD6E345DC1}">
  <sheetPr>
    <tabColor theme="8" tint="0.79998168889431442"/>
  </sheetPr>
  <dimension ref="B1:M48"/>
  <sheetViews>
    <sheetView topLeftCell="A4" zoomScaleNormal="10" workbookViewId="0">
      <selection activeCell="H4" sqref="H4:H48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507</v>
      </c>
      <c r="C2">
        <v>1</v>
      </c>
      <c r="D2" t="s">
        <v>516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320</v>
      </c>
      <c r="C4">
        <v>202400319</v>
      </c>
      <c r="D4">
        <v>5</v>
      </c>
      <c r="E4">
        <v>80</v>
      </c>
      <c r="F4">
        <v>19</v>
      </c>
      <c r="G4">
        <v>10</v>
      </c>
      <c r="H4">
        <v>0</v>
      </c>
    </row>
    <row r="5" spans="2:13">
      <c r="B5" t="s">
        <v>311</v>
      </c>
      <c r="C5">
        <v>202400310</v>
      </c>
      <c r="D5">
        <v>2</v>
      </c>
      <c r="E5">
        <v>92</v>
      </c>
      <c r="F5">
        <v>20</v>
      </c>
      <c r="G5">
        <v>9</v>
      </c>
      <c r="H5">
        <v>0</v>
      </c>
    </row>
    <row r="6" spans="2:13">
      <c r="B6" t="s">
        <v>370</v>
      </c>
      <c r="C6">
        <v>202400369</v>
      </c>
      <c r="D6">
        <v>2</v>
      </c>
      <c r="E6">
        <v>93</v>
      </c>
      <c r="F6">
        <v>16</v>
      </c>
      <c r="G6">
        <v>7</v>
      </c>
      <c r="H6">
        <v>0</v>
      </c>
    </row>
    <row r="7" spans="2:13">
      <c r="B7" t="s">
        <v>387</v>
      </c>
      <c r="C7">
        <v>202400386</v>
      </c>
      <c r="D7">
        <v>5</v>
      </c>
      <c r="E7">
        <v>51</v>
      </c>
      <c r="F7">
        <v>6</v>
      </c>
      <c r="G7">
        <v>10</v>
      </c>
      <c r="H7">
        <v>0</v>
      </c>
    </row>
    <row r="8" spans="2:13">
      <c r="B8" t="s">
        <v>302</v>
      </c>
      <c r="C8">
        <v>202400301</v>
      </c>
      <c r="D8">
        <v>0</v>
      </c>
      <c r="E8">
        <v>70</v>
      </c>
      <c r="F8">
        <v>1</v>
      </c>
      <c r="G8">
        <v>10</v>
      </c>
      <c r="H8">
        <v>0</v>
      </c>
    </row>
    <row r="9" spans="2:13">
      <c r="B9" t="s">
        <v>368</v>
      </c>
      <c r="C9">
        <v>202400367</v>
      </c>
      <c r="D9">
        <v>6</v>
      </c>
      <c r="E9">
        <v>61</v>
      </c>
      <c r="F9">
        <v>10</v>
      </c>
      <c r="G9">
        <v>10</v>
      </c>
      <c r="H9">
        <v>0</v>
      </c>
    </row>
    <row r="10" spans="2:13">
      <c r="B10" t="s">
        <v>372</v>
      </c>
      <c r="C10">
        <v>202400371</v>
      </c>
      <c r="D10">
        <v>5</v>
      </c>
      <c r="E10">
        <v>95</v>
      </c>
      <c r="F10">
        <v>13</v>
      </c>
      <c r="G10">
        <v>8</v>
      </c>
      <c r="H10">
        <v>0</v>
      </c>
    </row>
    <row r="11" spans="2:13">
      <c r="B11" t="s">
        <v>388</v>
      </c>
      <c r="C11">
        <v>202400387</v>
      </c>
      <c r="D11">
        <v>4</v>
      </c>
      <c r="E11">
        <v>59</v>
      </c>
      <c r="F11">
        <v>3</v>
      </c>
      <c r="G11">
        <v>7</v>
      </c>
      <c r="H11">
        <v>0</v>
      </c>
    </row>
    <row r="12" spans="2:13">
      <c r="B12" t="s">
        <v>338</v>
      </c>
      <c r="C12">
        <v>202400337</v>
      </c>
      <c r="D12">
        <v>5</v>
      </c>
      <c r="E12">
        <v>94</v>
      </c>
      <c r="F12">
        <v>8</v>
      </c>
      <c r="G12">
        <v>10</v>
      </c>
      <c r="H12">
        <v>0</v>
      </c>
    </row>
    <row r="13" spans="2:13">
      <c r="B13" t="s">
        <v>401</v>
      </c>
      <c r="C13">
        <v>202400400</v>
      </c>
      <c r="D13">
        <v>6</v>
      </c>
      <c r="E13">
        <v>54</v>
      </c>
      <c r="F13">
        <v>17</v>
      </c>
      <c r="G13">
        <v>8</v>
      </c>
      <c r="H13">
        <v>0</v>
      </c>
    </row>
    <row r="14" spans="2:13">
      <c r="B14" t="s">
        <v>363</v>
      </c>
      <c r="C14">
        <v>202400362</v>
      </c>
      <c r="D14">
        <v>9</v>
      </c>
      <c r="E14">
        <v>90</v>
      </c>
      <c r="F14">
        <v>15</v>
      </c>
      <c r="G14">
        <v>8</v>
      </c>
      <c r="H14">
        <v>0</v>
      </c>
    </row>
    <row r="15" spans="2:13">
      <c r="B15" t="s">
        <v>328</v>
      </c>
      <c r="C15">
        <v>202400327</v>
      </c>
      <c r="D15">
        <v>6</v>
      </c>
      <c r="E15">
        <v>78</v>
      </c>
      <c r="F15">
        <v>11</v>
      </c>
      <c r="G15">
        <v>6</v>
      </c>
      <c r="H15">
        <v>0</v>
      </c>
    </row>
    <row r="16" spans="2:13">
      <c r="B16" t="s">
        <v>350</v>
      </c>
      <c r="C16">
        <v>202400349</v>
      </c>
      <c r="D16">
        <v>3</v>
      </c>
      <c r="E16">
        <v>97</v>
      </c>
      <c r="F16">
        <v>20</v>
      </c>
      <c r="G16">
        <v>6</v>
      </c>
      <c r="H16">
        <v>0</v>
      </c>
    </row>
    <row r="17" spans="2:8">
      <c r="B17" t="s">
        <v>340</v>
      </c>
      <c r="C17">
        <v>202400339</v>
      </c>
      <c r="D17">
        <v>3</v>
      </c>
      <c r="E17">
        <v>88</v>
      </c>
      <c r="F17">
        <v>12</v>
      </c>
      <c r="G17">
        <v>9</v>
      </c>
      <c r="H17">
        <v>0</v>
      </c>
    </row>
    <row r="18" spans="2:8">
      <c r="B18" t="s">
        <v>343</v>
      </c>
      <c r="C18">
        <v>202400342</v>
      </c>
      <c r="D18">
        <v>4</v>
      </c>
      <c r="E18">
        <v>82</v>
      </c>
      <c r="F18">
        <v>0</v>
      </c>
      <c r="G18">
        <v>6</v>
      </c>
      <c r="H18">
        <v>0</v>
      </c>
    </row>
    <row r="19" spans="2:8">
      <c r="B19" t="s">
        <v>376</v>
      </c>
      <c r="C19">
        <v>202400375</v>
      </c>
      <c r="D19">
        <v>0</v>
      </c>
      <c r="E19">
        <v>97</v>
      </c>
      <c r="F19">
        <v>0</v>
      </c>
      <c r="G19">
        <v>6</v>
      </c>
      <c r="H19">
        <v>0</v>
      </c>
    </row>
    <row r="20" spans="2:8">
      <c r="B20" t="s">
        <v>303</v>
      </c>
      <c r="C20">
        <v>202400302</v>
      </c>
      <c r="D20">
        <v>8</v>
      </c>
      <c r="E20">
        <v>50</v>
      </c>
      <c r="F20">
        <v>0</v>
      </c>
      <c r="G20">
        <v>9</v>
      </c>
      <c r="H20">
        <v>0</v>
      </c>
    </row>
    <row r="21" spans="2:8">
      <c r="B21" t="s">
        <v>334</v>
      </c>
      <c r="C21">
        <v>202400333</v>
      </c>
      <c r="D21">
        <v>5</v>
      </c>
      <c r="E21">
        <v>69</v>
      </c>
      <c r="F21">
        <v>18</v>
      </c>
      <c r="G21">
        <v>10</v>
      </c>
      <c r="H21">
        <v>0</v>
      </c>
    </row>
    <row r="22" spans="2:8">
      <c r="B22" t="s">
        <v>309</v>
      </c>
      <c r="C22">
        <v>202400308</v>
      </c>
      <c r="D22">
        <v>2</v>
      </c>
      <c r="E22">
        <v>58</v>
      </c>
      <c r="F22">
        <v>4</v>
      </c>
      <c r="G22">
        <v>6</v>
      </c>
      <c r="H22">
        <v>0</v>
      </c>
    </row>
    <row r="23" spans="2:8">
      <c r="B23" t="s">
        <v>382</v>
      </c>
      <c r="C23">
        <v>202400381</v>
      </c>
      <c r="D23">
        <v>2</v>
      </c>
      <c r="E23">
        <v>86</v>
      </c>
      <c r="F23">
        <v>2</v>
      </c>
      <c r="G23">
        <v>9</v>
      </c>
      <c r="H23">
        <v>0</v>
      </c>
    </row>
    <row r="24" spans="2:8">
      <c r="B24" t="s">
        <v>345</v>
      </c>
      <c r="C24">
        <v>202400344</v>
      </c>
      <c r="D24">
        <v>9</v>
      </c>
      <c r="E24">
        <v>58</v>
      </c>
      <c r="F24">
        <v>5</v>
      </c>
      <c r="G24">
        <v>8</v>
      </c>
      <c r="H24">
        <v>0</v>
      </c>
    </row>
    <row r="25" spans="2:8">
      <c r="B25" t="s">
        <v>354</v>
      </c>
      <c r="C25">
        <v>202400353</v>
      </c>
      <c r="D25">
        <v>10</v>
      </c>
      <c r="E25">
        <v>92</v>
      </c>
      <c r="F25">
        <v>6</v>
      </c>
      <c r="G25">
        <v>6</v>
      </c>
      <c r="H25">
        <v>0</v>
      </c>
    </row>
    <row r="26" spans="2:8">
      <c r="B26" t="s">
        <v>381</v>
      </c>
      <c r="C26">
        <v>202400380</v>
      </c>
      <c r="D26">
        <v>3</v>
      </c>
      <c r="E26">
        <v>98</v>
      </c>
      <c r="F26">
        <v>16</v>
      </c>
      <c r="G26">
        <v>8</v>
      </c>
      <c r="H26">
        <v>0</v>
      </c>
    </row>
    <row r="27" spans="2:8">
      <c r="B27" t="s">
        <v>316</v>
      </c>
      <c r="C27">
        <v>202400315</v>
      </c>
      <c r="D27">
        <v>4</v>
      </c>
      <c r="E27">
        <v>50</v>
      </c>
      <c r="F27">
        <v>19</v>
      </c>
      <c r="G27">
        <v>7</v>
      </c>
      <c r="H27">
        <v>0</v>
      </c>
    </row>
    <row r="28" spans="2:8">
      <c r="B28" t="s">
        <v>364</v>
      </c>
      <c r="C28">
        <v>202400363</v>
      </c>
      <c r="D28">
        <v>7</v>
      </c>
      <c r="E28">
        <v>67</v>
      </c>
      <c r="F28">
        <v>20</v>
      </c>
      <c r="G28">
        <v>8</v>
      </c>
      <c r="H28">
        <v>0</v>
      </c>
    </row>
    <row r="29" spans="2:8">
      <c r="B29" t="s">
        <v>365</v>
      </c>
      <c r="C29">
        <v>202400364</v>
      </c>
      <c r="D29">
        <v>7</v>
      </c>
      <c r="E29">
        <v>55</v>
      </c>
      <c r="F29">
        <v>16</v>
      </c>
      <c r="G29">
        <v>6</v>
      </c>
      <c r="H29">
        <v>0</v>
      </c>
    </row>
    <row r="30" spans="2:8">
      <c r="B30" t="s">
        <v>472</v>
      </c>
      <c r="C30">
        <v>202400006</v>
      </c>
      <c r="D30">
        <v>0</v>
      </c>
      <c r="E30">
        <v>85</v>
      </c>
      <c r="F30">
        <v>2</v>
      </c>
      <c r="G30">
        <v>7</v>
      </c>
      <c r="H30">
        <v>0</v>
      </c>
    </row>
    <row r="31" spans="2:8">
      <c r="B31" t="s">
        <v>304</v>
      </c>
      <c r="C31">
        <v>202400303</v>
      </c>
      <c r="D31">
        <v>3</v>
      </c>
      <c r="E31">
        <v>93</v>
      </c>
      <c r="F31">
        <v>9</v>
      </c>
      <c r="G31">
        <v>7</v>
      </c>
      <c r="H31">
        <v>0</v>
      </c>
    </row>
    <row r="32" spans="2:8">
      <c r="B32" t="s">
        <v>355</v>
      </c>
      <c r="C32">
        <v>202400354</v>
      </c>
      <c r="D32">
        <v>8</v>
      </c>
      <c r="E32">
        <v>78</v>
      </c>
      <c r="F32">
        <v>19</v>
      </c>
      <c r="G32">
        <v>9</v>
      </c>
      <c r="H32">
        <v>0</v>
      </c>
    </row>
    <row r="33" spans="2:8">
      <c r="B33" t="s">
        <v>325</v>
      </c>
      <c r="C33">
        <v>202400324</v>
      </c>
      <c r="D33">
        <v>3</v>
      </c>
      <c r="E33">
        <v>68</v>
      </c>
      <c r="F33">
        <v>6</v>
      </c>
      <c r="G33">
        <v>7</v>
      </c>
      <c r="H33">
        <v>0</v>
      </c>
    </row>
    <row r="34" spans="2:8">
      <c r="B34" t="s">
        <v>383</v>
      </c>
      <c r="C34">
        <v>202400382</v>
      </c>
      <c r="D34">
        <v>2</v>
      </c>
      <c r="E34">
        <v>81</v>
      </c>
      <c r="F34">
        <v>20</v>
      </c>
      <c r="G34">
        <v>10</v>
      </c>
      <c r="H34">
        <v>0</v>
      </c>
    </row>
    <row r="35" spans="2:8">
      <c r="B35" t="s">
        <v>308</v>
      </c>
      <c r="C35">
        <v>202400307</v>
      </c>
      <c r="D35">
        <v>3</v>
      </c>
      <c r="E35">
        <v>53</v>
      </c>
      <c r="F35">
        <v>1</v>
      </c>
      <c r="G35">
        <v>9</v>
      </c>
      <c r="H35">
        <v>0</v>
      </c>
    </row>
    <row r="36" spans="2:8">
      <c r="B36" t="s">
        <v>326</v>
      </c>
      <c r="C36">
        <v>202400325</v>
      </c>
      <c r="D36">
        <v>5</v>
      </c>
      <c r="E36">
        <v>87</v>
      </c>
      <c r="F36">
        <v>18</v>
      </c>
      <c r="G36">
        <v>9</v>
      </c>
      <c r="H36">
        <v>0</v>
      </c>
    </row>
    <row r="37" spans="2:8">
      <c r="B37" t="s">
        <v>366</v>
      </c>
      <c r="C37">
        <v>202400365</v>
      </c>
      <c r="D37">
        <v>4</v>
      </c>
      <c r="E37">
        <v>79</v>
      </c>
      <c r="F37">
        <v>16</v>
      </c>
      <c r="G37">
        <v>7</v>
      </c>
      <c r="H37">
        <v>0</v>
      </c>
    </row>
    <row r="38" spans="2:8">
      <c r="B38" t="s">
        <v>380</v>
      </c>
      <c r="C38">
        <v>202400379</v>
      </c>
      <c r="D38">
        <v>0</v>
      </c>
      <c r="E38">
        <v>84</v>
      </c>
      <c r="F38">
        <v>20</v>
      </c>
      <c r="G38">
        <v>10</v>
      </c>
      <c r="H38">
        <v>0</v>
      </c>
    </row>
    <row r="39" spans="2:8">
      <c r="B39" t="s">
        <v>305</v>
      </c>
      <c r="C39">
        <v>202400304</v>
      </c>
      <c r="D39">
        <v>4</v>
      </c>
      <c r="E39">
        <v>64</v>
      </c>
      <c r="F39">
        <v>14</v>
      </c>
      <c r="G39">
        <v>6</v>
      </c>
      <c r="H39">
        <v>0</v>
      </c>
    </row>
    <row r="40" spans="2:8">
      <c r="B40" t="s">
        <v>361</v>
      </c>
      <c r="C40">
        <v>202400360</v>
      </c>
      <c r="D40">
        <v>6</v>
      </c>
      <c r="E40">
        <v>78</v>
      </c>
      <c r="F40">
        <v>4</v>
      </c>
      <c r="G40">
        <v>8</v>
      </c>
      <c r="H40">
        <v>0</v>
      </c>
    </row>
    <row r="41" spans="2:8">
      <c r="B41" t="s">
        <v>384</v>
      </c>
      <c r="C41">
        <v>202400383</v>
      </c>
      <c r="D41">
        <v>1</v>
      </c>
      <c r="E41">
        <v>56</v>
      </c>
      <c r="F41">
        <v>0</v>
      </c>
      <c r="G41">
        <v>7</v>
      </c>
      <c r="H41">
        <v>0</v>
      </c>
    </row>
    <row r="42" spans="2:8">
      <c r="B42" t="s">
        <v>341</v>
      </c>
      <c r="C42">
        <v>202400340</v>
      </c>
      <c r="D42">
        <v>4</v>
      </c>
      <c r="E42">
        <v>99</v>
      </c>
      <c r="F42">
        <v>17</v>
      </c>
      <c r="G42">
        <v>7</v>
      </c>
      <c r="H42">
        <v>0</v>
      </c>
    </row>
    <row r="43" spans="2:8">
      <c r="B43" t="s">
        <v>319</v>
      </c>
      <c r="C43">
        <v>202400318</v>
      </c>
      <c r="D43">
        <v>1</v>
      </c>
      <c r="E43">
        <v>50</v>
      </c>
      <c r="F43">
        <v>13</v>
      </c>
      <c r="G43">
        <v>10</v>
      </c>
      <c r="H43">
        <v>0</v>
      </c>
    </row>
    <row r="44" spans="2:8">
      <c r="B44" t="s">
        <v>385</v>
      </c>
      <c r="C44">
        <v>202400384</v>
      </c>
      <c r="D44">
        <v>3</v>
      </c>
      <c r="E44">
        <v>92</v>
      </c>
      <c r="F44">
        <v>13</v>
      </c>
      <c r="G44">
        <v>10</v>
      </c>
      <c r="H44">
        <v>0</v>
      </c>
    </row>
    <row r="45" spans="2:8">
      <c r="B45" t="s">
        <v>348</v>
      </c>
      <c r="C45">
        <v>202400347</v>
      </c>
      <c r="D45">
        <v>10</v>
      </c>
      <c r="E45">
        <v>70</v>
      </c>
      <c r="F45">
        <v>19</v>
      </c>
      <c r="G45">
        <v>10</v>
      </c>
      <c r="H45">
        <v>0</v>
      </c>
    </row>
    <row r="46" spans="2:8">
      <c r="B46" t="s">
        <v>360</v>
      </c>
      <c r="C46">
        <v>202400359</v>
      </c>
      <c r="D46">
        <v>3</v>
      </c>
      <c r="E46">
        <v>60</v>
      </c>
      <c r="F46">
        <v>15</v>
      </c>
      <c r="G46">
        <v>6</v>
      </c>
      <c r="H46">
        <v>0</v>
      </c>
    </row>
    <row r="47" spans="2:8">
      <c r="B47" t="s">
        <v>400</v>
      </c>
      <c r="C47">
        <v>202400399</v>
      </c>
      <c r="D47">
        <v>5</v>
      </c>
      <c r="E47">
        <v>61</v>
      </c>
      <c r="F47">
        <v>14</v>
      </c>
      <c r="G47">
        <v>6</v>
      </c>
      <c r="H47">
        <v>0</v>
      </c>
    </row>
    <row r="48" spans="2:8">
      <c r="B48" t="s">
        <v>371</v>
      </c>
      <c r="C48">
        <v>202400370</v>
      </c>
      <c r="D48">
        <v>3</v>
      </c>
      <c r="E48">
        <v>68</v>
      </c>
      <c r="F48">
        <v>8</v>
      </c>
      <c r="G48">
        <v>10</v>
      </c>
      <c r="H48">
        <v>0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9D85-A8FA-764C-92A0-D46AE8AA942E}">
  <sheetPr>
    <tabColor theme="8" tint="0.79998168889431442"/>
  </sheetPr>
  <dimension ref="B1:M46"/>
  <sheetViews>
    <sheetView topLeftCell="A2" workbookViewId="0">
      <selection activeCell="H4" sqref="H4:H46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507</v>
      </c>
      <c r="C2">
        <v>2</v>
      </c>
      <c r="D2" t="s">
        <v>517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317</v>
      </c>
      <c r="C4">
        <v>202400316</v>
      </c>
      <c r="D4">
        <v>5</v>
      </c>
      <c r="E4">
        <v>76</v>
      </c>
      <c r="F4">
        <v>19</v>
      </c>
      <c r="G4">
        <v>6</v>
      </c>
      <c r="H4">
        <v>0</v>
      </c>
    </row>
    <row r="5" spans="2:13">
      <c r="B5" t="s">
        <v>312</v>
      </c>
      <c r="C5">
        <v>202400311</v>
      </c>
      <c r="D5">
        <v>8</v>
      </c>
      <c r="E5">
        <v>83</v>
      </c>
      <c r="F5">
        <v>8</v>
      </c>
      <c r="G5">
        <v>10</v>
      </c>
      <c r="H5">
        <v>0</v>
      </c>
    </row>
    <row r="6" spans="2:13">
      <c r="B6" t="s">
        <v>374</v>
      </c>
      <c r="C6">
        <v>202400373</v>
      </c>
      <c r="D6">
        <v>5</v>
      </c>
      <c r="E6">
        <v>70</v>
      </c>
      <c r="F6">
        <v>15</v>
      </c>
      <c r="G6">
        <v>8</v>
      </c>
      <c r="H6">
        <v>0</v>
      </c>
    </row>
    <row r="7" spans="2:13">
      <c r="B7" t="s">
        <v>357</v>
      </c>
      <c r="C7">
        <v>202400356</v>
      </c>
      <c r="D7">
        <v>8</v>
      </c>
      <c r="E7">
        <v>71</v>
      </c>
      <c r="F7">
        <v>9</v>
      </c>
      <c r="G7">
        <v>10</v>
      </c>
      <c r="H7">
        <v>0</v>
      </c>
    </row>
    <row r="8" spans="2:13">
      <c r="B8" t="s">
        <v>323</v>
      </c>
      <c r="C8">
        <v>202400322</v>
      </c>
      <c r="D8">
        <v>4</v>
      </c>
      <c r="E8">
        <v>96</v>
      </c>
      <c r="F8">
        <v>8</v>
      </c>
      <c r="G8">
        <v>9</v>
      </c>
      <c r="H8">
        <v>0</v>
      </c>
    </row>
    <row r="9" spans="2:13">
      <c r="B9" t="s">
        <v>398</v>
      </c>
      <c r="C9">
        <v>202400397</v>
      </c>
      <c r="D9">
        <v>4</v>
      </c>
      <c r="E9">
        <v>55</v>
      </c>
      <c r="F9">
        <v>3</v>
      </c>
      <c r="G9">
        <v>8</v>
      </c>
      <c r="H9">
        <v>0</v>
      </c>
    </row>
    <row r="10" spans="2:13">
      <c r="B10" t="s">
        <v>329</v>
      </c>
      <c r="C10">
        <v>202400328</v>
      </c>
      <c r="D10">
        <v>0</v>
      </c>
      <c r="E10">
        <v>73</v>
      </c>
      <c r="F10">
        <v>4</v>
      </c>
      <c r="G10">
        <v>7</v>
      </c>
      <c r="H10">
        <v>0</v>
      </c>
    </row>
    <row r="11" spans="2:13">
      <c r="B11" t="s">
        <v>322</v>
      </c>
      <c r="C11">
        <v>202400321</v>
      </c>
      <c r="D11">
        <v>2</v>
      </c>
      <c r="E11">
        <v>58</v>
      </c>
      <c r="F11">
        <v>3</v>
      </c>
      <c r="G11">
        <v>7</v>
      </c>
      <c r="H11">
        <v>0</v>
      </c>
    </row>
    <row r="12" spans="2:13">
      <c r="B12" t="s">
        <v>310</v>
      </c>
      <c r="C12">
        <v>202400309</v>
      </c>
      <c r="D12">
        <v>1</v>
      </c>
      <c r="E12">
        <v>87</v>
      </c>
      <c r="F12">
        <v>0</v>
      </c>
      <c r="G12">
        <v>10</v>
      </c>
      <c r="H12">
        <v>0</v>
      </c>
    </row>
    <row r="13" spans="2:13">
      <c r="B13" t="s">
        <v>330</v>
      </c>
      <c r="C13">
        <v>202400329</v>
      </c>
      <c r="D13">
        <v>0</v>
      </c>
      <c r="E13">
        <v>79</v>
      </c>
      <c r="F13">
        <v>1</v>
      </c>
      <c r="G13">
        <v>6</v>
      </c>
      <c r="H13">
        <v>0</v>
      </c>
    </row>
    <row r="14" spans="2:13">
      <c r="B14" t="s">
        <v>391</v>
      </c>
      <c r="C14">
        <v>202400390</v>
      </c>
      <c r="D14">
        <v>4</v>
      </c>
      <c r="E14">
        <v>58</v>
      </c>
      <c r="F14">
        <v>10</v>
      </c>
      <c r="G14">
        <v>7</v>
      </c>
      <c r="H14">
        <v>0</v>
      </c>
    </row>
    <row r="15" spans="2:13">
      <c r="B15" t="s">
        <v>306</v>
      </c>
      <c r="C15">
        <v>202400305</v>
      </c>
      <c r="D15">
        <v>2</v>
      </c>
      <c r="E15">
        <v>78</v>
      </c>
      <c r="F15">
        <v>8</v>
      </c>
      <c r="G15">
        <v>7</v>
      </c>
      <c r="H15">
        <v>0</v>
      </c>
    </row>
    <row r="16" spans="2:13">
      <c r="B16" t="s">
        <v>393</v>
      </c>
      <c r="C16">
        <v>202400392</v>
      </c>
      <c r="D16">
        <v>9</v>
      </c>
      <c r="E16">
        <v>76</v>
      </c>
      <c r="F16">
        <v>16</v>
      </c>
      <c r="G16">
        <v>8</v>
      </c>
      <c r="H16">
        <v>0</v>
      </c>
    </row>
    <row r="17" spans="2:8">
      <c r="B17" t="s">
        <v>395</v>
      </c>
      <c r="C17">
        <v>202400394</v>
      </c>
      <c r="D17">
        <v>1</v>
      </c>
      <c r="E17">
        <v>86</v>
      </c>
      <c r="F17">
        <v>19</v>
      </c>
      <c r="G17">
        <v>10</v>
      </c>
      <c r="H17">
        <v>0</v>
      </c>
    </row>
    <row r="18" spans="2:8">
      <c r="B18" t="s">
        <v>327</v>
      </c>
      <c r="C18">
        <v>202400326</v>
      </c>
      <c r="D18">
        <v>8</v>
      </c>
      <c r="E18">
        <v>85</v>
      </c>
      <c r="F18">
        <v>20</v>
      </c>
      <c r="G18">
        <v>7</v>
      </c>
      <c r="H18">
        <v>0</v>
      </c>
    </row>
    <row r="19" spans="2:8">
      <c r="B19" t="s">
        <v>336</v>
      </c>
      <c r="C19">
        <v>202400335</v>
      </c>
      <c r="D19">
        <v>10</v>
      </c>
      <c r="E19">
        <v>72</v>
      </c>
      <c r="F19">
        <v>0</v>
      </c>
      <c r="G19">
        <v>6</v>
      </c>
      <c r="H19">
        <v>0</v>
      </c>
    </row>
    <row r="20" spans="2:8">
      <c r="B20" t="s">
        <v>346</v>
      </c>
      <c r="C20">
        <v>202400345</v>
      </c>
      <c r="D20">
        <v>10</v>
      </c>
      <c r="E20">
        <v>75</v>
      </c>
      <c r="F20">
        <v>2</v>
      </c>
      <c r="G20">
        <v>6</v>
      </c>
      <c r="H20">
        <v>0</v>
      </c>
    </row>
    <row r="21" spans="2:8">
      <c r="B21" t="s">
        <v>358</v>
      </c>
      <c r="C21">
        <v>202400357</v>
      </c>
      <c r="D21">
        <v>3</v>
      </c>
      <c r="E21">
        <v>98</v>
      </c>
      <c r="F21">
        <v>20</v>
      </c>
      <c r="G21">
        <v>10</v>
      </c>
      <c r="H21">
        <v>0</v>
      </c>
    </row>
    <row r="22" spans="2:8">
      <c r="B22" t="s">
        <v>390</v>
      </c>
      <c r="C22">
        <v>202400389</v>
      </c>
      <c r="D22">
        <v>1</v>
      </c>
      <c r="E22">
        <v>99</v>
      </c>
      <c r="F22">
        <v>11</v>
      </c>
      <c r="G22">
        <v>7</v>
      </c>
      <c r="H22">
        <v>0</v>
      </c>
    </row>
    <row r="23" spans="2:8">
      <c r="B23" t="s">
        <v>321</v>
      </c>
      <c r="C23">
        <v>202400320</v>
      </c>
      <c r="D23">
        <v>4</v>
      </c>
      <c r="E23">
        <v>63</v>
      </c>
      <c r="F23">
        <v>17</v>
      </c>
      <c r="G23">
        <v>9</v>
      </c>
      <c r="H23">
        <v>0</v>
      </c>
    </row>
    <row r="24" spans="2:8">
      <c r="B24" t="s">
        <v>332</v>
      </c>
      <c r="C24">
        <v>202400331</v>
      </c>
      <c r="D24">
        <v>2</v>
      </c>
      <c r="E24">
        <v>80</v>
      </c>
      <c r="F24">
        <v>7</v>
      </c>
      <c r="G24">
        <v>10</v>
      </c>
      <c r="H24">
        <v>0</v>
      </c>
    </row>
    <row r="25" spans="2:8">
      <c r="B25" t="s">
        <v>307</v>
      </c>
      <c r="C25">
        <v>202400306</v>
      </c>
      <c r="D25">
        <v>2</v>
      </c>
      <c r="E25">
        <v>84</v>
      </c>
      <c r="F25">
        <v>6</v>
      </c>
      <c r="G25">
        <v>10</v>
      </c>
      <c r="H25">
        <v>0</v>
      </c>
    </row>
    <row r="26" spans="2:8">
      <c r="B26" t="s">
        <v>352</v>
      </c>
      <c r="C26">
        <v>202400351</v>
      </c>
      <c r="D26">
        <v>2</v>
      </c>
      <c r="E26">
        <v>52</v>
      </c>
      <c r="F26">
        <v>17</v>
      </c>
      <c r="G26">
        <v>6</v>
      </c>
      <c r="H26">
        <v>0</v>
      </c>
    </row>
    <row r="27" spans="2:8">
      <c r="B27" t="s">
        <v>324</v>
      </c>
      <c r="C27">
        <v>202400323</v>
      </c>
      <c r="D27">
        <v>4</v>
      </c>
      <c r="E27">
        <v>72</v>
      </c>
      <c r="F27">
        <v>3</v>
      </c>
      <c r="G27">
        <v>9</v>
      </c>
      <c r="H27">
        <v>0</v>
      </c>
    </row>
    <row r="28" spans="2:8">
      <c r="B28" t="s">
        <v>353</v>
      </c>
      <c r="C28">
        <v>202400352</v>
      </c>
      <c r="D28">
        <v>1</v>
      </c>
      <c r="E28">
        <v>92</v>
      </c>
      <c r="F28">
        <v>7</v>
      </c>
      <c r="G28">
        <v>8</v>
      </c>
      <c r="H28">
        <v>0</v>
      </c>
    </row>
    <row r="29" spans="2:8">
      <c r="B29" t="s">
        <v>356</v>
      </c>
      <c r="C29">
        <v>202400355</v>
      </c>
      <c r="D29">
        <v>7</v>
      </c>
      <c r="E29">
        <v>78</v>
      </c>
      <c r="F29">
        <v>12</v>
      </c>
      <c r="G29">
        <v>6</v>
      </c>
      <c r="H29">
        <v>0</v>
      </c>
    </row>
    <row r="30" spans="2:8">
      <c r="B30" t="s">
        <v>379</v>
      </c>
      <c r="C30">
        <v>202400378</v>
      </c>
      <c r="D30">
        <v>9</v>
      </c>
      <c r="E30">
        <v>91</v>
      </c>
      <c r="F30">
        <v>3</v>
      </c>
      <c r="G30">
        <v>9</v>
      </c>
      <c r="H30">
        <v>0</v>
      </c>
    </row>
    <row r="31" spans="2:8">
      <c r="B31" t="s">
        <v>347</v>
      </c>
      <c r="C31">
        <v>202400346</v>
      </c>
      <c r="D31">
        <v>6</v>
      </c>
      <c r="E31">
        <v>71</v>
      </c>
      <c r="F31">
        <v>6</v>
      </c>
      <c r="G31">
        <v>6</v>
      </c>
      <c r="H31">
        <v>0</v>
      </c>
    </row>
    <row r="32" spans="2:8">
      <c r="B32" t="s">
        <v>318</v>
      </c>
      <c r="C32">
        <v>202400317</v>
      </c>
      <c r="D32">
        <v>5</v>
      </c>
      <c r="E32">
        <v>92</v>
      </c>
      <c r="F32">
        <v>10</v>
      </c>
      <c r="G32">
        <v>7</v>
      </c>
      <c r="H32">
        <v>0</v>
      </c>
    </row>
    <row r="33" spans="2:8">
      <c r="B33" t="s">
        <v>331</v>
      </c>
      <c r="C33">
        <v>202400330</v>
      </c>
      <c r="D33">
        <v>10</v>
      </c>
      <c r="E33">
        <v>56</v>
      </c>
      <c r="F33">
        <v>20</v>
      </c>
      <c r="G33">
        <v>7</v>
      </c>
      <c r="H33">
        <v>0</v>
      </c>
    </row>
    <row r="34" spans="2:8">
      <c r="B34" t="s">
        <v>373</v>
      </c>
      <c r="C34">
        <v>202400372</v>
      </c>
      <c r="D34">
        <v>1</v>
      </c>
      <c r="E34">
        <v>64</v>
      </c>
      <c r="F34">
        <v>20</v>
      </c>
      <c r="G34">
        <v>10</v>
      </c>
      <c r="H34">
        <v>0</v>
      </c>
    </row>
    <row r="35" spans="2:8">
      <c r="B35" t="s">
        <v>396</v>
      </c>
      <c r="C35">
        <v>202400395</v>
      </c>
      <c r="D35">
        <v>1</v>
      </c>
      <c r="E35">
        <v>70</v>
      </c>
      <c r="F35">
        <v>4</v>
      </c>
      <c r="G35">
        <v>7</v>
      </c>
      <c r="H35">
        <v>0</v>
      </c>
    </row>
    <row r="36" spans="2:8">
      <c r="B36" t="s">
        <v>362</v>
      </c>
      <c r="C36">
        <v>202400361</v>
      </c>
      <c r="D36">
        <v>2</v>
      </c>
      <c r="E36">
        <v>69</v>
      </c>
      <c r="F36">
        <v>2</v>
      </c>
      <c r="G36">
        <v>8</v>
      </c>
      <c r="H36">
        <v>0</v>
      </c>
    </row>
    <row r="37" spans="2:8">
      <c r="B37" t="s">
        <v>349</v>
      </c>
      <c r="C37">
        <v>202400348</v>
      </c>
      <c r="D37">
        <v>0</v>
      </c>
      <c r="E37">
        <v>100</v>
      </c>
      <c r="F37">
        <v>5</v>
      </c>
      <c r="G37">
        <v>7</v>
      </c>
      <c r="H37">
        <v>0</v>
      </c>
    </row>
    <row r="38" spans="2:8">
      <c r="B38" t="s">
        <v>375</v>
      </c>
      <c r="C38">
        <v>202400374</v>
      </c>
      <c r="D38">
        <v>0</v>
      </c>
      <c r="E38">
        <v>89</v>
      </c>
      <c r="F38">
        <v>8</v>
      </c>
      <c r="G38">
        <v>10</v>
      </c>
      <c r="H38">
        <v>0</v>
      </c>
    </row>
    <row r="39" spans="2:8">
      <c r="B39" t="s">
        <v>351</v>
      </c>
      <c r="C39">
        <v>202400350</v>
      </c>
      <c r="D39">
        <v>2</v>
      </c>
      <c r="E39">
        <v>98</v>
      </c>
      <c r="F39">
        <v>6</v>
      </c>
      <c r="G39">
        <v>8</v>
      </c>
      <c r="H39">
        <v>0</v>
      </c>
    </row>
    <row r="40" spans="2:8">
      <c r="B40" t="s">
        <v>397</v>
      </c>
      <c r="C40">
        <v>202400396</v>
      </c>
      <c r="D40">
        <v>0</v>
      </c>
      <c r="E40">
        <v>58</v>
      </c>
      <c r="F40">
        <v>5</v>
      </c>
      <c r="G40">
        <v>6</v>
      </c>
      <c r="H40">
        <v>0</v>
      </c>
    </row>
    <row r="41" spans="2:8">
      <c r="B41" t="s">
        <v>342</v>
      </c>
      <c r="C41">
        <v>202400341</v>
      </c>
      <c r="D41">
        <v>9</v>
      </c>
      <c r="E41">
        <v>54</v>
      </c>
      <c r="F41">
        <v>8</v>
      </c>
      <c r="G41">
        <v>9</v>
      </c>
      <c r="H41">
        <v>0</v>
      </c>
    </row>
    <row r="42" spans="2:8">
      <c r="B42" t="s">
        <v>315</v>
      </c>
      <c r="C42">
        <v>202400314</v>
      </c>
      <c r="D42">
        <v>7</v>
      </c>
      <c r="E42">
        <v>54</v>
      </c>
      <c r="F42">
        <v>7</v>
      </c>
      <c r="G42">
        <v>9</v>
      </c>
      <c r="H42">
        <v>0</v>
      </c>
    </row>
    <row r="43" spans="2:8">
      <c r="B43" t="s">
        <v>335</v>
      </c>
      <c r="C43">
        <v>202400334</v>
      </c>
      <c r="D43">
        <v>4</v>
      </c>
      <c r="E43">
        <v>73</v>
      </c>
      <c r="F43">
        <v>13</v>
      </c>
      <c r="G43">
        <v>8</v>
      </c>
      <c r="H43">
        <v>0</v>
      </c>
    </row>
    <row r="44" spans="2:8">
      <c r="B44" t="s">
        <v>389</v>
      </c>
      <c r="C44">
        <v>202400388</v>
      </c>
      <c r="D44">
        <v>6</v>
      </c>
      <c r="E44">
        <v>92</v>
      </c>
      <c r="F44">
        <v>3</v>
      </c>
      <c r="G44">
        <v>10</v>
      </c>
      <c r="H44">
        <v>0</v>
      </c>
    </row>
    <row r="45" spans="2:8">
      <c r="B45" t="s">
        <v>394</v>
      </c>
      <c r="C45">
        <v>202400393</v>
      </c>
      <c r="D45">
        <v>10</v>
      </c>
      <c r="E45">
        <v>87</v>
      </c>
      <c r="F45">
        <v>17</v>
      </c>
      <c r="G45">
        <v>10</v>
      </c>
      <c r="H45">
        <v>0</v>
      </c>
    </row>
    <row r="46" spans="2:8">
      <c r="B46" t="s">
        <v>399</v>
      </c>
      <c r="C46">
        <v>202400398</v>
      </c>
      <c r="D46">
        <v>8</v>
      </c>
      <c r="E46">
        <v>88</v>
      </c>
      <c r="F46">
        <v>14</v>
      </c>
      <c r="G46">
        <v>7</v>
      </c>
      <c r="H46">
        <v>0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D213B-A82B-344A-9CA7-05DDA88C4D93}">
  <dimension ref="B1:M159"/>
  <sheetViews>
    <sheetView workbookViewId="0">
      <selection activeCell="H4" sqref="H4:H159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508</v>
      </c>
      <c r="C2">
        <v>1</v>
      </c>
      <c r="D2" t="s">
        <v>516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353</v>
      </c>
      <c r="C4">
        <v>202400352</v>
      </c>
      <c r="D4">
        <v>21</v>
      </c>
      <c r="E4">
        <v>90</v>
      </c>
      <c r="F4">
        <v>16</v>
      </c>
      <c r="G4">
        <v>10</v>
      </c>
      <c r="H4">
        <v>0</v>
      </c>
    </row>
    <row r="5" spans="2:13">
      <c r="B5" t="s">
        <v>187</v>
      </c>
      <c r="C5">
        <v>202400186</v>
      </c>
      <c r="D5">
        <v>13</v>
      </c>
      <c r="E5">
        <v>62</v>
      </c>
      <c r="F5">
        <v>15</v>
      </c>
      <c r="G5">
        <v>9</v>
      </c>
      <c r="H5">
        <v>0</v>
      </c>
    </row>
    <row r="6" spans="2:13">
      <c r="B6" t="s">
        <v>59</v>
      </c>
      <c r="C6">
        <v>202400058</v>
      </c>
      <c r="D6">
        <v>14</v>
      </c>
      <c r="E6">
        <v>66</v>
      </c>
      <c r="F6">
        <v>12</v>
      </c>
      <c r="G6">
        <v>3</v>
      </c>
      <c r="H6">
        <v>0</v>
      </c>
    </row>
    <row r="7" spans="2:13">
      <c r="B7" t="s">
        <v>142</v>
      </c>
      <c r="C7">
        <v>202400141</v>
      </c>
      <c r="D7">
        <v>34</v>
      </c>
      <c r="E7">
        <v>58</v>
      </c>
      <c r="F7">
        <v>12</v>
      </c>
      <c r="G7">
        <v>9</v>
      </c>
      <c r="H7">
        <v>0</v>
      </c>
    </row>
    <row r="8" spans="2:13">
      <c r="B8" t="s">
        <v>478</v>
      </c>
      <c r="C8">
        <v>202400283</v>
      </c>
      <c r="D8">
        <v>0</v>
      </c>
      <c r="E8">
        <v>41</v>
      </c>
      <c r="F8">
        <v>20</v>
      </c>
      <c r="G8">
        <v>8</v>
      </c>
      <c r="H8">
        <v>0</v>
      </c>
    </row>
    <row r="9" spans="2:13">
      <c r="B9" t="s">
        <v>395</v>
      </c>
      <c r="C9">
        <v>202400394</v>
      </c>
      <c r="D9">
        <v>7</v>
      </c>
      <c r="E9">
        <v>99</v>
      </c>
      <c r="F9">
        <v>19</v>
      </c>
      <c r="G9">
        <v>8</v>
      </c>
      <c r="H9">
        <v>0</v>
      </c>
    </row>
    <row r="10" spans="2:13">
      <c r="B10" t="s">
        <v>88</v>
      </c>
      <c r="C10">
        <v>202400087</v>
      </c>
      <c r="D10">
        <v>17</v>
      </c>
      <c r="E10">
        <v>95</v>
      </c>
      <c r="F10">
        <v>17</v>
      </c>
      <c r="G10">
        <v>9</v>
      </c>
      <c r="H10">
        <v>0</v>
      </c>
    </row>
    <row r="11" spans="2:13">
      <c r="B11" t="s">
        <v>61</v>
      </c>
      <c r="C11">
        <v>202400060</v>
      </c>
      <c r="D11">
        <v>13</v>
      </c>
      <c r="E11">
        <v>64</v>
      </c>
      <c r="F11">
        <v>13</v>
      </c>
      <c r="G11">
        <v>8</v>
      </c>
      <c r="H11">
        <v>0</v>
      </c>
    </row>
    <row r="12" spans="2:13">
      <c r="B12" t="s">
        <v>387</v>
      </c>
      <c r="C12">
        <v>202400386</v>
      </c>
      <c r="D12">
        <v>1</v>
      </c>
      <c r="E12">
        <v>88</v>
      </c>
      <c r="F12">
        <v>14</v>
      </c>
      <c r="G12">
        <v>8</v>
      </c>
      <c r="H12">
        <v>0</v>
      </c>
    </row>
    <row r="13" spans="2:13">
      <c r="B13" t="s">
        <v>400</v>
      </c>
      <c r="C13">
        <v>202400399</v>
      </c>
      <c r="D13">
        <v>36</v>
      </c>
      <c r="E13">
        <v>68</v>
      </c>
      <c r="F13">
        <v>12</v>
      </c>
      <c r="G13">
        <v>5</v>
      </c>
      <c r="H13">
        <v>0</v>
      </c>
    </row>
    <row r="14" spans="2:13">
      <c r="B14" t="s">
        <v>73</v>
      </c>
      <c r="C14">
        <v>202400072</v>
      </c>
      <c r="D14">
        <v>9</v>
      </c>
      <c r="E14">
        <v>44</v>
      </c>
      <c r="F14">
        <v>18</v>
      </c>
      <c r="G14">
        <v>10</v>
      </c>
      <c r="H14">
        <v>0</v>
      </c>
    </row>
    <row r="15" spans="2:13">
      <c r="B15" t="s">
        <v>127</v>
      </c>
      <c r="C15">
        <v>202400126</v>
      </c>
      <c r="D15">
        <v>9</v>
      </c>
      <c r="E15">
        <v>61</v>
      </c>
      <c r="F15">
        <v>11</v>
      </c>
      <c r="G15">
        <v>4</v>
      </c>
      <c r="H15">
        <v>0</v>
      </c>
    </row>
    <row r="16" spans="2:13">
      <c r="B16" t="s">
        <v>13</v>
      </c>
      <c r="C16">
        <v>202400012</v>
      </c>
      <c r="D16">
        <v>37</v>
      </c>
      <c r="E16">
        <v>81</v>
      </c>
      <c r="F16">
        <v>12</v>
      </c>
      <c r="G16">
        <v>4</v>
      </c>
      <c r="H16">
        <v>0</v>
      </c>
    </row>
    <row r="17" spans="2:8">
      <c r="B17" t="s">
        <v>283</v>
      </c>
      <c r="C17">
        <v>202400282</v>
      </c>
      <c r="D17">
        <v>1</v>
      </c>
      <c r="E17">
        <v>37</v>
      </c>
      <c r="F17">
        <v>12</v>
      </c>
      <c r="G17">
        <v>5</v>
      </c>
      <c r="H17">
        <v>0</v>
      </c>
    </row>
    <row r="18" spans="2:8">
      <c r="B18" t="s">
        <v>164</v>
      </c>
      <c r="C18">
        <v>202400163</v>
      </c>
      <c r="D18">
        <v>38</v>
      </c>
      <c r="E18">
        <v>81</v>
      </c>
      <c r="F18">
        <v>12</v>
      </c>
      <c r="G18">
        <v>5</v>
      </c>
      <c r="H18">
        <v>0</v>
      </c>
    </row>
    <row r="19" spans="2:8">
      <c r="B19" t="s">
        <v>145</v>
      </c>
      <c r="C19">
        <v>202400144</v>
      </c>
      <c r="D19">
        <v>26</v>
      </c>
      <c r="E19">
        <v>44</v>
      </c>
      <c r="F19">
        <v>13</v>
      </c>
      <c r="G19">
        <v>6</v>
      </c>
      <c r="H19">
        <v>0</v>
      </c>
    </row>
    <row r="20" spans="2:8">
      <c r="B20" t="s">
        <v>92</v>
      </c>
      <c r="C20">
        <v>202400091</v>
      </c>
      <c r="D20">
        <v>2</v>
      </c>
      <c r="E20">
        <v>56</v>
      </c>
      <c r="F20">
        <v>15</v>
      </c>
      <c r="G20">
        <v>10</v>
      </c>
      <c r="H20">
        <v>0</v>
      </c>
    </row>
    <row r="21" spans="2:8">
      <c r="B21" t="s">
        <v>161</v>
      </c>
      <c r="C21">
        <v>202400160</v>
      </c>
      <c r="D21">
        <v>35</v>
      </c>
      <c r="E21">
        <v>79</v>
      </c>
      <c r="F21">
        <v>20</v>
      </c>
      <c r="G21">
        <v>4</v>
      </c>
      <c r="H21">
        <v>0</v>
      </c>
    </row>
    <row r="22" spans="2:8">
      <c r="B22" t="s">
        <v>286</v>
      </c>
      <c r="C22">
        <v>202400285</v>
      </c>
      <c r="D22">
        <v>31</v>
      </c>
      <c r="E22">
        <v>91</v>
      </c>
      <c r="F22">
        <v>17</v>
      </c>
      <c r="G22">
        <v>8</v>
      </c>
      <c r="H22">
        <v>0</v>
      </c>
    </row>
    <row r="23" spans="2:8">
      <c r="B23" t="s">
        <v>174</v>
      </c>
      <c r="C23">
        <v>202400173</v>
      </c>
      <c r="D23">
        <v>7</v>
      </c>
      <c r="E23">
        <v>100</v>
      </c>
      <c r="F23">
        <v>18</v>
      </c>
      <c r="G23">
        <v>4</v>
      </c>
      <c r="H23">
        <v>0</v>
      </c>
    </row>
    <row r="24" spans="2:8">
      <c r="B24" t="s">
        <v>215</v>
      </c>
      <c r="C24">
        <v>202400214</v>
      </c>
      <c r="D24">
        <v>24</v>
      </c>
      <c r="E24">
        <v>36</v>
      </c>
      <c r="F24">
        <v>10</v>
      </c>
      <c r="G24">
        <v>7</v>
      </c>
      <c r="H24">
        <v>0</v>
      </c>
    </row>
    <row r="25" spans="2:8">
      <c r="B25" t="s">
        <v>80</v>
      </c>
      <c r="C25">
        <v>202400079</v>
      </c>
      <c r="D25">
        <v>40</v>
      </c>
      <c r="E25">
        <v>34</v>
      </c>
      <c r="F25">
        <v>15</v>
      </c>
      <c r="G25">
        <v>4</v>
      </c>
      <c r="H25">
        <v>0</v>
      </c>
    </row>
    <row r="26" spans="2:8">
      <c r="B26" t="s">
        <v>245</v>
      </c>
      <c r="C26">
        <v>202400244</v>
      </c>
      <c r="D26">
        <v>25</v>
      </c>
      <c r="E26">
        <v>98</v>
      </c>
      <c r="F26">
        <v>10</v>
      </c>
      <c r="G26">
        <v>3</v>
      </c>
      <c r="H26">
        <v>0</v>
      </c>
    </row>
    <row r="27" spans="2:8">
      <c r="B27" t="s">
        <v>100</v>
      </c>
      <c r="C27">
        <v>202400099</v>
      </c>
      <c r="D27">
        <v>38</v>
      </c>
      <c r="E27">
        <v>59</v>
      </c>
      <c r="F27">
        <v>16</v>
      </c>
      <c r="G27">
        <v>8</v>
      </c>
      <c r="H27">
        <v>0</v>
      </c>
    </row>
    <row r="28" spans="2:8">
      <c r="B28" t="s">
        <v>338</v>
      </c>
      <c r="C28">
        <v>202400337</v>
      </c>
      <c r="D28">
        <v>31</v>
      </c>
      <c r="E28">
        <v>32</v>
      </c>
      <c r="F28">
        <v>16</v>
      </c>
      <c r="G28">
        <v>3</v>
      </c>
      <c r="H28">
        <v>0</v>
      </c>
    </row>
    <row r="29" spans="2:8">
      <c r="B29" t="s">
        <v>60</v>
      </c>
      <c r="C29">
        <v>202400059</v>
      </c>
      <c r="D29">
        <v>20</v>
      </c>
      <c r="E29">
        <v>54</v>
      </c>
      <c r="F29">
        <v>17</v>
      </c>
      <c r="G29">
        <v>6</v>
      </c>
      <c r="H29">
        <v>0</v>
      </c>
    </row>
    <row r="30" spans="2:8">
      <c r="B30" t="s">
        <v>368</v>
      </c>
      <c r="C30">
        <v>202400367</v>
      </c>
      <c r="D30">
        <v>27</v>
      </c>
      <c r="E30">
        <v>32</v>
      </c>
      <c r="F30">
        <v>10</v>
      </c>
      <c r="G30">
        <v>8</v>
      </c>
      <c r="H30">
        <v>0</v>
      </c>
    </row>
    <row r="31" spans="2:8">
      <c r="B31" t="s">
        <v>179</v>
      </c>
      <c r="C31">
        <v>202400178</v>
      </c>
      <c r="D31">
        <v>34</v>
      </c>
      <c r="E31">
        <v>37</v>
      </c>
      <c r="F31">
        <v>19</v>
      </c>
      <c r="G31">
        <v>9</v>
      </c>
      <c r="H31">
        <v>0</v>
      </c>
    </row>
    <row r="32" spans="2:8">
      <c r="B32" t="s">
        <v>272</v>
      </c>
      <c r="C32">
        <v>202400271</v>
      </c>
      <c r="D32">
        <v>14</v>
      </c>
      <c r="E32">
        <v>95</v>
      </c>
      <c r="F32">
        <v>16</v>
      </c>
      <c r="G32">
        <v>4</v>
      </c>
      <c r="H32">
        <v>0</v>
      </c>
    </row>
    <row r="33" spans="2:8">
      <c r="B33" t="s">
        <v>352</v>
      </c>
      <c r="C33">
        <v>202400351</v>
      </c>
      <c r="D33">
        <v>30</v>
      </c>
      <c r="E33">
        <v>95</v>
      </c>
      <c r="F33">
        <v>16</v>
      </c>
      <c r="G33">
        <v>7</v>
      </c>
      <c r="H33">
        <v>0</v>
      </c>
    </row>
    <row r="34" spans="2:8">
      <c r="B34" t="s">
        <v>157</v>
      </c>
      <c r="C34">
        <v>202400156</v>
      </c>
      <c r="D34">
        <v>17</v>
      </c>
      <c r="E34">
        <v>46</v>
      </c>
      <c r="F34">
        <v>18</v>
      </c>
      <c r="G34">
        <v>7</v>
      </c>
      <c r="H34">
        <v>0</v>
      </c>
    </row>
    <row r="35" spans="2:8">
      <c r="B35" t="s">
        <v>83</v>
      </c>
      <c r="C35">
        <v>202400082</v>
      </c>
      <c r="D35">
        <v>25</v>
      </c>
      <c r="E35">
        <v>70</v>
      </c>
      <c r="F35">
        <v>19</v>
      </c>
      <c r="G35">
        <v>7</v>
      </c>
      <c r="H35">
        <v>0</v>
      </c>
    </row>
    <row r="36" spans="2:8">
      <c r="B36" t="s">
        <v>249</v>
      </c>
      <c r="C36">
        <v>202400248</v>
      </c>
      <c r="D36">
        <v>9</v>
      </c>
      <c r="E36">
        <v>88</v>
      </c>
      <c r="F36">
        <v>18</v>
      </c>
      <c r="G36">
        <v>8</v>
      </c>
      <c r="H36">
        <v>0</v>
      </c>
    </row>
    <row r="37" spans="2:8">
      <c r="B37" t="s">
        <v>227</v>
      </c>
      <c r="C37">
        <v>202400226</v>
      </c>
      <c r="D37">
        <v>28</v>
      </c>
      <c r="E37">
        <v>65</v>
      </c>
      <c r="F37">
        <v>20</v>
      </c>
      <c r="G37">
        <v>6</v>
      </c>
      <c r="H37">
        <v>0</v>
      </c>
    </row>
    <row r="38" spans="2:8">
      <c r="B38" t="s">
        <v>17</v>
      </c>
      <c r="C38">
        <v>202400016</v>
      </c>
      <c r="D38">
        <v>11</v>
      </c>
      <c r="E38">
        <v>63</v>
      </c>
      <c r="F38">
        <v>15</v>
      </c>
      <c r="G38">
        <v>7</v>
      </c>
      <c r="H38">
        <v>0</v>
      </c>
    </row>
    <row r="39" spans="2:8">
      <c r="B39" t="s">
        <v>276</v>
      </c>
      <c r="C39">
        <v>202400275</v>
      </c>
      <c r="D39">
        <v>21</v>
      </c>
      <c r="E39">
        <v>96</v>
      </c>
      <c r="F39">
        <v>20</v>
      </c>
      <c r="G39">
        <v>5</v>
      </c>
      <c r="H39">
        <v>0</v>
      </c>
    </row>
    <row r="40" spans="2:8">
      <c r="B40" t="s">
        <v>69</v>
      </c>
      <c r="C40">
        <v>202400068</v>
      </c>
      <c r="D40">
        <v>37</v>
      </c>
      <c r="E40">
        <v>80</v>
      </c>
      <c r="F40">
        <v>20</v>
      </c>
      <c r="G40">
        <v>8</v>
      </c>
      <c r="H40">
        <v>0</v>
      </c>
    </row>
    <row r="41" spans="2:8">
      <c r="B41" t="s">
        <v>197</v>
      </c>
      <c r="C41">
        <v>202400196</v>
      </c>
      <c r="D41">
        <v>7</v>
      </c>
      <c r="E41">
        <v>82</v>
      </c>
      <c r="F41">
        <v>17</v>
      </c>
      <c r="G41">
        <v>9</v>
      </c>
      <c r="H41">
        <v>0</v>
      </c>
    </row>
    <row r="42" spans="2:8">
      <c r="B42" t="s">
        <v>237</v>
      </c>
      <c r="C42">
        <v>202400236</v>
      </c>
      <c r="D42">
        <v>33</v>
      </c>
      <c r="E42">
        <v>95</v>
      </c>
      <c r="F42">
        <v>11</v>
      </c>
      <c r="G42">
        <v>7</v>
      </c>
      <c r="H42">
        <v>0</v>
      </c>
    </row>
    <row r="43" spans="2:8">
      <c r="B43" t="s">
        <v>133</v>
      </c>
      <c r="C43">
        <v>202400132</v>
      </c>
      <c r="D43">
        <v>16</v>
      </c>
      <c r="E43">
        <v>68</v>
      </c>
      <c r="F43">
        <v>11</v>
      </c>
      <c r="G43">
        <v>5</v>
      </c>
      <c r="H43">
        <v>0</v>
      </c>
    </row>
    <row r="44" spans="2:8">
      <c r="B44" t="s">
        <v>155</v>
      </c>
      <c r="C44">
        <v>202400154</v>
      </c>
      <c r="D44">
        <v>32</v>
      </c>
      <c r="E44">
        <v>46</v>
      </c>
      <c r="F44">
        <v>13</v>
      </c>
      <c r="G44">
        <v>6</v>
      </c>
      <c r="H44">
        <v>0</v>
      </c>
    </row>
    <row r="45" spans="2:8">
      <c r="B45" t="s">
        <v>209</v>
      </c>
      <c r="C45">
        <v>202400208</v>
      </c>
      <c r="D45">
        <v>28</v>
      </c>
      <c r="E45">
        <v>52</v>
      </c>
      <c r="F45">
        <v>12</v>
      </c>
      <c r="G45">
        <v>9</v>
      </c>
      <c r="H45">
        <v>0</v>
      </c>
    </row>
    <row r="46" spans="2:8">
      <c r="B46" t="s">
        <v>364</v>
      </c>
      <c r="C46">
        <v>202400363</v>
      </c>
      <c r="D46">
        <v>40</v>
      </c>
      <c r="E46">
        <v>42</v>
      </c>
      <c r="F46">
        <v>12</v>
      </c>
      <c r="G46">
        <v>4</v>
      </c>
      <c r="H46">
        <v>0</v>
      </c>
    </row>
    <row r="47" spans="2:8">
      <c r="B47" t="s">
        <v>49</v>
      </c>
      <c r="C47">
        <v>202400048</v>
      </c>
      <c r="D47">
        <v>33</v>
      </c>
      <c r="E47">
        <v>69</v>
      </c>
      <c r="F47">
        <v>18</v>
      </c>
      <c r="G47">
        <v>3</v>
      </c>
      <c r="H47">
        <v>0</v>
      </c>
    </row>
    <row r="48" spans="2:8">
      <c r="B48" t="s">
        <v>81</v>
      </c>
      <c r="C48">
        <v>202400080</v>
      </c>
      <c r="D48">
        <v>7</v>
      </c>
      <c r="E48">
        <v>33</v>
      </c>
      <c r="F48">
        <v>13</v>
      </c>
      <c r="G48">
        <v>4</v>
      </c>
      <c r="H48">
        <v>0</v>
      </c>
    </row>
    <row r="49" spans="2:8">
      <c r="B49" t="s">
        <v>322</v>
      </c>
      <c r="C49">
        <v>202400321</v>
      </c>
      <c r="D49">
        <v>37</v>
      </c>
      <c r="E49">
        <v>84</v>
      </c>
      <c r="F49">
        <v>17</v>
      </c>
      <c r="G49">
        <v>5</v>
      </c>
      <c r="H49">
        <v>0</v>
      </c>
    </row>
    <row r="50" spans="2:8">
      <c r="B50" t="s">
        <v>119</v>
      </c>
      <c r="C50">
        <v>202400118</v>
      </c>
      <c r="D50">
        <v>12</v>
      </c>
      <c r="E50">
        <v>80</v>
      </c>
      <c r="F50">
        <v>15</v>
      </c>
      <c r="G50">
        <v>3</v>
      </c>
      <c r="H50">
        <v>0</v>
      </c>
    </row>
    <row r="51" spans="2:8">
      <c r="B51" t="s">
        <v>114</v>
      </c>
      <c r="C51">
        <v>202400113</v>
      </c>
      <c r="D51">
        <v>11</v>
      </c>
      <c r="E51">
        <v>88</v>
      </c>
      <c r="F51">
        <v>16</v>
      </c>
      <c r="G51">
        <v>10</v>
      </c>
      <c r="H51">
        <v>0</v>
      </c>
    </row>
    <row r="52" spans="2:8">
      <c r="B52" t="s">
        <v>123</v>
      </c>
      <c r="C52">
        <v>202400122</v>
      </c>
      <c r="D52">
        <v>30</v>
      </c>
      <c r="E52">
        <v>45</v>
      </c>
      <c r="F52">
        <v>19</v>
      </c>
      <c r="G52">
        <v>5</v>
      </c>
      <c r="H52">
        <v>0</v>
      </c>
    </row>
    <row r="53" spans="2:8">
      <c r="B53" t="s">
        <v>231</v>
      </c>
      <c r="C53">
        <v>202400230</v>
      </c>
      <c r="D53">
        <v>2</v>
      </c>
      <c r="E53">
        <v>59</v>
      </c>
      <c r="F53">
        <v>16</v>
      </c>
      <c r="G53">
        <v>4</v>
      </c>
      <c r="H53">
        <v>0</v>
      </c>
    </row>
    <row r="54" spans="2:8">
      <c r="B54" t="s">
        <v>216</v>
      </c>
      <c r="C54">
        <v>202400215</v>
      </c>
      <c r="D54">
        <v>27</v>
      </c>
      <c r="E54">
        <v>72</v>
      </c>
      <c r="F54">
        <v>12</v>
      </c>
      <c r="G54">
        <v>7</v>
      </c>
      <c r="H54">
        <v>0</v>
      </c>
    </row>
    <row r="55" spans="2:8">
      <c r="B55" t="s">
        <v>58</v>
      </c>
      <c r="C55">
        <v>202400057</v>
      </c>
      <c r="D55">
        <v>30</v>
      </c>
      <c r="E55">
        <v>53</v>
      </c>
      <c r="F55">
        <v>15</v>
      </c>
      <c r="G55">
        <v>7</v>
      </c>
      <c r="H55">
        <v>0</v>
      </c>
    </row>
    <row r="56" spans="2:8">
      <c r="B56" t="s">
        <v>152</v>
      </c>
      <c r="C56">
        <v>202400151</v>
      </c>
      <c r="D56">
        <v>25</v>
      </c>
      <c r="E56">
        <v>63</v>
      </c>
      <c r="F56">
        <v>18</v>
      </c>
      <c r="G56">
        <v>9</v>
      </c>
      <c r="H56">
        <v>0</v>
      </c>
    </row>
    <row r="57" spans="2:8">
      <c r="B57" t="s">
        <v>51</v>
      </c>
      <c r="C57">
        <v>202400050</v>
      </c>
      <c r="D57">
        <v>22</v>
      </c>
      <c r="E57">
        <v>55</v>
      </c>
      <c r="F57">
        <v>19</v>
      </c>
      <c r="G57">
        <v>8</v>
      </c>
      <c r="H57">
        <v>0</v>
      </c>
    </row>
    <row r="58" spans="2:8">
      <c r="B58" t="s">
        <v>139</v>
      </c>
      <c r="C58">
        <v>202400138</v>
      </c>
      <c r="D58">
        <v>13</v>
      </c>
      <c r="E58">
        <v>72</v>
      </c>
      <c r="F58">
        <v>12</v>
      </c>
      <c r="G58">
        <v>8</v>
      </c>
      <c r="H58">
        <v>0</v>
      </c>
    </row>
    <row r="59" spans="2:8">
      <c r="B59" t="s">
        <v>293</v>
      </c>
      <c r="C59">
        <v>202400292</v>
      </c>
      <c r="D59">
        <v>23</v>
      </c>
      <c r="E59">
        <v>40</v>
      </c>
      <c r="F59">
        <v>16</v>
      </c>
      <c r="G59">
        <v>5</v>
      </c>
      <c r="H59">
        <v>0</v>
      </c>
    </row>
    <row r="60" spans="2:8">
      <c r="B60" t="s">
        <v>210</v>
      </c>
      <c r="C60">
        <v>202400209</v>
      </c>
      <c r="D60">
        <v>24</v>
      </c>
      <c r="E60">
        <v>49</v>
      </c>
      <c r="F60">
        <v>11</v>
      </c>
      <c r="G60">
        <v>5</v>
      </c>
      <c r="H60">
        <v>0</v>
      </c>
    </row>
    <row r="61" spans="2:8">
      <c r="B61" t="s">
        <v>299</v>
      </c>
      <c r="C61">
        <v>202400298</v>
      </c>
      <c r="D61">
        <v>30</v>
      </c>
      <c r="E61">
        <v>99</v>
      </c>
      <c r="F61">
        <v>19</v>
      </c>
      <c r="G61">
        <v>4</v>
      </c>
      <c r="H61">
        <v>0</v>
      </c>
    </row>
    <row r="62" spans="2:8">
      <c r="B62" t="s">
        <v>31</v>
      </c>
      <c r="C62">
        <v>202400030</v>
      </c>
      <c r="D62">
        <v>3</v>
      </c>
      <c r="E62">
        <v>90</v>
      </c>
      <c r="F62">
        <v>11</v>
      </c>
      <c r="G62">
        <v>4</v>
      </c>
      <c r="H62">
        <v>0</v>
      </c>
    </row>
    <row r="63" spans="2:8">
      <c r="B63" t="s">
        <v>282</v>
      </c>
      <c r="C63">
        <v>202400281</v>
      </c>
      <c r="D63">
        <v>20</v>
      </c>
      <c r="E63">
        <v>45</v>
      </c>
      <c r="F63">
        <v>10</v>
      </c>
      <c r="G63">
        <v>9</v>
      </c>
      <c r="H63">
        <v>0</v>
      </c>
    </row>
    <row r="64" spans="2:8">
      <c r="B64" t="s">
        <v>397</v>
      </c>
      <c r="C64">
        <v>202400396</v>
      </c>
      <c r="D64">
        <v>3</v>
      </c>
      <c r="E64">
        <v>41</v>
      </c>
      <c r="F64">
        <v>11</v>
      </c>
      <c r="G64">
        <v>5</v>
      </c>
      <c r="H64">
        <v>0</v>
      </c>
    </row>
    <row r="65" spans="2:8">
      <c r="B65" t="s">
        <v>141</v>
      </c>
      <c r="C65">
        <v>202400140</v>
      </c>
      <c r="D65">
        <v>16</v>
      </c>
      <c r="E65">
        <v>87</v>
      </c>
      <c r="F65">
        <v>13</v>
      </c>
      <c r="G65">
        <v>6</v>
      </c>
      <c r="H65">
        <v>0</v>
      </c>
    </row>
    <row r="66" spans="2:8">
      <c r="B66" t="s">
        <v>325</v>
      </c>
      <c r="C66">
        <v>202400324</v>
      </c>
      <c r="D66">
        <v>22</v>
      </c>
      <c r="E66">
        <v>87</v>
      </c>
      <c r="F66">
        <v>14</v>
      </c>
      <c r="G66">
        <v>3</v>
      </c>
      <c r="H66">
        <v>0</v>
      </c>
    </row>
    <row r="67" spans="2:8">
      <c r="B67" t="s">
        <v>264</v>
      </c>
      <c r="C67">
        <v>202400263</v>
      </c>
      <c r="D67">
        <v>14</v>
      </c>
      <c r="E67">
        <v>67</v>
      </c>
      <c r="F67">
        <v>10</v>
      </c>
      <c r="G67">
        <v>3</v>
      </c>
      <c r="H67">
        <v>0</v>
      </c>
    </row>
    <row r="68" spans="2:8">
      <c r="B68" t="s">
        <v>291</v>
      </c>
      <c r="C68">
        <v>202400290</v>
      </c>
      <c r="D68">
        <v>26</v>
      </c>
      <c r="E68">
        <v>74</v>
      </c>
      <c r="F68">
        <v>13</v>
      </c>
      <c r="G68">
        <v>4</v>
      </c>
      <c r="H68">
        <v>0</v>
      </c>
    </row>
    <row r="69" spans="2:8">
      <c r="B69" t="s">
        <v>196</v>
      </c>
      <c r="C69">
        <v>202400195</v>
      </c>
      <c r="D69">
        <v>20</v>
      </c>
      <c r="E69">
        <v>47</v>
      </c>
      <c r="F69">
        <v>10</v>
      </c>
      <c r="G69">
        <v>5</v>
      </c>
      <c r="H69">
        <v>0</v>
      </c>
    </row>
    <row r="70" spans="2:8">
      <c r="B70" t="s">
        <v>252</v>
      </c>
      <c r="C70">
        <v>202400251</v>
      </c>
      <c r="D70">
        <v>33</v>
      </c>
      <c r="E70">
        <v>90</v>
      </c>
      <c r="F70">
        <v>12</v>
      </c>
      <c r="G70">
        <v>7</v>
      </c>
      <c r="H70">
        <v>0</v>
      </c>
    </row>
    <row r="71" spans="2:8">
      <c r="B71" t="s">
        <v>108</v>
      </c>
      <c r="C71">
        <v>202400107</v>
      </c>
      <c r="D71">
        <v>24</v>
      </c>
      <c r="E71">
        <v>43</v>
      </c>
      <c r="F71">
        <v>11</v>
      </c>
      <c r="G71">
        <v>3</v>
      </c>
      <c r="H71">
        <v>0</v>
      </c>
    </row>
    <row r="72" spans="2:8">
      <c r="B72" t="s">
        <v>214</v>
      </c>
      <c r="C72">
        <v>202400213</v>
      </c>
      <c r="D72">
        <v>7</v>
      </c>
      <c r="E72">
        <v>90</v>
      </c>
      <c r="F72">
        <v>14</v>
      </c>
      <c r="G72">
        <v>8</v>
      </c>
      <c r="H72">
        <v>0</v>
      </c>
    </row>
    <row r="73" spans="2:8">
      <c r="B73" t="s">
        <v>202</v>
      </c>
      <c r="C73">
        <v>202400201</v>
      </c>
      <c r="D73">
        <v>33</v>
      </c>
      <c r="E73">
        <v>44</v>
      </c>
      <c r="F73">
        <v>20</v>
      </c>
      <c r="G73">
        <v>9</v>
      </c>
      <c r="H73">
        <v>0</v>
      </c>
    </row>
    <row r="74" spans="2:8">
      <c r="B74" t="s">
        <v>341</v>
      </c>
      <c r="C74">
        <v>202400340</v>
      </c>
      <c r="D74">
        <v>21</v>
      </c>
      <c r="E74">
        <v>32</v>
      </c>
      <c r="F74">
        <v>17</v>
      </c>
      <c r="G74">
        <v>4</v>
      </c>
      <c r="H74">
        <v>0</v>
      </c>
    </row>
    <row r="75" spans="2:8">
      <c r="B75" t="s">
        <v>5</v>
      </c>
      <c r="C75">
        <v>202400004</v>
      </c>
      <c r="D75">
        <v>33</v>
      </c>
      <c r="E75">
        <v>77</v>
      </c>
      <c r="F75">
        <v>16</v>
      </c>
      <c r="G75">
        <v>6</v>
      </c>
      <c r="H75">
        <v>0</v>
      </c>
    </row>
    <row r="76" spans="2:8">
      <c r="B76" t="s">
        <v>327</v>
      </c>
      <c r="C76">
        <v>202400326</v>
      </c>
      <c r="D76">
        <v>26</v>
      </c>
      <c r="E76">
        <v>54</v>
      </c>
      <c r="F76">
        <v>11</v>
      </c>
      <c r="G76">
        <v>8</v>
      </c>
      <c r="H76">
        <v>0</v>
      </c>
    </row>
    <row r="77" spans="2:8">
      <c r="B77" t="s">
        <v>273</v>
      </c>
      <c r="C77">
        <v>202400272</v>
      </c>
      <c r="D77">
        <v>5</v>
      </c>
      <c r="E77">
        <v>86</v>
      </c>
      <c r="F77">
        <v>18</v>
      </c>
      <c r="G77">
        <v>8</v>
      </c>
      <c r="H77">
        <v>0</v>
      </c>
    </row>
    <row r="78" spans="2:8">
      <c r="B78" t="s">
        <v>391</v>
      </c>
      <c r="C78">
        <v>202400390</v>
      </c>
      <c r="D78">
        <v>4</v>
      </c>
      <c r="E78">
        <v>93</v>
      </c>
      <c r="F78">
        <v>20</v>
      </c>
      <c r="G78">
        <v>3</v>
      </c>
      <c r="H78">
        <v>0</v>
      </c>
    </row>
    <row r="79" spans="2:8">
      <c r="B79" t="s">
        <v>124</v>
      </c>
      <c r="C79">
        <v>202400123</v>
      </c>
      <c r="D79">
        <v>4</v>
      </c>
      <c r="E79">
        <v>66</v>
      </c>
      <c r="F79">
        <v>16</v>
      </c>
      <c r="G79">
        <v>6</v>
      </c>
      <c r="H79">
        <v>0</v>
      </c>
    </row>
    <row r="80" spans="2:8">
      <c r="B80" t="s">
        <v>393</v>
      </c>
      <c r="C80">
        <v>202400392</v>
      </c>
      <c r="D80">
        <v>28</v>
      </c>
      <c r="E80">
        <v>33</v>
      </c>
      <c r="F80">
        <v>13</v>
      </c>
      <c r="G80">
        <v>7</v>
      </c>
      <c r="H80">
        <v>0</v>
      </c>
    </row>
    <row r="81" spans="2:8">
      <c r="B81" t="s">
        <v>211</v>
      </c>
      <c r="C81">
        <v>202400210</v>
      </c>
      <c r="D81">
        <v>21</v>
      </c>
      <c r="E81">
        <v>88</v>
      </c>
      <c r="F81">
        <v>17</v>
      </c>
      <c r="G81">
        <v>8</v>
      </c>
      <c r="H81">
        <v>0</v>
      </c>
    </row>
    <row r="82" spans="2:8">
      <c r="B82" t="s">
        <v>333</v>
      </c>
      <c r="C82">
        <v>202400332</v>
      </c>
      <c r="D82">
        <v>35</v>
      </c>
      <c r="E82">
        <v>87</v>
      </c>
      <c r="F82">
        <v>17</v>
      </c>
      <c r="G82">
        <v>4</v>
      </c>
      <c r="H82">
        <v>0</v>
      </c>
    </row>
    <row r="83" spans="2:8">
      <c r="B83" t="s">
        <v>41</v>
      </c>
      <c r="C83">
        <v>202400040</v>
      </c>
      <c r="D83">
        <v>38</v>
      </c>
      <c r="E83">
        <v>78</v>
      </c>
      <c r="F83">
        <v>17</v>
      </c>
      <c r="G83">
        <v>7</v>
      </c>
      <c r="H83">
        <v>0</v>
      </c>
    </row>
    <row r="84" spans="2:8">
      <c r="B84" t="s">
        <v>10</v>
      </c>
      <c r="C84">
        <v>202400009</v>
      </c>
      <c r="D84">
        <v>39</v>
      </c>
      <c r="E84">
        <v>73</v>
      </c>
      <c r="F84">
        <v>12</v>
      </c>
      <c r="G84">
        <v>6</v>
      </c>
      <c r="H84">
        <v>0</v>
      </c>
    </row>
    <row r="85" spans="2:8">
      <c r="B85" t="s">
        <v>354</v>
      </c>
      <c r="C85">
        <v>202400353</v>
      </c>
      <c r="D85">
        <v>25</v>
      </c>
      <c r="E85">
        <v>82</v>
      </c>
      <c r="F85">
        <v>11</v>
      </c>
      <c r="G85">
        <v>3</v>
      </c>
      <c r="H85">
        <v>0</v>
      </c>
    </row>
    <row r="86" spans="2:8">
      <c r="B86" t="s">
        <v>144</v>
      </c>
      <c r="C86">
        <v>202400143</v>
      </c>
      <c r="D86">
        <v>4</v>
      </c>
      <c r="E86">
        <v>66</v>
      </c>
      <c r="F86">
        <v>12</v>
      </c>
      <c r="G86">
        <v>9</v>
      </c>
      <c r="H86">
        <v>0</v>
      </c>
    </row>
    <row r="87" spans="2:8">
      <c r="B87" t="s">
        <v>111</v>
      </c>
      <c r="C87">
        <v>202400110</v>
      </c>
      <c r="D87">
        <v>22</v>
      </c>
      <c r="E87">
        <v>94</v>
      </c>
      <c r="F87">
        <v>13</v>
      </c>
      <c r="G87">
        <v>7</v>
      </c>
      <c r="H87">
        <v>0</v>
      </c>
    </row>
    <row r="88" spans="2:8">
      <c r="B88" t="s">
        <v>9</v>
      </c>
      <c r="C88">
        <v>202400008</v>
      </c>
      <c r="D88">
        <v>5</v>
      </c>
      <c r="E88">
        <v>58</v>
      </c>
      <c r="F88">
        <v>11</v>
      </c>
      <c r="G88">
        <v>6</v>
      </c>
      <c r="H88">
        <v>0</v>
      </c>
    </row>
    <row r="89" spans="2:8">
      <c r="B89" t="s">
        <v>305</v>
      </c>
      <c r="C89">
        <v>202400304</v>
      </c>
      <c r="D89">
        <v>2</v>
      </c>
      <c r="E89">
        <v>100</v>
      </c>
      <c r="F89">
        <v>16</v>
      </c>
      <c r="G89">
        <v>10</v>
      </c>
      <c r="H89">
        <v>0</v>
      </c>
    </row>
    <row r="90" spans="2:8">
      <c r="B90" t="s">
        <v>372</v>
      </c>
      <c r="C90">
        <v>202400371</v>
      </c>
      <c r="D90">
        <v>38</v>
      </c>
      <c r="E90">
        <v>43</v>
      </c>
      <c r="F90">
        <v>20</v>
      </c>
      <c r="G90">
        <v>8</v>
      </c>
      <c r="H90">
        <v>0</v>
      </c>
    </row>
    <row r="91" spans="2:8">
      <c r="B91" t="s">
        <v>297</v>
      </c>
      <c r="C91">
        <v>202400296</v>
      </c>
      <c r="D91">
        <v>14</v>
      </c>
      <c r="E91">
        <v>89</v>
      </c>
      <c r="F91">
        <v>16</v>
      </c>
      <c r="G91">
        <v>8</v>
      </c>
      <c r="H91">
        <v>0</v>
      </c>
    </row>
    <row r="92" spans="2:8">
      <c r="B92" t="s">
        <v>118</v>
      </c>
      <c r="C92">
        <v>202400117</v>
      </c>
      <c r="D92">
        <v>39</v>
      </c>
      <c r="E92">
        <v>85</v>
      </c>
      <c r="F92">
        <v>17</v>
      </c>
      <c r="G92">
        <v>8</v>
      </c>
      <c r="H92">
        <v>0</v>
      </c>
    </row>
    <row r="93" spans="2:8">
      <c r="B93" t="s">
        <v>27</v>
      </c>
      <c r="C93">
        <v>202400026</v>
      </c>
      <c r="D93">
        <v>30</v>
      </c>
      <c r="E93">
        <v>84</v>
      </c>
      <c r="F93">
        <v>19</v>
      </c>
      <c r="G93">
        <v>10</v>
      </c>
      <c r="H93">
        <v>0</v>
      </c>
    </row>
    <row r="94" spans="2:8">
      <c r="B94" t="s">
        <v>64</v>
      </c>
      <c r="C94">
        <v>202400063</v>
      </c>
      <c r="D94">
        <v>34</v>
      </c>
      <c r="E94">
        <v>80</v>
      </c>
      <c r="F94">
        <v>10</v>
      </c>
      <c r="G94">
        <v>3</v>
      </c>
      <c r="H94">
        <v>0</v>
      </c>
    </row>
    <row r="95" spans="2:8">
      <c r="B95" t="s">
        <v>151</v>
      </c>
      <c r="C95">
        <v>202400150</v>
      </c>
      <c r="D95">
        <v>33</v>
      </c>
      <c r="E95">
        <v>84</v>
      </c>
      <c r="F95">
        <v>18</v>
      </c>
      <c r="G95">
        <v>10</v>
      </c>
      <c r="H95">
        <v>0</v>
      </c>
    </row>
    <row r="96" spans="2:8">
      <c r="B96" t="s">
        <v>396</v>
      </c>
      <c r="C96">
        <v>202400395</v>
      </c>
      <c r="D96">
        <v>6</v>
      </c>
      <c r="E96">
        <v>82</v>
      </c>
      <c r="F96">
        <v>17</v>
      </c>
      <c r="G96">
        <v>10</v>
      </c>
      <c r="H96">
        <v>0</v>
      </c>
    </row>
    <row r="97" spans="2:8">
      <c r="B97" t="s">
        <v>15</v>
      </c>
      <c r="C97">
        <v>202400014</v>
      </c>
      <c r="D97">
        <v>4</v>
      </c>
      <c r="E97">
        <v>92</v>
      </c>
      <c r="F97">
        <v>10</v>
      </c>
      <c r="G97">
        <v>4</v>
      </c>
      <c r="H97">
        <v>0</v>
      </c>
    </row>
    <row r="98" spans="2:8">
      <c r="B98" t="s">
        <v>392</v>
      </c>
      <c r="C98">
        <v>202400391</v>
      </c>
      <c r="D98">
        <v>40</v>
      </c>
      <c r="E98">
        <v>77</v>
      </c>
      <c r="F98">
        <v>12</v>
      </c>
      <c r="G98">
        <v>7</v>
      </c>
      <c r="H98">
        <v>0</v>
      </c>
    </row>
    <row r="99" spans="2:8">
      <c r="B99" t="s">
        <v>275</v>
      </c>
      <c r="C99">
        <v>202400274</v>
      </c>
      <c r="D99">
        <v>37</v>
      </c>
      <c r="E99">
        <v>44</v>
      </c>
      <c r="F99">
        <v>13</v>
      </c>
      <c r="G99">
        <v>5</v>
      </c>
      <c r="H99">
        <v>0</v>
      </c>
    </row>
    <row r="100" spans="2:8">
      <c r="B100" t="s">
        <v>342</v>
      </c>
      <c r="C100">
        <v>202400341</v>
      </c>
      <c r="D100">
        <v>14</v>
      </c>
      <c r="E100">
        <v>77</v>
      </c>
      <c r="F100">
        <v>15</v>
      </c>
      <c r="G100">
        <v>9</v>
      </c>
      <c r="H100">
        <v>0</v>
      </c>
    </row>
    <row r="101" spans="2:8">
      <c r="B101" t="s">
        <v>192</v>
      </c>
      <c r="C101">
        <v>202400191</v>
      </c>
      <c r="D101">
        <v>19</v>
      </c>
      <c r="E101">
        <v>65</v>
      </c>
      <c r="F101">
        <v>13</v>
      </c>
      <c r="G101">
        <v>7</v>
      </c>
      <c r="H101">
        <v>0</v>
      </c>
    </row>
    <row r="102" spans="2:8">
      <c r="B102" t="s">
        <v>258</v>
      </c>
      <c r="C102">
        <v>202400257</v>
      </c>
      <c r="D102">
        <v>0</v>
      </c>
      <c r="E102">
        <v>31</v>
      </c>
      <c r="F102">
        <v>17</v>
      </c>
      <c r="G102">
        <v>4</v>
      </c>
      <c r="H102">
        <v>0</v>
      </c>
    </row>
    <row r="103" spans="2:8">
      <c r="B103" t="s">
        <v>334</v>
      </c>
      <c r="C103">
        <v>202400333</v>
      </c>
      <c r="D103">
        <v>11</v>
      </c>
      <c r="E103">
        <v>67</v>
      </c>
      <c r="F103">
        <v>10</v>
      </c>
      <c r="G103">
        <v>5</v>
      </c>
      <c r="H103">
        <v>0</v>
      </c>
    </row>
    <row r="104" spans="2:8">
      <c r="B104" t="s">
        <v>390</v>
      </c>
      <c r="C104">
        <v>202400389</v>
      </c>
      <c r="D104">
        <v>23</v>
      </c>
      <c r="E104">
        <v>66</v>
      </c>
      <c r="F104">
        <v>14</v>
      </c>
      <c r="G104">
        <v>4</v>
      </c>
      <c r="H104">
        <v>0</v>
      </c>
    </row>
    <row r="105" spans="2:8">
      <c r="B105" t="s">
        <v>300</v>
      </c>
      <c r="C105">
        <v>202400299</v>
      </c>
      <c r="D105">
        <v>7</v>
      </c>
      <c r="E105">
        <v>99</v>
      </c>
      <c r="F105">
        <v>13</v>
      </c>
      <c r="G105">
        <v>4</v>
      </c>
      <c r="H105">
        <v>0</v>
      </c>
    </row>
    <row r="106" spans="2:8">
      <c r="B106" t="s">
        <v>274</v>
      </c>
      <c r="C106">
        <v>202400273</v>
      </c>
      <c r="D106">
        <v>35</v>
      </c>
      <c r="E106">
        <v>69</v>
      </c>
      <c r="F106">
        <v>20</v>
      </c>
      <c r="G106">
        <v>6</v>
      </c>
      <c r="H106">
        <v>0</v>
      </c>
    </row>
    <row r="107" spans="2:8">
      <c r="B107" t="s">
        <v>289</v>
      </c>
      <c r="C107">
        <v>202400288</v>
      </c>
      <c r="D107">
        <v>2</v>
      </c>
      <c r="E107">
        <v>35</v>
      </c>
      <c r="F107">
        <v>11</v>
      </c>
      <c r="G107">
        <v>4</v>
      </c>
      <c r="H107">
        <v>0</v>
      </c>
    </row>
    <row r="108" spans="2:8">
      <c r="B108" t="s">
        <v>398</v>
      </c>
      <c r="C108">
        <v>202400397</v>
      </c>
      <c r="D108">
        <v>19</v>
      </c>
      <c r="E108">
        <v>74</v>
      </c>
      <c r="F108">
        <v>17</v>
      </c>
      <c r="G108">
        <v>8</v>
      </c>
      <c r="H108">
        <v>0</v>
      </c>
    </row>
    <row r="109" spans="2:8">
      <c r="B109" t="s">
        <v>177</v>
      </c>
      <c r="C109">
        <v>202400176</v>
      </c>
      <c r="D109">
        <v>9</v>
      </c>
      <c r="E109">
        <v>51</v>
      </c>
      <c r="F109">
        <v>19</v>
      </c>
      <c r="G109">
        <v>5</v>
      </c>
      <c r="H109">
        <v>0</v>
      </c>
    </row>
    <row r="110" spans="2:8">
      <c r="B110" t="s">
        <v>143</v>
      </c>
      <c r="C110">
        <v>202400142</v>
      </c>
      <c r="D110">
        <v>18</v>
      </c>
      <c r="E110">
        <v>96</v>
      </c>
      <c r="F110">
        <v>16</v>
      </c>
      <c r="G110">
        <v>3</v>
      </c>
      <c r="H110">
        <v>0</v>
      </c>
    </row>
    <row r="111" spans="2:8">
      <c r="B111" t="s">
        <v>389</v>
      </c>
      <c r="C111">
        <v>202400388</v>
      </c>
      <c r="D111">
        <v>9</v>
      </c>
      <c r="E111">
        <v>68</v>
      </c>
      <c r="F111">
        <v>17</v>
      </c>
      <c r="G111">
        <v>7</v>
      </c>
      <c r="H111">
        <v>0</v>
      </c>
    </row>
    <row r="112" spans="2:8">
      <c r="B112" t="s">
        <v>186</v>
      </c>
      <c r="C112">
        <v>202400185</v>
      </c>
      <c r="D112">
        <v>8</v>
      </c>
      <c r="E112">
        <v>38</v>
      </c>
      <c r="F112">
        <v>17</v>
      </c>
      <c r="G112">
        <v>6</v>
      </c>
      <c r="H112">
        <v>0</v>
      </c>
    </row>
    <row r="113" spans="2:8">
      <c r="B113" t="s">
        <v>125</v>
      </c>
      <c r="C113">
        <v>202400124</v>
      </c>
      <c r="D113">
        <v>3</v>
      </c>
      <c r="E113">
        <v>37</v>
      </c>
      <c r="F113">
        <v>13</v>
      </c>
      <c r="G113">
        <v>9</v>
      </c>
      <c r="H113">
        <v>0</v>
      </c>
    </row>
    <row r="114" spans="2:8">
      <c r="B114" t="s">
        <v>62</v>
      </c>
      <c r="C114">
        <v>202400061</v>
      </c>
      <c r="D114">
        <v>20</v>
      </c>
      <c r="E114">
        <v>34</v>
      </c>
      <c r="F114">
        <v>13</v>
      </c>
      <c r="G114">
        <v>5</v>
      </c>
      <c r="H114">
        <v>0</v>
      </c>
    </row>
    <row r="115" spans="2:8">
      <c r="B115" t="s">
        <v>277</v>
      </c>
      <c r="C115">
        <v>202400276</v>
      </c>
      <c r="D115">
        <v>8</v>
      </c>
      <c r="E115">
        <v>32</v>
      </c>
      <c r="F115">
        <v>20</v>
      </c>
      <c r="G115">
        <v>7</v>
      </c>
      <c r="H115">
        <v>0</v>
      </c>
    </row>
    <row r="116" spans="2:8">
      <c r="B116" t="s">
        <v>74</v>
      </c>
      <c r="C116">
        <v>202400073</v>
      </c>
      <c r="D116">
        <v>24</v>
      </c>
      <c r="E116">
        <v>71</v>
      </c>
      <c r="F116">
        <v>12</v>
      </c>
      <c r="G116">
        <v>4</v>
      </c>
      <c r="H116">
        <v>0</v>
      </c>
    </row>
    <row r="117" spans="2:8">
      <c r="B117" t="s">
        <v>7</v>
      </c>
      <c r="C117">
        <v>202400006</v>
      </c>
      <c r="D117">
        <v>2</v>
      </c>
      <c r="E117">
        <v>45</v>
      </c>
      <c r="F117">
        <v>12</v>
      </c>
      <c r="G117">
        <v>3</v>
      </c>
      <c r="H117">
        <v>0</v>
      </c>
    </row>
    <row r="118" spans="2:8">
      <c r="B118" t="s">
        <v>366</v>
      </c>
      <c r="C118">
        <v>202400365</v>
      </c>
      <c r="D118">
        <v>19</v>
      </c>
      <c r="E118">
        <v>77</v>
      </c>
      <c r="F118">
        <v>13</v>
      </c>
      <c r="G118">
        <v>9</v>
      </c>
      <c r="H118">
        <v>0</v>
      </c>
    </row>
    <row r="119" spans="2:8">
      <c r="B119" t="s">
        <v>278</v>
      </c>
      <c r="C119">
        <v>202400277</v>
      </c>
      <c r="D119">
        <v>24</v>
      </c>
      <c r="E119">
        <v>51</v>
      </c>
      <c r="F119">
        <v>11</v>
      </c>
      <c r="G119">
        <v>8</v>
      </c>
      <c r="H119">
        <v>0</v>
      </c>
    </row>
    <row r="120" spans="2:8">
      <c r="B120" t="s">
        <v>279</v>
      </c>
      <c r="C120">
        <v>202400278</v>
      </c>
      <c r="D120">
        <v>16</v>
      </c>
      <c r="E120">
        <v>33</v>
      </c>
      <c r="F120">
        <v>16</v>
      </c>
      <c r="G120">
        <v>7</v>
      </c>
      <c r="H120">
        <v>0</v>
      </c>
    </row>
    <row r="121" spans="2:8">
      <c r="B121" t="s">
        <v>16</v>
      </c>
      <c r="C121">
        <v>202400015</v>
      </c>
      <c r="D121">
        <v>19</v>
      </c>
      <c r="E121">
        <v>85</v>
      </c>
      <c r="F121">
        <v>20</v>
      </c>
      <c r="G121">
        <v>9</v>
      </c>
      <c r="H121">
        <v>0</v>
      </c>
    </row>
    <row r="122" spans="2:8">
      <c r="B122" t="s">
        <v>52</v>
      </c>
      <c r="C122">
        <v>202400051</v>
      </c>
      <c r="D122">
        <v>24</v>
      </c>
      <c r="E122">
        <v>93</v>
      </c>
      <c r="F122">
        <v>13</v>
      </c>
      <c r="G122">
        <v>6</v>
      </c>
      <c r="H122">
        <v>0</v>
      </c>
    </row>
    <row r="123" spans="2:8">
      <c r="B123" t="s">
        <v>166</v>
      </c>
      <c r="C123">
        <v>202400165</v>
      </c>
      <c r="D123">
        <v>23</v>
      </c>
      <c r="E123">
        <v>31</v>
      </c>
      <c r="F123">
        <v>15</v>
      </c>
      <c r="G123">
        <v>7</v>
      </c>
      <c r="H123">
        <v>0</v>
      </c>
    </row>
    <row r="124" spans="2:8">
      <c r="B124" t="s">
        <v>386</v>
      </c>
      <c r="C124">
        <v>202400385</v>
      </c>
      <c r="D124">
        <v>2</v>
      </c>
      <c r="E124">
        <v>93</v>
      </c>
      <c r="F124">
        <v>20</v>
      </c>
      <c r="G124">
        <v>4</v>
      </c>
      <c r="H124">
        <v>0</v>
      </c>
    </row>
    <row r="125" spans="2:8">
      <c r="B125" t="s">
        <v>257</v>
      </c>
      <c r="C125">
        <v>202400256</v>
      </c>
      <c r="D125">
        <v>34</v>
      </c>
      <c r="E125">
        <v>76</v>
      </c>
      <c r="F125">
        <v>20</v>
      </c>
      <c r="G125">
        <v>3</v>
      </c>
      <c r="H125">
        <v>0</v>
      </c>
    </row>
    <row r="126" spans="2:8">
      <c r="B126" t="s">
        <v>271</v>
      </c>
      <c r="C126">
        <v>202400270</v>
      </c>
      <c r="D126">
        <v>10</v>
      </c>
      <c r="E126">
        <v>46</v>
      </c>
      <c r="F126">
        <v>13</v>
      </c>
      <c r="G126">
        <v>5</v>
      </c>
      <c r="H126">
        <v>0</v>
      </c>
    </row>
    <row r="127" spans="2:8">
      <c r="B127" t="s">
        <v>12</v>
      </c>
      <c r="C127">
        <v>202400011</v>
      </c>
      <c r="D127">
        <v>1</v>
      </c>
      <c r="E127">
        <v>68</v>
      </c>
      <c r="F127">
        <v>12</v>
      </c>
      <c r="G127">
        <v>4</v>
      </c>
      <c r="H127">
        <v>0</v>
      </c>
    </row>
    <row r="128" spans="2:8">
      <c r="B128" t="s">
        <v>34</v>
      </c>
      <c r="C128">
        <v>202400033</v>
      </c>
      <c r="D128">
        <v>33</v>
      </c>
      <c r="E128">
        <v>92</v>
      </c>
      <c r="F128">
        <v>15</v>
      </c>
      <c r="G128">
        <v>7</v>
      </c>
      <c r="H128">
        <v>0</v>
      </c>
    </row>
    <row r="129" spans="2:8">
      <c r="B129" t="s">
        <v>71</v>
      </c>
      <c r="C129">
        <v>202400070</v>
      </c>
      <c r="D129">
        <v>1</v>
      </c>
      <c r="E129">
        <v>88</v>
      </c>
      <c r="F129">
        <v>18</v>
      </c>
      <c r="G129">
        <v>4</v>
      </c>
      <c r="H129">
        <v>0</v>
      </c>
    </row>
    <row r="130" spans="2:8">
      <c r="B130" t="s">
        <v>22</v>
      </c>
      <c r="C130">
        <v>202400021</v>
      </c>
      <c r="D130">
        <v>33</v>
      </c>
      <c r="E130">
        <v>89</v>
      </c>
      <c r="F130">
        <v>14</v>
      </c>
      <c r="G130">
        <v>8</v>
      </c>
      <c r="H130">
        <v>0</v>
      </c>
    </row>
    <row r="131" spans="2:8">
      <c r="B131" t="s">
        <v>70</v>
      </c>
      <c r="C131">
        <v>202400069</v>
      </c>
      <c r="D131">
        <v>10</v>
      </c>
      <c r="E131">
        <v>62</v>
      </c>
      <c r="F131">
        <v>11</v>
      </c>
      <c r="G131">
        <v>8</v>
      </c>
      <c r="H131">
        <v>0</v>
      </c>
    </row>
    <row r="132" spans="2:8">
      <c r="B132" t="s">
        <v>222</v>
      </c>
      <c r="C132">
        <v>202400221</v>
      </c>
      <c r="D132">
        <v>3</v>
      </c>
      <c r="E132">
        <v>40</v>
      </c>
      <c r="F132">
        <v>18</v>
      </c>
      <c r="G132">
        <v>5</v>
      </c>
      <c r="H132">
        <v>0</v>
      </c>
    </row>
    <row r="133" spans="2:8">
      <c r="B133" t="s">
        <v>314</v>
      </c>
      <c r="C133">
        <v>202400313</v>
      </c>
      <c r="D133">
        <v>15</v>
      </c>
      <c r="E133">
        <v>89</v>
      </c>
      <c r="F133">
        <v>18</v>
      </c>
      <c r="G133">
        <v>6</v>
      </c>
      <c r="H133">
        <v>0</v>
      </c>
    </row>
    <row r="134" spans="2:8">
      <c r="B134" t="s">
        <v>355</v>
      </c>
      <c r="C134">
        <v>202400354</v>
      </c>
      <c r="D134">
        <v>2</v>
      </c>
      <c r="E134">
        <v>58</v>
      </c>
      <c r="F134">
        <v>12</v>
      </c>
      <c r="G134">
        <v>5</v>
      </c>
      <c r="H134">
        <v>0</v>
      </c>
    </row>
    <row r="135" spans="2:8">
      <c r="B135" t="s">
        <v>2</v>
      </c>
      <c r="C135">
        <v>202400002</v>
      </c>
      <c r="D135">
        <v>36</v>
      </c>
      <c r="E135">
        <v>90</v>
      </c>
      <c r="F135">
        <v>18</v>
      </c>
      <c r="G135">
        <v>8</v>
      </c>
      <c r="H135">
        <v>0</v>
      </c>
    </row>
    <row r="136" spans="2:8">
      <c r="B136" t="s">
        <v>47</v>
      </c>
      <c r="C136">
        <v>202400046</v>
      </c>
      <c r="D136">
        <v>29</v>
      </c>
      <c r="E136">
        <v>63</v>
      </c>
      <c r="F136">
        <v>12</v>
      </c>
      <c r="G136">
        <v>9</v>
      </c>
      <c r="H136">
        <v>0</v>
      </c>
    </row>
    <row r="137" spans="2:8">
      <c r="B137" t="s">
        <v>213</v>
      </c>
      <c r="C137">
        <v>202400212</v>
      </c>
      <c r="D137">
        <v>6</v>
      </c>
      <c r="E137">
        <v>55</v>
      </c>
      <c r="F137">
        <v>11</v>
      </c>
      <c r="G137">
        <v>10</v>
      </c>
      <c r="H137">
        <v>0</v>
      </c>
    </row>
    <row r="138" spans="2:8">
      <c r="B138" t="s">
        <v>475</v>
      </c>
      <c r="C138">
        <v>202400370</v>
      </c>
      <c r="D138">
        <v>17</v>
      </c>
      <c r="E138">
        <v>40</v>
      </c>
      <c r="F138">
        <v>10</v>
      </c>
      <c r="G138">
        <v>8</v>
      </c>
      <c r="H138">
        <v>0</v>
      </c>
    </row>
    <row r="139" spans="2:8">
      <c r="B139" t="s">
        <v>373</v>
      </c>
      <c r="C139">
        <v>202400372</v>
      </c>
      <c r="D139">
        <v>15</v>
      </c>
      <c r="E139">
        <v>45</v>
      </c>
      <c r="F139">
        <v>14</v>
      </c>
      <c r="G139">
        <v>8</v>
      </c>
      <c r="H139">
        <v>0</v>
      </c>
    </row>
    <row r="140" spans="2:8">
      <c r="B140" t="s">
        <v>167</v>
      </c>
      <c r="C140">
        <v>202400166</v>
      </c>
      <c r="D140">
        <v>0</v>
      </c>
      <c r="E140">
        <v>87</v>
      </c>
      <c r="F140">
        <v>11</v>
      </c>
      <c r="G140">
        <v>7</v>
      </c>
      <c r="H140">
        <v>0</v>
      </c>
    </row>
    <row r="141" spans="2:8">
      <c r="B141" t="s">
        <v>99</v>
      </c>
      <c r="C141">
        <v>202400098</v>
      </c>
      <c r="D141">
        <v>32</v>
      </c>
      <c r="E141">
        <v>77</v>
      </c>
      <c r="F141">
        <v>15</v>
      </c>
      <c r="G141">
        <v>10</v>
      </c>
      <c r="H141">
        <v>0</v>
      </c>
    </row>
    <row r="142" spans="2:8">
      <c r="B142" t="s">
        <v>394</v>
      </c>
      <c r="C142">
        <v>202400393</v>
      </c>
      <c r="D142">
        <v>37</v>
      </c>
      <c r="E142">
        <v>90</v>
      </c>
      <c r="F142">
        <v>14</v>
      </c>
      <c r="G142">
        <v>10</v>
      </c>
      <c r="H142">
        <v>0</v>
      </c>
    </row>
    <row r="143" spans="2:8">
      <c r="B143" t="s">
        <v>148</v>
      </c>
      <c r="C143">
        <v>202400147</v>
      </c>
      <c r="D143">
        <v>23</v>
      </c>
      <c r="E143">
        <v>95</v>
      </c>
      <c r="F143">
        <v>18</v>
      </c>
      <c r="G143">
        <v>3</v>
      </c>
      <c r="H143">
        <v>0</v>
      </c>
    </row>
    <row r="144" spans="2:8">
      <c r="B144" t="s">
        <v>262</v>
      </c>
      <c r="C144">
        <v>202400261</v>
      </c>
      <c r="D144">
        <v>36</v>
      </c>
      <c r="E144">
        <v>51</v>
      </c>
      <c r="F144">
        <v>18</v>
      </c>
      <c r="G144">
        <v>8</v>
      </c>
      <c r="H144">
        <v>0</v>
      </c>
    </row>
    <row r="145" spans="2:8">
      <c r="B145" t="s">
        <v>378</v>
      </c>
      <c r="C145">
        <v>202400377</v>
      </c>
      <c r="D145">
        <v>10</v>
      </c>
      <c r="E145">
        <v>64</v>
      </c>
      <c r="F145">
        <v>15</v>
      </c>
      <c r="G145">
        <v>4</v>
      </c>
      <c r="H145">
        <v>0</v>
      </c>
    </row>
    <row r="146" spans="2:8">
      <c r="B146" t="s">
        <v>370</v>
      </c>
      <c r="C146">
        <v>202400369</v>
      </c>
      <c r="D146">
        <v>18</v>
      </c>
      <c r="E146">
        <v>37</v>
      </c>
      <c r="F146">
        <v>16</v>
      </c>
      <c r="G146">
        <v>10</v>
      </c>
      <c r="H146">
        <v>0</v>
      </c>
    </row>
    <row r="147" spans="2:8">
      <c r="B147" t="s">
        <v>55</v>
      </c>
      <c r="C147">
        <v>202400054</v>
      </c>
      <c r="D147">
        <v>23</v>
      </c>
      <c r="E147">
        <v>70</v>
      </c>
      <c r="F147">
        <v>14</v>
      </c>
      <c r="G147">
        <v>3</v>
      </c>
      <c r="H147">
        <v>0</v>
      </c>
    </row>
    <row r="148" spans="2:8">
      <c r="B148" t="s">
        <v>239</v>
      </c>
      <c r="C148">
        <v>202400238</v>
      </c>
      <c r="D148">
        <v>11</v>
      </c>
      <c r="E148">
        <v>54</v>
      </c>
      <c r="F148">
        <v>20</v>
      </c>
      <c r="G148">
        <v>10</v>
      </c>
      <c r="H148">
        <v>0</v>
      </c>
    </row>
    <row r="149" spans="2:8">
      <c r="B149" t="s">
        <v>259</v>
      </c>
      <c r="C149">
        <v>202400258</v>
      </c>
      <c r="D149">
        <v>25</v>
      </c>
      <c r="E149">
        <v>66</v>
      </c>
      <c r="F149">
        <v>19</v>
      </c>
      <c r="G149">
        <v>8</v>
      </c>
      <c r="H149">
        <v>0</v>
      </c>
    </row>
    <row r="150" spans="2:8">
      <c r="B150" t="s">
        <v>32</v>
      </c>
      <c r="C150">
        <v>202400031</v>
      </c>
      <c r="D150">
        <v>31</v>
      </c>
      <c r="E150">
        <v>40</v>
      </c>
      <c r="F150">
        <v>13</v>
      </c>
      <c r="G150">
        <v>6</v>
      </c>
      <c r="H150">
        <v>0</v>
      </c>
    </row>
    <row r="151" spans="2:8">
      <c r="B151" t="s">
        <v>30</v>
      </c>
      <c r="C151">
        <v>202400029</v>
      </c>
      <c r="D151">
        <v>12</v>
      </c>
      <c r="E151">
        <v>99</v>
      </c>
      <c r="F151">
        <v>13</v>
      </c>
      <c r="G151">
        <v>5</v>
      </c>
      <c r="H151">
        <v>0</v>
      </c>
    </row>
    <row r="152" spans="2:8">
      <c r="B152" t="s">
        <v>236</v>
      </c>
      <c r="C152">
        <v>202400235</v>
      </c>
      <c r="D152">
        <v>23</v>
      </c>
      <c r="E152">
        <v>95</v>
      </c>
      <c r="F152">
        <v>14</v>
      </c>
      <c r="G152">
        <v>5</v>
      </c>
      <c r="H152">
        <v>0</v>
      </c>
    </row>
    <row r="153" spans="2:8">
      <c r="B153" t="s">
        <v>401</v>
      </c>
      <c r="C153">
        <v>202400400</v>
      </c>
      <c r="D153">
        <v>7</v>
      </c>
      <c r="E153">
        <v>84</v>
      </c>
      <c r="F153">
        <v>11</v>
      </c>
      <c r="G153">
        <v>10</v>
      </c>
      <c r="H153">
        <v>0</v>
      </c>
    </row>
    <row r="154" spans="2:8">
      <c r="B154" t="s">
        <v>180</v>
      </c>
      <c r="C154">
        <v>202400179</v>
      </c>
      <c r="D154">
        <v>13</v>
      </c>
      <c r="E154">
        <v>86</v>
      </c>
      <c r="F154">
        <v>13</v>
      </c>
      <c r="G154">
        <v>5</v>
      </c>
      <c r="H154">
        <v>0</v>
      </c>
    </row>
    <row r="155" spans="2:8">
      <c r="B155" t="s">
        <v>39</v>
      </c>
      <c r="C155">
        <v>202400038</v>
      </c>
      <c r="D155">
        <v>28</v>
      </c>
      <c r="E155">
        <v>88</v>
      </c>
      <c r="F155">
        <v>18</v>
      </c>
      <c r="G155">
        <v>8</v>
      </c>
      <c r="H155">
        <v>0</v>
      </c>
    </row>
    <row r="156" spans="2:8">
      <c r="B156" t="s">
        <v>477</v>
      </c>
      <c r="C156">
        <v>202400312</v>
      </c>
      <c r="D156">
        <v>37</v>
      </c>
      <c r="E156">
        <v>58</v>
      </c>
      <c r="F156">
        <v>15</v>
      </c>
      <c r="G156">
        <v>5</v>
      </c>
      <c r="H156">
        <v>0</v>
      </c>
    </row>
    <row r="157" spans="2:8">
      <c r="B157" t="s">
        <v>173</v>
      </c>
      <c r="C157">
        <v>202400172</v>
      </c>
      <c r="D157">
        <v>23</v>
      </c>
      <c r="E157">
        <v>88</v>
      </c>
      <c r="F157">
        <v>18</v>
      </c>
      <c r="G157">
        <v>5</v>
      </c>
      <c r="H157">
        <v>0</v>
      </c>
    </row>
    <row r="158" spans="2:8">
      <c r="B158" t="s">
        <v>112</v>
      </c>
      <c r="C158">
        <v>202400111</v>
      </c>
      <c r="D158">
        <v>20</v>
      </c>
      <c r="E158">
        <v>51</v>
      </c>
      <c r="F158">
        <v>11</v>
      </c>
      <c r="G158">
        <v>7</v>
      </c>
      <c r="H158">
        <v>0</v>
      </c>
    </row>
    <row r="159" spans="2:8">
      <c r="B159" t="s">
        <v>25</v>
      </c>
      <c r="C159">
        <v>202400024</v>
      </c>
      <c r="D159">
        <v>17</v>
      </c>
      <c r="E159">
        <v>50</v>
      </c>
      <c r="F159">
        <v>19</v>
      </c>
      <c r="G159">
        <v>3</v>
      </c>
      <c r="H159">
        <v>0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1BF4-A4EF-574B-88DF-86D5EA1E8A09}">
  <dimension ref="B1:M153"/>
  <sheetViews>
    <sheetView zoomScaleNormal="100" workbookViewId="0">
      <selection activeCell="H4" sqref="H4:H153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509</v>
      </c>
      <c r="C2">
        <v>1</v>
      </c>
      <c r="D2" t="s">
        <v>514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374</v>
      </c>
      <c r="C4">
        <v>202400373</v>
      </c>
      <c r="D4">
        <v>30</v>
      </c>
      <c r="E4">
        <v>79</v>
      </c>
      <c r="F4">
        <v>30</v>
      </c>
      <c r="G4">
        <v>10</v>
      </c>
      <c r="H4">
        <v>0</v>
      </c>
    </row>
    <row r="5" spans="2:13">
      <c r="B5" t="s">
        <v>84</v>
      </c>
      <c r="C5">
        <v>202400083</v>
      </c>
      <c r="D5">
        <v>9</v>
      </c>
      <c r="E5">
        <v>96</v>
      </c>
      <c r="F5">
        <v>21</v>
      </c>
      <c r="G5">
        <v>7</v>
      </c>
      <c r="H5">
        <v>0</v>
      </c>
    </row>
    <row r="6" spans="2:13">
      <c r="B6" t="s">
        <v>308</v>
      </c>
      <c r="C6">
        <v>202400307</v>
      </c>
      <c r="D6">
        <v>27</v>
      </c>
      <c r="E6">
        <v>88</v>
      </c>
      <c r="F6">
        <v>28</v>
      </c>
      <c r="G6">
        <v>10</v>
      </c>
      <c r="H6">
        <v>0</v>
      </c>
    </row>
    <row r="7" spans="2:13">
      <c r="B7" t="s">
        <v>230</v>
      </c>
      <c r="C7">
        <v>202400229</v>
      </c>
      <c r="D7">
        <v>11</v>
      </c>
      <c r="E7">
        <v>53</v>
      </c>
      <c r="F7">
        <v>27</v>
      </c>
      <c r="G7">
        <v>5</v>
      </c>
      <c r="H7">
        <v>0</v>
      </c>
    </row>
    <row r="8" spans="2:13">
      <c r="B8" t="s">
        <v>261</v>
      </c>
      <c r="C8">
        <v>202400260</v>
      </c>
      <c r="D8">
        <v>16</v>
      </c>
      <c r="E8">
        <v>62</v>
      </c>
      <c r="F8">
        <v>14</v>
      </c>
      <c r="G8">
        <v>6</v>
      </c>
      <c r="H8">
        <v>0</v>
      </c>
    </row>
    <row r="9" spans="2:13">
      <c r="B9" t="s">
        <v>166</v>
      </c>
      <c r="C9">
        <v>202400165</v>
      </c>
      <c r="D9">
        <v>17</v>
      </c>
      <c r="E9">
        <v>94</v>
      </c>
      <c r="F9">
        <v>9</v>
      </c>
      <c r="G9">
        <v>8</v>
      </c>
      <c r="H9">
        <v>0</v>
      </c>
    </row>
    <row r="10" spans="2:13">
      <c r="B10" t="s">
        <v>107</v>
      </c>
      <c r="C10">
        <v>202400106</v>
      </c>
      <c r="D10">
        <v>16</v>
      </c>
      <c r="E10">
        <v>71</v>
      </c>
      <c r="F10">
        <v>12</v>
      </c>
      <c r="G10">
        <v>10</v>
      </c>
      <c r="H10">
        <v>0</v>
      </c>
    </row>
    <row r="11" spans="2:13">
      <c r="B11" t="s">
        <v>5</v>
      </c>
      <c r="C11">
        <v>202400004</v>
      </c>
      <c r="D11">
        <v>27</v>
      </c>
      <c r="E11">
        <v>67</v>
      </c>
      <c r="F11">
        <v>27</v>
      </c>
      <c r="G11">
        <v>10</v>
      </c>
      <c r="H11">
        <v>0</v>
      </c>
    </row>
    <row r="12" spans="2:13">
      <c r="B12" t="s">
        <v>295</v>
      </c>
      <c r="C12">
        <v>202400294</v>
      </c>
      <c r="D12">
        <v>11</v>
      </c>
      <c r="E12">
        <v>73</v>
      </c>
      <c r="F12">
        <v>7</v>
      </c>
      <c r="G12">
        <v>8</v>
      </c>
      <c r="H12">
        <v>0</v>
      </c>
    </row>
    <row r="13" spans="2:13">
      <c r="B13" t="s">
        <v>247</v>
      </c>
      <c r="C13">
        <v>202400246</v>
      </c>
      <c r="D13">
        <v>18</v>
      </c>
      <c r="E13">
        <v>81</v>
      </c>
      <c r="F13">
        <v>11</v>
      </c>
      <c r="G13">
        <v>9</v>
      </c>
      <c r="H13">
        <v>0</v>
      </c>
    </row>
    <row r="14" spans="2:13">
      <c r="B14" t="s">
        <v>46</v>
      </c>
      <c r="C14">
        <v>202400045</v>
      </c>
      <c r="D14">
        <v>21</v>
      </c>
      <c r="E14">
        <v>72</v>
      </c>
      <c r="F14">
        <v>19</v>
      </c>
      <c r="G14">
        <v>7</v>
      </c>
      <c r="H14">
        <v>0</v>
      </c>
    </row>
    <row r="15" spans="2:13">
      <c r="B15" t="s">
        <v>387</v>
      </c>
      <c r="C15">
        <v>202400386</v>
      </c>
      <c r="D15">
        <v>24</v>
      </c>
      <c r="E15">
        <v>100</v>
      </c>
      <c r="F15">
        <v>29</v>
      </c>
      <c r="G15">
        <v>10</v>
      </c>
      <c r="H15">
        <v>0</v>
      </c>
    </row>
    <row r="16" spans="2:13">
      <c r="B16" t="s">
        <v>213</v>
      </c>
      <c r="C16">
        <v>202400212</v>
      </c>
      <c r="D16">
        <v>8</v>
      </c>
      <c r="E16">
        <v>86</v>
      </c>
      <c r="F16">
        <v>5</v>
      </c>
      <c r="G16">
        <v>8</v>
      </c>
      <c r="H16">
        <v>0</v>
      </c>
    </row>
    <row r="17" spans="2:8">
      <c r="B17" t="s">
        <v>271</v>
      </c>
      <c r="C17">
        <v>202400270</v>
      </c>
      <c r="D17">
        <v>11</v>
      </c>
      <c r="E17">
        <v>64</v>
      </c>
      <c r="F17">
        <v>22</v>
      </c>
      <c r="G17">
        <v>9</v>
      </c>
      <c r="H17">
        <v>0</v>
      </c>
    </row>
    <row r="18" spans="2:8">
      <c r="B18" t="s">
        <v>478</v>
      </c>
      <c r="C18">
        <v>202400283</v>
      </c>
      <c r="D18">
        <v>29</v>
      </c>
      <c r="E18">
        <v>64</v>
      </c>
      <c r="F18">
        <v>6</v>
      </c>
      <c r="G18">
        <v>8</v>
      </c>
      <c r="H18">
        <v>0</v>
      </c>
    </row>
    <row r="19" spans="2:8">
      <c r="B19" t="s">
        <v>183</v>
      </c>
      <c r="C19">
        <v>202400182</v>
      </c>
      <c r="D19">
        <v>25</v>
      </c>
      <c r="E19">
        <v>67</v>
      </c>
      <c r="F19">
        <v>10</v>
      </c>
      <c r="G19">
        <v>6</v>
      </c>
      <c r="H19">
        <v>0</v>
      </c>
    </row>
    <row r="20" spans="2:8">
      <c r="B20" t="s">
        <v>156</v>
      </c>
      <c r="C20">
        <v>202400155</v>
      </c>
      <c r="D20">
        <v>29</v>
      </c>
      <c r="E20">
        <v>83</v>
      </c>
      <c r="F20">
        <v>27</v>
      </c>
      <c r="G20">
        <v>9</v>
      </c>
      <c r="H20">
        <v>0</v>
      </c>
    </row>
    <row r="21" spans="2:8">
      <c r="B21" t="s">
        <v>255</v>
      </c>
      <c r="C21">
        <v>202400254</v>
      </c>
      <c r="D21">
        <v>4</v>
      </c>
      <c r="E21">
        <v>88</v>
      </c>
      <c r="F21">
        <v>19</v>
      </c>
      <c r="G21">
        <v>6</v>
      </c>
      <c r="H21">
        <v>0</v>
      </c>
    </row>
    <row r="22" spans="2:8">
      <c r="B22" t="s">
        <v>241</v>
      </c>
      <c r="C22">
        <v>202400240</v>
      </c>
      <c r="D22">
        <v>16</v>
      </c>
      <c r="E22">
        <v>86</v>
      </c>
      <c r="F22">
        <v>29</v>
      </c>
      <c r="G22">
        <v>9</v>
      </c>
      <c r="H22">
        <v>0</v>
      </c>
    </row>
    <row r="23" spans="2:8">
      <c r="B23" t="s">
        <v>138</v>
      </c>
      <c r="C23">
        <v>202400137</v>
      </c>
      <c r="D23">
        <v>5</v>
      </c>
      <c r="E23">
        <v>79</v>
      </c>
      <c r="F23">
        <v>18</v>
      </c>
      <c r="G23">
        <v>8</v>
      </c>
      <c r="H23">
        <v>0</v>
      </c>
    </row>
    <row r="24" spans="2:8">
      <c r="B24" t="s">
        <v>276</v>
      </c>
      <c r="C24">
        <v>202400275</v>
      </c>
      <c r="D24">
        <v>13</v>
      </c>
      <c r="E24">
        <v>69</v>
      </c>
      <c r="F24">
        <v>18</v>
      </c>
      <c r="G24">
        <v>6</v>
      </c>
      <c r="H24">
        <v>0</v>
      </c>
    </row>
    <row r="25" spans="2:8">
      <c r="B25" t="s">
        <v>376</v>
      </c>
      <c r="C25">
        <v>202400375</v>
      </c>
      <c r="D25">
        <v>13</v>
      </c>
      <c r="E25">
        <v>54</v>
      </c>
      <c r="F25">
        <v>29</v>
      </c>
      <c r="G25">
        <v>5</v>
      </c>
      <c r="H25">
        <v>0</v>
      </c>
    </row>
    <row r="26" spans="2:8">
      <c r="B26" t="s">
        <v>231</v>
      </c>
      <c r="C26">
        <v>202400230</v>
      </c>
      <c r="D26">
        <v>8</v>
      </c>
      <c r="E26">
        <v>63</v>
      </c>
      <c r="F26">
        <v>17</v>
      </c>
      <c r="G26">
        <v>5</v>
      </c>
      <c r="H26">
        <v>0</v>
      </c>
    </row>
    <row r="27" spans="2:8">
      <c r="B27" t="s">
        <v>37</v>
      </c>
      <c r="C27">
        <v>202400036</v>
      </c>
      <c r="D27">
        <v>30</v>
      </c>
      <c r="E27">
        <v>89</v>
      </c>
      <c r="F27">
        <v>17</v>
      </c>
      <c r="G27">
        <v>10</v>
      </c>
      <c r="H27">
        <v>0</v>
      </c>
    </row>
    <row r="28" spans="2:8">
      <c r="B28" t="s">
        <v>345</v>
      </c>
      <c r="C28">
        <v>202400344</v>
      </c>
      <c r="D28">
        <v>9</v>
      </c>
      <c r="E28">
        <v>91</v>
      </c>
      <c r="F28">
        <v>22</v>
      </c>
      <c r="G28">
        <v>9</v>
      </c>
      <c r="H28">
        <v>0</v>
      </c>
    </row>
    <row r="29" spans="2:8">
      <c r="B29" t="s">
        <v>102</v>
      </c>
      <c r="C29">
        <v>202400101</v>
      </c>
      <c r="D29">
        <v>30</v>
      </c>
      <c r="E29">
        <v>88</v>
      </c>
      <c r="F29">
        <v>18</v>
      </c>
      <c r="G29">
        <v>5</v>
      </c>
      <c r="H29">
        <v>0</v>
      </c>
    </row>
    <row r="30" spans="2:8">
      <c r="B30" t="s">
        <v>259</v>
      </c>
      <c r="C30">
        <v>202400258</v>
      </c>
      <c r="D30">
        <v>15</v>
      </c>
      <c r="E30">
        <v>59</v>
      </c>
      <c r="F30">
        <v>24</v>
      </c>
      <c r="G30">
        <v>8</v>
      </c>
      <c r="H30">
        <v>0</v>
      </c>
    </row>
    <row r="31" spans="2:8">
      <c r="B31" t="s">
        <v>70</v>
      </c>
      <c r="C31">
        <v>202400069</v>
      </c>
      <c r="D31">
        <v>12</v>
      </c>
      <c r="E31">
        <v>77</v>
      </c>
      <c r="F31">
        <v>15</v>
      </c>
      <c r="G31">
        <v>6</v>
      </c>
      <c r="H31">
        <v>0</v>
      </c>
    </row>
    <row r="32" spans="2:8">
      <c r="B32" t="s">
        <v>192</v>
      </c>
      <c r="C32">
        <v>202400191</v>
      </c>
      <c r="D32">
        <v>29</v>
      </c>
      <c r="E32">
        <v>56</v>
      </c>
      <c r="F32">
        <v>17</v>
      </c>
      <c r="G32">
        <v>5</v>
      </c>
      <c r="H32">
        <v>0</v>
      </c>
    </row>
    <row r="33" spans="2:8">
      <c r="B33" t="s">
        <v>385</v>
      </c>
      <c r="C33">
        <v>202400384</v>
      </c>
      <c r="D33">
        <v>10</v>
      </c>
      <c r="E33">
        <v>86</v>
      </c>
      <c r="F33">
        <v>16</v>
      </c>
      <c r="G33">
        <v>10</v>
      </c>
      <c r="H33">
        <v>0</v>
      </c>
    </row>
    <row r="34" spans="2:8">
      <c r="B34" t="s">
        <v>258</v>
      </c>
      <c r="C34">
        <v>202400257</v>
      </c>
      <c r="D34">
        <v>6</v>
      </c>
      <c r="E34">
        <v>55</v>
      </c>
      <c r="F34">
        <v>6</v>
      </c>
      <c r="G34">
        <v>6</v>
      </c>
      <c r="H34">
        <v>0</v>
      </c>
    </row>
    <row r="35" spans="2:8">
      <c r="B35" t="s">
        <v>51</v>
      </c>
      <c r="C35">
        <v>202400050</v>
      </c>
      <c r="D35">
        <v>28</v>
      </c>
      <c r="E35">
        <v>53</v>
      </c>
      <c r="F35">
        <v>5</v>
      </c>
      <c r="G35">
        <v>5</v>
      </c>
      <c r="H35">
        <v>0</v>
      </c>
    </row>
    <row r="36" spans="2:8">
      <c r="B36" t="s">
        <v>103</v>
      </c>
      <c r="C36">
        <v>202400102</v>
      </c>
      <c r="D36">
        <v>17</v>
      </c>
      <c r="E36">
        <v>90</v>
      </c>
      <c r="F36">
        <v>23</v>
      </c>
      <c r="G36">
        <v>9</v>
      </c>
      <c r="H36">
        <v>0</v>
      </c>
    </row>
    <row r="37" spans="2:8">
      <c r="B37" t="s">
        <v>100</v>
      </c>
      <c r="C37">
        <v>202400099</v>
      </c>
      <c r="D37">
        <v>29</v>
      </c>
      <c r="E37">
        <v>92</v>
      </c>
      <c r="F37">
        <v>15</v>
      </c>
      <c r="G37">
        <v>6</v>
      </c>
      <c r="H37">
        <v>0</v>
      </c>
    </row>
    <row r="38" spans="2:8">
      <c r="B38" t="s">
        <v>134</v>
      </c>
      <c r="C38">
        <v>202400133</v>
      </c>
      <c r="D38">
        <v>8</v>
      </c>
      <c r="E38">
        <v>92</v>
      </c>
      <c r="F38">
        <v>23</v>
      </c>
      <c r="G38">
        <v>10</v>
      </c>
      <c r="H38">
        <v>0</v>
      </c>
    </row>
    <row r="39" spans="2:8">
      <c r="B39" t="s">
        <v>274</v>
      </c>
      <c r="C39">
        <v>202400273</v>
      </c>
      <c r="D39">
        <v>28</v>
      </c>
      <c r="E39">
        <v>76</v>
      </c>
      <c r="F39">
        <v>20</v>
      </c>
      <c r="G39">
        <v>8</v>
      </c>
      <c r="H39">
        <v>0</v>
      </c>
    </row>
    <row r="40" spans="2:8">
      <c r="B40" t="s">
        <v>55</v>
      </c>
      <c r="C40">
        <v>202400054</v>
      </c>
      <c r="D40">
        <v>6</v>
      </c>
      <c r="E40">
        <v>61</v>
      </c>
      <c r="F40">
        <v>26</v>
      </c>
      <c r="G40">
        <v>5</v>
      </c>
      <c r="H40">
        <v>0</v>
      </c>
    </row>
    <row r="41" spans="2:8">
      <c r="B41" t="s">
        <v>244</v>
      </c>
      <c r="C41">
        <v>202400243</v>
      </c>
      <c r="D41">
        <v>28</v>
      </c>
      <c r="E41">
        <v>52</v>
      </c>
      <c r="F41">
        <v>9</v>
      </c>
      <c r="G41">
        <v>9</v>
      </c>
      <c r="H41">
        <v>0</v>
      </c>
    </row>
    <row r="42" spans="2:8">
      <c r="B42" t="s">
        <v>225</v>
      </c>
      <c r="C42">
        <v>202400224</v>
      </c>
      <c r="D42">
        <v>19</v>
      </c>
      <c r="E42">
        <v>84</v>
      </c>
      <c r="F42">
        <v>25</v>
      </c>
      <c r="G42">
        <v>8</v>
      </c>
      <c r="H42">
        <v>0</v>
      </c>
    </row>
    <row r="43" spans="2:8">
      <c r="B43" t="s">
        <v>293</v>
      </c>
      <c r="C43">
        <v>202400292</v>
      </c>
      <c r="D43">
        <v>13</v>
      </c>
      <c r="E43">
        <v>58</v>
      </c>
      <c r="F43">
        <v>29</v>
      </c>
      <c r="G43">
        <v>7</v>
      </c>
      <c r="H43">
        <v>0</v>
      </c>
    </row>
    <row r="44" spans="2:8">
      <c r="B44" t="s">
        <v>119</v>
      </c>
      <c r="C44">
        <v>202400118</v>
      </c>
      <c r="D44">
        <v>5</v>
      </c>
      <c r="E44">
        <v>50</v>
      </c>
      <c r="F44">
        <v>24</v>
      </c>
      <c r="G44">
        <v>7</v>
      </c>
      <c r="H44">
        <v>0</v>
      </c>
    </row>
    <row r="45" spans="2:8">
      <c r="B45" t="s">
        <v>219</v>
      </c>
      <c r="C45">
        <v>202400218</v>
      </c>
      <c r="D45">
        <v>16</v>
      </c>
      <c r="E45">
        <v>92</v>
      </c>
      <c r="F45">
        <v>7</v>
      </c>
      <c r="G45">
        <v>6</v>
      </c>
      <c r="H45">
        <v>0</v>
      </c>
    </row>
    <row r="46" spans="2:8">
      <c r="B46" t="s">
        <v>38</v>
      </c>
      <c r="C46">
        <v>202400037</v>
      </c>
      <c r="D46">
        <v>22</v>
      </c>
      <c r="E46">
        <v>80</v>
      </c>
      <c r="F46">
        <v>19</v>
      </c>
      <c r="G46">
        <v>9</v>
      </c>
      <c r="H46">
        <v>0</v>
      </c>
    </row>
    <row r="47" spans="2:8">
      <c r="B47" t="s">
        <v>62</v>
      </c>
      <c r="C47">
        <v>202400061</v>
      </c>
      <c r="D47">
        <v>28</v>
      </c>
      <c r="E47">
        <v>82</v>
      </c>
      <c r="F47">
        <v>22</v>
      </c>
      <c r="G47">
        <v>5</v>
      </c>
      <c r="H47">
        <v>0</v>
      </c>
    </row>
    <row r="48" spans="2:8">
      <c r="B48" t="s">
        <v>275</v>
      </c>
      <c r="C48">
        <v>202400274</v>
      </c>
      <c r="D48">
        <v>6</v>
      </c>
      <c r="E48">
        <v>84</v>
      </c>
      <c r="F48">
        <v>22</v>
      </c>
      <c r="G48">
        <v>9</v>
      </c>
      <c r="H48">
        <v>0</v>
      </c>
    </row>
    <row r="49" spans="2:8">
      <c r="B49" t="s">
        <v>10</v>
      </c>
      <c r="C49">
        <v>202400009</v>
      </c>
      <c r="D49">
        <v>17</v>
      </c>
      <c r="E49">
        <v>100</v>
      </c>
      <c r="F49">
        <v>27</v>
      </c>
      <c r="G49">
        <v>5</v>
      </c>
      <c r="H49">
        <v>0</v>
      </c>
    </row>
    <row r="50" spans="2:8">
      <c r="B50" t="s">
        <v>210</v>
      </c>
      <c r="C50">
        <v>202400209</v>
      </c>
      <c r="D50">
        <v>5</v>
      </c>
      <c r="E50">
        <v>95</v>
      </c>
      <c r="F50">
        <v>20</v>
      </c>
      <c r="G50">
        <v>5</v>
      </c>
      <c r="H50">
        <v>0</v>
      </c>
    </row>
    <row r="51" spans="2:8">
      <c r="B51" t="s">
        <v>373</v>
      </c>
      <c r="C51">
        <v>202400372</v>
      </c>
      <c r="D51">
        <v>30</v>
      </c>
      <c r="E51">
        <v>88</v>
      </c>
      <c r="F51">
        <v>10</v>
      </c>
      <c r="G51">
        <v>5</v>
      </c>
      <c r="H51">
        <v>0</v>
      </c>
    </row>
    <row r="52" spans="2:8">
      <c r="B52" t="s">
        <v>467</v>
      </c>
      <c r="C52">
        <v>202400023</v>
      </c>
      <c r="D52">
        <v>10</v>
      </c>
      <c r="E52">
        <v>68</v>
      </c>
      <c r="F52">
        <v>26</v>
      </c>
      <c r="G52">
        <v>9</v>
      </c>
      <c r="H52">
        <v>0</v>
      </c>
    </row>
    <row r="53" spans="2:8">
      <c r="B53" t="s">
        <v>106</v>
      </c>
      <c r="C53">
        <v>202400105</v>
      </c>
      <c r="D53">
        <v>27</v>
      </c>
      <c r="E53">
        <v>67</v>
      </c>
      <c r="F53">
        <v>25</v>
      </c>
      <c r="G53">
        <v>5</v>
      </c>
      <c r="H53">
        <v>0</v>
      </c>
    </row>
    <row r="54" spans="2:8">
      <c r="B54" t="s">
        <v>175</v>
      </c>
      <c r="C54">
        <v>202400174</v>
      </c>
      <c r="D54">
        <v>18</v>
      </c>
      <c r="E54">
        <v>70</v>
      </c>
      <c r="F54">
        <v>27</v>
      </c>
      <c r="G54">
        <v>5</v>
      </c>
      <c r="H54">
        <v>0</v>
      </c>
    </row>
    <row r="55" spans="2:8">
      <c r="B55" t="s">
        <v>185</v>
      </c>
      <c r="C55">
        <v>202400184</v>
      </c>
      <c r="D55">
        <v>5</v>
      </c>
      <c r="E55">
        <v>92</v>
      </c>
      <c r="F55">
        <v>8</v>
      </c>
      <c r="G55">
        <v>10</v>
      </c>
      <c r="H55">
        <v>0</v>
      </c>
    </row>
    <row r="56" spans="2:8">
      <c r="B56" t="s">
        <v>90</v>
      </c>
      <c r="C56">
        <v>202400089</v>
      </c>
      <c r="D56">
        <v>18</v>
      </c>
      <c r="E56">
        <v>97</v>
      </c>
      <c r="F56">
        <v>19</v>
      </c>
      <c r="G56">
        <v>8</v>
      </c>
      <c r="H56">
        <v>0</v>
      </c>
    </row>
    <row r="57" spans="2:8">
      <c r="B57" t="s">
        <v>163</v>
      </c>
      <c r="C57">
        <v>202400162</v>
      </c>
      <c r="D57">
        <v>25</v>
      </c>
      <c r="E57">
        <v>70</v>
      </c>
      <c r="F57">
        <v>15</v>
      </c>
      <c r="G57">
        <v>6</v>
      </c>
      <c r="H57">
        <v>0</v>
      </c>
    </row>
    <row r="58" spans="2:8">
      <c r="B58" t="s">
        <v>333</v>
      </c>
      <c r="C58">
        <v>202400332</v>
      </c>
      <c r="D58">
        <v>10</v>
      </c>
      <c r="E58">
        <v>50</v>
      </c>
      <c r="F58">
        <v>14</v>
      </c>
      <c r="G58">
        <v>5</v>
      </c>
      <c r="H58">
        <v>0</v>
      </c>
    </row>
    <row r="59" spans="2:8">
      <c r="B59" t="s">
        <v>254</v>
      </c>
      <c r="C59">
        <v>202400253</v>
      </c>
      <c r="D59">
        <v>23</v>
      </c>
      <c r="E59">
        <v>59</v>
      </c>
      <c r="F59">
        <v>25</v>
      </c>
      <c r="G59">
        <v>5</v>
      </c>
      <c r="H59">
        <v>0</v>
      </c>
    </row>
    <row r="60" spans="2:8">
      <c r="B60" t="s">
        <v>326</v>
      </c>
      <c r="C60">
        <v>202400325</v>
      </c>
      <c r="D60">
        <v>13</v>
      </c>
      <c r="E60">
        <v>89</v>
      </c>
      <c r="F60">
        <v>16</v>
      </c>
      <c r="G60">
        <v>10</v>
      </c>
      <c r="H60">
        <v>0</v>
      </c>
    </row>
    <row r="61" spans="2:8">
      <c r="B61" t="s">
        <v>347</v>
      </c>
      <c r="C61">
        <v>202400346</v>
      </c>
      <c r="D61">
        <v>20</v>
      </c>
      <c r="E61">
        <v>76</v>
      </c>
      <c r="F61">
        <v>9</v>
      </c>
      <c r="G61">
        <v>8</v>
      </c>
      <c r="H61">
        <v>0</v>
      </c>
    </row>
    <row r="62" spans="2:8">
      <c r="B62" t="s">
        <v>69</v>
      </c>
      <c r="C62">
        <v>202400068</v>
      </c>
      <c r="D62">
        <v>6</v>
      </c>
      <c r="E62">
        <v>52</v>
      </c>
      <c r="F62">
        <v>12</v>
      </c>
      <c r="G62">
        <v>5</v>
      </c>
      <c r="H62">
        <v>0</v>
      </c>
    </row>
    <row r="63" spans="2:8">
      <c r="B63" t="s">
        <v>143</v>
      </c>
      <c r="C63">
        <v>202400142</v>
      </c>
      <c r="D63">
        <v>15</v>
      </c>
      <c r="E63">
        <v>66</v>
      </c>
      <c r="F63">
        <v>24</v>
      </c>
      <c r="G63">
        <v>8</v>
      </c>
      <c r="H63">
        <v>0</v>
      </c>
    </row>
    <row r="64" spans="2:8">
      <c r="B64" t="s">
        <v>181</v>
      </c>
      <c r="C64">
        <v>202400180</v>
      </c>
      <c r="D64">
        <v>8</v>
      </c>
      <c r="E64">
        <v>82</v>
      </c>
      <c r="F64">
        <v>9</v>
      </c>
      <c r="G64">
        <v>5</v>
      </c>
      <c r="H64">
        <v>0</v>
      </c>
    </row>
    <row r="65" spans="2:8">
      <c r="B65" t="s">
        <v>236</v>
      </c>
      <c r="C65">
        <v>202400235</v>
      </c>
      <c r="D65">
        <v>18</v>
      </c>
      <c r="E65">
        <v>52</v>
      </c>
      <c r="F65">
        <v>16</v>
      </c>
      <c r="G65">
        <v>9</v>
      </c>
      <c r="H65">
        <v>0</v>
      </c>
    </row>
    <row r="66" spans="2:8">
      <c r="B66" t="s">
        <v>316</v>
      </c>
      <c r="C66">
        <v>202400315</v>
      </c>
      <c r="D66">
        <v>18</v>
      </c>
      <c r="E66">
        <v>81</v>
      </c>
      <c r="F66">
        <v>6</v>
      </c>
      <c r="G66">
        <v>8</v>
      </c>
      <c r="H66">
        <v>0</v>
      </c>
    </row>
    <row r="67" spans="2:8">
      <c r="B67" t="s">
        <v>242</v>
      </c>
      <c r="C67">
        <v>202400241</v>
      </c>
      <c r="D67">
        <v>25</v>
      </c>
      <c r="E67">
        <v>66</v>
      </c>
      <c r="F67">
        <v>12</v>
      </c>
      <c r="G67">
        <v>7</v>
      </c>
      <c r="H67">
        <v>0</v>
      </c>
    </row>
    <row r="68" spans="2:8">
      <c r="B68" t="s">
        <v>172</v>
      </c>
      <c r="C68">
        <v>202400171</v>
      </c>
      <c r="D68">
        <v>14</v>
      </c>
      <c r="E68">
        <v>81</v>
      </c>
      <c r="F68">
        <v>13</v>
      </c>
      <c r="G68">
        <v>9</v>
      </c>
      <c r="H68">
        <v>0</v>
      </c>
    </row>
    <row r="69" spans="2:8">
      <c r="B69" t="s">
        <v>126</v>
      </c>
      <c r="C69">
        <v>202400125</v>
      </c>
      <c r="D69">
        <v>8</v>
      </c>
      <c r="E69">
        <v>64</v>
      </c>
      <c r="F69">
        <v>20</v>
      </c>
      <c r="G69">
        <v>10</v>
      </c>
      <c r="H69">
        <v>0</v>
      </c>
    </row>
    <row r="70" spans="2:8">
      <c r="B70" t="s">
        <v>99</v>
      </c>
      <c r="C70">
        <v>202400098</v>
      </c>
      <c r="D70">
        <v>25</v>
      </c>
      <c r="E70">
        <v>95</v>
      </c>
      <c r="F70">
        <v>15</v>
      </c>
      <c r="G70">
        <v>9</v>
      </c>
      <c r="H70">
        <v>0</v>
      </c>
    </row>
    <row r="71" spans="2:8">
      <c r="B71" t="s">
        <v>95</v>
      </c>
      <c r="C71">
        <v>202400094</v>
      </c>
      <c r="D71">
        <v>13</v>
      </c>
      <c r="E71">
        <v>87</v>
      </c>
      <c r="F71">
        <v>25</v>
      </c>
      <c r="G71">
        <v>10</v>
      </c>
      <c r="H71">
        <v>0</v>
      </c>
    </row>
    <row r="72" spans="2:8">
      <c r="B72" t="s">
        <v>224</v>
      </c>
      <c r="C72">
        <v>202400223</v>
      </c>
      <c r="D72">
        <v>13</v>
      </c>
      <c r="E72">
        <v>78</v>
      </c>
      <c r="F72">
        <v>10</v>
      </c>
      <c r="G72">
        <v>10</v>
      </c>
      <c r="H72">
        <v>0</v>
      </c>
    </row>
    <row r="73" spans="2:8">
      <c r="B73" t="s">
        <v>11</v>
      </c>
      <c r="C73">
        <v>202400010</v>
      </c>
      <c r="D73">
        <v>6</v>
      </c>
      <c r="E73">
        <v>59</v>
      </c>
      <c r="F73">
        <v>12</v>
      </c>
      <c r="G73">
        <v>8</v>
      </c>
      <c r="H73">
        <v>0</v>
      </c>
    </row>
    <row r="74" spans="2:8">
      <c r="B74" t="s">
        <v>290</v>
      </c>
      <c r="C74">
        <v>202400289</v>
      </c>
      <c r="D74">
        <v>10</v>
      </c>
      <c r="E74">
        <v>94</v>
      </c>
      <c r="F74">
        <v>10</v>
      </c>
      <c r="G74">
        <v>9</v>
      </c>
      <c r="H74">
        <v>0</v>
      </c>
    </row>
    <row r="75" spans="2:8">
      <c r="B75" t="s">
        <v>397</v>
      </c>
      <c r="C75">
        <v>202400396</v>
      </c>
      <c r="D75">
        <v>12</v>
      </c>
      <c r="E75">
        <v>97</v>
      </c>
      <c r="F75">
        <v>7</v>
      </c>
      <c r="G75">
        <v>9</v>
      </c>
      <c r="H75">
        <v>0</v>
      </c>
    </row>
    <row r="76" spans="2:8">
      <c r="B76" t="s">
        <v>260</v>
      </c>
      <c r="C76">
        <v>202400259</v>
      </c>
      <c r="D76">
        <v>13</v>
      </c>
      <c r="E76">
        <v>66</v>
      </c>
      <c r="F76">
        <v>8</v>
      </c>
      <c r="G76">
        <v>8</v>
      </c>
      <c r="H76">
        <v>0</v>
      </c>
    </row>
    <row r="77" spans="2:8">
      <c r="B77" t="s">
        <v>61</v>
      </c>
      <c r="C77">
        <v>202400060</v>
      </c>
      <c r="D77">
        <v>7</v>
      </c>
      <c r="E77">
        <v>78</v>
      </c>
      <c r="F77">
        <v>15</v>
      </c>
      <c r="G77">
        <v>9</v>
      </c>
      <c r="H77">
        <v>0</v>
      </c>
    </row>
    <row r="78" spans="2:8">
      <c r="B78" t="s">
        <v>228</v>
      </c>
      <c r="C78">
        <v>202400227</v>
      </c>
      <c r="D78">
        <v>11</v>
      </c>
      <c r="E78">
        <v>74</v>
      </c>
      <c r="F78">
        <v>28</v>
      </c>
      <c r="G78">
        <v>10</v>
      </c>
      <c r="H78">
        <v>0</v>
      </c>
    </row>
    <row r="79" spans="2:8">
      <c r="B79" t="s">
        <v>314</v>
      </c>
      <c r="C79">
        <v>202400313</v>
      </c>
      <c r="D79">
        <v>5</v>
      </c>
      <c r="E79">
        <v>58</v>
      </c>
      <c r="F79">
        <v>13</v>
      </c>
      <c r="G79">
        <v>7</v>
      </c>
      <c r="H79">
        <v>0</v>
      </c>
    </row>
    <row r="80" spans="2:8">
      <c r="B80" t="s">
        <v>178</v>
      </c>
      <c r="C80">
        <v>202400177</v>
      </c>
      <c r="D80">
        <v>17</v>
      </c>
      <c r="E80">
        <v>96</v>
      </c>
      <c r="F80">
        <v>6</v>
      </c>
      <c r="G80">
        <v>6</v>
      </c>
      <c r="H80">
        <v>0</v>
      </c>
    </row>
    <row r="81" spans="2:8">
      <c r="B81" t="s">
        <v>35</v>
      </c>
      <c r="C81">
        <v>202400034</v>
      </c>
      <c r="D81">
        <v>14</v>
      </c>
      <c r="E81">
        <v>87</v>
      </c>
      <c r="F81">
        <v>15</v>
      </c>
      <c r="G81">
        <v>7</v>
      </c>
      <c r="H81">
        <v>0</v>
      </c>
    </row>
    <row r="82" spans="2:8">
      <c r="B82" t="s">
        <v>311</v>
      </c>
      <c r="C82">
        <v>202400310</v>
      </c>
      <c r="D82">
        <v>13</v>
      </c>
      <c r="E82">
        <v>51</v>
      </c>
      <c r="F82">
        <v>25</v>
      </c>
      <c r="G82">
        <v>8</v>
      </c>
      <c r="H82">
        <v>0</v>
      </c>
    </row>
    <row r="83" spans="2:8">
      <c r="B83" t="s">
        <v>136</v>
      </c>
      <c r="C83">
        <v>202400135</v>
      </c>
      <c r="D83">
        <v>19</v>
      </c>
      <c r="E83">
        <v>78</v>
      </c>
      <c r="F83">
        <v>26</v>
      </c>
      <c r="G83">
        <v>6</v>
      </c>
      <c r="H83">
        <v>0</v>
      </c>
    </row>
    <row r="84" spans="2:8">
      <c r="B84" t="s">
        <v>226</v>
      </c>
      <c r="C84">
        <v>202400225</v>
      </c>
      <c r="D84">
        <v>8</v>
      </c>
      <c r="E84">
        <v>100</v>
      </c>
      <c r="F84">
        <v>17</v>
      </c>
      <c r="G84">
        <v>10</v>
      </c>
      <c r="H84">
        <v>0</v>
      </c>
    </row>
    <row r="85" spans="2:8">
      <c r="B85" t="s">
        <v>367</v>
      </c>
      <c r="C85">
        <v>202400366</v>
      </c>
      <c r="D85">
        <v>11</v>
      </c>
      <c r="E85">
        <v>59</v>
      </c>
      <c r="F85">
        <v>17</v>
      </c>
      <c r="G85">
        <v>5</v>
      </c>
      <c r="H85">
        <v>0</v>
      </c>
    </row>
    <row r="86" spans="2:8">
      <c r="B86" t="s">
        <v>220</v>
      </c>
      <c r="C86">
        <v>202400219</v>
      </c>
      <c r="D86">
        <v>25</v>
      </c>
      <c r="E86">
        <v>82</v>
      </c>
      <c r="F86">
        <v>30</v>
      </c>
      <c r="G86">
        <v>7</v>
      </c>
      <c r="H86">
        <v>0</v>
      </c>
    </row>
    <row r="87" spans="2:8">
      <c r="B87" t="s">
        <v>174</v>
      </c>
      <c r="C87">
        <v>202400173</v>
      </c>
      <c r="D87">
        <v>12</v>
      </c>
      <c r="E87">
        <v>73</v>
      </c>
      <c r="F87">
        <v>8</v>
      </c>
      <c r="G87">
        <v>10</v>
      </c>
      <c r="H87">
        <v>0</v>
      </c>
    </row>
    <row r="88" spans="2:8">
      <c r="B88" t="s">
        <v>350</v>
      </c>
      <c r="C88">
        <v>202400349</v>
      </c>
      <c r="D88">
        <v>24</v>
      </c>
      <c r="E88">
        <v>87</v>
      </c>
      <c r="F88">
        <v>28</v>
      </c>
      <c r="G88">
        <v>7</v>
      </c>
      <c r="H88">
        <v>0</v>
      </c>
    </row>
    <row r="89" spans="2:8">
      <c r="B89" t="s">
        <v>125</v>
      </c>
      <c r="C89">
        <v>202400124</v>
      </c>
      <c r="D89">
        <v>4</v>
      </c>
      <c r="E89">
        <v>89</v>
      </c>
      <c r="F89">
        <v>11</v>
      </c>
      <c r="G89">
        <v>6</v>
      </c>
      <c r="H89">
        <v>0</v>
      </c>
    </row>
    <row r="90" spans="2:8">
      <c r="B90" t="s">
        <v>33</v>
      </c>
      <c r="C90">
        <v>202400032</v>
      </c>
      <c r="D90">
        <v>10</v>
      </c>
      <c r="E90">
        <v>51</v>
      </c>
      <c r="F90">
        <v>11</v>
      </c>
      <c r="G90">
        <v>10</v>
      </c>
      <c r="H90">
        <v>0</v>
      </c>
    </row>
    <row r="91" spans="2:8">
      <c r="B91" t="s">
        <v>182</v>
      </c>
      <c r="C91">
        <v>202400181</v>
      </c>
      <c r="D91">
        <v>20</v>
      </c>
      <c r="E91">
        <v>96</v>
      </c>
      <c r="F91">
        <v>18</v>
      </c>
      <c r="G91">
        <v>5</v>
      </c>
      <c r="H91">
        <v>0</v>
      </c>
    </row>
    <row r="92" spans="2:8">
      <c r="B92" t="s">
        <v>158</v>
      </c>
      <c r="C92">
        <v>202400157</v>
      </c>
      <c r="D92">
        <v>30</v>
      </c>
      <c r="E92">
        <v>82</v>
      </c>
      <c r="F92">
        <v>14</v>
      </c>
      <c r="G92">
        <v>7</v>
      </c>
      <c r="H92">
        <v>0</v>
      </c>
    </row>
    <row r="93" spans="2:8">
      <c r="B93" t="s">
        <v>49</v>
      </c>
      <c r="C93">
        <v>202400048</v>
      </c>
      <c r="D93">
        <v>27</v>
      </c>
      <c r="E93">
        <v>62</v>
      </c>
      <c r="F93">
        <v>17</v>
      </c>
      <c r="G93">
        <v>5</v>
      </c>
      <c r="H93">
        <v>0</v>
      </c>
    </row>
    <row r="94" spans="2:8">
      <c r="B94" t="s">
        <v>67</v>
      </c>
      <c r="C94">
        <v>202400066</v>
      </c>
      <c r="D94">
        <v>20</v>
      </c>
      <c r="E94">
        <v>79</v>
      </c>
      <c r="F94">
        <v>7</v>
      </c>
      <c r="G94">
        <v>9</v>
      </c>
      <c r="H94">
        <v>0</v>
      </c>
    </row>
    <row r="95" spans="2:8">
      <c r="B95" t="s">
        <v>53</v>
      </c>
      <c r="C95">
        <v>202400052</v>
      </c>
      <c r="D95">
        <v>11</v>
      </c>
      <c r="E95">
        <v>72</v>
      </c>
      <c r="F95">
        <v>6</v>
      </c>
      <c r="G95">
        <v>10</v>
      </c>
      <c r="H95">
        <v>0</v>
      </c>
    </row>
    <row r="96" spans="2:8">
      <c r="B96" t="s">
        <v>117</v>
      </c>
      <c r="C96">
        <v>202400116</v>
      </c>
      <c r="D96">
        <v>22</v>
      </c>
      <c r="E96">
        <v>58</v>
      </c>
      <c r="F96">
        <v>11</v>
      </c>
      <c r="G96">
        <v>10</v>
      </c>
      <c r="H96">
        <v>0</v>
      </c>
    </row>
    <row r="97" spans="2:8">
      <c r="B97" t="s">
        <v>238</v>
      </c>
      <c r="C97">
        <v>202400237</v>
      </c>
      <c r="D97">
        <v>19</v>
      </c>
      <c r="E97">
        <v>90</v>
      </c>
      <c r="F97">
        <v>11</v>
      </c>
      <c r="G97">
        <v>6</v>
      </c>
      <c r="H97">
        <v>0</v>
      </c>
    </row>
    <row r="98" spans="2:8">
      <c r="B98" t="s">
        <v>98</v>
      </c>
      <c r="C98">
        <v>202400097</v>
      </c>
      <c r="D98">
        <v>25</v>
      </c>
      <c r="E98">
        <v>94</v>
      </c>
      <c r="F98">
        <v>21</v>
      </c>
      <c r="G98">
        <v>6</v>
      </c>
      <c r="H98">
        <v>0</v>
      </c>
    </row>
    <row r="99" spans="2:8">
      <c r="B99" t="s">
        <v>149</v>
      </c>
      <c r="C99">
        <v>202400148</v>
      </c>
      <c r="D99">
        <v>9</v>
      </c>
      <c r="E99">
        <v>58</v>
      </c>
      <c r="F99">
        <v>29</v>
      </c>
      <c r="G99">
        <v>6</v>
      </c>
      <c r="H99">
        <v>0</v>
      </c>
    </row>
    <row r="100" spans="2:8">
      <c r="B100" t="s">
        <v>76</v>
      </c>
      <c r="C100">
        <v>202400075</v>
      </c>
      <c r="D100">
        <v>30</v>
      </c>
      <c r="E100">
        <v>81</v>
      </c>
      <c r="F100">
        <v>25</v>
      </c>
      <c r="G100">
        <v>9</v>
      </c>
      <c r="H100">
        <v>0</v>
      </c>
    </row>
    <row r="101" spans="2:8">
      <c r="B101" t="s">
        <v>368</v>
      </c>
      <c r="C101">
        <v>202400367</v>
      </c>
      <c r="D101">
        <v>18</v>
      </c>
      <c r="E101">
        <v>72</v>
      </c>
      <c r="F101">
        <v>21</v>
      </c>
      <c r="G101">
        <v>8</v>
      </c>
      <c r="H101">
        <v>0</v>
      </c>
    </row>
    <row r="102" spans="2:8">
      <c r="B102" t="s">
        <v>218</v>
      </c>
      <c r="C102">
        <v>202400217</v>
      </c>
      <c r="D102">
        <v>5</v>
      </c>
      <c r="E102">
        <v>76</v>
      </c>
      <c r="F102">
        <v>17</v>
      </c>
      <c r="G102">
        <v>7</v>
      </c>
      <c r="H102">
        <v>0</v>
      </c>
    </row>
    <row r="103" spans="2:8">
      <c r="B103" t="s">
        <v>394</v>
      </c>
      <c r="C103">
        <v>202400393</v>
      </c>
      <c r="D103">
        <v>14</v>
      </c>
      <c r="E103">
        <v>65</v>
      </c>
      <c r="F103">
        <v>11</v>
      </c>
      <c r="G103">
        <v>10</v>
      </c>
      <c r="H103">
        <v>0</v>
      </c>
    </row>
    <row r="104" spans="2:8">
      <c r="B104" t="s">
        <v>147</v>
      </c>
      <c r="C104">
        <v>202400146</v>
      </c>
      <c r="D104">
        <v>9</v>
      </c>
      <c r="E104">
        <v>93</v>
      </c>
      <c r="F104">
        <v>10</v>
      </c>
      <c r="G104">
        <v>8</v>
      </c>
      <c r="H104">
        <v>0</v>
      </c>
    </row>
    <row r="105" spans="2:8">
      <c r="B105" t="s">
        <v>377</v>
      </c>
      <c r="C105">
        <v>202400376</v>
      </c>
      <c r="D105">
        <v>20</v>
      </c>
      <c r="E105">
        <v>51</v>
      </c>
      <c r="F105">
        <v>24</v>
      </c>
      <c r="G105">
        <v>6</v>
      </c>
      <c r="H105">
        <v>0</v>
      </c>
    </row>
    <row r="106" spans="2:8">
      <c r="B106" t="s">
        <v>277</v>
      </c>
      <c r="C106">
        <v>202400276</v>
      </c>
      <c r="D106">
        <v>23</v>
      </c>
      <c r="E106">
        <v>94</v>
      </c>
      <c r="F106">
        <v>23</v>
      </c>
      <c r="G106">
        <v>5</v>
      </c>
      <c r="H106">
        <v>0</v>
      </c>
    </row>
    <row r="107" spans="2:8">
      <c r="B107" t="s">
        <v>305</v>
      </c>
      <c r="C107">
        <v>202400304</v>
      </c>
      <c r="D107">
        <v>28</v>
      </c>
      <c r="E107">
        <v>90</v>
      </c>
      <c r="F107">
        <v>26</v>
      </c>
      <c r="G107">
        <v>8</v>
      </c>
      <c r="H107">
        <v>0</v>
      </c>
    </row>
    <row r="108" spans="2:8">
      <c r="B108" t="s">
        <v>383</v>
      </c>
      <c r="C108">
        <v>202400382</v>
      </c>
      <c r="D108">
        <v>4</v>
      </c>
      <c r="E108">
        <v>58</v>
      </c>
      <c r="F108">
        <v>8</v>
      </c>
      <c r="G108">
        <v>8</v>
      </c>
      <c r="H108">
        <v>0</v>
      </c>
    </row>
    <row r="109" spans="2:8">
      <c r="B109" t="s">
        <v>200</v>
      </c>
      <c r="C109">
        <v>202400199</v>
      </c>
      <c r="D109">
        <v>25</v>
      </c>
      <c r="E109">
        <v>91</v>
      </c>
      <c r="F109">
        <v>24</v>
      </c>
      <c r="G109">
        <v>6</v>
      </c>
      <c r="H109">
        <v>0</v>
      </c>
    </row>
    <row r="110" spans="2:8">
      <c r="B110" t="s">
        <v>298</v>
      </c>
      <c r="C110">
        <v>202400297</v>
      </c>
      <c r="D110">
        <v>6</v>
      </c>
      <c r="E110">
        <v>56</v>
      </c>
      <c r="F110">
        <v>22</v>
      </c>
      <c r="G110">
        <v>5</v>
      </c>
      <c r="H110">
        <v>0</v>
      </c>
    </row>
    <row r="111" spans="2:8">
      <c r="B111" t="s">
        <v>47</v>
      </c>
      <c r="C111">
        <v>202400046</v>
      </c>
      <c r="D111">
        <v>28</v>
      </c>
      <c r="E111">
        <v>55</v>
      </c>
      <c r="F111">
        <v>10</v>
      </c>
      <c r="G111">
        <v>8</v>
      </c>
      <c r="H111">
        <v>0</v>
      </c>
    </row>
    <row r="112" spans="2:8">
      <c r="B112" t="s">
        <v>207</v>
      </c>
      <c r="C112">
        <v>202400206</v>
      </c>
      <c r="D112">
        <v>8</v>
      </c>
      <c r="E112">
        <v>95</v>
      </c>
      <c r="F112">
        <v>19</v>
      </c>
      <c r="G112">
        <v>6</v>
      </c>
      <c r="H112">
        <v>0</v>
      </c>
    </row>
    <row r="113" spans="2:8">
      <c r="B113" t="s">
        <v>139</v>
      </c>
      <c r="C113">
        <v>202400138</v>
      </c>
      <c r="D113">
        <v>20</v>
      </c>
      <c r="E113">
        <v>78</v>
      </c>
      <c r="F113">
        <v>12</v>
      </c>
      <c r="G113">
        <v>7</v>
      </c>
      <c r="H113">
        <v>0</v>
      </c>
    </row>
    <row r="114" spans="2:8">
      <c r="B114" t="s">
        <v>196</v>
      </c>
      <c r="C114">
        <v>202400195</v>
      </c>
      <c r="D114">
        <v>21</v>
      </c>
      <c r="E114">
        <v>60</v>
      </c>
      <c r="F114">
        <v>23</v>
      </c>
      <c r="G114">
        <v>6</v>
      </c>
      <c r="H114">
        <v>0</v>
      </c>
    </row>
    <row r="115" spans="2:8">
      <c r="B115" t="s">
        <v>34</v>
      </c>
      <c r="C115">
        <v>202400033</v>
      </c>
      <c r="D115">
        <v>30</v>
      </c>
      <c r="E115">
        <v>92</v>
      </c>
      <c r="F115">
        <v>10</v>
      </c>
      <c r="G115">
        <v>7</v>
      </c>
      <c r="H115">
        <v>0</v>
      </c>
    </row>
    <row r="116" spans="2:8">
      <c r="B116" t="s">
        <v>325</v>
      </c>
      <c r="C116">
        <v>202400324</v>
      </c>
      <c r="D116">
        <v>5</v>
      </c>
      <c r="E116">
        <v>96</v>
      </c>
      <c r="F116">
        <v>25</v>
      </c>
      <c r="G116">
        <v>5</v>
      </c>
      <c r="H116">
        <v>0</v>
      </c>
    </row>
    <row r="117" spans="2:8">
      <c r="B117" t="s">
        <v>243</v>
      </c>
      <c r="C117">
        <v>202400242</v>
      </c>
      <c r="D117">
        <v>11</v>
      </c>
      <c r="E117">
        <v>74</v>
      </c>
      <c r="F117">
        <v>17</v>
      </c>
      <c r="G117">
        <v>8</v>
      </c>
      <c r="H117">
        <v>0</v>
      </c>
    </row>
    <row r="118" spans="2:8">
      <c r="B118" t="s">
        <v>336</v>
      </c>
      <c r="C118">
        <v>202400335</v>
      </c>
      <c r="D118">
        <v>23</v>
      </c>
      <c r="E118">
        <v>67</v>
      </c>
      <c r="F118">
        <v>12</v>
      </c>
      <c r="G118">
        <v>8</v>
      </c>
      <c r="H118">
        <v>0</v>
      </c>
    </row>
    <row r="119" spans="2:8">
      <c r="B119" t="s">
        <v>359</v>
      </c>
      <c r="C119">
        <v>202400358</v>
      </c>
      <c r="D119">
        <v>11</v>
      </c>
      <c r="E119">
        <v>90</v>
      </c>
      <c r="F119">
        <v>28</v>
      </c>
      <c r="G119">
        <v>10</v>
      </c>
      <c r="H119">
        <v>0</v>
      </c>
    </row>
    <row r="120" spans="2:8">
      <c r="B120" t="s">
        <v>148</v>
      </c>
      <c r="C120">
        <v>202400147</v>
      </c>
      <c r="D120">
        <v>22</v>
      </c>
      <c r="E120">
        <v>59</v>
      </c>
      <c r="F120">
        <v>27</v>
      </c>
      <c r="G120">
        <v>9</v>
      </c>
      <c r="H120">
        <v>0</v>
      </c>
    </row>
    <row r="121" spans="2:8">
      <c r="B121" t="s">
        <v>151</v>
      </c>
      <c r="C121">
        <v>202400150</v>
      </c>
      <c r="D121">
        <v>26</v>
      </c>
      <c r="E121">
        <v>55</v>
      </c>
      <c r="F121">
        <v>10</v>
      </c>
      <c r="G121">
        <v>10</v>
      </c>
      <c r="H121">
        <v>0</v>
      </c>
    </row>
    <row r="122" spans="2:8">
      <c r="B122" t="s">
        <v>292</v>
      </c>
      <c r="C122">
        <v>202400291</v>
      </c>
      <c r="D122">
        <v>6</v>
      </c>
      <c r="E122">
        <v>64</v>
      </c>
      <c r="F122">
        <v>6</v>
      </c>
      <c r="G122">
        <v>8</v>
      </c>
      <c r="H122">
        <v>0</v>
      </c>
    </row>
    <row r="123" spans="2:8">
      <c r="B123" t="s">
        <v>382</v>
      </c>
      <c r="C123">
        <v>202400381</v>
      </c>
      <c r="D123">
        <v>21</v>
      </c>
      <c r="E123">
        <v>63</v>
      </c>
      <c r="F123">
        <v>13</v>
      </c>
      <c r="G123">
        <v>10</v>
      </c>
      <c r="H123">
        <v>0</v>
      </c>
    </row>
    <row r="124" spans="2:8">
      <c r="B124" t="s">
        <v>146</v>
      </c>
      <c r="C124">
        <v>202400145</v>
      </c>
      <c r="D124">
        <v>27</v>
      </c>
      <c r="E124">
        <v>100</v>
      </c>
      <c r="F124">
        <v>20</v>
      </c>
      <c r="G124">
        <v>9</v>
      </c>
      <c r="H124">
        <v>0</v>
      </c>
    </row>
    <row r="125" spans="2:8">
      <c r="B125" t="s">
        <v>291</v>
      </c>
      <c r="C125">
        <v>202400290</v>
      </c>
      <c r="D125">
        <v>21</v>
      </c>
      <c r="E125">
        <v>68</v>
      </c>
      <c r="F125">
        <v>24</v>
      </c>
      <c r="G125">
        <v>7</v>
      </c>
      <c r="H125">
        <v>0</v>
      </c>
    </row>
    <row r="126" spans="2:8">
      <c r="B126" t="s">
        <v>223</v>
      </c>
      <c r="C126">
        <v>202400222</v>
      </c>
      <c r="D126">
        <v>19</v>
      </c>
      <c r="E126">
        <v>86</v>
      </c>
      <c r="F126">
        <v>30</v>
      </c>
      <c r="G126">
        <v>6</v>
      </c>
      <c r="H126">
        <v>0</v>
      </c>
    </row>
    <row r="127" spans="2:8">
      <c r="B127" t="s">
        <v>393</v>
      </c>
      <c r="C127">
        <v>202400392</v>
      </c>
      <c r="D127">
        <v>13</v>
      </c>
      <c r="E127">
        <v>96</v>
      </c>
      <c r="F127">
        <v>26</v>
      </c>
      <c r="G127">
        <v>7</v>
      </c>
      <c r="H127">
        <v>0</v>
      </c>
    </row>
    <row r="128" spans="2:8">
      <c r="B128" t="s">
        <v>199</v>
      </c>
      <c r="C128">
        <v>202400198</v>
      </c>
      <c r="D128">
        <v>28</v>
      </c>
      <c r="E128">
        <v>78</v>
      </c>
      <c r="F128">
        <v>11</v>
      </c>
      <c r="G128">
        <v>5</v>
      </c>
      <c r="H128">
        <v>0</v>
      </c>
    </row>
    <row r="129" spans="2:8">
      <c r="B129" t="s">
        <v>392</v>
      </c>
      <c r="C129">
        <v>202400391</v>
      </c>
      <c r="D129">
        <v>29</v>
      </c>
      <c r="E129">
        <v>64</v>
      </c>
      <c r="F129">
        <v>30</v>
      </c>
      <c r="G129">
        <v>5</v>
      </c>
      <c r="H129">
        <v>0</v>
      </c>
    </row>
    <row r="130" spans="2:8">
      <c r="B130" t="s">
        <v>63</v>
      </c>
      <c r="C130">
        <v>202400062</v>
      </c>
      <c r="D130">
        <v>25</v>
      </c>
      <c r="E130">
        <v>94</v>
      </c>
      <c r="F130">
        <v>17</v>
      </c>
      <c r="G130">
        <v>5</v>
      </c>
      <c r="H130">
        <v>0</v>
      </c>
    </row>
    <row r="131" spans="2:8">
      <c r="B131" t="s">
        <v>177</v>
      </c>
      <c r="C131">
        <v>202400176</v>
      </c>
      <c r="D131">
        <v>17</v>
      </c>
      <c r="E131">
        <v>70</v>
      </c>
      <c r="F131">
        <v>13</v>
      </c>
      <c r="G131">
        <v>5</v>
      </c>
      <c r="H131">
        <v>0</v>
      </c>
    </row>
    <row r="132" spans="2:8">
      <c r="B132" t="s">
        <v>72</v>
      </c>
      <c r="C132">
        <v>202400071</v>
      </c>
      <c r="D132">
        <v>5</v>
      </c>
      <c r="E132">
        <v>72</v>
      </c>
      <c r="F132">
        <v>21</v>
      </c>
      <c r="G132">
        <v>7</v>
      </c>
      <c r="H132">
        <v>0</v>
      </c>
    </row>
    <row r="133" spans="2:8">
      <c r="B133" t="s">
        <v>240</v>
      </c>
      <c r="C133">
        <v>202400239</v>
      </c>
      <c r="D133">
        <v>15</v>
      </c>
      <c r="E133">
        <v>81</v>
      </c>
      <c r="F133">
        <v>12</v>
      </c>
      <c r="G133">
        <v>5</v>
      </c>
      <c r="H133">
        <v>0</v>
      </c>
    </row>
    <row r="134" spans="2:8">
      <c r="B134" t="s">
        <v>190</v>
      </c>
      <c r="C134">
        <v>202400189</v>
      </c>
      <c r="D134">
        <v>27</v>
      </c>
      <c r="E134">
        <v>82</v>
      </c>
      <c r="F134">
        <v>6</v>
      </c>
      <c r="G134">
        <v>5</v>
      </c>
      <c r="H134">
        <v>0</v>
      </c>
    </row>
    <row r="135" spans="2:8">
      <c r="B135" t="s">
        <v>28</v>
      </c>
      <c r="C135">
        <v>202400027</v>
      </c>
      <c r="D135">
        <v>19</v>
      </c>
      <c r="E135">
        <v>93</v>
      </c>
      <c r="F135">
        <v>17</v>
      </c>
      <c r="G135">
        <v>10</v>
      </c>
      <c r="H135">
        <v>0</v>
      </c>
    </row>
    <row r="136" spans="2:8">
      <c r="B136" t="s">
        <v>170</v>
      </c>
      <c r="C136">
        <v>202400169</v>
      </c>
      <c r="D136">
        <v>11</v>
      </c>
      <c r="E136">
        <v>72</v>
      </c>
      <c r="F136">
        <v>6</v>
      </c>
      <c r="G136">
        <v>8</v>
      </c>
      <c r="H136">
        <v>0</v>
      </c>
    </row>
    <row r="137" spans="2:8">
      <c r="B137" t="s">
        <v>273</v>
      </c>
      <c r="C137">
        <v>202400272</v>
      </c>
      <c r="D137">
        <v>15</v>
      </c>
      <c r="E137">
        <v>97</v>
      </c>
      <c r="F137">
        <v>14</v>
      </c>
      <c r="G137">
        <v>5</v>
      </c>
      <c r="H137">
        <v>0</v>
      </c>
    </row>
    <row r="138" spans="2:8">
      <c r="B138" t="s">
        <v>92</v>
      </c>
      <c r="C138">
        <v>202400091</v>
      </c>
      <c r="D138">
        <v>30</v>
      </c>
      <c r="E138">
        <v>86</v>
      </c>
      <c r="F138">
        <v>28</v>
      </c>
      <c r="G138">
        <v>10</v>
      </c>
      <c r="H138">
        <v>0</v>
      </c>
    </row>
    <row r="139" spans="2:8">
      <c r="B139" t="s">
        <v>21</v>
      </c>
      <c r="C139">
        <v>202400020</v>
      </c>
      <c r="D139">
        <v>17</v>
      </c>
      <c r="E139">
        <v>76</v>
      </c>
      <c r="F139">
        <v>23</v>
      </c>
      <c r="G139">
        <v>8</v>
      </c>
      <c r="H139">
        <v>0</v>
      </c>
    </row>
    <row r="140" spans="2:8">
      <c r="B140" t="s">
        <v>150</v>
      </c>
      <c r="C140">
        <v>202400149</v>
      </c>
      <c r="D140">
        <v>16</v>
      </c>
      <c r="E140">
        <v>74</v>
      </c>
      <c r="F140">
        <v>18</v>
      </c>
      <c r="G140">
        <v>7</v>
      </c>
      <c r="H140">
        <v>0</v>
      </c>
    </row>
    <row r="141" spans="2:8">
      <c r="B141" t="s">
        <v>120</v>
      </c>
      <c r="C141">
        <v>202400119</v>
      </c>
      <c r="D141">
        <v>25</v>
      </c>
      <c r="E141">
        <v>92</v>
      </c>
      <c r="F141">
        <v>12</v>
      </c>
      <c r="G141">
        <v>5</v>
      </c>
      <c r="H141">
        <v>0</v>
      </c>
    </row>
    <row r="142" spans="2:8">
      <c r="B142" t="s">
        <v>14</v>
      </c>
      <c r="C142">
        <v>202400013</v>
      </c>
      <c r="D142">
        <v>19</v>
      </c>
      <c r="E142">
        <v>94</v>
      </c>
      <c r="F142">
        <v>6</v>
      </c>
      <c r="G142">
        <v>5</v>
      </c>
      <c r="H142">
        <v>0</v>
      </c>
    </row>
    <row r="143" spans="2:8">
      <c r="B143" t="s">
        <v>270</v>
      </c>
      <c r="C143">
        <v>202400269</v>
      </c>
      <c r="D143">
        <v>29</v>
      </c>
      <c r="E143">
        <v>82</v>
      </c>
      <c r="F143">
        <v>15</v>
      </c>
      <c r="G143">
        <v>5</v>
      </c>
      <c r="H143">
        <v>0</v>
      </c>
    </row>
    <row r="144" spans="2:8">
      <c r="B144" t="s">
        <v>128</v>
      </c>
      <c r="C144">
        <v>202400127</v>
      </c>
      <c r="D144">
        <v>16</v>
      </c>
      <c r="E144">
        <v>72</v>
      </c>
      <c r="F144">
        <v>10</v>
      </c>
      <c r="G144">
        <v>8</v>
      </c>
      <c r="H144">
        <v>0</v>
      </c>
    </row>
    <row r="145" spans="2:8">
      <c r="B145" t="s">
        <v>16</v>
      </c>
      <c r="C145">
        <v>202400015</v>
      </c>
      <c r="D145">
        <v>10</v>
      </c>
      <c r="E145">
        <v>97</v>
      </c>
      <c r="F145">
        <v>29</v>
      </c>
      <c r="G145">
        <v>9</v>
      </c>
      <c r="H145">
        <v>0</v>
      </c>
    </row>
    <row r="146" spans="2:8">
      <c r="B146" t="s">
        <v>476</v>
      </c>
      <c r="C146">
        <v>202400385</v>
      </c>
      <c r="D146">
        <v>5</v>
      </c>
      <c r="E146">
        <v>59</v>
      </c>
      <c r="F146">
        <v>16</v>
      </c>
      <c r="G146">
        <v>10</v>
      </c>
      <c r="H146">
        <v>0</v>
      </c>
    </row>
    <row r="147" spans="2:8">
      <c r="B147" t="s">
        <v>45</v>
      </c>
      <c r="C147">
        <v>202400044</v>
      </c>
      <c r="D147">
        <v>14</v>
      </c>
      <c r="E147">
        <v>54</v>
      </c>
      <c r="F147">
        <v>22</v>
      </c>
      <c r="G147">
        <v>9</v>
      </c>
      <c r="H147">
        <v>0</v>
      </c>
    </row>
    <row r="148" spans="2:8">
      <c r="B148" t="s">
        <v>60</v>
      </c>
      <c r="C148">
        <v>202400059</v>
      </c>
      <c r="D148">
        <v>26</v>
      </c>
      <c r="E148">
        <v>85</v>
      </c>
      <c r="F148">
        <v>25</v>
      </c>
      <c r="G148">
        <v>10</v>
      </c>
      <c r="H148">
        <v>0</v>
      </c>
    </row>
    <row r="149" spans="2:8">
      <c r="B149" t="s">
        <v>204</v>
      </c>
      <c r="C149">
        <v>202400203</v>
      </c>
      <c r="D149">
        <v>28</v>
      </c>
      <c r="E149">
        <v>52</v>
      </c>
      <c r="F149">
        <v>29</v>
      </c>
      <c r="G149">
        <v>6</v>
      </c>
      <c r="H149">
        <v>0</v>
      </c>
    </row>
    <row r="150" spans="2:8">
      <c r="B150" t="s">
        <v>229</v>
      </c>
      <c r="C150">
        <v>202400228</v>
      </c>
      <c r="D150">
        <v>19</v>
      </c>
      <c r="E150">
        <v>92</v>
      </c>
      <c r="F150">
        <v>23</v>
      </c>
      <c r="G150">
        <v>5</v>
      </c>
      <c r="H150">
        <v>0</v>
      </c>
    </row>
    <row r="151" spans="2:8">
      <c r="B151" t="s">
        <v>111</v>
      </c>
      <c r="C151">
        <v>202400110</v>
      </c>
      <c r="D151">
        <v>13</v>
      </c>
      <c r="E151">
        <v>63</v>
      </c>
      <c r="F151">
        <v>24</v>
      </c>
      <c r="G151">
        <v>8</v>
      </c>
      <c r="H151">
        <v>0</v>
      </c>
    </row>
    <row r="152" spans="2:8">
      <c r="B152" t="s">
        <v>471</v>
      </c>
      <c r="C152">
        <v>202400018</v>
      </c>
      <c r="D152">
        <v>9</v>
      </c>
      <c r="E152">
        <v>98</v>
      </c>
      <c r="F152">
        <v>27</v>
      </c>
      <c r="G152">
        <v>5</v>
      </c>
      <c r="H152">
        <v>0</v>
      </c>
    </row>
    <row r="153" spans="2:8">
      <c r="B153" t="s">
        <v>278</v>
      </c>
      <c r="C153">
        <v>202400277</v>
      </c>
      <c r="D153">
        <v>9</v>
      </c>
      <c r="E153">
        <v>50</v>
      </c>
      <c r="F153">
        <v>22</v>
      </c>
      <c r="G153">
        <v>5</v>
      </c>
      <c r="H153">
        <v>0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4F7F-8FBA-AF40-BB72-FCD099B11FC1}">
  <dimension ref="B1:M53"/>
  <sheetViews>
    <sheetView workbookViewId="0">
      <selection activeCell="I15" sqref="I15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510</v>
      </c>
      <c r="C2">
        <v>1</v>
      </c>
      <c r="D2" t="s">
        <v>517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19</v>
      </c>
      <c r="C4">
        <v>202400018</v>
      </c>
      <c r="D4">
        <v>22</v>
      </c>
      <c r="E4">
        <v>72</v>
      </c>
      <c r="F4">
        <v>9</v>
      </c>
      <c r="G4">
        <v>7</v>
      </c>
      <c r="H4">
        <v>0</v>
      </c>
    </row>
    <row r="5" spans="2:13">
      <c r="B5" t="s">
        <v>34</v>
      </c>
      <c r="C5">
        <v>202400033</v>
      </c>
      <c r="D5">
        <v>15</v>
      </c>
      <c r="E5">
        <v>96</v>
      </c>
      <c r="F5">
        <v>17</v>
      </c>
      <c r="G5">
        <v>8</v>
      </c>
      <c r="H5">
        <v>0</v>
      </c>
    </row>
    <row r="6" spans="2:13">
      <c r="B6" t="s">
        <v>382</v>
      </c>
      <c r="C6">
        <v>202400381</v>
      </c>
      <c r="D6">
        <v>30</v>
      </c>
      <c r="E6">
        <v>69</v>
      </c>
      <c r="F6">
        <v>11</v>
      </c>
      <c r="G6">
        <v>8</v>
      </c>
      <c r="H6">
        <v>0</v>
      </c>
    </row>
    <row r="7" spans="2:13">
      <c r="B7" t="s">
        <v>50</v>
      </c>
      <c r="C7">
        <v>202400049</v>
      </c>
      <c r="D7">
        <v>22</v>
      </c>
      <c r="E7">
        <v>97</v>
      </c>
      <c r="F7">
        <v>7</v>
      </c>
      <c r="G7">
        <v>7</v>
      </c>
      <c r="H7">
        <v>0</v>
      </c>
    </row>
    <row r="8" spans="2:13">
      <c r="B8" t="s">
        <v>48</v>
      </c>
      <c r="C8">
        <v>202400047</v>
      </c>
      <c r="D8">
        <v>30</v>
      </c>
      <c r="E8">
        <v>62</v>
      </c>
      <c r="F8">
        <v>8</v>
      </c>
      <c r="G8">
        <v>7</v>
      </c>
      <c r="H8">
        <v>0</v>
      </c>
    </row>
    <row r="9" spans="2:13">
      <c r="B9" t="s">
        <v>346</v>
      </c>
      <c r="C9">
        <v>202400345</v>
      </c>
      <c r="D9">
        <v>22</v>
      </c>
      <c r="E9">
        <v>65</v>
      </c>
      <c r="F9">
        <v>19</v>
      </c>
      <c r="G9">
        <v>8</v>
      </c>
      <c r="H9">
        <v>0</v>
      </c>
    </row>
    <row r="10" spans="2:13">
      <c r="B10" t="s">
        <v>269</v>
      </c>
      <c r="C10">
        <v>202400268</v>
      </c>
      <c r="D10">
        <v>29</v>
      </c>
      <c r="E10">
        <v>60</v>
      </c>
      <c r="F10">
        <v>13</v>
      </c>
      <c r="G10">
        <v>9</v>
      </c>
      <c r="H10">
        <v>0</v>
      </c>
    </row>
    <row r="11" spans="2:13">
      <c r="B11" t="s">
        <v>139</v>
      </c>
      <c r="C11">
        <v>202400138</v>
      </c>
      <c r="D11">
        <v>15</v>
      </c>
      <c r="E11">
        <v>64</v>
      </c>
      <c r="F11">
        <v>14</v>
      </c>
      <c r="G11">
        <v>7</v>
      </c>
      <c r="H11">
        <v>0</v>
      </c>
    </row>
    <row r="12" spans="2:13">
      <c r="B12" t="s">
        <v>294</v>
      </c>
      <c r="C12">
        <v>202400293</v>
      </c>
      <c r="D12">
        <v>22</v>
      </c>
      <c r="E12">
        <v>93</v>
      </c>
      <c r="F12">
        <v>20</v>
      </c>
      <c r="G12">
        <v>7</v>
      </c>
      <c r="H12">
        <v>0</v>
      </c>
    </row>
    <row r="13" spans="2:13">
      <c r="B13" t="s">
        <v>250</v>
      </c>
      <c r="C13">
        <v>202400249</v>
      </c>
      <c r="D13">
        <v>28</v>
      </c>
      <c r="E13">
        <v>69</v>
      </c>
      <c r="F13">
        <v>11</v>
      </c>
      <c r="G13">
        <v>9</v>
      </c>
      <c r="H13">
        <v>0</v>
      </c>
    </row>
    <row r="14" spans="2:13">
      <c r="B14" t="s">
        <v>122</v>
      </c>
      <c r="C14">
        <v>202400121</v>
      </c>
      <c r="D14">
        <v>15</v>
      </c>
      <c r="E14">
        <v>97</v>
      </c>
      <c r="F14">
        <v>7</v>
      </c>
      <c r="G14">
        <v>8</v>
      </c>
      <c r="H14">
        <v>0</v>
      </c>
    </row>
    <row r="15" spans="2:13">
      <c r="B15" t="s">
        <v>244</v>
      </c>
      <c r="C15">
        <v>202400243</v>
      </c>
      <c r="D15">
        <v>25</v>
      </c>
      <c r="E15">
        <v>68</v>
      </c>
      <c r="F15">
        <v>17</v>
      </c>
      <c r="G15">
        <v>8</v>
      </c>
      <c r="H15">
        <v>0</v>
      </c>
    </row>
    <row r="16" spans="2:13">
      <c r="B16" t="s">
        <v>91</v>
      </c>
      <c r="C16">
        <v>202400090</v>
      </c>
      <c r="D16">
        <v>26</v>
      </c>
      <c r="E16">
        <v>77</v>
      </c>
      <c r="F16">
        <v>7</v>
      </c>
      <c r="G16">
        <v>9</v>
      </c>
      <c r="H16">
        <v>0</v>
      </c>
    </row>
    <row r="17" spans="2:8">
      <c r="B17" t="s">
        <v>97</v>
      </c>
      <c r="C17">
        <v>202400096</v>
      </c>
      <c r="D17">
        <v>16</v>
      </c>
      <c r="E17">
        <v>70</v>
      </c>
      <c r="F17">
        <v>10</v>
      </c>
      <c r="G17">
        <v>10</v>
      </c>
      <c r="H17">
        <v>0</v>
      </c>
    </row>
    <row r="18" spans="2:8">
      <c r="B18" t="s">
        <v>242</v>
      </c>
      <c r="C18">
        <v>202400241</v>
      </c>
      <c r="D18">
        <v>22</v>
      </c>
      <c r="E18">
        <v>53</v>
      </c>
      <c r="F18">
        <v>5</v>
      </c>
      <c r="G18">
        <v>8</v>
      </c>
      <c r="H18">
        <v>0</v>
      </c>
    </row>
    <row r="19" spans="2:8">
      <c r="B19" t="s">
        <v>366</v>
      </c>
      <c r="C19">
        <v>202400365</v>
      </c>
      <c r="D19">
        <v>19</v>
      </c>
      <c r="E19">
        <v>61</v>
      </c>
      <c r="F19">
        <v>18</v>
      </c>
      <c r="G19">
        <v>10</v>
      </c>
      <c r="H19">
        <v>0</v>
      </c>
    </row>
    <row r="20" spans="2:8">
      <c r="B20" t="s">
        <v>60</v>
      </c>
      <c r="C20">
        <v>202400059</v>
      </c>
      <c r="D20">
        <v>15</v>
      </c>
      <c r="E20">
        <v>88</v>
      </c>
      <c r="F20">
        <v>12</v>
      </c>
      <c r="G20">
        <v>8</v>
      </c>
      <c r="H20">
        <v>0</v>
      </c>
    </row>
    <row r="21" spans="2:8">
      <c r="B21" t="s">
        <v>379</v>
      </c>
      <c r="C21">
        <v>202400378</v>
      </c>
      <c r="D21">
        <v>30</v>
      </c>
      <c r="E21">
        <v>54</v>
      </c>
      <c r="F21">
        <v>12</v>
      </c>
      <c r="G21">
        <v>7</v>
      </c>
      <c r="H21">
        <v>0</v>
      </c>
    </row>
    <row r="22" spans="2:8">
      <c r="B22" t="s">
        <v>289</v>
      </c>
      <c r="C22">
        <v>202400288</v>
      </c>
      <c r="D22">
        <v>22</v>
      </c>
      <c r="E22">
        <v>91</v>
      </c>
      <c r="F22">
        <v>7</v>
      </c>
      <c r="G22">
        <v>10</v>
      </c>
      <c r="H22">
        <v>0</v>
      </c>
    </row>
    <row r="23" spans="2:8">
      <c r="B23" t="s">
        <v>17</v>
      </c>
      <c r="C23">
        <v>202400016</v>
      </c>
      <c r="D23">
        <v>28</v>
      </c>
      <c r="E23">
        <v>93</v>
      </c>
      <c r="F23">
        <v>11</v>
      </c>
      <c r="G23">
        <v>9</v>
      </c>
      <c r="H23">
        <v>0</v>
      </c>
    </row>
    <row r="24" spans="2:8">
      <c r="B24" t="s">
        <v>344</v>
      </c>
      <c r="C24">
        <v>202400343</v>
      </c>
      <c r="D24">
        <v>21</v>
      </c>
      <c r="E24">
        <v>58</v>
      </c>
      <c r="F24">
        <v>18</v>
      </c>
      <c r="G24">
        <v>10</v>
      </c>
      <c r="H24">
        <v>0</v>
      </c>
    </row>
    <row r="25" spans="2:8">
      <c r="B25" t="s">
        <v>280</v>
      </c>
      <c r="C25">
        <v>202400279</v>
      </c>
      <c r="D25">
        <v>16</v>
      </c>
      <c r="E25">
        <v>70</v>
      </c>
      <c r="F25">
        <v>20</v>
      </c>
      <c r="G25">
        <v>9</v>
      </c>
      <c r="H25">
        <v>0</v>
      </c>
    </row>
    <row r="26" spans="2:8">
      <c r="B26" t="s">
        <v>204</v>
      </c>
      <c r="C26">
        <v>202400203</v>
      </c>
      <c r="D26">
        <v>23</v>
      </c>
      <c r="E26">
        <v>67</v>
      </c>
      <c r="F26">
        <v>20</v>
      </c>
      <c r="G26">
        <v>8</v>
      </c>
      <c r="H26">
        <v>0</v>
      </c>
    </row>
    <row r="27" spans="2:8">
      <c r="B27" t="s">
        <v>217</v>
      </c>
      <c r="C27">
        <v>202400216</v>
      </c>
      <c r="D27">
        <v>30</v>
      </c>
      <c r="E27">
        <v>51</v>
      </c>
      <c r="F27">
        <v>11</v>
      </c>
      <c r="G27">
        <v>7</v>
      </c>
      <c r="H27">
        <v>0</v>
      </c>
    </row>
    <row r="28" spans="2:8">
      <c r="B28" t="s">
        <v>334</v>
      </c>
      <c r="C28">
        <v>202400333</v>
      </c>
      <c r="D28">
        <v>24</v>
      </c>
      <c r="E28">
        <v>84</v>
      </c>
      <c r="F28">
        <v>15</v>
      </c>
      <c r="G28">
        <v>7</v>
      </c>
      <c r="H28">
        <v>0</v>
      </c>
    </row>
    <row r="29" spans="2:8">
      <c r="B29" t="s">
        <v>252</v>
      </c>
      <c r="C29">
        <v>202400251</v>
      </c>
      <c r="D29">
        <v>29</v>
      </c>
      <c r="E29">
        <v>84</v>
      </c>
      <c r="F29">
        <v>8</v>
      </c>
      <c r="G29">
        <v>7</v>
      </c>
      <c r="H29">
        <v>0</v>
      </c>
    </row>
    <row r="30" spans="2:8">
      <c r="B30" t="s">
        <v>110</v>
      </c>
      <c r="C30">
        <v>202400109</v>
      </c>
      <c r="D30">
        <v>28</v>
      </c>
      <c r="E30">
        <v>97</v>
      </c>
      <c r="F30">
        <v>14</v>
      </c>
      <c r="G30">
        <v>10</v>
      </c>
      <c r="H30">
        <v>0</v>
      </c>
    </row>
    <row r="31" spans="2:8">
      <c r="B31" t="s">
        <v>381</v>
      </c>
      <c r="C31">
        <v>202400380</v>
      </c>
      <c r="D31">
        <v>21</v>
      </c>
      <c r="E31">
        <v>51</v>
      </c>
      <c r="F31">
        <v>14</v>
      </c>
      <c r="G31">
        <v>10</v>
      </c>
      <c r="H31">
        <v>0</v>
      </c>
    </row>
    <row r="32" spans="2:8">
      <c r="B32" t="s">
        <v>147</v>
      </c>
      <c r="C32">
        <v>202400146</v>
      </c>
      <c r="D32">
        <v>16</v>
      </c>
      <c r="E32">
        <v>50</v>
      </c>
      <c r="F32">
        <v>10</v>
      </c>
      <c r="G32">
        <v>8</v>
      </c>
      <c r="H32">
        <v>0</v>
      </c>
    </row>
    <row r="33" spans="2:8">
      <c r="B33" t="s">
        <v>114</v>
      </c>
      <c r="C33">
        <v>202400113</v>
      </c>
      <c r="D33">
        <v>15</v>
      </c>
      <c r="E33">
        <v>72</v>
      </c>
      <c r="F33">
        <v>15</v>
      </c>
      <c r="G33">
        <v>9</v>
      </c>
      <c r="H33">
        <v>0</v>
      </c>
    </row>
    <row r="34" spans="2:8">
      <c r="B34" t="s">
        <v>218</v>
      </c>
      <c r="C34">
        <v>202400217</v>
      </c>
      <c r="D34">
        <v>29</v>
      </c>
      <c r="E34">
        <v>99</v>
      </c>
      <c r="F34">
        <v>11</v>
      </c>
      <c r="G34">
        <v>9</v>
      </c>
      <c r="H34">
        <v>0</v>
      </c>
    </row>
    <row r="35" spans="2:8">
      <c r="B35" t="s">
        <v>335</v>
      </c>
      <c r="C35">
        <v>202400334</v>
      </c>
      <c r="D35">
        <v>27</v>
      </c>
      <c r="E35">
        <v>81</v>
      </c>
      <c r="F35">
        <v>15</v>
      </c>
      <c r="G35">
        <v>8</v>
      </c>
      <c r="H35">
        <v>0</v>
      </c>
    </row>
    <row r="36" spans="2:8">
      <c r="B36" t="s">
        <v>316</v>
      </c>
      <c r="C36">
        <v>202400315</v>
      </c>
      <c r="D36">
        <v>15</v>
      </c>
      <c r="E36">
        <v>91</v>
      </c>
      <c r="F36">
        <v>11</v>
      </c>
      <c r="G36">
        <v>10</v>
      </c>
      <c r="H36">
        <v>0</v>
      </c>
    </row>
    <row r="37" spans="2:8">
      <c r="B37" t="s">
        <v>7</v>
      </c>
      <c r="C37">
        <v>202400006</v>
      </c>
      <c r="D37">
        <v>19</v>
      </c>
      <c r="E37">
        <v>92</v>
      </c>
      <c r="F37">
        <v>13</v>
      </c>
      <c r="G37">
        <v>8</v>
      </c>
      <c r="H37">
        <v>0</v>
      </c>
    </row>
    <row r="38" spans="2:8">
      <c r="B38" t="s">
        <v>468</v>
      </c>
      <c r="C38">
        <v>202400038</v>
      </c>
      <c r="D38">
        <v>26</v>
      </c>
      <c r="E38">
        <v>68</v>
      </c>
      <c r="F38">
        <v>11</v>
      </c>
      <c r="G38">
        <v>7</v>
      </c>
      <c r="H38">
        <v>0</v>
      </c>
    </row>
    <row r="39" spans="2:8">
      <c r="B39" t="s">
        <v>43</v>
      </c>
      <c r="C39">
        <v>202400042</v>
      </c>
      <c r="D39">
        <v>26</v>
      </c>
      <c r="E39">
        <v>77</v>
      </c>
      <c r="F39">
        <v>19</v>
      </c>
      <c r="G39">
        <v>10</v>
      </c>
      <c r="H39">
        <v>0</v>
      </c>
    </row>
    <row r="40" spans="2:8">
      <c r="B40" t="s">
        <v>353</v>
      </c>
      <c r="C40">
        <v>202400352</v>
      </c>
      <c r="D40">
        <v>16</v>
      </c>
      <c r="E40">
        <v>54</v>
      </c>
      <c r="F40">
        <v>18</v>
      </c>
      <c r="G40">
        <v>7</v>
      </c>
      <c r="H40">
        <v>0</v>
      </c>
    </row>
    <row r="41" spans="2:8">
      <c r="B41" t="s">
        <v>327</v>
      </c>
      <c r="C41">
        <v>202400326</v>
      </c>
      <c r="D41">
        <v>19</v>
      </c>
      <c r="E41">
        <v>60</v>
      </c>
      <c r="F41">
        <v>9</v>
      </c>
      <c r="G41">
        <v>9</v>
      </c>
      <c r="H41">
        <v>0</v>
      </c>
    </row>
    <row r="42" spans="2:8">
      <c r="B42" t="s">
        <v>306</v>
      </c>
      <c r="C42">
        <v>202400305</v>
      </c>
      <c r="D42">
        <v>16</v>
      </c>
      <c r="E42">
        <v>73</v>
      </c>
      <c r="F42">
        <v>17</v>
      </c>
      <c r="G42">
        <v>8</v>
      </c>
      <c r="H42">
        <v>0</v>
      </c>
    </row>
    <row r="43" spans="2:8">
      <c r="B43" t="s">
        <v>105</v>
      </c>
      <c r="C43">
        <v>202400104</v>
      </c>
      <c r="D43">
        <v>26</v>
      </c>
      <c r="E43">
        <v>68</v>
      </c>
      <c r="F43">
        <v>18</v>
      </c>
      <c r="G43">
        <v>10</v>
      </c>
      <c r="H43">
        <v>0</v>
      </c>
    </row>
    <row r="44" spans="2:8">
      <c r="B44" t="s">
        <v>384</v>
      </c>
      <c r="C44">
        <v>202400383</v>
      </c>
      <c r="D44">
        <v>16</v>
      </c>
      <c r="E44">
        <v>72</v>
      </c>
      <c r="F44">
        <v>7</v>
      </c>
      <c r="G44">
        <v>10</v>
      </c>
      <c r="H44">
        <v>0</v>
      </c>
    </row>
    <row r="45" spans="2:8">
      <c r="B45" t="s">
        <v>221</v>
      </c>
      <c r="C45">
        <v>202400220</v>
      </c>
      <c r="D45">
        <v>17</v>
      </c>
      <c r="E45">
        <v>88</v>
      </c>
      <c r="F45">
        <v>19</v>
      </c>
      <c r="G45">
        <v>7</v>
      </c>
      <c r="H45">
        <v>0</v>
      </c>
    </row>
    <row r="46" spans="2:8">
      <c r="B46" t="s">
        <v>138</v>
      </c>
      <c r="C46">
        <v>202400137</v>
      </c>
      <c r="D46">
        <v>20</v>
      </c>
      <c r="E46">
        <v>90</v>
      </c>
      <c r="F46">
        <v>11</v>
      </c>
      <c r="G46">
        <v>7</v>
      </c>
      <c r="H46">
        <v>0</v>
      </c>
    </row>
    <row r="47" spans="2:8">
      <c r="B47" t="s">
        <v>159</v>
      </c>
      <c r="C47">
        <v>202400158</v>
      </c>
      <c r="D47">
        <v>29</v>
      </c>
      <c r="E47">
        <v>61</v>
      </c>
      <c r="F47">
        <v>13</v>
      </c>
      <c r="G47">
        <v>7</v>
      </c>
      <c r="H47">
        <v>0</v>
      </c>
    </row>
    <row r="48" spans="2:8">
      <c r="B48" t="s">
        <v>130</v>
      </c>
      <c r="C48">
        <v>202400129</v>
      </c>
      <c r="D48">
        <v>20</v>
      </c>
      <c r="E48">
        <v>54</v>
      </c>
      <c r="F48">
        <v>17</v>
      </c>
      <c r="G48">
        <v>10</v>
      </c>
      <c r="H48">
        <v>0</v>
      </c>
    </row>
    <row r="49" spans="2:8">
      <c r="B49" t="s">
        <v>116</v>
      </c>
      <c r="C49">
        <v>202400115</v>
      </c>
      <c r="D49">
        <v>20</v>
      </c>
      <c r="E49">
        <v>72</v>
      </c>
      <c r="F49">
        <v>16</v>
      </c>
      <c r="G49">
        <v>9</v>
      </c>
      <c r="H49">
        <v>0</v>
      </c>
    </row>
    <row r="50" spans="2:8">
      <c r="B50" t="s">
        <v>40</v>
      </c>
      <c r="C50">
        <v>202400039</v>
      </c>
      <c r="D50">
        <v>20</v>
      </c>
      <c r="E50">
        <v>61</v>
      </c>
      <c r="F50">
        <v>19</v>
      </c>
      <c r="G50">
        <v>9</v>
      </c>
      <c r="H50">
        <v>0</v>
      </c>
    </row>
    <row r="51" spans="2:8">
      <c r="B51" t="s">
        <v>189</v>
      </c>
      <c r="C51">
        <v>202400188</v>
      </c>
      <c r="D51">
        <v>24</v>
      </c>
      <c r="E51">
        <v>57</v>
      </c>
      <c r="F51">
        <v>15</v>
      </c>
      <c r="G51">
        <v>10</v>
      </c>
      <c r="H51">
        <v>0</v>
      </c>
    </row>
    <row r="52" spans="2:8">
      <c r="B52" t="s">
        <v>320</v>
      </c>
      <c r="C52">
        <v>202400319</v>
      </c>
      <c r="D52">
        <v>25</v>
      </c>
      <c r="E52">
        <v>69</v>
      </c>
      <c r="F52">
        <v>6</v>
      </c>
      <c r="G52">
        <v>8</v>
      </c>
      <c r="H52">
        <v>0</v>
      </c>
    </row>
    <row r="53" spans="2:8">
      <c r="B53" t="s">
        <v>37</v>
      </c>
      <c r="C53">
        <v>202400036</v>
      </c>
      <c r="D53">
        <v>19</v>
      </c>
      <c r="E53">
        <v>68</v>
      </c>
      <c r="F53">
        <v>11</v>
      </c>
      <c r="G53">
        <v>9</v>
      </c>
      <c r="H53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14B6-6162-1646-A691-01AD8372C487}">
  <dimension ref="A1:C402"/>
  <sheetViews>
    <sheetView view="pageBreakPreview" zoomScale="125" zoomScaleNormal="68" zoomScaleSheetLayoutView="100" workbookViewId="0">
      <selection sqref="A1:XFD1"/>
    </sheetView>
  </sheetViews>
  <sheetFormatPr baseColWidth="10" defaultRowHeight="18"/>
  <cols>
    <col min="1" max="1" width="4.140625" style="6" customWidth="1"/>
  </cols>
  <sheetData>
    <row r="1" spans="1:3">
      <c r="A1" s="12"/>
      <c r="B1" s="13" t="s">
        <v>441</v>
      </c>
      <c r="C1" s="11" t="s">
        <v>443</v>
      </c>
    </row>
    <row r="2" spans="1:3">
      <c r="A2" s="14"/>
      <c r="B2" s="16"/>
      <c r="C2" s="16"/>
    </row>
    <row r="3" spans="1:3">
      <c r="A3" s="15">
        <v>1</v>
      </c>
      <c r="B3" s="16" t="s">
        <v>1</v>
      </c>
      <c r="C3" s="16">
        <v>202400001</v>
      </c>
    </row>
    <row r="4" spans="1:3">
      <c r="A4" s="15">
        <v>2</v>
      </c>
      <c r="B4" s="16" t="s">
        <v>3</v>
      </c>
      <c r="C4" s="16">
        <v>202400002</v>
      </c>
    </row>
    <row r="5" spans="1:3">
      <c r="A5" s="15">
        <v>3</v>
      </c>
      <c r="B5" s="16" t="s">
        <v>4</v>
      </c>
      <c r="C5" s="16">
        <v>202400003</v>
      </c>
    </row>
    <row r="6" spans="1:3">
      <c r="A6" s="15">
        <v>4</v>
      </c>
      <c r="B6" s="16" t="s">
        <v>5</v>
      </c>
      <c r="C6" s="16">
        <v>202400004</v>
      </c>
    </row>
    <row r="7" spans="1:3">
      <c r="A7" s="15">
        <v>5</v>
      </c>
      <c r="B7" s="16" t="s">
        <v>6</v>
      </c>
      <c r="C7" s="16">
        <v>202400005</v>
      </c>
    </row>
    <row r="8" spans="1:3">
      <c r="A8" s="15">
        <v>6</v>
      </c>
      <c r="B8" s="16" t="s">
        <v>472</v>
      </c>
      <c r="C8" s="16">
        <v>202400006</v>
      </c>
    </row>
    <row r="9" spans="1:3">
      <c r="A9" s="15">
        <v>7</v>
      </c>
      <c r="B9" s="16" t="s">
        <v>8</v>
      </c>
      <c r="C9" s="16">
        <v>202400007</v>
      </c>
    </row>
    <row r="10" spans="1:3">
      <c r="A10" s="15">
        <v>8</v>
      </c>
      <c r="B10" s="16" t="s">
        <v>9</v>
      </c>
      <c r="C10" s="16">
        <v>202400008</v>
      </c>
    </row>
    <row r="11" spans="1:3">
      <c r="A11" s="15">
        <v>9</v>
      </c>
      <c r="B11" s="16" t="s">
        <v>10</v>
      </c>
      <c r="C11" s="16">
        <v>202400009</v>
      </c>
    </row>
    <row r="12" spans="1:3">
      <c r="A12" s="15">
        <v>10</v>
      </c>
      <c r="B12" s="16" t="s">
        <v>11</v>
      </c>
      <c r="C12" s="16">
        <v>202400010</v>
      </c>
    </row>
    <row r="13" spans="1:3">
      <c r="A13" s="15">
        <v>11</v>
      </c>
      <c r="B13" s="16" t="s">
        <v>12</v>
      </c>
      <c r="C13" s="16">
        <v>202400011</v>
      </c>
    </row>
    <row r="14" spans="1:3">
      <c r="A14" s="15">
        <v>12</v>
      </c>
      <c r="B14" s="16" t="s">
        <v>13</v>
      </c>
      <c r="C14" s="16">
        <v>202400012</v>
      </c>
    </row>
    <row r="15" spans="1:3">
      <c r="A15" s="15">
        <v>13</v>
      </c>
      <c r="B15" s="16" t="s">
        <v>14</v>
      </c>
      <c r="C15" s="16">
        <v>202400013</v>
      </c>
    </row>
    <row r="16" spans="1:3">
      <c r="A16" s="15">
        <v>14</v>
      </c>
      <c r="B16" s="16" t="s">
        <v>15</v>
      </c>
      <c r="C16" s="16">
        <v>202400014</v>
      </c>
    </row>
    <row r="17" spans="1:3">
      <c r="A17" s="15">
        <v>15</v>
      </c>
      <c r="B17" s="16" t="s">
        <v>16</v>
      </c>
      <c r="C17" s="16">
        <v>202400015</v>
      </c>
    </row>
    <row r="18" spans="1:3">
      <c r="A18" s="15">
        <v>16</v>
      </c>
      <c r="B18" s="16" t="s">
        <v>17</v>
      </c>
      <c r="C18" s="16">
        <v>202400016</v>
      </c>
    </row>
    <row r="19" spans="1:3">
      <c r="A19" s="15">
        <v>17</v>
      </c>
      <c r="B19" s="16" t="s">
        <v>18</v>
      </c>
      <c r="C19" s="16">
        <v>202400017</v>
      </c>
    </row>
    <row r="20" spans="1:3">
      <c r="A20" s="15">
        <v>18</v>
      </c>
      <c r="B20" s="16" t="s">
        <v>19</v>
      </c>
      <c r="C20" s="16">
        <v>202400018</v>
      </c>
    </row>
    <row r="21" spans="1:3">
      <c r="A21" s="15">
        <v>19</v>
      </c>
      <c r="B21" s="16" t="s">
        <v>20</v>
      </c>
      <c r="C21" s="16">
        <v>202400019</v>
      </c>
    </row>
    <row r="22" spans="1:3">
      <c r="A22" s="15">
        <v>20</v>
      </c>
      <c r="B22" s="16" t="s">
        <v>21</v>
      </c>
      <c r="C22" s="16">
        <v>202400020</v>
      </c>
    </row>
    <row r="23" spans="1:3">
      <c r="A23" s="15">
        <v>21</v>
      </c>
      <c r="B23" s="16" t="s">
        <v>22</v>
      </c>
      <c r="C23" s="16">
        <v>202400021</v>
      </c>
    </row>
    <row r="24" spans="1:3">
      <c r="A24" s="15">
        <v>22</v>
      </c>
      <c r="B24" s="16" t="s">
        <v>23</v>
      </c>
      <c r="C24" s="16">
        <v>202400022</v>
      </c>
    </row>
    <row r="25" spans="1:3">
      <c r="A25" s="15">
        <v>23</v>
      </c>
      <c r="B25" s="16" t="s">
        <v>24</v>
      </c>
      <c r="C25" s="16">
        <v>202400023</v>
      </c>
    </row>
    <row r="26" spans="1:3">
      <c r="A26" s="15">
        <v>24</v>
      </c>
      <c r="B26" s="16" t="s">
        <v>25</v>
      </c>
      <c r="C26" s="16">
        <v>202400024</v>
      </c>
    </row>
    <row r="27" spans="1:3">
      <c r="A27" s="15">
        <v>25</v>
      </c>
      <c r="B27" s="16" t="s">
        <v>26</v>
      </c>
      <c r="C27" s="16">
        <v>202400025</v>
      </c>
    </row>
    <row r="28" spans="1:3">
      <c r="A28" s="15">
        <v>26</v>
      </c>
      <c r="B28" s="16" t="s">
        <v>27</v>
      </c>
      <c r="C28" s="16">
        <v>202400026</v>
      </c>
    </row>
    <row r="29" spans="1:3">
      <c r="A29" s="15">
        <v>27</v>
      </c>
      <c r="B29" s="16" t="s">
        <v>28</v>
      </c>
      <c r="C29" s="16">
        <v>202400027</v>
      </c>
    </row>
    <row r="30" spans="1:3">
      <c r="A30" s="15">
        <v>28</v>
      </c>
      <c r="B30" s="16" t="s">
        <v>29</v>
      </c>
      <c r="C30" s="16">
        <v>202400028</v>
      </c>
    </row>
    <row r="31" spans="1:3">
      <c r="A31" s="15">
        <v>29</v>
      </c>
      <c r="B31" s="16" t="s">
        <v>30</v>
      </c>
      <c r="C31" s="16">
        <v>202400029</v>
      </c>
    </row>
    <row r="32" spans="1:3">
      <c r="A32" s="15">
        <v>30</v>
      </c>
      <c r="B32" s="16" t="s">
        <v>31</v>
      </c>
      <c r="C32" s="16">
        <v>202400030</v>
      </c>
    </row>
    <row r="33" spans="1:3">
      <c r="A33" s="15">
        <v>31</v>
      </c>
      <c r="B33" s="16" t="s">
        <v>32</v>
      </c>
      <c r="C33" s="16">
        <v>202400031</v>
      </c>
    </row>
    <row r="34" spans="1:3">
      <c r="A34" s="15">
        <v>32</v>
      </c>
      <c r="B34" s="16" t="s">
        <v>33</v>
      </c>
      <c r="C34" s="16">
        <v>202400032</v>
      </c>
    </row>
    <row r="35" spans="1:3">
      <c r="A35" s="15">
        <v>33</v>
      </c>
      <c r="B35" s="16" t="s">
        <v>34</v>
      </c>
      <c r="C35" s="16">
        <v>202400033</v>
      </c>
    </row>
    <row r="36" spans="1:3">
      <c r="A36" s="15">
        <v>34</v>
      </c>
      <c r="B36" s="16" t="s">
        <v>35</v>
      </c>
      <c r="C36" s="16">
        <v>202400034</v>
      </c>
    </row>
    <row r="37" spans="1:3">
      <c r="A37" s="15">
        <v>35</v>
      </c>
      <c r="B37" s="16" t="s">
        <v>36</v>
      </c>
      <c r="C37" s="16">
        <v>202400035</v>
      </c>
    </row>
    <row r="38" spans="1:3">
      <c r="A38" s="15">
        <v>36</v>
      </c>
      <c r="B38" s="16" t="s">
        <v>37</v>
      </c>
      <c r="C38" s="16">
        <v>202400036</v>
      </c>
    </row>
    <row r="39" spans="1:3">
      <c r="A39" s="15">
        <v>37</v>
      </c>
      <c r="B39" s="16" t="s">
        <v>38</v>
      </c>
      <c r="C39" s="16">
        <v>202400037</v>
      </c>
    </row>
    <row r="40" spans="1:3">
      <c r="A40" s="15">
        <v>38</v>
      </c>
      <c r="B40" s="16" t="s">
        <v>39</v>
      </c>
      <c r="C40" s="16">
        <v>202400038</v>
      </c>
    </row>
    <row r="41" spans="1:3">
      <c r="A41" s="15">
        <v>39</v>
      </c>
      <c r="B41" s="16" t="s">
        <v>40</v>
      </c>
      <c r="C41" s="16">
        <v>202400039</v>
      </c>
    </row>
    <row r="42" spans="1:3">
      <c r="A42" s="15">
        <v>40</v>
      </c>
      <c r="B42" s="16" t="s">
        <v>41</v>
      </c>
      <c r="C42" s="16">
        <v>202400040</v>
      </c>
    </row>
    <row r="43" spans="1:3">
      <c r="A43" s="15">
        <v>41</v>
      </c>
      <c r="B43" s="16" t="s">
        <v>42</v>
      </c>
      <c r="C43" s="16">
        <v>202400041</v>
      </c>
    </row>
    <row r="44" spans="1:3">
      <c r="A44" s="15">
        <v>42</v>
      </c>
      <c r="B44" s="16" t="s">
        <v>43</v>
      </c>
      <c r="C44" s="16">
        <v>202400042</v>
      </c>
    </row>
    <row r="45" spans="1:3">
      <c r="A45" s="15">
        <v>43</v>
      </c>
      <c r="B45" s="16" t="s">
        <v>44</v>
      </c>
      <c r="C45" s="16">
        <v>202400043</v>
      </c>
    </row>
    <row r="46" spans="1:3">
      <c r="A46" s="15">
        <v>44</v>
      </c>
      <c r="B46" s="16" t="s">
        <v>45</v>
      </c>
      <c r="C46" s="16">
        <v>202400044</v>
      </c>
    </row>
    <row r="47" spans="1:3">
      <c r="A47" s="15">
        <v>45</v>
      </c>
      <c r="B47" s="16" t="s">
        <v>46</v>
      </c>
      <c r="C47" s="16">
        <v>202400045</v>
      </c>
    </row>
    <row r="48" spans="1:3">
      <c r="A48" s="15">
        <v>46</v>
      </c>
      <c r="B48" s="16" t="s">
        <v>47</v>
      </c>
      <c r="C48" s="16">
        <v>202400046</v>
      </c>
    </row>
    <row r="49" spans="1:3">
      <c r="A49" s="15">
        <v>47</v>
      </c>
      <c r="B49" s="16" t="s">
        <v>48</v>
      </c>
      <c r="C49" s="16">
        <v>202400047</v>
      </c>
    </row>
    <row r="50" spans="1:3">
      <c r="A50" s="15">
        <v>48</v>
      </c>
      <c r="B50" s="16" t="s">
        <v>49</v>
      </c>
      <c r="C50" s="16">
        <v>202400048</v>
      </c>
    </row>
    <row r="51" spans="1:3">
      <c r="A51" s="15">
        <v>49</v>
      </c>
      <c r="B51" s="16" t="s">
        <v>50</v>
      </c>
      <c r="C51" s="16">
        <v>202400049</v>
      </c>
    </row>
    <row r="52" spans="1:3">
      <c r="A52" s="15">
        <v>50</v>
      </c>
      <c r="B52" s="16" t="s">
        <v>51</v>
      </c>
      <c r="C52" s="16">
        <v>202400050</v>
      </c>
    </row>
    <row r="53" spans="1:3">
      <c r="A53" s="15">
        <v>51</v>
      </c>
      <c r="B53" s="16" t="s">
        <v>52</v>
      </c>
      <c r="C53" s="16">
        <v>202400051</v>
      </c>
    </row>
    <row r="54" spans="1:3">
      <c r="A54" s="15">
        <v>52</v>
      </c>
      <c r="B54" s="16" t="s">
        <v>53</v>
      </c>
      <c r="C54" s="16">
        <v>202400052</v>
      </c>
    </row>
    <row r="55" spans="1:3">
      <c r="A55" s="15">
        <v>53</v>
      </c>
      <c r="B55" s="16" t="s">
        <v>54</v>
      </c>
      <c r="C55" s="16">
        <v>202400053</v>
      </c>
    </row>
    <row r="56" spans="1:3">
      <c r="A56" s="15">
        <v>54</v>
      </c>
      <c r="B56" s="16" t="s">
        <v>55</v>
      </c>
      <c r="C56" s="16">
        <v>202400054</v>
      </c>
    </row>
    <row r="57" spans="1:3">
      <c r="A57" s="15">
        <v>55</v>
      </c>
      <c r="B57" s="16" t="s">
        <v>56</v>
      </c>
      <c r="C57" s="16">
        <v>202400055</v>
      </c>
    </row>
    <row r="58" spans="1:3">
      <c r="A58" s="15">
        <v>56</v>
      </c>
      <c r="B58" s="16" t="s">
        <v>57</v>
      </c>
      <c r="C58" s="16">
        <v>202400056</v>
      </c>
    </row>
    <row r="59" spans="1:3">
      <c r="A59" s="15">
        <v>57</v>
      </c>
      <c r="B59" s="16" t="s">
        <v>58</v>
      </c>
      <c r="C59" s="16">
        <v>202400057</v>
      </c>
    </row>
    <row r="60" spans="1:3">
      <c r="A60" s="15">
        <v>58</v>
      </c>
      <c r="B60" s="16" t="s">
        <v>59</v>
      </c>
      <c r="C60" s="16">
        <v>202400058</v>
      </c>
    </row>
    <row r="61" spans="1:3">
      <c r="A61" s="15">
        <v>59</v>
      </c>
      <c r="B61" s="16" t="s">
        <v>60</v>
      </c>
      <c r="C61" s="16">
        <v>202400059</v>
      </c>
    </row>
    <row r="62" spans="1:3">
      <c r="A62" s="15">
        <v>60</v>
      </c>
      <c r="B62" s="16" t="s">
        <v>61</v>
      </c>
      <c r="C62" s="16">
        <v>202400060</v>
      </c>
    </row>
    <row r="63" spans="1:3">
      <c r="A63" s="15">
        <v>61</v>
      </c>
      <c r="B63" s="16" t="s">
        <v>62</v>
      </c>
      <c r="C63" s="16">
        <v>202400061</v>
      </c>
    </row>
    <row r="64" spans="1:3">
      <c r="A64" s="15">
        <v>62</v>
      </c>
      <c r="B64" s="16" t="s">
        <v>63</v>
      </c>
      <c r="C64" s="16">
        <v>202400062</v>
      </c>
    </row>
    <row r="65" spans="1:3">
      <c r="A65" s="15">
        <v>63</v>
      </c>
      <c r="B65" s="16" t="s">
        <v>64</v>
      </c>
      <c r="C65" s="16">
        <v>202400063</v>
      </c>
    </row>
    <row r="66" spans="1:3">
      <c r="A66" s="15">
        <v>64</v>
      </c>
      <c r="B66" s="16" t="s">
        <v>65</v>
      </c>
      <c r="C66" s="16">
        <v>202400064</v>
      </c>
    </row>
    <row r="67" spans="1:3">
      <c r="A67" s="15">
        <v>65</v>
      </c>
      <c r="B67" s="16" t="s">
        <v>66</v>
      </c>
      <c r="C67" s="16">
        <v>202400065</v>
      </c>
    </row>
    <row r="68" spans="1:3">
      <c r="A68" s="15">
        <v>66</v>
      </c>
      <c r="B68" s="16" t="s">
        <v>67</v>
      </c>
      <c r="C68" s="16">
        <v>202400066</v>
      </c>
    </row>
    <row r="69" spans="1:3">
      <c r="A69" s="15">
        <v>67</v>
      </c>
      <c r="B69" s="16" t="s">
        <v>68</v>
      </c>
      <c r="C69" s="16">
        <v>202400067</v>
      </c>
    </row>
    <row r="70" spans="1:3">
      <c r="A70" s="15">
        <v>68</v>
      </c>
      <c r="B70" s="16" t="s">
        <v>69</v>
      </c>
      <c r="C70" s="16">
        <v>202400068</v>
      </c>
    </row>
    <row r="71" spans="1:3">
      <c r="A71" s="15">
        <v>69</v>
      </c>
      <c r="B71" s="16" t="s">
        <v>70</v>
      </c>
      <c r="C71" s="16">
        <v>202400069</v>
      </c>
    </row>
    <row r="72" spans="1:3">
      <c r="A72" s="15">
        <v>70</v>
      </c>
      <c r="B72" s="16" t="s">
        <v>71</v>
      </c>
      <c r="C72" s="16">
        <v>202400070</v>
      </c>
    </row>
    <row r="73" spans="1:3">
      <c r="A73" s="15">
        <v>71</v>
      </c>
      <c r="B73" s="16" t="s">
        <v>72</v>
      </c>
      <c r="C73" s="16">
        <v>202400071</v>
      </c>
    </row>
    <row r="74" spans="1:3">
      <c r="A74" s="15">
        <v>72</v>
      </c>
      <c r="B74" s="16" t="s">
        <v>73</v>
      </c>
      <c r="C74" s="16">
        <v>202400072</v>
      </c>
    </row>
    <row r="75" spans="1:3">
      <c r="A75" s="15">
        <v>73</v>
      </c>
      <c r="B75" s="16" t="s">
        <v>74</v>
      </c>
      <c r="C75" s="16">
        <v>202400073</v>
      </c>
    </row>
    <row r="76" spans="1:3">
      <c r="A76" s="15">
        <v>74</v>
      </c>
      <c r="B76" s="16" t="s">
        <v>75</v>
      </c>
      <c r="C76" s="16">
        <v>202400074</v>
      </c>
    </row>
    <row r="77" spans="1:3">
      <c r="A77" s="15">
        <v>75</v>
      </c>
      <c r="B77" s="16" t="s">
        <v>76</v>
      </c>
      <c r="C77" s="16">
        <v>202400075</v>
      </c>
    </row>
    <row r="78" spans="1:3">
      <c r="A78" s="15">
        <v>76</v>
      </c>
      <c r="B78" s="16" t="s">
        <v>77</v>
      </c>
      <c r="C78" s="16">
        <v>202400076</v>
      </c>
    </row>
    <row r="79" spans="1:3">
      <c r="A79" s="15">
        <v>77</v>
      </c>
      <c r="B79" s="16" t="s">
        <v>78</v>
      </c>
      <c r="C79" s="16">
        <v>202400077</v>
      </c>
    </row>
    <row r="80" spans="1:3">
      <c r="A80" s="15">
        <v>78</v>
      </c>
      <c r="B80" s="16" t="s">
        <v>79</v>
      </c>
      <c r="C80" s="16">
        <v>202400078</v>
      </c>
    </row>
    <row r="81" spans="1:3">
      <c r="A81" s="15">
        <v>79</v>
      </c>
      <c r="B81" s="16" t="s">
        <v>80</v>
      </c>
      <c r="C81" s="16">
        <v>202400079</v>
      </c>
    </row>
    <row r="82" spans="1:3">
      <c r="A82" s="15">
        <v>80</v>
      </c>
      <c r="B82" s="16" t="s">
        <v>81</v>
      </c>
      <c r="C82" s="16">
        <v>202400080</v>
      </c>
    </row>
    <row r="83" spans="1:3">
      <c r="A83" s="15">
        <v>81</v>
      </c>
      <c r="B83" s="16" t="s">
        <v>82</v>
      </c>
      <c r="C83" s="16">
        <v>202400081</v>
      </c>
    </row>
    <row r="84" spans="1:3">
      <c r="A84" s="15">
        <v>82</v>
      </c>
      <c r="B84" s="16" t="s">
        <v>83</v>
      </c>
      <c r="C84" s="16">
        <v>202400082</v>
      </c>
    </row>
    <row r="85" spans="1:3">
      <c r="A85" s="15">
        <v>83</v>
      </c>
      <c r="B85" s="16" t="s">
        <v>84</v>
      </c>
      <c r="C85" s="16">
        <v>202400083</v>
      </c>
    </row>
    <row r="86" spans="1:3">
      <c r="A86" s="15">
        <v>84</v>
      </c>
      <c r="B86" s="16" t="s">
        <v>85</v>
      </c>
      <c r="C86" s="16">
        <v>202400084</v>
      </c>
    </row>
    <row r="87" spans="1:3">
      <c r="A87" s="15">
        <v>85</v>
      </c>
      <c r="B87" s="16" t="s">
        <v>86</v>
      </c>
      <c r="C87" s="16">
        <v>202400085</v>
      </c>
    </row>
    <row r="88" spans="1:3">
      <c r="A88" s="15">
        <v>86</v>
      </c>
      <c r="B88" s="16" t="s">
        <v>87</v>
      </c>
      <c r="C88" s="16">
        <v>202400086</v>
      </c>
    </row>
    <row r="89" spans="1:3">
      <c r="A89" s="15">
        <v>87</v>
      </c>
      <c r="B89" s="16" t="s">
        <v>88</v>
      </c>
      <c r="C89" s="16">
        <v>202400087</v>
      </c>
    </row>
    <row r="90" spans="1:3">
      <c r="A90" s="15">
        <v>88</v>
      </c>
      <c r="B90" s="16" t="s">
        <v>89</v>
      </c>
      <c r="C90" s="16">
        <v>202400088</v>
      </c>
    </row>
    <row r="91" spans="1:3">
      <c r="A91" s="15">
        <v>89</v>
      </c>
      <c r="B91" s="16" t="s">
        <v>90</v>
      </c>
      <c r="C91" s="16">
        <v>202400089</v>
      </c>
    </row>
    <row r="92" spans="1:3">
      <c r="A92" s="15">
        <v>90</v>
      </c>
      <c r="B92" s="16" t="s">
        <v>91</v>
      </c>
      <c r="C92" s="16">
        <v>202400090</v>
      </c>
    </row>
    <row r="93" spans="1:3">
      <c r="A93" s="15">
        <v>91</v>
      </c>
      <c r="B93" s="16" t="s">
        <v>92</v>
      </c>
      <c r="C93" s="16">
        <v>202400091</v>
      </c>
    </row>
    <row r="94" spans="1:3">
      <c r="A94" s="15">
        <v>92</v>
      </c>
      <c r="B94" s="16" t="s">
        <v>93</v>
      </c>
      <c r="C94" s="16">
        <v>202400092</v>
      </c>
    </row>
    <row r="95" spans="1:3">
      <c r="A95" s="15">
        <v>93</v>
      </c>
      <c r="B95" s="16" t="s">
        <v>94</v>
      </c>
      <c r="C95" s="16">
        <v>202400093</v>
      </c>
    </row>
    <row r="96" spans="1:3">
      <c r="A96" s="15">
        <v>94</v>
      </c>
      <c r="B96" s="16" t="s">
        <v>95</v>
      </c>
      <c r="C96" s="16">
        <v>202400094</v>
      </c>
    </row>
    <row r="97" spans="1:3">
      <c r="A97" s="15">
        <v>95</v>
      </c>
      <c r="B97" s="16" t="s">
        <v>96</v>
      </c>
      <c r="C97" s="16">
        <v>202400095</v>
      </c>
    </row>
    <row r="98" spans="1:3">
      <c r="A98" s="15">
        <v>96</v>
      </c>
      <c r="B98" s="16" t="s">
        <v>97</v>
      </c>
      <c r="C98" s="16">
        <v>202400096</v>
      </c>
    </row>
    <row r="99" spans="1:3">
      <c r="A99" s="15">
        <v>97</v>
      </c>
      <c r="B99" s="16" t="s">
        <v>98</v>
      </c>
      <c r="C99" s="16">
        <v>202400097</v>
      </c>
    </row>
    <row r="100" spans="1:3">
      <c r="A100" s="15">
        <v>98</v>
      </c>
      <c r="B100" s="16" t="s">
        <v>99</v>
      </c>
      <c r="C100" s="16">
        <v>202400098</v>
      </c>
    </row>
    <row r="101" spans="1:3">
      <c r="A101" s="15">
        <v>99</v>
      </c>
      <c r="B101" s="16" t="s">
        <v>100</v>
      </c>
      <c r="C101" s="16">
        <v>202400099</v>
      </c>
    </row>
    <row r="102" spans="1:3">
      <c r="A102" s="15">
        <v>100</v>
      </c>
      <c r="B102" s="16" t="s">
        <v>101</v>
      </c>
      <c r="C102" s="16">
        <v>202400100</v>
      </c>
    </row>
    <row r="103" spans="1:3">
      <c r="A103" s="15">
        <v>101</v>
      </c>
      <c r="B103" s="16" t="s">
        <v>102</v>
      </c>
      <c r="C103" s="16">
        <v>202400101</v>
      </c>
    </row>
    <row r="104" spans="1:3">
      <c r="A104" s="15">
        <v>102</v>
      </c>
      <c r="B104" s="16" t="s">
        <v>103</v>
      </c>
      <c r="C104" s="16">
        <v>202400102</v>
      </c>
    </row>
    <row r="105" spans="1:3">
      <c r="A105" s="15">
        <v>103</v>
      </c>
      <c r="B105" s="16" t="s">
        <v>104</v>
      </c>
      <c r="C105" s="16">
        <v>202400103</v>
      </c>
    </row>
    <row r="106" spans="1:3">
      <c r="A106" s="15">
        <v>104</v>
      </c>
      <c r="B106" s="16" t="s">
        <v>105</v>
      </c>
      <c r="C106" s="16">
        <v>202400104</v>
      </c>
    </row>
    <row r="107" spans="1:3">
      <c r="A107" s="15">
        <v>105</v>
      </c>
      <c r="B107" s="16" t="s">
        <v>106</v>
      </c>
      <c r="C107" s="16">
        <v>202400105</v>
      </c>
    </row>
    <row r="108" spans="1:3">
      <c r="A108" s="15">
        <v>106</v>
      </c>
      <c r="B108" s="16" t="s">
        <v>107</v>
      </c>
      <c r="C108" s="16">
        <v>202400106</v>
      </c>
    </row>
    <row r="109" spans="1:3">
      <c r="A109" s="15">
        <v>107</v>
      </c>
      <c r="B109" s="16" t="s">
        <v>108</v>
      </c>
      <c r="C109" s="16">
        <v>202400107</v>
      </c>
    </row>
    <row r="110" spans="1:3">
      <c r="A110" s="15">
        <v>108</v>
      </c>
      <c r="B110" s="16" t="s">
        <v>109</v>
      </c>
      <c r="C110" s="16">
        <v>202400108</v>
      </c>
    </row>
    <row r="111" spans="1:3">
      <c r="A111" s="15">
        <v>109</v>
      </c>
      <c r="B111" s="16" t="s">
        <v>110</v>
      </c>
      <c r="C111" s="16">
        <v>202400109</v>
      </c>
    </row>
    <row r="112" spans="1:3">
      <c r="A112" s="15">
        <v>110</v>
      </c>
      <c r="B112" s="16" t="s">
        <v>111</v>
      </c>
      <c r="C112" s="16">
        <v>202400110</v>
      </c>
    </row>
    <row r="113" spans="1:3">
      <c r="A113" s="15">
        <v>111</v>
      </c>
      <c r="B113" s="16" t="s">
        <v>112</v>
      </c>
      <c r="C113" s="16">
        <v>202400111</v>
      </c>
    </row>
    <row r="114" spans="1:3">
      <c r="A114" s="15">
        <v>112</v>
      </c>
      <c r="B114" s="16" t="s">
        <v>113</v>
      </c>
      <c r="C114" s="16">
        <v>202400112</v>
      </c>
    </row>
    <row r="115" spans="1:3">
      <c r="A115" s="15">
        <v>113</v>
      </c>
      <c r="B115" s="16" t="s">
        <v>114</v>
      </c>
      <c r="C115" s="16">
        <v>202400113</v>
      </c>
    </row>
    <row r="116" spans="1:3">
      <c r="A116" s="15">
        <v>114</v>
      </c>
      <c r="B116" s="16" t="s">
        <v>115</v>
      </c>
      <c r="C116" s="16">
        <v>202400114</v>
      </c>
    </row>
    <row r="117" spans="1:3">
      <c r="A117" s="15">
        <v>115</v>
      </c>
      <c r="B117" s="16" t="s">
        <v>116</v>
      </c>
      <c r="C117" s="16">
        <v>202400115</v>
      </c>
    </row>
    <row r="118" spans="1:3">
      <c r="A118" s="15">
        <v>116</v>
      </c>
      <c r="B118" s="16" t="s">
        <v>117</v>
      </c>
      <c r="C118" s="16">
        <v>202400116</v>
      </c>
    </row>
    <row r="119" spans="1:3">
      <c r="A119" s="15">
        <v>117</v>
      </c>
      <c r="B119" s="16" t="s">
        <v>118</v>
      </c>
      <c r="C119" s="16">
        <v>202400117</v>
      </c>
    </row>
    <row r="120" spans="1:3">
      <c r="A120" s="15">
        <v>118</v>
      </c>
      <c r="B120" s="16" t="s">
        <v>119</v>
      </c>
      <c r="C120" s="16">
        <v>202400118</v>
      </c>
    </row>
    <row r="121" spans="1:3">
      <c r="A121" s="15">
        <v>119</v>
      </c>
      <c r="B121" s="16" t="s">
        <v>120</v>
      </c>
      <c r="C121" s="16">
        <v>202400119</v>
      </c>
    </row>
    <row r="122" spans="1:3">
      <c r="A122" s="15">
        <v>120</v>
      </c>
      <c r="B122" s="16" t="s">
        <v>121</v>
      </c>
      <c r="C122" s="16">
        <v>202400120</v>
      </c>
    </row>
    <row r="123" spans="1:3">
      <c r="A123" s="15">
        <v>121</v>
      </c>
      <c r="B123" s="16" t="s">
        <v>122</v>
      </c>
      <c r="C123" s="16">
        <v>202400121</v>
      </c>
    </row>
    <row r="124" spans="1:3">
      <c r="A124" s="15">
        <v>122</v>
      </c>
      <c r="B124" s="16" t="s">
        <v>123</v>
      </c>
      <c r="C124" s="16">
        <v>202400122</v>
      </c>
    </row>
    <row r="125" spans="1:3">
      <c r="A125" s="15">
        <v>123</v>
      </c>
      <c r="B125" s="16" t="s">
        <v>124</v>
      </c>
      <c r="C125" s="16">
        <v>202400123</v>
      </c>
    </row>
    <row r="126" spans="1:3">
      <c r="A126" s="15">
        <v>124</v>
      </c>
      <c r="B126" s="16" t="s">
        <v>125</v>
      </c>
      <c r="C126" s="16">
        <v>202400124</v>
      </c>
    </row>
    <row r="127" spans="1:3">
      <c r="A127" s="15">
        <v>125</v>
      </c>
      <c r="B127" s="16" t="s">
        <v>126</v>
      </c>
      <c r="C127" s="16">
        <v>202400125</v>
      </c>
    </row>
    <row r="128" spans="1:3">
      <c r="A128" s="15">
        <v>126</v>
      </c>
      <c r="B128" s="16" t="s">
        <v>127</v>
      </c>
      <c r="C128" s="16">
        <v>202400126</v>
      </c>
    </row>
    <row r="129" spans="1:3">
      <c r="A129" s="15">
        <v>127</v>
      </c>
      <c r="B129" s="16" t="s">
        <v>128</v>
      </c>
      <c r="C129" s="16">
        <v>202400127</v>
      </c>
    </row>
    <row r="130" spans="1:3">
      <c r="A130" s="15">
        <v>128</v>
      </c>
      <c r="B130" s="16" t="s">
        <v>129</v>
      </c>
      <c r="C130" s="16">
        <v>202400128</v>
      </c>
    </row>
    <row r="131" spans="1:3">
      <c r="A131" s="15">
        <v>129</v>
      </c>
      <c r="B131" s="16" t="s">
        <v>130</v>
      </c>
      <c r="C131" s="16">
        <v>202400129</v>
      </c>
    </row>
    <row r="132" spans="1:3">
      <c r="A132" s="15">
        <v>130</v>
      </c>
      <c r="B132" s="16" t="s">
        <v>131</v>
      </c>
      <c r="C132" s="16">
        <v>202400130</v>
      </c>
    </row>
    <row r="133" spans="1:3">
      <c r="A133" s="15">
        <v>131</v>
      </c>
      <c r="B133" s="16" t="s">
        <v>132</v>
      </c>
      <c r="C133" s="16">
        <v>202400131</v>
      </c>
    </row>
    <row r="134" spans="1:3">
      <c r="A134" s="15">
        <v>132</v>
      </c>
      <c r="B134" s="16" t="s">
        <v>133</v>
      </c>
      <c r="C134" s="16">
        <v>202400132</v>
      </c>
    </row>
    <row r="135" spans="1:3">
      <c r="A135" s="15">
        <v>133</v>
      </c>
      <c r="B135" s="16" t="s">
        <v>134</v>
      </c>
      <c r="C135" s="16">
        <v>202400133</v>
      </c>
    </row>
    <row r="136" spans="1:3">
      <c r="A136" s="15">
        <v>134</v>
      </c>
      <c r="B136" s="16" t="s">
        <v>135</v>
      </c>
      <c r="C136" s="16">
        <v>202400134</v>
      </c>
    </row>
    <row r="137" spans="1:3">
      <c r="A137" s="15">
        <v>135</v>
      </c>
      <c r="B137" s="16" t="s">
        <v>136</v>
      </c>
      <c r="C137" s="16">
        <v>202400135</v>
      </c>
    </row>
    <row r="138" spans="1:3">
      <c r="A138" s="15">
        <v>136</v>
      </c>
      <c r="B138" s="16" t="s">
        <v>137</v>
      </c>
      <c r="C138" s="16">
        <v>202400136</v>
      </c>
    </row>
    <row r="139" spans="1:3">
      <c r="A139" s="15">
        <v>137</v>
      </c>
      <c r="B139" s="16" t="s">
        <v>138</v>
      </c>
      <c r="C139" s="16">
        <v>202400137</v>
      </c>
    </row>
    <row r="140" spans="1:3">
      <c r="A140" s="15">
        <v>138</v>
      </c>
      <c r="B140" s="16" t="s">
        <v>139</v>
      </c>
      <c r="C140" s="16">
        <v>202400138</v>
      </c>
    </row>
    <row r="141" spans="1:3">
      <c r="A141" s="15">
        <v>139</v>
      </c>
      <c r="B141" s="16" t="s">
        <v>140</v>
      </c>
      <c r="C141" s="16">
        <v>202400139</v>
      </c>
    </row>
    <row r="142" spans="1:3">
      <c r="A142" s="15">
        <v>140</v>
      </c>
      <c r="B142" s="16" t="s">
        <v>141</v>
      </c>
      <c r="C142" s="16">
        <v>202400140</v>
      </c>
    </row>
    <row r="143" spans="1:3">
      <c r="A143" s="15">
        <v>141</v>
      </c>
      <c r="B143" s="16" t="s">
        <v>142</v>
      </c>
      <c r="C143" s="16">
        <v>202400141</v>
      </c>
    </row>
    <row r="144" spans="1:3">
      <c r="A144" s="15">
        <v>142</v>
      </c>
      <c r="B144" s="16" t="s">
        <v>143</v>
      </c>
      <c r="C144" s="16">
        <v>202400142</v>
      </c>
    </row>
    <row r="145" spans="1:3">
      <c r="A145" s="15">
        <v>143</v>
      </c>
      <c r="B145" s="16" t="s">
        <v>144</v>
      </c>
      <c r="C145" s="16">
        <v>202400143</v>
      </c>
    </row>
    <row r="146" spans="1:3">
      <c r="A146" s="15">
        <v>144</v>
      </c>
      <c r="B146" s="16" t="s">
        <v>145</v>
      </c>
      <c r="C146" s="16">
        <v>202400144</v>
      </c>
    </row>
    <row r="147" spans="1:3">
      <c r="A147" s="15">
        <v>145</v>
      </c>
      <c r="B147" s="16" t="s">
        <v>146</v>
      </c>
      <c r="C147" s="16">
        <v>202400145</v>
      </c>
    </row>
    <row r="148" spans="1:3">
      <c r="A148" s="15">
        <v>146</v>
      </c>
      <c r="B148" s="16" t="s">
        <v>147</v>
      </c>
      <c r="C148" s="16">
        <v>202400146</v>
      </c>
    </row>
    <row r="149" spans="1:3">
      <c r="A149" s="15">
        <v>147</v>
      </c>
      <c r="B149" s="16" t="s">
        <v>148</v>
      </c>
      <c r="C149" s="16">
        <v>202400147</v>
      </c>
    </row>
    <row r="150" spans="1:3">
      <c r="A150" s="15">
        <v>148</v>
      </c>
      <c r="B150" s="16" t="s">
        <v>149</v>
      </c>
      <c r="C150" s="16">
        <v>202400148</v>
      </c>
    </row>
    <row r="151" spans="1:3">
      <c r="A151" s="15">
        <v>149</v>
      </c>
      <c r="B151" s="16" t="s">
        <v>150</v>
      </c>
      <c r="C151" s="16">
        <v>202400149</v>
      </c>
    </row>
    <row r="152" spans="1:3">
      <c r="A152" s="15">
        <v>150</v>
      </c>
      <c r="B152" s="16" t="s">
        <v>151</v>
      </c>
      <c r="C152" s="16">
        <v>202400150</v>
      </c>
    </row>
    <row r="153" spans="1:3">
      <c r="A153" s="15">
        <v>151</v>
      </c>
      <c r="B153" s="16" t="s">
        <v>152</v>
      </c>
      <c r="C153" s="16">
        <v>202400151</v>
      </c>
    </row>
    <row r="154" spans="1:3">
      <c r="A154" s="15">
        <v>152</v>
      </c>
      <c r="B154" s="16" t="s">
        <v>153</v>
      </c>
      <c r="C154" s="16">
        <v>202400152</v>
      </c>
    </row>
    <row r="155" spans="1:3">
      <c r="A155" s="15">
        <v>153</v>
      </c>
      <c r="B155" s="16" t="s">
        <v>154</v>
      </c>
      <c r="C155" s="16">
        <v>202400153</v>
      </c>
    </row>
    <row r="156" spans="1:3">
      <c r="A156" s="15">
        <v>154</v>
      </c>
      <c r="B156" s="16" t="s">
        <v>155</v>
      </c>
      <c r="C156" s="16">
        <v>202400154</v>
      </c>
    </row>
    <row r="157" spans="1:3">
      <c r="A157" s="15">
        <v>155</v>
      </c>
      <c r="B157" s="16" t="s">
        <v>156</v>
      </c>
      <c r="C157" s="16">
        <v>202400155</v>
      </c>
    </row>
    <row r="158" spans="1:3">
      <c r="A158" s="15">
        <v>156</v>
      </c>
      <c r="B158" s="16" t="s">
        <v>157</v>
      </c>
      <c r="C158" s="16">
        <v>202400156</v>
      </c>
    </row>
    <row r="159" spans="1:3">
      <c r="A159" s="15">
        <v>157</v>
      </c>
      <c r="B159" s="16" t="s">
        <v>158</v>
      </c>
      <c r="C159" s="16">
        <v>202400157</v>
      </c>
    </row>
    <row r="160" spans="1:3">
      <c r="A160" s="15">
        <v>158</v>
      </c>
      <c r="B160" s="16" t="s">
        <v>159</v>
      </c>
      <c r="C160" s="16">
        <v>202400158</v>
      </c>
    </row>
    <row r="161" spans="1:3">
      <c r="A161" s="15">
        <v>159</v>
      </c>
      <c r="B161" s="16" t="s">
        <v>160</v>
      </c>
      <c r="C161" s="16">
        <v>202400159</v>
      </c>
    </row>
    <row r="162" spans="1:3">
      <c r="A162" s="15">
        <v>160</v>
      </c>
      <c r="B162" s="16" t="s">
        <v>161</v>
      </c>
      <c r="C162" s="16">
        <v>202400160</v>
      </c>
    </row>
    <row r="163" spans="1:3">
      <c r="A163" s="15">
        <v>161</v>
      </c>
      <c r="B163" s="16" t="s">
        <v>162</v>
      </c>
      <c r="C163" s="16">
        <v>202400161</v>
      </c>
    </row>
    <row r="164" spans="1:3">
      <c r="A164" s="15">
        <v>162</v>
      </c>
      <c r="B164" s="16" t="s">
        <v>163</v>
      </c>
      <c r="C164" s="16">
        <v>202400162</v>
      </c>
    </row>
    <row r="165" spans="1:3">
      <c r="A165" s="15">
        <v>163</v>
      </c>
      <c r="B165" s="16" t="s">
        <v>164</v>
      </c>
      <c r="C165" s="16">
        <v>202400163</v>
      </c>
    </row>
    <row r="166" spans="1:3">
      <c r="A166" s="15">
        <v>164</v>
      </c>
      <c r="B166" s="16" t="s">
        <v>165</v>
      </c>
      <c r="C166" s="16">
        <v>202400164</v>
      </c>
    </row>
    <row r="167" spans="1:3">
      <c r="A167" s="15">
        <v>165</v>
      </c>
      <c r="B167" s="16" t="s">
        <v>166</v>
      </c>
      <c r="C167" s="16">
        <v>202400165</v>
      </c>
    </row>
    <row r="168" spans="1:3">
      <c r="A168" s="15">
        <v>166</v>
      </c>
      <c r="B168" s="16" t="s">
        <v>167</v>
      </c>
      <c r="C168" s="16">
        <v>202400166</v>
      </c>
    </row>
    <row r="169" spans="1:3">
      <c r="A169" s="15">
        <v>167</v>
      </c>
      <c r="B169" s="16" t="s">
        <v>168</v>
      </c>
      <c r="C169" s="16">
        <v>202400167</v>
      </c>
    </row>
    <row r="170" spans="1:3">
      <c r="A170" s="15">
        <v>168</v>
      </c>
      <c r="B170" s="16" t="s">
        <v>169</v>
      </c>
      <c r="C170" s="16">
        <v>202400168</v>
      </c>
    </row>
    <row r="171" spans="1:3">
      <c r="A171" s="15">
        <v>169</v>
      </c>
      <c r="B171" s="16" t="s">
        <v>170</v>
      </c>
      <c r="C171" s="16">
        <v>202400169</v>
      </c>
    </row>
    <row r="172" spans="1:3">
      <c r="A172" s="15">
        <v>170</v>
      </c>
      <c r="B172" s="16" t="s">
        <v>171</v>
      </c>
      <c r="C172" s="16">
        <v>202400170</v>
      </c>
    </row>
    <row r="173" spans="1:3">
      <c r="A173" s="15">
        <v>171</v>
      </c>
      <c r="B173" s="16" t="s">
        <v>172</v>
      </c>
      <c r="C173" s="16">
        <v>202400171</v>
      </c>
    </row>
    <row r="174" spans="1:3">
      <c r="A174" s="15">
        <v>172</v>
      </c>
      <c r="B174" s="16" t="s">
        <v>173</v>
      </c>
      <c r="C174" s="16">
        <v>202400172</v>
      </c>
    </row>
    <row r="175" spans="1:3">
      <c r="A175" s="15">
        <v>173</v>
      </c>
      <c r="B175" s="16" t="s">
        <v>174</v>
      </c>
      <c r="C175" s="16">
        <v>202400173</v>
      </c>
    </row>
    <row r="176" spans="1:3">
      <c r="A176" s="15">
        <v>174</v>
      </c>
      <c r="B176" s="16" t="s">
        <v>175</v>
      </c>
      <c r="C176" s="16">
        <v>202400174</v>
      </c>
    </row>
    <row r="177" spans="1:3">
      <c r="A177" s="15">
        <v>175</v>
      </c>
      <c r="B177" s="16" t="s">
        <v>176</v>
      </c>
      <c r="C177" s="16">
        <v>202400175</v>
      </c>
    </row>
    <row r="178" spans="1:3">
      <c r="A178" s="15">
        <v>176</v>
      </c>
      <c r="B178" s="16" t="s">
        <v>177</v>
      </c>
      <c r="C178" s="16">
        <v>202400176</v>
      </c>
    </row>
    <row r="179" spans="1:3">
      <c r="A179" s="15">
        <v>177</v>
      </c>
      <c r="B179" s="16" t="s">
        <v>178</v>
      </c>
      <c r="C179" s="16">
        <v>202400177</v>
      </c>
    </row>
    <row r="180" spans="1:3">
      <c r="A180" s="15">
        <v>178</v>
      </c>
      <c r="B180" s="16" t="s">
        <v>179</v>
      </c>
      <c r="C180" s="16">
        <v>202400178</v>
      </c>
    </row>
    <row r="181" spans="1:3">
      <c r="A181" s="15">
        <v>179</v>
      </c>
      <c r="B181" s="16" t="s">
        <v>180</v>
      </c>
      <c r="C181" s="16">
        <v>202400179</v>
      </c>
    </row>
    <row r="182" spans="1:3">
      <c r="A182" s="15">
        <v>180</v>
      </c>
      <c r="B182" s="16" t="s">
        <v>181</v>
      </c>
      <c r="C182" s="16">
        <v>202400180</v>
      </c>
    </row>
    <row r="183" spans="1:3">
      <c r="A183" s="15">
        <v>181</v>
      </c>
      <c r="B183" s="16" t="s">
        <v>182</v>
      </c>
      <c r="C183" s="16">
        <v>202400181</v>
      </c>
    </row>
    <row r="184" spans="1:3">
      <c r="A184" s="15">
        <v>182</v>
      </c>
      <c r="B184" s="16" t="s">
        <v>183</v>
      </c>
      <c r="C184" s="16">
        <v>202400182</v>
      </c>
    </row>
    <row r="185" spans="1:3">
      <c r="A185" s="15">
        <v>183</v>
      </c>
      <c r="B185" s="16" t="s">
        <v>184</v>
      </c>
      <c r="C185" s="16">
        <v>202400183</v>
      </c>
    </row>
    <row r="186" spans="1:3">
      <c r="A186" s="15">
        <v>184</v>
      </c>
      <c r="B186" s="16" t="s">
        <v>185</v>
      </c>
      <c r="C186" s="16">
        <v>202400184</v>
      </c>
    </row>
    <row r="187" spans="1:3">
      <c r="A187" s="15">
        <v>185</v>
      </c>
      <c r="B187" s="16" t="s">
        <v>186</v>
      </c>
      <c r="C187" s="16">
        <v>202400185</v>
      </c>
    </row>
    <row r="188" spans="1:3">
      <c r="A188" s="15">
        <v>186</v>
      </c>
      <c r="B188" s="16" t="s">
        <v>187</v>
      </c>
      <c r="C188" s="16">
        <v>202400186</v>
      </c>
    </row>
    <row r="189" spans="1:3">
      <c r="A189" s="15">
        <v>187</v>
      </c>
      <c r="B189" s="16" t="s">
        <v>188</v>
      </c>
      <c r="C189" s="16">
        <v>202400187</v>
      </c>
    </row>
    <row r="190" spans="1:3">
      <c r="A190" s="15">
        <v>188</v>
      </c>
      <c r="B190" s="16" t="s">
        <v>189</v>
      </c>
      <c r="C190" s="16">
        <v>202400188</v>
      </c>
    </row>
    <row r="191" spans="1:3">
      <c r="A191" s="15">
        <v>189</v>
      </c>
      <c r="B191" s="16" t="s">
        <v>190</v>
      </c>
      <c r="C191" s="16">
        <v>202400189</v>
      </c>
    </row>
    <row r="192" spans="1:3">
      <c r="A192" s="15">
        <v>190</v>
      </c>
      <c r="B192" s="16" t="s">
        <v>191</v>
      </c>
      <c r="C192" s="16">
        <v>202400190</v>
      </c>
    </row>
    <row r="193" spans="1:3">
      <c r="A193" s="15">
        <v>191</v>
      </c>
      <c r="B193" s="16" t="s">
        <v>192</v>
      </c>
      <c r="C193" s="16">
        <v>202400191</v>
      </c>
    </row>
    <row r="194" spans="1:3">
      <c r="A194" s="15">
        <v>192</v>
      </c>
      <c r="B194" s="16" t="s">
        <v>193</v>
      </c>
      <c r="C194" s="16">
        <v>202400192</v>
      </c>
    </row>
    <row r="195" spans="1:3">
      <c r="A195" s="15">
        <v>193</v>
      </c>
      <c r="B195" s="16" t="s">
        <v>194</v>
      </c>
      <c r="C195" s="16">
        <v>202400193</v>
      </c>
    </row>
    <row r="196" spans="1:3">
      <c r="A196" s="15">
        <v>194</v>
      </c>
      <c r="B196" s="16" t="s">
        <v>195</v>
      </c>
      <c r="C196" s="16">
        <v>202400194</v>
      </c>
    </row>
    <row r="197" spans="1:3">
      <c r="A197" s="15">
        <v>195</v>
      </c>
      <c r="B197" s="16" t="s">
        <v>196</v>
      </c>
      <c r="C197" s="16">
        <v>202400195</v>
      </c>
    </row>
    <row r="198" spans="1:3">
      <c r="A198" s="15">
        <v>196</v>
      </c>
      <c r="B198" s="16" t="s">
        <v>197</v>
      </c>
      <c r="C198" s="16">
        <v>202400196</v>
      </c>
    </row>
    <row r="199" spans="1:3">
      <c r="A199" s="15">
        <v>197</v>
      </c>
      <c r="B199" s="16" t="s">
        <v>198</v>
      </c>
      <c r="C199" s="16">
        <v>202400197</v>
      </c>
    </row>
    <row r="200" spans="1:3">
      <c r="A200" s="15">
        <v>198</v>
      </c>
      <c r="B200" s="16" t="s">
        <v>199</v>
      </c>
      <c r="C200" s="16">
        <v>202400198</v>
      </c>
    </row>
    <row r="201" spans="1:3">
      <c r="A201" s="15">
        <v>199</v>
      </c>
      <c r="B201" s="16" t="s">
        <v>200</v>
      </c>
      <c r="C201" s="16">
        <v>202400199</v>
      </c>
    </row>
    <row r="202" spans="1:3">
      <c r="A202" s="15">
        <v>200</v>
      </c>
      <c r="B202" s="16" t="s">
        <v>201</v>
      </c>
      <c r="C202" s="16">
        <v>202400200</v>
      </c>
    </row>
    <row r="203" spans="1:3">
      <c r="A203" s="15">
        <v>201</v>
      </c>
      <c r="B203" s="16" t="s">
        <v>202</v>
      </c>
      <c r="C203" s="16">
        <v>202400201</v>
      </c>
    </row>
    <row r="204" spans="1:3">
      <c r="A204" s="15">
        <v>202</v>
      </c>
      <c r="B204" s="16" t="s">
        <v>203</v>
      </c>
      <c r="C204" s="16">
        <v>202400202</v>
      </c>
    </row>
    <row r="205" spans="1:3">
      <c r="A205" s="15">
        <v>203</v>
      </c>
      <c r="B205" s="16" t="s">
        <v>204</v>
      </c>
      <c r="C205" s="16">
        <v>202400203</v>
      </c>
    </row>
    <row r="206" spans="1:3">
      <c r="A206" s="15">
        <v>204</v>
      </c>
      <c r="B206" s="16" t="s">
        <v>205</v>
      </c>
      <c r="C206" s="16">
        <v>202400204</v>
      </c>
    </row>
    <row r="207" spans="1:3">
      <c r="A207" s="15">
        <v>205</v>
      </c>
      <c r="B207" s="16" t="s">
        <v>206</v>
      </c>
      <c r="C207" s="16">
        <v>202400205</v>
      </c>
    </row>
    <row r="208" spans="1:3">
      <c r="A208" s="15">
        <v>206</v>
      </c>
      <c r="B208" s="16" t="s">
        <v>207</v>
      </c>
      <c r="C208" s="16">
        <v>202400206</v>
      </c>
    </row>
    <row r="209" spans="1:3">
      <c r="A209" s="15">
        <v>207</v>
      </c>
      <c r="B209" s="16" t="s">
        <v>208</v>
      </c>
      <c r="C209" s="16">
        <v>202400207</v>
      </c>
    </row>
    <row r="210" spans="1:3">
      <c r="A210" s="15">
        <v>208</v>
      </c>
      <c r="B210" s="16" t="s">
        <v>209</v>
      </c>
      <c r="C210" s="16">
        <v>202400208</v>
      </c>
    </row>
    <row r="211" spans="1:3">
      <c r="A211" s="15">
        <v>209</v>
      </c>
      <c r="B211" s="16" t="s">
        <v>210</v>
      </c>
      <c r="C211" s="16">
        <v>202400209</v>
      </c>
    </row>
    <row r="212" spans="1:3">
      <c r="A212" s="15">
        <v>210</v>
      </c>
      <c r="B212" s="16" t="s">
        <v>211</v>
      </c>
      <c r="C212" s="16">
        <v>202400210</v>
      </c>
    </row>
    <row r="213" spans="1:3">
      <c r="A213" s="15">
        <v>211</v>
      </c>
      <c r="B213" s="16" t="s">
        <v>212</v>
      </c>
      <c r="C213" s="16">
        <v>202400211</v>
      </c>
    </row>
    <row r="214" spans="1:3">
      <c r="A214" s="15">
        <v>212</v>
      </c>
      <c r="B214" s="16" t="s">
        <v>213</v>
      </c>
      <c r="C214" s="16">
        <v>202400212</v>
      </c>
    </row>
    <row r="215" spans="1:3">
      <c r="A215" s="15">
        <v>213</v>
      </c>
      <c r="B215" s="16" t="s">
        <v>214</v>
      </c>
      <c r="C215" s="16">
        <v>202400213</v>
      </c>
    </row>
    <row r="216" spans="1:3">
      <c r="A216" s="15">
        <v>214</v>
      </c>
      <c r="B216" s="16" t="s">
        <v>215</v>
      </c>
      <c r="C216" s="16">
        <v>202400214</v>
      </c>
    </row>
    <row r="217" spans="1:3">
      <c r="A217" s="15">
        <v>215</v>
      </c>
      <c r="B217" s="16" t="s">
        <v>216</v>
      </c>
      <c r="C217" s="16">
        <v>202400215</v>
      </c>
    </row>
    <row r="218" spans="1:3">
      <c r="A218" s="15">
        <v>216</v>
      </c>
      <c r="B218" s="16" t="s">
        <v>217</v>
      </c>
      <c r="C218" s="16">
        <v>202400216</v>
      </c>
    </row>
    <row r="219" spans="1:3">
      <c r="A219" s="15">
        <v>217</v>
      </c>
      <c r="B219" s="16" t="s">
        <v>218</v>
      </c>
      <c r="C219" s="16">
        <v>202400217</v>
      </c>
    </row>
    <row r="220" spans="1:3">
      <c r="A220" s="15">
        <v>218</v>
      </c>
      <c r="B220" s="16" t="s">
        <v>219</v>
      </c>
      <c r="C220" s="16">
        <v>202400218</v>
      </c>
    </row>
    <row r="221" spans="1:3">
      <c r="A221" s="15">
        <v>219</v>
      </c>
      <c r="B221" s="16" t="s">
        <v>220</v>
      </c>
      <c r="C221" s="16">
        <v>202400219</v>
      </c>
    </row>
    <row r="222" spans="1:3">
      <c r="A222" s="15">
        <v>220</v>
      </c>
      <c r="B222" s="16" t="s">
        <v>221</v>
      </c>
      <c r="C222" s="16">
        <v>202400220</v>
      </c>
    </row>
    <row r="223" spans="1:3">
      <c r="A223" s="15">
        <v>221</v>
      </c>
      <c r="B223" s="16" t="s">
        <v>222</v>
      </c>
      <c r="C223" s="16">
        <v>202400221</v>
      </c>
    </row>
    <row r="224" spans="1:3">
      <c r="A224" s="15">
        <v>222</v>
      </c>
      <c r="B224" s="16" t="s">
        <v>223</v>
      </c>
      <c r="C224" s="16">
        <v>202400222</v>
      </c>
    </row>
    <row r="225" spans="1:3">
      <c r="A225" s="15">
        <v>223</v>
      </c>
      <c r="B225" s="16" t="s">
        <v>224</v>
      </c>
      <c r="C225" s="16">
        <v>202400223</v>
      </c>
    </row>
    <row r="226" spans="1:3">
      <c r="A226" s="15">
        <v>224</v>
      </c>
      <c r="B226" s="16" t="s">
        <v>225</v>
      </c>
      <c r="C226" s="16">
        <v>202400224</v>
      </c>
    </row>
    <row r="227" spans="1:3">
      <c r="A227" s="15">
        <v>225</v>
      </c>
      <c r="B227" s="16" t="s">
        <v>226</v>
      </c>
      <c r="C227" s="16">
        <v>202400225</v>
      </c>
    </row>
    <row r="228" spans="1:3">
      <c r="A228" s="15">
        <v>226</v>
      </c>
      <c r="B228" s="16" t="s">
        <v>227</v>
      </c>
      <c r="C228" s="16">
        <v>202400226</v>
      </c>
    </row>
    <row r="229" spans="1:3">
      <c r="A229" s="15">
        <v>227</v>
      </c>
      <c r="B229" s="16" t="s">
        <v>228</v>
      </c>
      <c r="C229" s="16">
        <v>202400227</v>
      </c>
    </row>
    <row r="230" spans="1:3">
      <c r="A230" s="15">
        <v>228</v>
      </c>
      <c r="B230" s="16" t="s">
        <v>229</v>
      </c>
      <c r="C230" s="16">
        <v>202400228</v>
      </c>
    </row>
    <row r="231" spans="1:3">
      <c r="A231" s="15">
        <v>229</v>
      </c>
      <c r="B231" s="16" t="s">
        <v>230</v>
      </c>
      <c r="C231" s="16">
        <v>202400229</v>
      </c>
    </row>
    <row r="232" spans="1:3">
      <c r="A232" s="15">
        <v>230</v>
      </c>
      <c r="B232" s="16" t="s">
        <v>231</v>
      </c>
      <c r="C232" s="16">
        <v>202400230</v>
      </c>
    </row>
    <row r="233" spans="1:3">
      <c r="A233" s="15">
        <v>231</v>
      </c>
      <c r="B233" s="16" t="s">
        <v>232</v>
      </c>
      <c r="C233" s="16">
        <v>202400231</v>
      </c>
    </row>
    <row r="234" spans="1:3">
      <c r="A234" s="15">
        <v>232</v>
      </c>
      <c r="B234" s="16" t="s">
        <v>233</v>
      </c>
      <c r="C234" s="16">
        <v>202400232</v>
      </c>
    </row>
    <row r="235" spans="1:3">
      <c r="A235" s="15">
        <v>233</v>
      </c>
      <c r="B235" s="16" t="s">
        <v>234</v>
      </c>
      <c r="C235" s="16">
        <v>202400233</v>
      </c>
    </row>
    <row r="236" spans="1:3">
      <c r="A236" s="15">
        <v>234</v>
      </c>
      <c r="B236" s="16" t="s">
        <v>235</v>
      </c>
      <c r="C236" s="16">
        <v>202400234</v>
      </c>
    </row>
    <row r="237" spans="1:3">
      <c r="A237" s="15">
        <v>235</v>
      </c>
      <c r="B237" s="16" t="s">
        <v>236</v>
      </c>
      <c r="C237" s="16">
        <v>202400235</v>
      </c>
    </row>
    <row r="238" spans="1:3">
      <c r="A238" s="15">
        <v>236</v>
      </c>
      <c r="B238" s="16" t="s">
        <v>237</v>
      </c>
      <c r="C238" s="16">
        <v>202400236</v>
      </c>
    </row>
    <row r="239" spans="1:3">
      <c r="A239" s="15">
        <v>237</v>
      </c>
      <c r="B239" s="16" t="s">
        <v>238</v>
      </c>
      <c r="C239" s="16">
        <v>202400237</v>
      </c>
    </row>
    <row r="240" spans="1:3">
      <c r="A240" s="15">
        <v>238</v>
      </c>
      <c r="B240" s="16" t="s">
        <v>239</v>
      </c>
      <c r="C240" s="16">
        <v>202400238</v>
      </c>
    </row>
    <row r="241" spans="1:3">
      <c r="A241" s="15">
        <v>239</v>
      </c>
      <c r="B241" s="16" t="s">
        <v>240</v>
      </c>
      <c r="C241" s="16">
        <v>202400239</v>
      </c>
    </row>
    <row r="242" spans="1:3">
      <c r="A242" s="15">
        <v>240</v>
      </c>
      <c r="B242" s="16" t="s">
        <v>241</v>
      </c>
      <c r="C242" s="16">
        <v>202400240</v>
      </c>
    </row>
    <row r="243" spans="1:3">
      <c r="A243" s="15">
        <v>241</v>
      </c>
      <c r="B243" s="16" t="s">
        <v>242</v>
      </c>
      <c r="C243" s="16">
        <v>202400241</v>
      </c>
    </row>
    <row r="244" spans="1:3">
      <c r="A244" s="15">
        <v>242</v>
      </c>
      <c r="B244" s="16" t="s">
        <v>243</v>
      </c>
      <c r="C244" s="16">
        <v>202400242</v>
      </c>
    </row>
    <row r="245" spans="1:3">
      <c r="A245" s="15">
        <v>243</v>
      </c>
      <c r="B245" s="16" t="s">
        <v>244</v>
      </c>
      <c r="C245" s="16">
        <v>202400243</v>
      </c>
    </row>
    <row r="246" spans="1:3">
      <c r="A246" s="15">
        <v>244</v>
      </c>
      <c r="B246" s="16" t="s">
        <v>245</v>
      </c>
      <c r="C246" s="16">
        <v>202400244</v>
      </c>
    </row>
    <row r="247" spans="1:3">
      <c r="A247" s="15">
        <v>245</v>
      </c>
      <c r="B247" s="16" t="s">
        <v>246</v>
      </c>
      <c r="C247" s="16">
        <v>202400245</v>
      </c>
    </row>
    <row r="248" spans="1:3">
      <c r="A248" s="15">
        <v>246</v>
      </c>
      <c r="B248" s="16" t="s">
        <v>247</v>
      </c>
      <c r="C248" s="16">
        <v>202400246</v>
      </c>
    </row>
    <row r="249" spans="1:3">
      <c r="A249" s="15">
        <v>247</v>
      </c>
      <c r="B249" s="16" t="s">
        <v>248</v>
      </c>
      <c r="C249" s="16">
        <v>202400247</v>
      </c>
    </row>
    <row r="250" spans="1:3">
      <c r="A250" s="15">
        <v>248</v>
      </c>
      <c r="B250" s="16" t="s">
        <v>249</v>
      </c>
      <c r="C250" s="16">
        <v>202400248</v>
      </c>
    </row>
    <row r="251" spans="1:3">
      <c r="A251" s="15">
        <v>249</v>
      </c>
      <c r="B251" s="16" t="s">
        <v>250</v>
      </c>
      <c r="C251" s="16">
        <v>202400249</v>
      </c>
    </row>
    <row r="252" spans="1:3">
      <c r="A252" s="15">
        <v>250</v>
      </c>
      <c r="B252" s="16" t="s">
        <v>251</v>
      </c>
      <c r="C252" s="16">
        <v>202400250</v>
      </c>
    </row>
    <row r="253" spans="1:3">
      <c r="A253" s="15">
        <v>251</v>
      </c>
      <c r="B253" s="16" t="s">
        <v>252</v>
      </c>
      <c r="C253" s="16">
        <v>202400251</v>
      </c>
    </row>
    <row r="254" spans="1:3">
      <c r="A254" s="15">
        <v>252</v>
      </c>
      <c r="B254" s="16" t="s">
        <v>253</v>
      </c>
      <c r="C254" s="16">
        <v>202400252</v>
      </c>
    </row>
    <row r="255" spans="1:3">
      <c r="A255" s="15">
        <v>253</v>
      </c>
      <c r="B255" s="16" t="s">
        <v>254</v>
      </c>
      <c r="C255" s="16">
        <v>202400253</v>
      </c>
    </row>
    <row r="256" spans="1:3">
      <c r="A256" s="15">
        <v>254</v>
      </c>
      <c r="B256" s="16" t="s">
        <v>255</v>
      </c>
      <c r="C256" s="16">
        <v>202400254</v>
      </c>
    </row>
    <row r="257" spans="1:3">
      <c r="A257" s="15">
        <v>255</v>
      </c>
      <c r="B257" s="16" t="s">
        <v>256</v>
      </c>
      <c r="C257" s="16">
        <v>202400255</v>
      </c>
    </row>
    <row r="258" spans="1:3">
      <c r="A258" s="15">
        <v>256</v>
      </c>
      <c r="B258" s="16" t="s">
        <v>257</v>
      </c>
      <c r="C258" s="16">
        <v>202400256</v>
      </c>
    </row>
    <row r="259" spans="1:3">
      <c r="A259" s="15">
        <v>257</v>
      </c>
      <c r="B259" s="16" t="s">
        <v>258</v>
      </c>
      <c r="C259" s="16">
        <v>202400257</v>
      </c>
    </row>
    <row r="260" spans="1:3">
      <c r="A260" s="15">
        <v>258</v>
      </c>
      <c r="B260" s="16" t="s">
        <v>259</v>
      </c>
      <c r="C260" s="16">
        <v>202400258</v>
      </c>
    </row>
    <row r="261" spans="1:3">
      <c r="A261" s="15">
        <v>259</v>
      </c>
      <c r="B261" s="16" t="s">
        <v>260</v>
      </c>
      <c r="C261" s="16">
        <v>202400259</v>
      </c>
    </row>
    <row r="262" spans="1:3">
      <c r="A262" s="15">
        <v>260</v>
      </c>
      <c r="B262" s="16" t="s">
        <v>261</v>
      </c>
      <c r="C262" s="16">
        <v>202400260</v>
      </c>
    </row>
    <row r="263" spans="1:3">
      <c r="A263" s="15">
        <v>261</v>
      </c>
      <c r="B263" s="16" t="s">
        <v>262</v>
      </c>
      <c r="C263" s="16">
        <v>202400261</v>
      </c>
    </row>
    <row r="264" spans="1:3">
      <c r="A264" s="15">
        <v>262</v>
      </c>
      <c r="B264" s="16" t="s">
        <v>263</v>
      </c>
      <c r="C264" s="16">
        <v>202400262</v>
      </c>
    </row>
    <row r="265" spans="1:3">
      <c r="A265" s="15">
        <v>263</v>
      </c>
      <c r="B265" s="16" t="s">
        <v>264</v>
      </c>
      <c r="C265" s="16">
        <v>202400263</v>
      </c>
    </row>
    <row r="266" spans="1:3">
      <c r="A266" s="15">
        <v>264</v>
      </c>
      <c r="B266" s="16" t="s">
        <v>265</v>
      </c>
      <c r="C266" s="16">
        <v>202400264</v>
      </c>
    </row>
    <row r="267" spans="1:3">
      <c r="A267" s="15">
        <v>265</v>
      </c>
      <c r="B267" s="16" t="s">
        <v>266</v>
      </c>
      <c r="C267" s="16">
        <v>202400265</v>
      </c>
    </row>
    <row r="268" spans="1:3">
      <c r="A268" s="15">
        <v>266</v>
      </c>
      <c r="B268" s="16" t="s">
        <v>267</v>
      </c>
      <c r="C268" s="16">
        <v>202400266</v>
      </c>
    </row>
    <row r="269" spans="1:3">
      <c r="A269" s="15">
        <v>267</v>
      </c>
      <c r="B269" s="16" t="s">
        <v>268</v>
      </c>
      <c r="C269" s="16">
        <v>202400267</v>
      </c>
    </row>
    <row r="270" spans="1:3">
      <c r="A270" s="15">
        <v>268</v>
      </c>
      <c r="B270" s="16" t="s">
        <v>269</v>
      </c>
      <c r="C270" s="16">
        <v>202400268</v>
      </c>
    </row>
    <row r="271" spans="1:3">
      <c r="A271" s="15">
        <v>269</v>
      </c>
      <c r="B271" s="16" t="s">
        <v>270</v>
      </c>
      <c r="C271" s="16">
        <v>202400269</v>
      </c>
    </row>
    <row r="272" spans="1:3">
      <c r="A272" s="15">
        <v>270</v>
      </c>
      <c r="B272" s="16" t="s">
        <v>271</v>
      </c>
      <c r="C272" s="16">
        <v>202400270</v>
      </c>
    </row>
    <row r="273" spans="1:3">
      <c r="A273" s="15">
        <v>271</v>
      </c>
      <c r="B273" s="16" t="s">
        <v>272</v>
      </c>
      <c r="C273" s="16">
        <v>202400271</v>
      </c>
    </row>
    <row r="274" spans="1:3">
      <c r="A274" s="15">
        <v>272</v>
      </c>
      <c r="B274" s="16" t="s">
        <v>273</v>
      </c>
      <c r="C274" s="16">
        <v>202400272</v>
      </c>
    </row>
    <row r="275" spans="1:3">
      <c r="A275" s="15">
        <v>273</v>
      </c>
      <c r="B275" s="16" t="s">
        <v>274</v>
      </c>
      <c r="C275" s="16">
        <v>202400273</v>
      </c>
    </row>
    <row r="276" spans="1:3">
      <c r="A276" s="15">
        <v>274</v>
      </c>
      <c r="B276" s="16" t="s">
        <v>275</v>
      </c>
      <c r="C276" s="16">
        <v>202400274</v>
      </c>
    </row>
    <row r="277" spans="1:3">
      <c r="A277" s="15">
        <v>275</v>
      </c>
      <c r="B277" s="16" t="s">
        <v>276</v>
      </c>
      <c r="C277" s="16">
        <v>202400275</v>
      </c>
    </row>
    <row r="278" spans="1:3">
      <c r="A278" s="15">
        <v>276</v>
      </c>
      <c r="B278" s="16" t="s">
        <v>277</v>
      </c>
      <c r="C278" s="16">
        <v>202400276</v>
      </c>
    </row>
    <row r="279" spans="1:3">
      <c r="A279" s="15">
        <v>277</v>
      </c>
      <c r="B279" s="16" t="s">
        <v>278</v>
      </c>
      <c r="C279" s="16">
        <v>202400277</v>
      </c>
    </row>
    <row r="280" spans="1:3">
      <c r="A280" s="15">
        <v>278</v>
      </c>
      <c r="B280" s="16" t="s">
        <v>279</v>
      </c>
      <c r="C280" s="16">
        <v>202400278</v>
      </c>
    </row>
    <row r="281" spans="1:3">
      <c r="A281" s="15">
        <v>279</v>
      </c>
      <c r="B281" s="16" t="s">
        <v>280</v>
      </c>
      <c r="C281" s="16">
        <v>202400279</v>
      </c>
    </row>
    <row r="282" spans="1:3">
      <c r="A282" s="15">
        <v>280</v>
      </c>
      <c r="B282" s="16" t="s">
        <v>281</v>
      </c>
      <c r="C282" s="16">
        <v>202400280</v>
      </c>
    </row>
    <row r="283" spans="1:3">
      <c r="A283" s="15">
        <v>281</v>
      </c>
      <c r="B283" s="16" t="s">
        <v>282</v>
      </c>
      <c r="C283" s="16">
        <v>202400281</v>
      </c>
    </row>
    <row r="284" spans="1:3">
      <c r="A284" s="15">
        <v>282</v>
      </c>
      <c r="B284" s="16" t="s">
        <v>283</v>
      </c>
      <c r="C284" s="16">
        <v>202400282</v>
      </c>
    </row>
    <row r="285" spans="1:3">
      <c r="A285" s="15">
        <v>283</v>
      </c>
      <c r="B285" s="16" t="s">
        <v>284</v>
      </c>
      <c r="C285" s="16">
        <v>202400283</v>
      </c>
    </row>
    <row r="286" spans="1:3">
      <c r="A286" s="15">
        <v>284</v>
      </c>
      <c r="B286" s="16" t="s">
        <v>285</v>
      </c>
      <c r="C286" s="16">
        <v>202400284</v>
      </c>
    </row>
    <row r="287" spans="1:3">
      <c r="A287" s="15">
        <v>285</v>
      </c>
      <c r="B287" s="16" t="s">
        <v>286</v>
      </c>
      <c r="C287" s="16">
        <v>202400285</v>
      </c>
    </row>
    <row r="288" spans="1:3">
      <c r="A288" s="15">
        <v>286</v>
      </c>
      <c r="B288" s="16" t="s">
        <v>287</v>
      </c>
      <c r="C288" s="16">
        <v>202400286</v>
      </c>
    </row>
    <row r="289" spans="1:3">
      <c r="A289" s="15">
        <v>287</v>
      </c>
      <c r="B289" s="16" t="s">
        <v>288</v>
      </c>
      <c r="C289" s="16">
        <v>202400287</v>
      </c>
    </row>
    <row r="290" spans="1:3">
      <c r="A290" s="15">
        <v>288</v>
      </c>
      <c r="B290" s="16" t="s">
        <v>289</v>
      </c>
      <c r="C290" s="16">
        <v>202400288</v>
      </c>
    </row>
    <row r="291" spans="1:3">
      <c r="A291" s="15">
        <v>289</v>
      </c>
      <c r="B291" s="16" t="s">
        <v>290</v>
      </c>
      <c r="C291" s="16">
        <v>202400289</v>
      </c>
    </row>
    <row r="292" spans="1:3">
      <c r="A292" s="15">
        <v>290</v>
      </c>
      <c r="B292" s="16" t="s">
        <v>291</v>
      </c>
      <c r="C292" s="16">
        <v>202400290</v>
      </c>
    </row>
    <row r="293" spans="1:3">
      <c r="A293" s="15">
        <v>291</v>
      </c>
      <c r="B293" s="16" t="s">
        <v>292</v>
      </c>
      <c r="C293" s="16">
        <v>202400291</v>
      </c>
    </row>
    <row r="294" spans="1:3">
      <c r="A294" s="15">
        <v>292</v>
      </c>
      <c r="B294" s="16" t="s">
        <v>293</v>
      </c>
      <c r="C294" s="16">
        <v>202400292</v>
      </c>
    </row>
    <row r="295" spans="1:3">
      <c r="A295" s="15">
        <v>293</v>
      </c>
      <c r="B295" s="16" t="s">
        <v>294</v>
      </c>
      <c r="C295" s="16">
        <v>202400293</v>
      </c>
    </row>
    <row r="296" spans="1:3">
      <c r="A296" s="15">
        <v>294</v>
      </c>
      <c r="B296" s="16" t="s">
        <v>295</v>
      </c>
      <c r="C296" s="16">
        <v>202400294</v>
      </c>
    </row>
    <row r="297" spans="1:3">
      <c r="A297" s="15">
        <v>295</v>
      </c>
      <c r="B297" s="16" t="s">
        <v>296</v>
      </c>
      <c r="C297" s="16">
        <v>202400295</v>
      </c>
    </row>
    <row r="298" spans="1:3">
      <c r="A298" s="15">
        <v>296</v>
      </c>
      <c r="B298" s="16" t="s">
        <v>297</v>
      </c>
      <c r="C298" s="16">
        <v>202400296</v>
      </c>
    </row>
    <row r="299" spans="1:3">
      <c r="A299" s="15">
        <v>297</v>
      </c>
      <c r="B299" s="16" t="s">
        <v>298</v>
      </c>
      <c r="C299" s="16">
        <v>202400297</v>
      </c>
    </row>
    <row r="300" spans="1:3">
      <c r="A300" s="15">
        <v>298</v>
      </c>
      <c r="B300" s="16" t="s">
        <v>299</v>
      </c>
      <c r="C300" s="16">
        <v>202400298</v>
      </c>
    </row>
    <row r="301" spans="1:3">
      <c r="A301" s="15">
        <v>299</v>
      </c>
      <c r="B301" s="16" t="s">
        <v>300</v>
      </c>
      <c r="C301" s="16">
        <v>202400299</v>
      </c>
    </row>
    <row r="302" spans="1:3">
      <c r="A302" s="15">
        <v>300</v>
      </c>
      <c r="B302" s="16" t="s">
        <v>301</v>
      </c>
      <c r="C302" s="16">
        <v>202400300</v>
      </c>
    </row>
    <row r="303" spans="1:3">
      <c r="A303" s="15">
        <v>301</v>
      </c>
      <c r="B303" s="16" t="s">
        <v>302</v>
      </c>
      <c r="C303" s="16">
        <v>202400301</v>
      </c>
    </row>
    <row r="304" spans="1:3">
      <c r="A304" s="15">
        <v>302</v>
      </c>
      <c r="B304" s="16" t="s">
        <v>303</v>
      </c>
      <c r="C304" s="16">
        <v>202400302</v>
      </c>
    </row>
    <row r="305" spans="1:3">
      <c r="A305" s="15">
        <v>303</v>
      </c>
      <c r="B305" s="16" t="s">
        <v>304</v>
      </c>
      <c r="C305" s="16">
        <v>202400303</v>
      </c>
    </row>
    <row r="306" spans="1:3">
      <c r="A306" s="15">
        <v>304</v>
      </c>
      <c r="B306" s="16" t="s">
        <v>305</v>
      </c>
      <c r="C306" s="16">
        <v>202400304</v>
      </c>
    </row>
    <row r="307" spans="1:3">
      <c r="A307" s="15">
        <v>305</v>
      </c>
      <c r="B307" s="16" t="s">
        <v>306</v>
      </c>
      <c r="C307" s="16">
        <v>202400305</v>
      </c>
    </row>
    <row r="308" spans="1:3">
      <c r="A308" s="15">
        <v>306</v>
      </c>
      <c r="B308" s="16" t="s">
        <v>307</v>
      </c>
      <c r="C308" s="16">
        <v>202400306</v>
      </c>
    </row>
    <row r="309" spans="1:3">
      <c r="A309" s="15">
        <v>307</v>
      </c>
      <c r="B309" s="16" t="s">
        <v>308</v>
      </c>
      <c r="C309" s="16">
        <v>202400307</v>
      </c>
    </row>
    <row r="310" spans="1:3">
      <c r="A310" s="15">
        <v>308</v>
      </c>
      <c r="B310" s="16" t="s">
        <v>309</v>
      </c>
      <c r="C310" s="16">
        <v>202400308</v>
      </c>
    </row>
    <row r="311" spans="1:3">
      <c r="A311" s="15">
        <v>309</v>
      </c>
      <c r="B311" s="16" t="s">
        <v>310</v>
      </c>
      <c r="C311" s="16">
        <v>202400309</v>
      </c>
    </row>
    <row r="312" spans="1:3">
      <c r="A312" s="15">
        <v>310</v>
      </c>
      <c r="B312" s="16" t="s">
        <v>311</v>
      </c>
      <c r="C312" s="16">
        <v>202400310</v>
      </c>
    </row>
    <row r="313" spans="1:3">
      <c r="A313" s="15">
        <v>311</v>
      </c>
      <c r="B313" s="16" t="s">
        <v>312</v>
      </c>
      <c r="C313" s="16">
        <v>202400311</v>
      </c>
    </row>
    <row r="314" spans="1:3">
      <c r="A314" s="15">
        <v>312</v>
      </c>
      <c r="B314" s="16" t="s">
        <v>313</v>
      </c>
      <c r="C314" s="16">
        <v>202400312</v>
      </c>
    </row>
    <row r="315" spans="1:3">
      <c r="A315" s="15">
        <v>313</v>
      </c>
      <c r="B315" s="16" t="s">
        <v>314</v>
      </c>
      <c r="C315" s="16">
        <v>202400313</v>
      </c>
    </row>
    <row r="316" spans="1:3">
      <c r="A316" s="15">
        <v>314</v>
      </c>
      <c r="B316" s="16" t="s">
        <v>315</v>
      </c>
      <c r="C316" s="16">
        <v>202400314</v>
      </c>
    </row>
    <row r="317" spans="1:3">
      <c r="A317" s="15">
        <v>315</v>
      </c>
      <c r="B317" s="16" t="s">
        <v>316</v>
      </c>
      <c r="C317" s="16">
        <v>202400315</v>
      </c>
    </row>
    <row r="318" spans="1:3">
      <c r="A318" s="15">
        <v>316</v>
      </c>
      <c r="B318" s="16" t="s">
        <v>317</v>
      </c>
      <c r="C318" s="16">
        <v>202400316</v>
      </c>
    </row>
    <row r="319" spans="1:3">
      <c r="A319" s="15">
        <v>317</v>
      </c>
      <c r="B319" s="16" t="s">
        <v>318</v>
      </c>
      <c r="C319" s="16">
        <v>202400317</v>
      </c>
    </row>
    <row r="320" spans="1:3">
      <c r="A320" s="15">
        <v>318</v>
      </c>
      <c r="B320" s="16" t="s">
        <v>319</v>
      </c>
      <c r="C320" s="16">
        <v>202400318</v>
      </c>
    </row>
    <row r="321" spans="1:3">
      <c r="A321" s="15">
        <v>319</v>
      </c>
      <c r="B321" s="16" t="s">
        <v>320</v>
      </c>
      <c r="C321" s="16">
        <v>202400319</v>
      </c>
    </row>
    <row r="322" spans="1:3">
      <c r="A322" s="15">
        <v>320</v>
      </c>
      <c r="B322" s="16" t="s">
        <v>321</v>
      </c>
      <c r="C322" s="16">
        <v>202400320</v>
      </c>
    </row>
    <row r="323" spans="1:3">
      <c r="A323" s="15">
        <v>321</v>
      </c>
      <c r="B323" s="16" t="s">
        <v>322</v>
      </c>
      <c r="C323" s="16">
        <v>202400321</v>
      </c>
    </row>
    <row r="324" spans="1:3">
      <c r="A324" s="15">
        <v>322</v>
      </c>
      <c r="B324" s="16" t="s">
        <v>323</v>
      </c>
      <c r="C324" s="16">
        <v>202400322</v>
      </c>
    </row>
    <row r="325" spans="1:3">
      <c r="A325" s="15">
        <v>323</v>
      </c>
      <c r="B325" s="16" t="s">
        <v>324</v>
      </c>
      <c r="C325" s="16">
        <v>202400323</v>
      </c>
    </row>
    <row r="326" spans="1:3">
      <c r="A326" s="15">
        <v>324</v>
      </c>
      <c r="B326" s="16" t="s">
        <v>325</v>
      </c>
      <c r="C326" s="16">
        <v>202400324</v>
      </c>
    </row>
    <row r="327" spans="1:3">
      <c r="A327" s="15">
        <v>325</v>
      </c>
      <c r="B327" s="16" t="s">
        <v>326</v>
      </c>
      <c r="C327" s="16">
        <v>202400325</v>
      </c>
    </row>
    <row r="328" spans="1:3">
      <c r="A328" s="15">
        <v>326</v>
      </c>
      <c r="B328" s="16" t="s">
        <v>327</v>
      </c>
      <c r="C328" s="16">
        <v>202400326</v>
      </c>
    </row>
    <row r="329" spans="1:3">
      <c r="A329" s="15">
        <v>327</v>
      </c>
      <c r="B329" s="16" t="s">
        <v>328</v>
      </c>
      <c r="C329" s="16">
        <v>202400327</v>
      </c>
    </row>
    <row r="330" spans="1:3">
      <c r="A330" s="15">
        <v>328</v>
      </c>
      <c r="B330" s="16" t="s">
        <v>329</v>
      </c>
      <c r="C330" s="16">
        <v>202400328</v>
      </c>
    </row>
    <row r="331" spans="1:3">
      <c r="A331" s="15">
        <v>329</v>
      </c>
      <c r="B331" s="16" t="s">
        <v>330</v>
      </c>
      <c r="C331" s="16">
        <v>202400329</v>
      </c>
    </row>
    <row r="332" spans="1:3">
      <c r="A332" s="15">
        <v>330</v>
      </c>
      <c r="B332" s="16" t="s">
        <v>331</v>
      </c>
      <c r="C332" s="16">
        <v>202400330</v>
      </c>
    </row>
    <row r="333" spans="1:3">
      <c r="A333" s="15">
        <v>331</v>
      </c>
      <c r="B333" s="16" t="s">
        <v>332</v>
      </c>
      <c r="C333" s="16">
        <v>202400331</v>
      </c>
    </row>
    <row r="334" spans="1:3">
      <c r="A334" s="15">
        <v>332</v>
      </c>
      <c r="B334" s="16" t="s">
        <v>333</v>
      </c>
      <c r="C334" s="16">
        <v>202400332</v>
      </c>
    </row>
    <row r="335" spans="1:3">
      <c r="A335" s="15">
        <v>333</v>
      </c>
      <c r="B335" s="16" t="s">
        <v>334</v>
      </c>
      <c r="C335" s="16">
        <v>202400333</v>
      </c>
    </row>
    <row r="336" spans="1:3">
      <c r="A336" s="15">
        <v>334</v>
      </c>
      <c r="B336" s="16" t="s">
        <v>335</v>
      </c>
      <c r="C336" s="16">
        <v>202400334</v>
      </c>
    </row>
    <row r="337" spans="1:3">
      <c r="A337" s="15">
        <v>335</v>
      </c>
      <c r="B337" s="16" t="s">
        <v>336</v>
      </c>
      <c r="C337" s="16">
        <v>202400335</v>
      </c>
    </row>
    <row r="338" spans="1:3">
      <c r="A338" s="15">
        <v>336</v>
      </c>
      <c r="B338" s="16" t="s">
        <v>337</v>
      </c>
      <c r="C338" s="16">
        <v>202400336</v>
      </c>
    </row>
    <row r="339" spans="1:3">
      <c r="A339" s="15">
        <v>337</v>
      </c>
      <c r="B339" s="16" t="s">
        <v>338</v>
      </c>
      <c r="C339" s="16">
        <v>202400337</v>
      </c>
    </row>
    <row r="340" spans="1:3">
      <c r="A340" s="15">
        <v>338</v>
      </c>
      <c r="B340" s="16" t="s">
        <v>339</v>
      </c>
      <c r="C340" s="16">
        <v>202400338</v>
      </c>
    </row>
    <row r="341" spans="1:3">
      <c r="A341" s="15">
        <v>339</v>
      </c>
      <c r="B341" s="16" t="s">
        <v>340</v>
      </c>
      <c r="C341" s="16">
        <v>202400339</v>
      </c>
    </row>
    <row r="342" spans="1:3">
      <c r="A342" s="15">
        <v>340</v>
      </c>
      <c r="B342" s="16" t="s">
        <v>341</v>
      </c>
      <c r="C342" s="16">
        <v>202400340</v>
      </c>
    </row>
    <row r="343" spans="1:3">
      <c r="A343" s="15">
        <v>341</v>
      </c>
      <c r="B343" s="16" t="s">
        <v>342</v>
      </c>
      <c r="C343" s="16">
        <v>202400341</v>
      </c>
    </row>
    <row r="344" spans="1:3">
      <c r="A344" s="15">
        <v>342</v>
      </c>
      <c r="B344" s="16" t="s">
        <v>343</v>
      </c>
      <c r="C344" s="16">
        <v>202400342</v>
      </c>
    </row>
    <row r="345" spans="1:3">
      <c r="A345" s="15">
        <v>343</v>
      </c>
      <c r="B345" s="16" t="s">
        <v>344</v>
      </c>
      <c r="C345" s="16">
        <v>202400343</v>
      </c>
    </row>
    <row r="346" spans="1:3">
      <c r="A346" s="15">
        <v>344</v>
      </c>
      <c r="B346" s="16" t="s">
        <v>345</v>
      </c>
      <c r="C346" s="16">
        <v>202400344</v>
      </c>
    </row>
    <row r="347" spans="1:3">
      <c r="A347" s="15">
        <v>345</v>
      </c>
      <c r="B347" s="16" t="s">
        <v>346</v>
      </c>
      <c r="C347" s="16">
        <v>202400345</v>
      </c>
    </row>
    <row r="348" spans="1:3">
      <c r="A348" s="15">
        <v>346</v>
      </c>
      <c r="B348" s="16" t="s">
        <v>347</v>
      </c>
      <c r="C348" s="16">
        <v>202400346</v>
      </c>
    </row>
    <row r="349" spans="1:3">
      <c r="A349" s="15">
        <v>347</v>
      </c>
      <c r="B349" s="16" t="s">
        <v>348</v>
      </c>
      <c r="C349" s="16">
        <v>202400347</v>
      </c>
    </row>
    <row r="350" spans="1:3">
      <c r="A350" s="15">
        <v>348</v>
      </c>
      <c r="B350" s="16" t="s">
        <v>349</v>
      </c>
      <c r="C350" s="16">
        <v>202400348</v>
      </c>
    </row>
    <row r="351" spans="1:3">
      <c r="A351" s="15">
        <v>349</v>
      </c>
      <c r="B351" s="16" t="s">
        <v>350</v>
      </c>
      <c r="C351" s="16">
        <v>202400349</v>
      </c>
    </row>
    <row r="352" spans="1:3">
      <c r="A352" s="15">
        <v>350</v>
      </c>
      <c r="B352" s="16" t="s">
        <v>351</v>
      </c>
      <c r="C352" s="16">
        <v>202400350</v>
      </c>
    </row>
    <row r="353" spans="1:3">
      <c r="A353" s="15">
        <v>351</v>
      </c>
      <c r="B353" s="16" t="s">
        <v>352</v>
      </c>
      <c r="C353" s="16">
        <v>202400351</v>
      </c>
    </row>
    <row r="354" spans="1:3">
      <c r="A354" s="15">
        <v>352</v>
      </c>
      <c r="B354" s="16" t="s">
        <v>353</v>
      </c>
      <c r="C354" s="16">
        <v>202400352</v>
      </c>
    </row>
    <row r="355" spans="1:3">
      <c r="A355" s="15">
        <v>353</v>
      </c>
      <c r="B355" s="16" t="s">
        <v>354</v>
      </c>
      <c r="C355" s="16">
        <v>202400353</v>
      </c>
    </row>
    <row r="356" spans="1:3">
      <c r="A356" s="15">
        <v>354</v>
      </c>
      <c r="B356" s="16" t="s">
        <v>355</v>
      </c>
      <c r="C356" s="16">
        <v>202400354</v>
      </c>
    </row>
    <row r="357" spans="1:3">
      <c r="A357" s="15">
        <v>355</v>
      </c>
      <c r="B357" s="16" t="s">
        <v>356</v>
      </c>
      <c r="C357" s="16">
        <v>202400355</v>
      </c>
    </row>
    <row r="358" spans="1:3">
      <c r="A358" s="15">
        <v>356</v>
      </c>
      <c r="B358" s="16" t="s">
        <v>357</v>
      </c>
      <c r="C358" s="16">
        <v>202400356</v>
      </c>
    </row>
    <row r="359" spans="1:3">
      <c r="A359" s="15">
        <v>357</v>
      </c>
      <c r="B359" s="16" t="s">
        <v>358</v>
      </c>
      <c r="C359" s="16">
        <v>202400357</v>
      </c>
    </row>
    <row r="360" spans="1:3">
      <c r="A360" s="15">
        <v>358</v>
      </c>
      <c r="B360" s="16" t="s">
        <v>359</v>
      </c>
      <c r="C360" s="16">
        <v>202400358</v>
      </c>
    </row>
    <row r="361" spans="1:3">
      <c r="A361" s="15">
        <v>359</v>
      </c>
      <c r="B361" s="16" t="s">
        <v>360</v>
      </c>
      <c r="C361" s="16">
        <v>202400359</v>
      </c>
    </row>
    <row r="362" spans="1:3">
      <c r="A362" s="15">
        <v>360</v>
      </c>
      <c r="B362" s="16" t="s">
        <v>361</v>
      </c>
      <c r="C362" s="16">
        <v>202400360</v>
      </c>
    </row>
    <row r="363" spans="1:3">
      <c r="A363" s="15">
        <v>361</v>
      </c>
      <c r="B363" s="16" t="s">
        <v>362</v>
      </c>
      <c r="C363" s="16">
        <v>202400361</v>
      </c>
    </row>
    <row r="364" spans="1:3">
      <c r="A364" s="15">
        <v>362</v>
      </c>
      <c r="B364" s="16" t="s">
        <v>363</v>
      </c>
      <c r="C364" s="16">
        <v>202400362</v>
      </c>
    </row>
    <row r="365" spans="1:3">
      <c r="A365" s="15">
        <v>363</v>
      </c>
      <c r="B365" s="16" t="s">
        <v>364</v>
      </c>
      <c r="C365" s="16">
        <v>202400363</v>
      </c>
    </row>
    <row r="366" spans="1:3">
      <c r="A366" s="15">
        <v>364</v>
      </c>
      <c r="B366" s="16" t="s">
        <v>365</v>
      </c>
      <c r="C366" s="16">
        <v>202400364</v>
      </c>
    </row>
    <row r="367" spans="1:3">
      <c r="A367" s="15">
        <v>365</v>
      </c>
      <c r="B367" s="16" t="s">
        <v>366</v>
      </c>
      <c r="C367" s="16">
        <v>202400365</v>
      </c>
    </row>
    <row r="368" spans="1:3">
      <c r="A368" s="15">
        <v>366</v>
      </c>
      <c r="B368" s="16" t="s">
        <v>367</v>
      </c>
      <c r="C368" s="16">
        <v>202400366</v>
      </c>
    </row>
    <row r="369" spans="1:3">
      <c r="A369" s="15">
        <v>367</v>
      </c>
      <c r="B369" s="16" t="s">
        <v>368</v>
      </c>
      <c r="C369" s="16">
        <v>202400367</v>
      </c>
    </row>
    <row r="370" spans="1:3">
      <c r="A370" s="15">
        <v>368</v>
      </c>
      <c r="B370" s="16" t="s">
        <v>369</v>
      </c>
      <c r="C370" s="16">
        <v>202400368</v>
      </c>
    </row>
    <row r="371" spans="1:3">
      <c r="A371" s="15">
        <v>369</v>
      </c>
      <c r="B371" s="16" t="s">
        <v>370</v>
      </c>
      <c r="C371" s="16">
        <v>202400369</v>
      </c>
    </row>
    <row r="372" spans="1:3">
      <c r="A372" s="15">
        <v>370</v>
      </c>
      <c r="B372" s="16" t="s">
        <v>371</v>
      </c>
      <c r="C372" s="16">
        <v>202400370</v>
      </c>
    </row>
    <row r="373" spans="1:3">
      <c r="A373" s="15">
        <v>371</v>
      </c>
      <c r="B373" s="16" t="s">
        <v>372</v>
      </c>
      <c r="C373" s="16">
        <v>202400371</v>
      </c>
    </row>
    <row r="374" spans="1:3">
      <c r="A374" s="15">
        <v>372</v>
      </c>
      <c r="B374" s="16" t="s">
        <v>373</v>
      </c>
      <c r="C374" s="16">
        <v>202400372</v>
      </c>
    </row>
    <row r="375" spans="1:3">
      <c r="A375" s="15">
        <v>373</v>
      </c>
      <c r="B375" s="16" t="s">
        <v>374</v>
      </c>
      <c r="C375" s="16">
        <v>202400373</v>
      </c>
    </row>
    <row r="376" spans="1:3">
      <c r="A376" s="15">
        <v>374</v>
      </c>
      <c r="B376" s="16" t="s">
        <v>375</v>
      </c>
      <c r="C376" s="16">
        <v>202400374</v>
      </c>
    </row>
    <row r="377" spans="1:3">
      <c r="A377" s="15">
        <v>375</v>
      </c>
      <c r="B377" s="16" t="s">
        <v>376</v>
      </c>
      <c r="C377" s="16">
        <v>202400375</v>
      </c>
    </row>
    <row r="378" spans="1:3">
      <c r="A378" s="15">
        <v>376</v>
      </c>
      <c r="B378" s="16" t="s">
        <v>377</v>
      </c>
      <c r="C378" s="16">
        <v>202400376</v>
      </c>
    </row>
    <row r="379" spans="1:3">
      <c r="A379" s="15">
        <v>377</v>
      </c>
      <c r="B379" s="16" t="s">
        <v>378</v>
      </c>
      <c r="C379" s="16">
        <v>202400377</v>
      </c>
    </row>
    <row r="380" spans="1:3">
      <c r="A380" s="15">
        <v>378</v>
      </c>
      <c r="B380" s="16" t="s">
        <v>379</v>
      </c>
      <c r="C380" s="16">
        <v>202400378</v>
      </c>
    </row>
    <row r="381" spans="1:3">
      <c r="A381" s="15">
        <v>379</v>
      </c>
      <c r="B381" s="16" t="s">
        <v>380</v>
      </c>
      <c r="C381" s="16">
        <v>202400379</v>
      </c>
    </row>
    <row r="382" spans="1:3">
      <c r="A382" s="15">
        <v>380</v>
      </c>
      <c r="B382" s="16" t="s">
        <v>381</v>
      </c>
      <c r="C382" s="16">
        <v>202400380</v>
      </c>
    </row>
    <row r="383" spans="1:3">
      <c r="A383" s="15">
        <v>381</v>
      </c>
      <c r="B383" s="16" t="s">
        <v>382</v>
      </c>
      <c r="C383" s="16">
        <v>202400381</v>
      </c>
    </row>
    <row r="384" spans="1:3">
      <c r="A384" s="15">
        <v>382</v>
      </c>
      <c r="B384" s="16" t="s">
        <v>383</v>
      </c>
      <c r="C384" s="16">
        <v>202400382</v>
      </c>
    </row>
    <row r="385" spans="1:3">
      <c r="A385" s="15">
        <v>383</v>
      </c>
      <c r="B385" s="16" t="s">
        <v>384</v>
      </c>
      <c r="C385" s="16">
        <v>202400383</v>
      </c>
    </row>
    <row r="386" spans="1:3">
      <c r="A386" s="15">
        <v>384</v>
      </c>
      <c r="B386" s="16" t="s">
        <v>385</v>
      </c>
      <c r="C386" s="16">
        <v>202400384</v>
      </c>
    </row>
    <row r="387" spans="1:3">
      <c r="A387" s="15">
        <v>385</v>
      </c>
      <c r="B387" s="16" t="s">
        <v>386</v>
      </c>
      <c r="C387" s="16">
        <v>202400385</v>
      </c>
    </row>
    <row r="388" spans="1:3">
      <c r="A388" s="15">
        <v>386</v>
      </c>
      <c r="B388" s="16" t="s">
        <v>387</v>
      </c>
      <c r="C388" s="16">
        <v>202400386</v>
      </c>
    </row>
    <row r="389" spans="1:3">
      <c r="A389" s="15">
        <v>387</v>
      </c>
      <c r="B389" s="16" t="s">
        <v>388</v>
      </c>
      <c r="C389" s="16">
        <v>202400387</v>
      </c>
    </row>
    <row r="390" spans="1:3">
      <c r="A390" s="15">
        <v>388</v>
      </c>
      <c r="B390" s="16" t="s">
        <v>389</v>
      </c>
      <c r="C390" s="16">
        <v>202400388</v>
      </c>
    </row>
    <row r="391" spans="1:3">
      <c r="A391" s="15">
        <v>389</v>
      </c>
      <c r="B391" s="16" t="s">
        <v>390</v>
      </c>
      <c r="C391" s="16">
        <v>202400389</v>
      </c>
    </row>
    <row r="392" spans="1:3">
      <c r="A392" s="15">
        <v>390</v>
      </c>
      <c r="B392" s="16" t="s">
        <v>391</v>
      </c>
      <c r="C392" s="16">
        <v>202400390</v>
      </c>
    </row>
    <row r="393" spans="1:3">
      <c r="A393" s="15">
        <v>391</v>
      </c>
      <c r="B393" s="16" t="s">
        <v>392</v>
      </c>
      <c r="C393" s="16">
        <v>202400391</v>
      </c>
    </row>
    <row r="394" spans="1:3">
      <c r="A394" s="15">
        <v>392</v>
      </c>
      <c r="B394" s="16" t="s">
        <v>393</v>
      </c>
      <c r="C394" s="16">
        <v>202400392</v>
      </c>
    </row>
    <row r="395" spans="1:3">
      <c r="A395" s="15">
        <v>393</v>
      </c>
      <c r="B395" s="16" t="s">
        <v>394</v>
      </c>
      <c r="C395" s="16">
        <v>202400393</v>
      </c>
    </row>
    <row r="396" spans="1:3">
      <c r="A396" s="15">
        <v>394</v>
      </c>
      <c r="B396" s="16" t="s">
        <v>395</v>
      </c>
      <c r="C396" s="16">
        <v>202400394</v>
      </c>
    </row>
    <row r="397" spans="1:3">
      <c r="A397" s="15">
        <v>395</v>
      </c>
      <c r="B397" s="16" t="s">
        <v>396</v>
      </c>
      <c r="C397" s="16">
        <v>202400395</v>
      </c>
    </row>
    <row r="398" spans="1:3">
      <c r="A398" s="15">
        <v>396</v>
      </c>
      <c r="B398" s="16" t="s">
        <v>397</v>
      </c>
      <c r="C398" s="16">
        <v>202400396</v>
      </c>
    </row>
    <row r="399" spans="1:3">
      <c r="A399" s="15">
        <v>397</v>
      </c>
      <c r="B399" s="16" t="s">
        <v>398</v>
      </c>
      <c r="C399" s="16">
        <v>202400397</v>
      </c>
    </row>
    <row r="400" spans="1:3">
      <c r="A400" s="15">
        <v>398</v>
      </c>
      <c r="B400" s="16" t="s">
        <v>399</v>
      </c>
      <c r="C400" s="16">
        <v>202400398</v>
      </c>
    </row>
    <row r="401" spans="1:3">
      <c r="A401" s="15">
        <v>399</v>
      </c>
      <c r="B401" s="16" t="s">
        <v>400</v>
      </c>
      <c r="C401" s="16">
        <v>202400399</v>
      </c>
    </row>
    <row r="402" spans="1:3">
      <c r="A402" s="32">
        <v>400</v>
      </c>
      <c r="B402" s="17" t="s">
        <v>401</v>
      </c>
      <c r="C402" s="17">
        <v>202400400</v>
      </c>
    </row>
  </sheetData>
  <autoFilter ref="A1:C402" xr:uid="{B609DC90-4AFC-DF42-8DF6-4BFA88A3923B}"/>
  <phoneticPr fontId="2" type="noConversion"/>
  <pageMargins left="0.7" right="0.7" top="0.75" bottom="0.75" header="0.3" footer="0.3"/>
  <pageSetup paperSize="9" scale="9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0A39-9880-8B4D-A1E2-845659C5619B}">
  <sheetPr>
    <tabColor theme="6" tint="-0.249977111117893"/>
  </sheetPr>
  <dimension ref="A1"/>
  <sheetViews>
    <sheetView workbookViewId="0">
      <selection activeCell="B45" sqref="B45"/>
    </sheetView>
  </sheetViews>
  <sheetFormatPr baseColWidth="10" defaultRowHeight="18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A83F5-F8E6-CB4C-A053-14F2B116E708}">
  <sheetPr>
    <tabColor theme="8" tint="0.79998168889431442"/>
  </sheetPr>
  <dimension ref="B1:M78"/>
  <sheetViews>
    <sheetView workbookViewId="0">
      <selection activeCell="B1" sqref="B1:M78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484</v>
      </c>
      <c r="C2">
        <v>1</v>
      </c>
      <c r="D2" t="s">
        <v>402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396</v>
      </c>
      <c r="C4">
        <v>202400395</v>
      </c>
      <c r="D4">
        <v>24</v>
      </c>
      <c r="E4">
        <v>94</v>
      </c>
      <c r="F4">
        <v>9</v>
      </c>
      <c r="G4">
        <v>8</v>
      </c>
      <c r="H4">
        <v>0</v>
      </c>
    </row>
    <row r="5" spans="2:13">
      <c r="B5" t="s">
        <v>130</v>
      </c>
      <c r="C5">
        <v>202400129</v>
      </c>
      <c r="D5">
        <v>24</v>
      </c>
      <c r="E5">
        <v>92</v>
      </c>
      <c r="F5">
        <v>4</v>
      </c>
      <c r="G5">
        <v>8</v>
      </c>
      <c r="H5">
        <v>0</v>
      </c>
    </row>
    <row r="6" spans="2:13">
      <c r="B6" t="s">
        <v>197</v>
      </c>
      <c r="C6">
        <v>202400196</v>
      </c>
      <c r="D6">
        <v>29</v>
      </c>
      <c r="E6">
        <v>57</v>
      </c>
      <c r="F6">
        <v>9</v>
      </c>
      <c r="G6">
        <v>10</v>
      </c>
      <c r="H6">
        <v>0</v>
      </c>
    </row>
    <row r="7" spans="2:13">
      <c r="B7" t="s">
        <v>74</v>
      </c>
      <c r="C7">
        <v>202400073</v>
      </c>
      <c r="D7">
        <v>24</v>
      </c>
      <c r="E7">
        <v>56</v>
      </c>
      <c r="F7">
        <v>10</v>
      </c>
      <c r="G7">
        <v>9</v>
      </c>
      <c r="H7">
        <v>0</v>
      </c>
    </row>
    <row r="8" spans="2:13">
      <c r="B8" t="s">
        <v>324</v>
      </c>
      <c r="C8">
        <v>202400323</v>
      </c>
      <c r="D8">
        <v>30</v>
      </c>
      <c r="E8">
        <v>92</v>
      </c>
      <c r="F8">
        <v>10</v>
      </c>
      <c r="G8">
        <v>10</v>
      </c>
      <c r="H8">
        <v>0</v>
      </c>
    </row>
    <row r="9" spans="2:13">
      <c r="B9" t="s">
        <v>22</v>
      </c>
      <c r="C9">
        <v>202400021</v>
      </c>
      <c r="D9">
        <v>19</v>
      </c>
      <c r="E9">
        <v>94</v>
      </c>
      <c r="F9">
        <v>4</v>
      </c>
      <c r="G9">
        <v>9</v>
      </c>
      <c r="H9">
        <v>0</v>
      </c>
    </row>
    <row r="10" spans="2:13">
      <c r="B10" t="s">
        <v>287</v>
      </c>
      <c r="C10">
        <v>202400286</v>
      </c>
      <c r="D10">
        <v>21</v>
      </c>
      <c r="E10">
        <v>55</v>
      </c>
      <c r="F10">
        <v>6</v>
      </c>
      <c r="G10">
        <v>10</v>
      </c>
      <c r="H10">
        <v>0</v>
      </c>
    </row>
    <row r="11" spans="2:13">
      <c r="B11" t="s">
        <v>112</v>
      </c>
      <c r="C11">
        <v>202400111</v>
      </c>
      <c r="D11">
        <v>27</v>
      </c>
      <c r="E11">
        <v>93</v>
      </c>
      <c r="F11">
        <v>7</v>
      </c>
      <c r="G11">
        <v>8</v>
      </c>
      <c r="H11">
        <v>0</v>
      </c>
    </row>
    <row r="12" spans="2:13">
      <c r="B12" t="s">
        <v>119</v>
      </c>
      <c r="C12">
        <v>202400118</v>
      </c>
      <c r="D12">
        <v>29</v>
      </c>
      <c r="E12">
        <v>53</v>
      </c>
      <c r="F12">
        <v>5</v>
      </c>
      <c r="G12">
        <v>9</v>
      </c>
      <c r="H12">
        <v>0</v>
      </c>
    </row>
    <row r="13" spans="2:13">
      <c r="B13" t="s">
        <v>186</v>
      </c>
      <c r="C13">
        <v>202400185</v>
      </c>
      <c r="D13">
        <v>19</v>
      </c>
      <c r="E13">
        <v>100</v>
      </c>
      <c r="F13">
        <v>3</v>
      </c>
      <c r="G13">
        <v>9</v>
      </c>
      <c r="H13">
        <v>0</v>
      </c>
    </row>
    <row r="14" spans="2:13">
      <c r="B14" t="s">
        <v>77</v>
      </c>
      <c r="C14">
        <v>202400076</v>
      </c>
      <c r="D14">
        <v>20</v>
      </c>
      <c r="E14">
        <v>65</v>
      </c>
      <c r="F14">
        <v>6</v>
      </c>
      <c r="G14">
        <v>9</v>
      </c>
      <c r="H14">
        <v>0</v>
      </c>
    </row>
    <row r="15" spans="2:13">
      <c r="B15" t="s">
        <v>173</v>
      </c>
      <c r="C15">
        <v>202400172</v>
      </c>
      <c r="D15">
        <v>30</v>
      </c>
      <c r="E15">
        <v>66</v>
      </c>
      <c r="F15">
        <v>5</v>
      </c>
      <c r="G15">
        <v>10</v>
      </c>
      <c r="H15">
        <v>0</v>
      </c>
    </row>
    <row r="16" spans="2:13">
      <c r="B16" t="s">
        <v>218</v>
      </c>
      <c r="C16">
        <v>202400217</v>
      </c>
      <c r="D16">
        <v>30</v>
      </c>
      <c r="E16">
        <v>74</v>
      </c>
      <c r="F16">
        <v>7</v>
      </c>
      <c r="G16">
        <v>9</v>
      </c>
      <c r="H16">
        <v>0</v>
      </c>
    </row>
    <row r="17" spans="2:8">
      <c r="B17" t="s">
        <v>268</v>
      </c>
      <c r="C17">
        <v>202400267</v>
      </c>
      <c r="D17">
        <v>20</v>
      </c>
      <c r="E17">
        <v>93</v>
      </c>
      <c r="F17">
        <v>5</v>
      </c>
      <c r="G17">
        <v>9</v>
      </c>
      <c r="H17">
        <v>0</v>
      </c>
    </row>
    <row r="18" spans="2:8">
      <c r="B18" t="s">
        <v>101</v>
      </c>
      <c r="C18">
        <v>202400100</v>
      </c>
      <c r="D18">
        <v>28</v>
      </c>
      <c r="E18">
        <v>65</v>
      </c>
      <c r="F18">
        <v>3</v>
      </c>
      <c r="G18">
        <v>9</v>
      </c>
      <c r="H18">
        <v>0</v>
      </c>
    </row>
    <row r="19" spans="2:8">
      <c r="B19" t="s">
        <v>371</v>
      </c>
      <c r="C19">
        <v>202400370</v>
      </c>
      <c r="D19">
        <v>18</v>
      </c>
      <c r="E19">
        <v>92</v>
      </c>
      <c r="F19">
        <v>6</v>
      </c>
      <c r="G19">
        <v>10</v>
      </c>
      <c r="H19">
        <v>0</v>
      </c>
    </row>
    <row r="20" spans="2:8">
      <c r="B20" t="s">
        <v>36</v>
      </c>
      <c r="C20">
        <v>202400035</v>
      </c>
      <c r="D20">
        <v>19</v>
      </c>
      <c r="E20">
        <v>60</v>
      </c>
      <c r="F20">
        <v>4</v>
      </c>
      <c r="G20">
        <v>8</v>
      </c>
      <c r="H20">
        <v>0</v>
      </c>
    </row>
    <row r="21" spans="2:8">
      <c r="B21" t="s">
        <v>392</v>
      </c>
      <c r="C21">
        <v>202400391</v>
      </c>
      <c r="D21">
        <v>27</v>
      </c>
      <c r="E21">
        <v>89</v>
      </c>
      <c r="F21">
        <v>4</v>
      </c>
      <c r="G21">
        <v>9</v>
      </c>
      <c r="H21">
        <v>0</v>
      </c>
    </row>
    <row r="22" spans="2:8">
      <c r="B22" t="s">
        <v>282</v>
      </c>
      <c r="C22">
        <v>202400281</v>
      </c>
      <c r="D22">
        <v>28</v>
      </c>
      <c r="E22">
        <v>66</v>
      </c>
      <c r="F22">
        <v>9</v>
      </c>
      <c r="G22">
        <v>9</v>
      </c>
      <c r="H22">
        <v>0</v>
      </c>
    </row>
    <row r="23" spans="2:8">
      <c r="B23" t="s">
        <v>365</v>
      </c>
      <c r="C23">
        <v>202400364</v>
      </c>
      <c r="D23">
        <v>19</v>
      </c>
      <c r="E23">
        <v>85</v>
      </c>
      <c r="F23">
        <v>4</v>
      </c>
      <c r="G23">
        <v>10</v>
      </c>
      <c r="H23">
        <v>0</v>
      </c>
    </row>
    <row r="24" spans="2:8">
      <c r="B24" t="s">
        <v>158</v>
      </c>
      <c r="C24">
        <v>202400157</v>
      </c>
      <c r="D24">
        <v>18</v>
      </c>
      <c r="E24">
        <v>61</v>
      </c>
      <c r="F24">
        <v>8</v>
      </c>
      <c r="G24">
        <v>8</v>
      </c>
      <c r="H24">
        <v>0</v>
      </c>
    </row>
    <row r="25" spans="2:8">
      <c r="B25" t="s">
        <v>2</v>
      </c>
      <c r="C25">
        <v>202400002</v>
      </c>
      <c r="D25">
        <v>26</v>
      </c>
      <c r="E25">
        <v>62</v>
      </c>
      <c r="F25">
        <v>7</v>
      </c>
      <c r="G25">
        <v>8</v>
      </c>
      <c r="H25">
        <v>0</v>
      </c>
    </row>
    <row r="26" spans="2:8">
      <c r="B26" t="s">
        <v>99</v>
      </c>
      <c r="C26">
        <v>202400098</v>
      </c>
      <c r="D26">
        <v>19</v>
      </c>
      <c r="E26">
        <v>53</v>
      </c>
      <c r="F26">
        <v>6</v>
      </c>
      <c r="G26">
        <v>10</v>
      </c>
      <c r="H26">
        <v>0</v>
      </c>
    </row>
    <row r="27" spans="2:8">
      <c r="B27" t="s">
        <v>81</v>
      </c>
      <c r="C27">
        <v>202400080</v>
      </c>
      <c r="D27">
        <v>22</v>
      </c>
      <c r="E27">
        <v>71</v>
      </c>
      <c r="F27">
        <v>7</v>
      </c>
      <c r="G27">
        <v>10</v>
      </c>
      <c r="H27">
        <v>0</v>
      </c>
    </row>
    <row r="28" spans="2:8">
      <c r="B28" t="s">
        <v>145</v>
      </c>
      <c r="C28">
        <v>202400144</v>
      </c>
      <c r="D28">
        <v>16</v>
      </c>
      <c r="E28">
        <v>99</v>
      </c>
      <c r="F28">
        <v>3</v>
      </c>
      <c r="G28">
        <v>10</v>
      </c>
      <c r="H28">
        <v>0</v>
      </c>
    </row>
    <row r="29" spans="2:8">
      <c r="B29" t="s">
        <v>285</v>
      </c>
      <c r="C29">
        <v>202400284</v>
      </c>
      <c r="D29">
        <v>19</v>
      </c>
      <c r="E29">
        <v>62</v>
      </c>
      <c r="F29">
        <v>4</v>
      </c>
      <c r="G29">
        <v>8</v>
      </c>
      <c r="H29">
        <v>0</v>
      </c>
    </row>
    <row r="30" spans="2:8">
      <c r="B30" t="s">
        <v>247</v>
      </c>
      <c r="C30">
        <v>202400246</v>
      </c>
      <c r="D30">
        <v>24</v>
      </c>
      <c r="E30">
        <v>90</v>
      </c>
      <c r="F30">
        <v>5</v>
      </c>
      <c r="G30">
        <v>8</v>
      </c>
      <c r="H30">
        <v>0</v>
      </c>
    </row>
    <row r="31" spans="2:8">
      <c r="B31" t="s">
        <v>118</v>
      </c>
      <c r="C31">
        <v>202400117</v>
      </c>
      <c r="D31">
        <v>22</v>
      </c>
      <c r="E31">
        <v>97</v>
      </c>
      <c r="F31">
        <v>7</v>
      </c>
      <c r="G31">
        <v>10</v>
      </c>
      <c r="H31">
        <v>0</v>
      </c>
    </row>
    <row r="32" spans="2:8">
      <c r="B32" t="s">
        <v>97</v>
      </c>
      <c r="C32">
        <v>202400096</v>
      </c>
      <c r="D32">
        <v>19</v>
      </c>
      <c r="E32">
        <v>68</v>
      </c>
      <c r="F32">
        <v>6</v>
      </c>
      <c r="G32">
        <v>10</v>
      </c>
      <c r="H32">
        <v>0</v>
      </c>
    </row>
    <row r="33" spans="2:8">
      <c r="B33" t="s">
        <v>52</v>
      </c>
      <c r="C33">
        <v>202400051</v>
      </c>
      <c r="D33">
        <v>30</v>
      </c>
      <c r="E33">
        <v>93</v>
      </c>
      <c r="F33">
        <v>6</v>
      </c>
      <c r="G33">
        <v>9</v>
      </c>
      <c r="H33">
        <v>0</v>
      </c>
    </row>
    <row r="34" spans="2:8">
      <c r="B34" t="s">
        <v>152</v>
      </c>
      <c r="C34">
        <v>202400151</v>
      </c>
      <c r="D34">
        <v>21</v>
      </c>
      <c r="E34">
        <v>77</v>
      </c>
      <c r="F34">
        <v>10</v>
      </c>
      <c r="G34">
        <v>10</v>
      </c>
      <c r="H34">
        <v>0</v>
      </c>
    </row>
    <row r="35" spans="2:8">
      <c r="B35" t="s">
        <v>67</v>
      </c>
      <c r="C35">
        <v>202400066</v>
      </c>
      <c r="D35">
        <v>20</v>
      </c>
      <c r="E35">
        <v>89</v>
      </c>
      <c r="F35">
        <v>8</v>
      </c>
      <c r="G35">
        <v>9</v>
      </c>
      <c r="H35">
        <v>0</v>
      </c>
    </row>
    <row r="36" spans="2:8">
      <c r="B36" t="s">
        <v>384</v>
      </c>
      <c r="C36">
        <v>202400383</v>
      </c>
      <c r="D36">
        <v>25</v>
      </c>
      <c r="E36">
        <v>78</v>
      </c>
      <c r="F36">
        <v>8</v>
      </c>
      <c r="G36">
        <v>9</v>
      </c>
      <c r="H36">
        <v>0</v>
      </c>
    </row>
    <row r="37" spans="2:8">
      <c r="B37" t="s">
        <v>82</v>
      </c>
      <c r="C37">
        <v>202400081</v>
      </c>
      <c r="D37">
        <v>22</v>
      </c>
      <c r="E37">
        <v>90</v>
      </c>
      <c r="F37">
        <v>7</v>
      </c>
      <c r="G37">
        <v>9</v>
      </c>
      <c r="H37">
        <v>0</v>
      </c>
    </row>
    <row r="38" spans="2:8">
      <c r="B38" t="s">
        <v>378</v>
      </c>
      <c r="C38">
        <v>202400377</v>
      </c>
      <c r="D38">
        <v>26</v>
      </c>
      <c r="E38">
        <v>78</v>
      </c>
      <c r="F38">
        <v>7</v>
      </c>
      <c r="G38">
        <v>8</v>
      </c>
      <c r="H38">
        <v>0</v>
      </c>
    </row>
    <row r="39" spans="2:8">
      <c r="B39" t="s">
        <v>310</v>
      </c>
      <c r="C39">
        <v>202400309</v>
      </c>
      <c r="D39">
        <v>15</v>
      </c>
      <c r="E39">
        <v>89</v>
      </c>
      <c r="F39">
        <v>4</v>
      </c>
      <c r="G39">
        <v>10</v>
      </c>
      <c r="H39">
        <v>0</v>
      </c>
    </row>
    <row r="40" spans="2:8">
      <c r="B40" t="s">
        <v>32</v>
      </c>
      <c r="C40">
        <v>202400031</v>
      </c>
      <c r="D40">
        <v>19</v>
      </c>
      <c r="E40">
        <v>92</v>
      </c>
      <c r="F40">
        <v>3</v>
      </c>
      <c r="G40">
        <v>10</v>
      </c>
      <c r="H40">
        <v>0</v>
      </c>
    </row>
    <row r="41" spans="2:8">
      <c r="B41" t="s">
        <v>238</v>
      </c>
      <c r="C41">
        <v>202400237</v>
      </c>
      <c r="D41">
        <v>15</v>
      </c>
      <c r="E41">
        <v>86</v>
      </c>
      <c r="F41">
        <v>8</v>
      </c>
      <c r="G41">
        <v>8</v>
      </c>
      <c r="H41">
        <v>0</v>
      </c>
    </row>
    <row r="42" spans="2:8">
      <c r="B42" t="s">
        <v>111</v>
      </c>
      <c r="C42">
        <v>202400110</v>
      </c>
      <c r="D42">
        <v>28</v>
      </c>
      <c r="E42">
        <v>85</v>
      </c>
      <c r="F42">
        <v>9</v>
      </c>
      <c r="G42">
        <v>9</v>
      </c>
      <c r="H42">
        <v>0</v>
      </c>
    </row>
    <row r="43" spans="2:8">
      <c r="B43" t="s">
        <v>222</v>
      </c>
      <c r="C43">
        <v>202400221</v>
      </c>
      <c r="D43">
        <v>23</v>
      </c>
      <c r="E43">
        <v>85</v>
      </c>
      <c r="F43">
        <v>3</v>
      </c>
      <c r="G43">
        <v>10</v>
      </c>
      <c r="H43">
        <v>0</v>
      </c>
    </row>
    <row r="44" spans="2:8">
      <c r="B44" t="s">
        <v>120</v>
      </c>
      <c r="C44">
        <v>202400119</v>
      </c>
      <c r="D44">
        <v>25</v>
      </c>
      <c r="E44">
        <v>100</v>
      </c>
      <c r="F44">
        <v>9</v>
      </c>
      <c r="G44">
        <v>9</v>
      </c>
      <c r="H44">
        <v>0</v>
      </c>
    </row>
    <row r="45" spans="2:8">
      <c r="B45" t="s">
        <v>169</v>
      </c>
      <c r="C45">
        <v>202400168</v>
      </c>
      <c r="D45">
        <v>17</v>
      </c>
      <c r="E45">
        <v>52</v>
      </c>
      <c r="F45">
        <v>4</v>
      </c>
      <c r="G45">
        <v>9</v>
      </c>
      <c r="H45">
        <v>0</v>
      </c>
    </row>
    <row r="46" spans="2:8">
      <c r="B46" t="s">
        <v>225</v>
      </c>
      <c r="C46">
        <v>202400224</v>
      </c>
      <c r="D46">
        <v>20</v>
      </c>
      <c r="E46">
        <v>96</v>
      </c>
      <c r="F46">
        <v>8</v>
      </c>
      <c r="G46">
        <v>8</v>
      </c>
      <c r="H46">
        <v>0</v>
      </c>
    </row>
    <row r="47" spans="2:8">
      <c r="B47" t="s">
        <v>147</v>
      </c>
      <c r="C47">
        <v>202400146</v>
      </c>
      <c r="D47">
        <v>22</v>
      </c>
      <c r="E47">
        <v>86</v>
      </c>
      <c r="F47">
        <v>6</v>
      </c>
      <c r="G47">
        <v>10</v>
      </c>
      <c r="H47">
        <v>0</v>
      </c>
    </row>
    <row r="48" spans="2:8">
      <c r="B48" t="s">
        <v>109</v>
      </c>
      <c r="C48">
        <v>202400108</v>
      </c>
      <c r="D48">
        <v>19</v>
      </c>
      <c r="E48">
        <v>69</v>
      </c>
      <c r="F48">
        <v>7</v>
      </c>
      <c r="G48">
        <v>10</v>
      </c>
      <c r="H48">
        <v>0</v>
      </c>
    </row>
    <row r="49" spans="2:8">
      <c r="B49" t="s">
        <v>90</v>
      </c>
      <c r="C49">
        <v>202400089</v>
      </c>
      <c r="D49">
        <v>28</v>
      </c>
      <c r="E49">
        <v>71</v>
      </c>
      <c r="F49">
        <v>10</v>
      </c>
      <c r="G49">
        <v>10</v>
      </c>
      <c r="H49">
        <v>0</v>
      </c>
    </row>
    <row r="50" spans="2:8">
      <c r="B50" t="s">
        <v>306</v>
      </c>
      <c r="C50">
        <v>202400305</v>
      </c>
      <c r="D50">
        <v>29</v>
      </c>
      <c r="E50">
        <v>80</v>
      </c>
      <c r="F50">
        <v>4</v>
      </c>
      <c r="G50">
        <v>8</v>
      </c>
      <c r="H50">
        <v>0</v>
      </c>
    </row>
    <row r="51" spans="2:8">
      <c r="B51" t="s">
        <v>170</v>
      </c>
      <c r="C51">
        <v>202400169</v>
      </c>
      <c r="D51">
        <v>26</v>
      </c>
      <c r="E51">
        <v>68</v>
      </c>
      <c r="F51">
        <v>10</v>
      </c>
      <c r="G51">
        <v>8</v>
      </c>
      <c r="H51">
        <v>0</v>
      </c>
    </row>
    <row r="52" spans="2:8">
      <c r="B52" t="s">
        <v>369</v>
      </c>
      <c r="C52">
        <v>202400368</v>
      </c>
      <c r="D52">
        <v>23</v>
      </c>
      <c r="E52">
        <v>59</v>
      </c>
      <c r="F52">
        <v>8</v>
      </c>
      <c r="G52">
        <v>8</v>
      </c>
      <c r="H52">
        <v>0</v>
      </c>
    </row>
    <row r="53" spans="2:8">
      <c r="B53" t="s">
        <v>159</v>
      </c>
      <c r="C53">
        <v>202400158</v>
      </c>
      <c r="D53">
        <v>16</v>
      </c>
      <c r="E53">
        <v>55</v>
      </c>
      <c r="F53">
        <v>9</v>
      </c>
      <c r="G53">
        <v>8</v>
      </c>
      <c r="H53">
        <v>0</v>
      </c>
    </row>
    <row r="54" spans="2:8">
      <c r="B54" t="s">
        <v>344</v>
      </c>
      <c r="C54">
        <v>202400343</v>
      </c>
      <c r="D54">
        <v>27</v>
      </c>
      <c r="E54">
        <v>95</v>
      </c>
      <c r="F54">
        <v>8</v>
      </c>
      <c r="G54">
        <v>8</v>
      </c>
      <c r="H54">
        <v>0</v>
      </c>
    </row>
    <row r="55" spans="2:8">
      <c r="B55" t="s">
        <v>312</v>
      </c>
      <c r="C55">
        <v>202400311</v>
      </c>
      <c r="D55">
        <v>20</v>
      </c>
      <c r="E55">
        <v>72</v>
      </c>
      <c r="F55">
        <v>5</v>
      </c>
      <c r="G55">
        <v>10</v>
      </c>
      <c r="H55">
        <v>0</v>
      </c>
    </row>
    <row r="56" spans="2:8">
      <c r="B56" t="s">
        <v>386</v>
      </c>
      <c r="C56">
        <v>202400385</v>
      </c>
      <c r="D56">
        <v>16</v>
      </c>
      <c r="E56">
        <v>54</v>
      </c>
      <c r="F56">
        <v>9</v>
      </c>
      <c r="G56">
        <v>10</v>
      </c>
      <c r="H56">
        <v>0</v>
      </c>
    </row>
    <row r="57" spans="2:8">
      <c r="B57" t="s">
        <v>330</v>
      </c>
      <c r="C57">
        <v>202400329</v>
      </c>
      <c r="D57">
        <v>29</v>
      </c>
      <c r="E57">
        <v>65</v>
      </c>
      <c r="F57">
        <v>6</v>
      </c>
      <c r="G57">
        <v>10</v>
      </c>
      <c r="H57">
        <v>0</v>
      </c>
    </row>
    <row r="58" spans="2:8">
      <c r="B58" t="s">
        <v>84</v>
      </c>
      <c r="C58">
        <v>202400083</v>
      </c>
      <c r="D58">
        <v>30</v>
      </c>
      <c r="E58">
        <v>93</v>
      </c>
      <c r="F58">
        <v>7</v>
      </c>
      <c r="G58">
        <v>8</v>
      </c>
      <c r="H58">
        <v>0</v>
      </c>
    </row>
    <row r="59" spans="2:8">
      <c r="B59" t="s">
        <v>298</v>
      </c>
      <c r="C59">
        <v>202400297</v>
      </c>
      <c r="D59">
        <v>20</v>
      </c>
      <c r="E59">
        <v>94</v>
      </c>
      <c r="F59">
        <v>7</v>
      </c>
      <c r="G59">
        <v>10</v>
      </c>
      <c r="H59">
        <v>0</v>
      </c>
    </row>
    <row r="60" spans="2:8">
      <c r="B60" t="s">
        <v>142</v>
      </c>
      <c r="C60">
        <v>202400141</v>
      </c>
      <c r="D60">
        <v>15</v>
      </c>
      <c r="E60">
        <v>75</v>
      </c>
      <c r="F60">
        <v>5</v>
      </c>
      <c r="G60">
        <v>10</v>
      </c>
      <c r="H60">
        <v>0</v>
      </c>
    </row>
    <row r="61" spans="2:8">
      <c r="B61" t="s">
        <v>176</v>
      </c>
      <c r="C61">
        <v>202400175</v>
      </c>
      <c r="D61">
        <v>17</v>
      </c>
      <c r="E61">
        <v>93</v>
      </c>
      <c r="F61">
        <v>8</v>
      </c>
      <c r="G61">
        <v>9</v>
      </c>
      <c r="H61">
        <v>0</v>
      </c>
    </row>
    <row r="62" spans="2:8">
      <c r="B62" t="s">
        <v>85</v>
      </c>
      <c r="C62">
        <v>202400084</v>
      </c>
      <c r="D62">
        <v>15</v>
      </c>
      <c r="E62">
        <v>82</v>
      </c>
      <c r="F62">
        <v>5</v>
      </c>
      <c r="G62">
        <v>9</v>
      </c>
      <c r="H62">
        <v>0</v>
      </c>
    </row>
    <row r="63" spans="2:8">
      <c r="B63" t="s">
        <v>305</v>
      </c>
      <c r="C63">
        <v>202400304</v>
      </c>
      <c r="D63">
        <v>17</v>
      </c>
      <c r="E63">
        <v>69</v>
      </c>
      <c r="F63">
        <v>6</v>
      </c>
      <c r="G63">
        <v>8</v>
      </c>
      <c r="H63">
        <v>0</v>
      </c>
    </row>
    <row r="64" spans="2:8">
      <c r="B64" t="s">
        <v>107</v>
      </c>
      <c r="C64">
        <v>202400106</v>
      </c>
      <c r="D64">
        <v>19</v>
      </c>
      <c r="E64">
        <v>73</v>
      </c>
      <c r="F64">
        <v>7</v>
      </c>
      <c r="G64">
        <v>8</v>
      </c>
      <c r="H64">
        <v>0</v>
      </c>
    </row>
    <row r="65" spans="2:8">
      <c r="B65" t="s">
        <v>133</v>
      </c>
      <c r="C65">
        <v>202400132</v>
      </c>
      <c r="D65">
        <v>27</v>
      </c>
      <c r="E65">
        <v>77</v>
      </c>
      <c r="F65">
        <v>10</v>
      </c>
      <c r="G65">
        <v>9</v>
      </c>
      <c r="H65">
        <v>0</v>
      </c>
    </row>
    <row r="66" spans="2:8">
      <c r="B66" t="s">
        <v>40</v>
      </c>
      <c r="C66">
        <v>202400039</v>
      </c>
      <c r="D66">
        <v>20</v>
      </c>
      <c r="E66">
        <v>82</v>
      </c>
      <c r="F66">
        <v>6</v>
      </c>
      <c r="G66">
        <v>8</v>
      </c>
      <c r="H66">
        <v>0</v>
      </c>
    </row>
    <row r="67" spans="2:8">
      <c r="B67" t="s">
        <v>174</v>
      </c>
      <c r="C67">
        <v>202400173</v>
      </c>
      <c r="D67">
        <v>27</v>
      </c>
      <c r="E67">
        <v>70</v>
      </c>
      <c r="F67">
        <v>4</v>
      </c>
      <c r="G67">
        <v>10</v>
      </c>
      <c r="H67">
        <v>0</v>
      </c>
    </row>
    <row r="68" spans="2:8">
      <c r="B68" t="s">
        <v>279</v>
      </c>
      <c r="C68">
        <v>202400278</v>
      </c>
      <c r="D68">
        <v>17</v>
      </c>
      <c r="E68">
        <v>88</v>
      </c>
      <c r="F68">
        <v>6</v>
      </c>
      <c r="G68">
        <v>9</v>
      </c>
      <c r="H68">
        <v>0</v>
      </c>
    </row>
    <row r="69" spans="2:8">
      <c r="B69" t="s">
        <v>354</v>
      </c>
      <c r="C69">
        <v>202400353</v>
      </c>
      <c r="D69">
        <v>22</v>
      </c>
      <c r="E69">
        <v>79</v>
      </c>
      <c r="F69">
        <v>3</v>
      </c>
      <c r="G69">
        <v>9</v>
      </c>
      <c r="H69">
        <v>0</v>
      </c>
    </row>
    <row r="70" spans="2:8">
      <c r="B70" t="s">
        <v>100</v>
      </c>
      <c r="C70">
        <v>202400099</v>
      </c>
      <c r="D70">
        <v>28</v>
      </c>
      <c r="E70">
        <v>50</v>
      </c>
      <c r="F70">
        <v>5</v>
      </c>
      <c r="G70">
        <v>9</v>
      </c>
      <c r="H70">
        <v>0</v>
      </c>
    </row>
    <row r="71" spans="2:8">
      <c r="B71" t="s">
        <v>73</v>
      </c>
      <c r="C71">
        <v>202400072</v>
      </c>
      <c r="D71">
        <v>29</v>
      </c>
      <c r="E71">
        <v>98</v>
      </c>
      <c r="F71">
        <v>7</v>
      </c>
      <c r="G71">
        <v>8</v>
      </c>
      <c r="H71">
        <v>0</v>
      </c>
    </row>
    <row r="72" spans="2:8">
      <c r="B72" t="s">
        <v>215</v>
      </c>
      <c r="C72">
        <v>202400214</v>
      </c>
      <c r="D72">
        <v>21</v>
      </c>
      <c r="E72">
        <v>60</v>
      </c>
      <c r="F72">
        <v>10</v>
      </c>
      <c r="G72">
        <v>10</v>
      </c>
      <c r="H72">
        <v>0</v>
      </c>
    </row>
    <row r="73" spans="2:8">
      <c r="B73" t="s">
        <v>16</v>
      </c>
      <c r="C73">
        <v>202400015</v>
      </c>
      <c r="D73">
        <v>30</v>
      </c>
      <c r="E73">
        <v>74</v>
      </c>
      <c r="F73">
        <v>7</v>
      </c>
      <c r="G73">
        <v>10</v>
      </c>
      <c r="H73">
        <v>0</v>
      </c>
    </row>
    <row r="74" spans="2:8">
      <c r="B74" t="s">
        <v>9</v>
      </c>
      <c r="C74">
        <v>202400008</v>
      </c>
      <c r="D74">
        <v>21</v>
      </c>
      <c r="E74">
        <v>81</v>
      </c>
      <c r="F74">
        <v>8</v>
      </c>
      <c r="G74">
        <v>8</v>
      </c>
      <c r="H74">
        <v>0</v>
      </c>
    </row>
    <row r="75" spans="2:8">
      <c r="B75" t="s">
        <v>309</v>
      </c>
      <c r="C75">
        <v>202400308</v>
      </c>
      <c r="D75">
        <v>30</v>
      </c>
      <c r="E75">
        <v>85</v>
      </c>
      <c r="F75">
        <v>6</v>
      </c>
      <c r="G75">
        <v>9</v>
      </c>
      <c r="H75">
        <v>0</v>
      </c>
    </row>
    <row r="76" spans="2:8">
      <c r="B76" t="s">
        <v>244</v>
      </c>
      <c r="C76">
        <v>202400243</v>
      </c>
      <c r="D76">
        <v>24</v>
      </c>
      <c r="E76">
        <v>59</v>
      </c>
      <c r="F76">
        <v>3</v>
      </c>
      <c r="G76">
        <v>10</v>
      </c>
      <c r="H76">
        <v>0</v>
      </c>
    </row>
    <row r="77" spans="2:8">
      <c r="B77" t="s">
        <v>272</v>
      </c>
      <c r="C77">
        <v>202400271</v>
      </c>
      <c r="D77">
        <v>25</v>
      </c>
      <c r="E77">
        <v>99</v>
      </c>
      <c r="F77">
        <v>10</v>
      </c>
      <c r="G77">
        <v>8</v>
      </c>
      <c r="H77">
        <v>0</v>
      </c>
    </row>
    <row r="78" spans="2:8">
      <c r="B78" t="s">
        <v>397</v>
      </c>
      <c r="C78">
        <v>202400396</v>
      </c>
      <c r="D78">
        <v>19</v>
      </c>
      <c r="E78">
        <v>89</v>
      </c>
      <c r="F78">
        <v>4</v>
      </c>
      <c r="G78">
        <v>10</v>
      </c>
      <c r="H78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A87F0-9A41-424E-B142-1EA007E2B40F}">
  <sheetPr>
    <tabColor theme="8" tint="0.79998168889431442"/>
  </sheetPr>
  <dimension ref="B1:M76"/>
  <sheetViews>
    <sheetView workbookViewId="0">
      <selection activeCell="H4" sqref="H4:H76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484</v>
      </c>
      <c r="C2">
        <v>2</v>
      </c>
      <c r="D2" t="s">
        <v>403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213</v>
      </c>
      <c r="C4">
        <v>202400212</v>
      </c>
      <c r="D4">
        <v>22</v>
      </c>
      <c r="E4">
        <v>100</v>
      </c>
      <c r="F4">
        <v>6</v>
      </c>
      <c r="G4">
        <v>9</v>
      </c>
      <c r="H4">
        <v>0</v>
      </c>
    </row>
    <row r="5" spans="2:13">
      <c r="B5" t="s">
        <v>83</v>
      </c>
      <c r="C5">
        <v>202400082</v>
      </c>
      <c r="D5">
        <v>24</v>
      </c>
      <c r="E5">
        <v>59</v>
      </c>
      <c r="F5">
        <v>8</v>
      </c>
      <c r="G5">
        <v>8</v>
      </c>
      <c r="H5">
        <v>0</v>
      </c>
    </row>
    <row r="6" spans="2:13">
      <c r="B6" t="s">
        <v>0</v>
      </c>
      <c r="C6">
        <v>202400001</v>
      </c>
      <c r="D6">
        <v>22</v>
      </c>
      <c r="E6">
        <v>74</v>
      </c>
      <c r="F6">
        <v>10</v>
      </c>
      <c r="G6">
        <v>8</v>
      </c>
      <c r="H6">
        <v>0</v>
      </c>
    </row>
    <row r="7" spans="2:13">
      <c r="B7" t="s">
        <v>144</v>
      </c>
      <c r="C7">
        <v>202400143</v>
      </c>
      <c r="D7">
        <v>20</v>
      </c>
      <c r="E7">
        <v>62</v>
      </c>
      <c r="F7">
        <v>5</v>
      </c>
      <c r="G7">
        <v>10</v>
      </c>
      <c r="H7">
        <v>0</v>
      </c>
    </row>
    <row r="8" spans="2:13">
      <c r="B8" t="s">
        <v>257</v>
      </c>
      <c r="C8">
        <v>202400256</v>
      </c>
      <c r="D8">
        <v>26</v>
      </c>
      <c r="E8">
        <v>77</v>
      </c>
      <c r="F8">
        <v>5</v>
      </c>
      <c r="G8">
        <v>10</v>
      </c>
      <c r="H8">
        <v>0</v>
      </c>
    </row>
    <row r="9" spans="2:13">
      <c r="B9" t="s">
        <v>164</v>
      </c>
      <c r="C9">
        <v>202400163</v>
      </c>
      <c r="D9">
        <v>22</v>
      </c>
      <c r="E9">
        <v>90</v>
      </c>
      <c r="F9">
        <v>7</v>
      </c>
      <c r="G9">
        <v>8</v>
      </c>
      <c r="H9">
        <v>0</v>
      </c>
    </row>
    <row r="10" spans="2:13">
      <c r="B10" t="s">
        <v>224</v>
      </c>
      <c r="C10">
        <v>202400223</v>
      </c>
      <c r="D10">
        <v>26</v>
      </c>
      <c r="E10">
        <v>70</v>
      </c>
      <c r="F10">
        <v>3</v>
      </c>
      <c r="G10">
        <v>8</v>
      </c>
      <c r="H10">
        <v>0</v>
      </c>
    </row>
    <row r="11" spans="2:13">
      <c r="B11" t="s">
        <v>199</v>
      </c>
      <c r="C11">
        <v>202400198</v>
      </c>
      <c r="D11">
        <v>20</v>
      </c>
      <c r="E11">
        <v>50</v>
      </c>
      <c r="F11">
        <v>5</v>
      </c>
      <c r="G11">
        <v>10</v>
      </c>
      <c r="H11">
        <v>0</v>
      </c>
    </row>
    <row r="12" spans="2:13">
      <c r="B12" t="s">
        <v>157</v>
      </c>
      <c r="C12">
        <v>202400156</v>
      </c>
      <c r="D12">
        <v>16</v>
      </c>
      <c r="E12">
        <v>70</v>
      </c>
      <c r="F12">
        <v>5</v>
      </c>
      <c r="G12">
        <v>8</v>
      </c>
      <c r="H12">
        <v>0</v>
      </c>
    </row>
    <row r="13" spans="2:13">
      <c r="B13" t="s">
        <v>332</v>
      </c>
      <c r="C13">
        <v>202400331</v>
      </c>
      <c r="D13">
        <v>26</v>
      </c>
      <c r="E13">
        <v>81</v>
      </c>
      <c r="F13">
        <v>6</v>
      </c>
      <c r="G13">
        <v>8</v>
      </c>
      <c r="H13">
        <v>0</v>
      </c>
    </row>
    <row r="14" spans="2:13">
      <c r="B14" t="s">
        <v>207</v>
      </c>
      <c r="C14">
        <v>202400206</v>
      </c>
      <c r="D14">
        <v>19</v>
      </c>
      <c r="E14">
        <v>71</v>
      </c>
      <c r="F14">
        <v>6</v>
      </c>
      <c r="G14">
        <v>8</v>
      </c>
      <c r="H14">
        <v>0</v>
      </c>
    </row>
    <row r="15" spans="2:13">
      <c r="B15" t="s">
        <v>30</v>
      </c>
      <c r="C15">
        <v>202400029</v>
      </c>
      <c r="D15">
        <v>26</v>
      </c>
      <c r="E15">
        <v>96</v>
      </c>
      <c r="F15">
        <v>3</v>
      </c>
      <c r="G15">
        <v>9</v>
      </c>
      <c r="H15">
        <v>0</v>
      </c>
    </row>
    <row r="16" spans="2:13">
      <c r="B16" t="s">
        <v>303</v>
      </c>
      <c r="C16">
        <v>202400302</v>
      </c>
      <c r="D16">
        <v>30</v>
      </c>
      <c r="E16">
        <v>97</v>
      </c>
      <c r="F16">
        <v>3</v>
      </c>
      <c r="G16">
        <v>10</v>
      </c>
      <c r="H16">
        <v>0</v>
      </c>
    </row>
    <row r="17" spans="2:8">
      <c r="B17" t="s">
        <v>191</v>
      </c>
      <c r="C17">
        <v>202400190</v>
      </c>
      <c r="D17">
        <v>23</v>
      </c>
      <c r="E17">
        <v>65</v>
      </c>
      <c r="F17">
        <v>4</v>
      </c>
      <c r="G17">
        <v>8</v>
      </c>
      <c r="H17">
        <v>0</v>
      </c>
    </row>
    <row r="18" spans="2:8">
      <c r="B18" t="s">
        <v>155</v>
      </c>
      <c r="C18">
        <v>202400154</v>
      </c>
      <c r="D18">
        <v>20</v>
      </c>
      <c r="E18">
        <v>73</v>
      </c>
      <c r="F18">
        <v>10</v>
      </c>
      <c r="G18">
        <v>8</v>
      </c>
      <c r="H18">
        <v>0</v>
      </c>
    </row>
    <row r="19" spans="2:8">
      <c r="B19" t="s">
        <v>230</v>
      </c>
      <c r="C19">
        <v>202400229</v>
      </c>
      <c r="D19">
        <v>18</v>
      </c>
      <c r="E19">
        <v>68</v>
      </c>
      <c r="F19">
        <v>4</v>
      </c>
      <c r="G19">
        <v>10</v>
      </c>
      <c r="H19">
        <v>0</v>
      </c>
    </row>
    <row r="20" spans="2:8">
      <c r="B20" t="s">
        <v>86</v>
      </c>
      <c r="C20">
        <v>202400085</v>
      </c>
      <c r="D20">
        <v>16</v>
      </c>
      <c r="E20">
        <v>73</v>
      </c>
      <c r="F20">
        <v>6</v>
      </c>
      <c r="G20">
        <v>10</v>
      </c>
      <c r="H20">
        <v>0</v>
      </c>
    </row>
    <row r="21" spans="2:8">
      <c r="B21" t="s">
        <v>10</v>
      </c>
      <c r="C21">
        <v>202400009</v>
      </c>
      <c r="D21">
        <v>17</v>
      </c>
      <c r="E21">
        <v>76</v>
      </c>
      <c r="F21">
        <v>10</v>
      </c>
      <c r="G21">
        <v>8</v>
      </c>
      <c r="H21">
        <v>0</v>
      </c>
    </row>
    <row r="22" spans="2:8">
      <c r="B22" t="s">
        <v>135</v>
      </c>
      <c r="C22">
        <v>202400134</v>
      </c>
      <c r="D22">
        <v>25</v>
      </c>
      <c r="E22">
        <v>97</v>
      </c>
      <c r="F22">
        <v>5</v>
      </c>
      <c r="G22">
        <v>8</v>
      </c>
      <c r="H22">
        <v>0</v>
      </c>
    </row>
    <row r="23" spans="2:8">
      <c r="B23" t="s">
        <v>69</v>
      </c>
      <c r="C23">
        <v>202400068</v>
      </c>
      <c r="D23">
        <v>20</v>
      </c>
      <c r="E23">
        <v>89</v>
      </c>
      <c r="F23">
        <v>7</v>
      </c>
      <c r="G23">
        <v>8</v>
      </c>
      <c r="H23">
        <v>0</v>
      </c>
    </row>
    <row r="24" spans="2:8">
      <c r="B24" t="s">
        <v>113</v>
      </c>
      <c r="C24">
        <v>202400112</v>
      </c>
      <c r="D24">
        <v>27</v>
      </c>
      <c r="E24">
        <v>69</v>
      </c>
      <c r="F24">
        <v>10</v>
      </c>
      <c r="G24">
        <v>8</v>
      </c>
      <c r="H24">
        <v>0</v>
      </c>
    </row>
    <row r="25" spans="2:8">
      <c r="B25" t="s">
        <v>321</v>
      </c>
      <c r="C25">
        <v>202400320</v>
      </c>
      <c r="D25">
        <v>19</v>
      </c>
      <c r="E25">
        <v>91</v>
      </c>
      <c r="F25">
        <v>9</v>
      </c>
      <c r="G25">
        <v>10</v>
      </c>
      <c r="H25">
        <v>0</v>
      </c>
    </row>
    <row r="26" spans="2:8">
      <c r="B26" t="s">
        <v>127</v>
      </c>
      <c r="C26">
        <v>202400126</v>
      </c>
      <c r="D26">
        <v>16</v>
      </c>
      <c r="E26">
        <v>99</v>
      </c>
      <c r="F26">
        <v>5</v>
      </c>
      <c r="G26">
        <v>10</v>
      </c>
      <c r="H26">
        <v>0</v>
      </c>
    </row>
    <row r="27" spans="2:8">
      <c r="B27" t="s">
        <v>105</v>
      </c>
      <c r="C27">
        <v>202400104</v>
      </c>
      <c r="D27">
        <v>25</v>
      </c>
      <c r="E27">
        <v>72</v>
      </c>
      <c r="F27">
        <v>4</v>
      </c>
      <c r="G27">
        <v>10</v>
      </c>
      <c r="H27">
        <v>0</v>
      </c>
    </row>
    <row r="28" spans="2:8">
      <c r="B28" t="s">
        <v>57</v>
      </c>
      <c r="C28">
        <v>202400056</v>
      </c>
      <c r="D28">
        <v>30</v>
      </c>
      <c r="E28">
        <v>94</v>
      </c>
      <c r="F28">
        <v>6</v>
      </c>
      <c r="G28">
        <v>8</v>
      </c>
      <c r="H28">
        <v>0</v>
      </c>
    </row>
    <row r="29" spans="2:8">
      <c r="B29" t="s">
        <v>122</v>
      </c>
      <c r="C29">
        <v>202400121</v>
      </c>
      <c r="D29">
        <v>22</v>
      </c>
      <c r="E29">
        <v>84</v>
      </c>
      <c r="F29">
        <v>4</v>
      </c>
      <c r="G29">
        <v>10</v>
      </c>
      <c r="H29">
        <v>0</v>
      </c>
    </row>
    <row r="30" spans="2:8">
      <c r="B30" t="s">
        <v>25</v>
      </c>
      <c r="C30">
        <v>202400024</v>
      </c>
      <c r="D30">
        <v>24</v>
      </c>
      <c r="E30">
        <v>68</v>
      </c>
      <c r="F30">
        <v>6</v>
      </c>
      <c r="G30">
        <v>8</v>
      </c>
      <c r="H30">
        <v>0</v>
      </c>
    </row>
    <row r="31" spans="2:8">
      <c r="B31" t="s">
        <v>180</v>
      </c>
      <c r="C31">
        <v>202400179</v>
      </c>
      <c r="D31">
        <v>28</v>
      </c>
      <c r="E31">
        <v>63</v>
      </c>
      <c r="F31">
        <v>3</v>
      </c>
      <c r="G31">
        <v>9</v>
      </c>
      <c r="H31">
        <v>0</v>
      </c>
    </row>
    <row r="32" spans="2:8">
      <c r="B32" t="s">
        <v>385</v>
      </c>
      <c r="C32">
        <v>202400384</v>
      </c>
      <c r="D32">
        <v>19</v>
      </c>
      <c r="E32">
        <v>69</v>
      </c>
      <c r="F32">
        <v>10</v>
      </c>
      <c r="G32">
        <v>10</v>
      </c>
      <c r="H32">
        <v>0</v>
      </c>
    </row>
    <row r="33" spans="2:8">
      <c r="B33" t="s">
        <v>228</v>
      </c>
      <c r="C33">
        <v>202400227</v>
      </c>
      <c r="D33">
        <v>27</v>
      </c>
      <c r="E33">
        <v>82</v>
      </c>
      <c r="F33">
        <v>5</v>
      </c>
      <c r="G33">
        <v>10</v>
      </c>
      <c r="H33">
        <v>0</v>
      </c>
    </row>
    <row r="34" spans="2:8">
      <c r="B34" t="s">
        <v>185</v>
      </c>
      <c r="C34">
        <v>202400184</v>
      </c>
      <c r="D34">
        <v>19</v>
      </c>
      <c r="E34">
        <v>94</v>
      </c>
      <c r="F34">
        <v>9</v>
      </c>
      <c r="G34">
        <v>9</v>
      </c>
      <c r="H34">
        <v>0</v>
      </c>
    </row>
    <row r="35" spans="2:8">
      <c r="B35" t="s">
        <v>172</v>
      </c>
      <c r="C35">
        <v>202400171</v>
      </c>
      <c r="D35">
        <v>24</v>
      </c>
      <c r="E35">
        <v>74</v>
      </c>
      <c r="F35">
        <v>6</v>
      </c>
      <c r="G35">
        <v>10</v>
      </c>
      <c r="H35">
        <v>0</v>
      </c>
    </row>
    <row r="36" spans="2:8">
      <c r="B36" t="s">
        <v>232</v>
      </c>
      <c r="C36">
        <v>202400231</v>
      </c>
      <c r="D36">
        <v>28</v>
      </c>
      <c r="E36">
        <v>73</v>
      </c>
      <c r="F36">
        <v>8</v>
      </c>
      <c r="G36">
        <v>10</v>
      </c>
      <c r="H36">
        <v>0</v>
      </c>
    </row>
    <row r="37" spans="2:8">
      <c r="B37" t="s">
        <v>239</v>
      </c>
      <c r="C37">
        <v>202400238</v>
      </c>
      <c r="D37">
        <v>21</v>
      </c>
      <c r="E37">
        <v>74</v>
      </c>
      <c r="F37">
        <v>10</v>
      </c>
      <c r="G37">
        <v>9</v>
      </c>
      <c r="H37">
        <v>0</v>
      </c>
    </row>
    <row r="38" spans="2:8">
      <c r="B38" t="s">
        <v>13</v>
      </c>
      <c r="C38">
        <v>202400012</v>
      </c>
      <c r="D38">
        <v>27</v>
      </c>
      <c r="E38">
        <v>58</v>
      </c>
      <c r="F38">
        <v>8</v>
      </c>
      <c r="G38">
        <v>9</v>
      </c>
      <c r="H38">
        <v>0</v>
      </c>
    </row>
    <row r="39" spans="2:8">
      <c r="B39" t="s">
        <v>370</v>
      </c>
      <c r="C39">
        <v>202400369</v>
      </c>
      <c r="D39">
        <v>22</v>
      </c>
      <c r="E39">
        <v>89</v>
      </c>
      <c r="F39">
        <v>7</v>
      </c>
      <c r="G39">
        <v>10</v>
      </c>
      <c r="H39">
        <v>0</v>
      </c>
    </row>
    <row r="40" spans="2:8">
      <c r="B40" t="s">
        <v>331</v>
      </c>
      <c r="C40">
        <v>202400330</v>
      </c>
      <c r="D40">
        <v>16</v>
      </c>
      <c r="E40">
        <v>76</v>
      </c>
      <c r="F40">
        <v>3</v>
      </c>
      <c r="G40">
        <v>8</v>
      </c>
      <c r="H40">
        <v>0</v>
      </c>
    </row>
    <row r="41" spans="2:8">
      <c r="B41" t="s">
        <v>201</v>
      </c>
      <c r="C41">
        <v>202400200</v>
      </c>
      <c r="D41">
        <v>26</v>
      </c>
      <c r="E41">
        <v>56</v>
      </c>
      <c r="F41">
        <v>8</v>
      </c>
      <c r="G41">
        <v>9</v>
      </c>
      <c r="H41">
        <v>0</v>
      </c>
    </row>
    <row r="42" spans="2:8">
      <c r="B42" t="s">
        <v>253</v>
      </c>
      <c r="C42">
        <v>202400252</v>
      </c>
      <c r="D42">
        <v>15</v>
      </c>
      <c r="E42">
        <v>76</v>
      </c>
      <c r="F42">
        <v>6</v>
      </c>
      <c r="G42">
        <v>10</v>
      </c>
      <c r="H42">
        <v>0</v>
      </c>
    </row>
    <row r="43" spans="2:8">
      <c r="B43" t="s">
        <v>342</v>
      </c>
      <c r="C43">
        <v>202400341</v>
      </c>
      <c r="D43">
        <v>24</v>
      </c>
      <c r="E43">
        <v>93</v>
      </c>
      <c r="F43">
        <v>3</v>
      </c>
      <c r="G43">
        <v>8</v>
      </c>
      <c r="H43">
        <v>0</v>
      </c>
    </row>
    <row r="44" spans="2:8">
      <c r="B44" t="s">
        <v>366</v>
      </c>
      <c r="C44">
        <v>202400365</v>
      </c>
      <c r="D44">
        <v>20</v>
      </c>
      <c r="E44">
        <v>52</v>
      </c>
      <c r="F44">
        <v>7</v>
      </c>
      <c r="G44">
        <v>10</v>
      </c>
      <c r="H44">
        <v>0</v>
      </c>
    </row>
    <row r="45" spans="2:8">
      <c r="B45" t="s">
        <v>316</v>
      </c>
      <c r="C45">
        <v>202400315</v>
      </c>
      <c r="D45">
        <v>30</v>
      </c>
      <c r="E45">
        <v>93</v>
      </c>
      <c r="F45">
        <v>4</v>
      </c>
      <c r="G45">
        <v>10</v>
      </c>
      <c r="H45">
        <v>0</v>
      </c>
    </row>
    <row r="46" spans="2:8">
      <c r="B46" t="s">
        <v>203</v>
      </c>
      <c r="C46">
        <v>202400202</v>
      </c>
      <c r="D46">
        <v>15</v>
      </c>
      <c r="E46">
        <v>82</v>
      </c>
      <c r="F46">
        <v>6</v>
      </c>
      <c r="G46">
        <v>8</v>
      </c>
      <c r="H46">
        <v>0</v>
      </c>
    </row>
    <row r="47" spans="2:8">
      <c r="B47" t="s">
        <v>335</v>
      </c>
      <c r="C47">
        <v>202400334</v>
      </c>
      <c r="D47">
        <v>20</v>
      </c>
      <c r="E47">
        <v>64</v>
      </c>
      <c r="F47">
        <v>9</v>
      </c>
      <c r="G47">
        <v>9</v>
      </c>
      <c r="H47">
        <v>0</v>
      </c>
    </row>
    <row r="48" spans="2:8">
      <c r="B48" t="s">
        <v>27</v>
      </c>
      <c r="C48">
        <v>202400026</v>
      </c>
      <c r="D48">
        <v>19</v>
      </c>
      <c r="E48">
        <v>57</v>
      </c>
      <c r="F48">
        <v>4</v>
      </c>
      <c r="G48">
        <v>9</v>
      </c>
      <c r="H48">
        <v>0</v>
      </c>
    </row>
    <row r="49" spans="2:8">
      <c r="B49" t="s">
        <v>299</v>
      </c>
      <c r="C49">
        <v>202400298</v>
      </c>
      <c r="D49">
        <v>23</v>
      </c>
      <c r="E49">
        <v>99</v>
      </c>
      <c r="F49">
        <v>3</v>
      </c>
      <c r="G49">
        <v>9</v>
      </c>
      <c r="H49">
        <v>0</v>
      </c>
    </row>
    <row r="50" spans="2:8">
      <c r="B50" t="s">
        <v>47</v>
      </c>
      <c r="C50">
        <v>202400046</v>
      </c>
      <c r="D50">
        <v>30</v>
      </c>
      <c r="E50">
        <v>61</v>
      </c>
      <c r="F50">
        <v>8</v>
      </c>
      <c r="G50">
        <v>8</v>
      </c>
      <c r="H50">
        <v>0</v>
      </c>
    </row>
    <row r="51" spans="2:8">
      <c r="B51" t="s">
        <v>323</v>
      </c>
      <c r="C51">
        <v>202400322</v>
      </c>
      <c r="D51">
        <v>22</v>
      </c>
      <c r="E51">
        <v>56</v>
      </c>
      <c r="F51">
        <v>9</v>
      </c>
      <c r="G51">
        <v>10</v>
      </c>
      <c r="H51">
        <v>0</v>
      </c>
    </row>
    <row r="52" spans="2:8">
      <c r="B52" t="s">
        <v>192</v>
      </c>
      <c r="C52">
        <v>202400191</v>
      </c>
      <c r="D52">
        <v>19</v>
      </c>
      <c r="E52">
        <v>88</v>
      </c>
      <c r="F52">
        <v>8</v>
      </c>
      <c r="G52">
        <v>9</v>
      </c>
      <c r="H52">
        <v>0</v>
      </c>
    </row>
    <row r="53" spans="2:8">
      <c r="B53" t="s">
        <v>106</v>
      </c>
      <c r="C53">
        <v>202400105</v>
      </c>
      <c r="D53">
        <v>24</v>
      </c>
      <c r="E53">
        <v>89</v>
      </c>
      <c r="F53">
        <v>10</v>
      </c>
      <c r="G53">
        <v>9</v>
      </c>
      <c r="H53">
        <v>0</v>
      </c>
    </row>
    <row r="54" spans="2:8">
      <c r="B54" t="s">
        <v>150</v>
      </c>
      <c r="C54">
        <v>202400149</v>
      </c>
      <c r="D54">
        <v>23</v>
      </c>
      <c r="E54">
        <v>67</v>
      </c>
      <c r="F54">
        <v>8</v>
      </c>
      <c r="G54">
        <v>9</v>
      </c>
      <c r="H54">
        <v>0</v>
      </c>
    </row>
    <row r="55" spans="2:8">
      <c r="B55" t="s">
        <v>134</v>
      </c>
      <c r="C55">
        <v>202400133</v>
      </c>
      <c r="D55">
        <v>26</v>
      </c>
      <c r="E55">
        <v>75</v>
      </c>
      <c r="F55">
        <v>9</v>
      </c>
      <c r="G55">
        <v>8</v>
      </c>
      <c r="H55">
        <v>0</v>
      </c>
    </row>
    <row r="56" spans="2:8">
      <c r="B56" t="s">
        <v>154</v>
      </c>
      <c r="C56">
        <v>202400153</v>
      </c>
      <c r="D56">
        <v>19</v>
      </c>
      <c r="E56">
        <v>71</v>
      </c>
      <c r="F56">
        <v>10</v>
      </c>
      <c r="G56">
        <v>9</v>
      </c>
      <c r="H56">
        <v>0</v>
      </c>
    </row>
    <row r="57" spans="2:8">
      <c r="B57" t="s">
        <v>137</v>
      </c>
      <c r="C57">
        <v>202400136</v>
      </c>
      <c r="D57">
        <v>30</v>
      </c>
      <c r="E57">
        <v>98</v>
      </c>
      <c r="F57">
        <v>3</v>
      </c>
      <c r="G57">
        <v>10</v>
      </c>
      <c r="H57">
        <v>0</v>
      </c>
    </row>
    <row r="58" spans="2:8">
      <c r="B58" t="s">
        <v>340</v>
      </c>
      <c r="C58">
        <v>202400339</v>
      </c>
      <c r="D58">
        <v>24</v>
      </c>
      <c r="E58">
        <v>53</v>
      </c>
      <c r="F58">
        <v>4</v>
      </c>
      <c r="G58">
        <v>10</v>
      </c>
      <c r="H58">
        <v>0</v>
      </c>
    </row>
    <row r="59" spans="2:8">
      <c r="B59" t="s">
        <v>35</v>
      </c>
      <c r="C59">
        <v>202400034</v>
      </c>
      <c r="D59">
        <v>27</v>
      </c>
      <c r="E59">
        <v>78</v>
      </c>
      <c r="F59">
        <v>4</v>
      </c>
      <c r="G59">
        <v>10</v>
      </c>
      <c r="H59">
        <v>0</v>
      </c>
    </row>
    <row r="60" spans="2:8">
      <c r="B60" t="s">
        <v>338</v>
      </c>
      <c r="C60">
        <v>202400337</v>
      </c>
      <c r="D60">
        <v>29</v>
      </c>
      <c r="E60">
        <v>60</v>
      </c>
      <c r="F60">
        <v>5</v>
      </c>
      <c r="G60">
        <v>8</v>
      </c>
      <c r="H60">
        <v>0</v>
      </c>
    </row>
    <row r="61" spans="2:8">
      <c r="B61" t="s">
        <v>261</v>
      </c>
      <c r="C61">
        <v>202400260</v>
      </c>
      <c r="D61">
        <v>25</v>
      </c>
      <c r="E61">
        <v>83</v>
      </c>
      <c r="F61">
        <v>7</v>
      </c>
      <c r="G61">
        <v>9</v>
      </c>
      <c r="H61">
        <v>0</v>
      </c>
    </row>
    <row r="62" spans="2:8">
      <c r="B62" t="s">
        <v>294</v>
      </c>
      <c r="C62">
        <v>202400293</v>
      </c>
      <c r="D62">
        <v>17</v>
      </c>
      <c r="E62">
        <v>61</v>
      </c>
      <c r="F62">
        <v>3</v>
      </c>
      <c r="G62">
        <v>9</v>
      </c>
      <c r="H62">
        <v>0</v>
      </c>
    </row>
    <row r="63" spans="2:8">
      <c r="B63" t="s">
        <v>468</v>
      </c>
      <c r="C63">
        <v>202400038</v>
      </c>
      <c r="D63">
        <v>18</v>
      </c>
      <c r="E63">
        <v>50</v>
      </c>
      <c r="F63">
        <v>9</v>
      </c>
      <c r="G63">
        <v>10</v>
      </c>
      <c r="H63">
        <v>0</v>
      </c>
    </row>
    <row r="64" spans="2:8">
      <c r="B64" t="s">
        <v>398</v>
      </c>
      <c r="C64">
        <v>202400397</v>
      </c>
      <c r="D64">
        <v>30</v>
      </c>
      <c r="E64">
        <v>58</v>
      </c>
      <c r="F64">
        <v>8</v>
      </c>
      <c r="G64">
        <v>9</v>
      </c>
      <c r="H64">
        <v>0</v>
      </c>
    </row>
    <row r="65" spans="2:8">
      <c r="B65" t="s">
        <v>96</v>
      </c>
      <c r="C65">
        <v>202400095</v>
      </c>
      <c r="D65">
        <v>18</v>
      </c>
      <c r="E65">
        <v>88</v>
      </c>
      <c r="F65">
        <v>3</v>
      </c>
      <c r="G65">
        <v>9</v>
      </c>
      <c r="H65">
        <v>0</v>
      </c>
    </row>
    <row r="66" spans="2:8">
      <c r="B66" t="s">
        <v>221</v>
      </c>
      <c r="C66">
        <v>202400220</v>
      </c>
      <c r="D66">
        <v>26</v>
      </c>
      <c r="E66">
        <v>64</v>
      </c>
      <c r="F66">
        <v>4</v>
      </c>
      <c r="G66">
        <v>8</v>
      </c>
      <c r="H66">
        <v>0</v>
      </c>
    </row>
    <row r="67" spans="2:8">
      <c r="B67" t="s">
        <v>314</v>
      </c>
      <c r="C67">
        <v>202400313</v>
      </c>
      <c r="D67">
        <v>28</v>
      </c>
      <c r="E67">
        <v>80</v>
      </c>
      <c r="F67">
        <v>10</v>
      </c>
      <c r="G67">
        <v>8</v>
      </c>
      <c r="H67">
        <v>0</v>
      </c>
    </row>
    <row r="68" spans="2:8">
      <c r="B68" t="s">
        <v>131</v>
      </c>
      <c r="C68">
        <v>202400130</v>
      </c>
      <c r="D68">
        <v>21</v>
      </c>
      <c r="E68">
        <v>90</v>
      </c>
      <c r="F68">
        <v>9</v>
      </c>
      <c r="G68">
        <v>10</v>
      </c>
      <c r="H68">
        <v>0</v>
      </c>
    </row>
    <row r="69" spans="2:8">
      <c r="B69" t="s">
        <v>472</v>
      </c>
      <c r="C69">
        <v>202400006</v>
      </c>
      <c r="D69">
        <v>18</v>
      </c>
      <c r="E69">
        <v>53</v>
      </c>
      <c r="F69">
        <v>9</v>
      </c>
      <c r="G69">
        <v>9</v>
      </c>
      <c r="H69">
        <v>0</v>
      </c>
    </row>
    <row r="70" spans="2:8">
      <c r="B70" t="s">
        <v>50</v>
      </c>
      <c r="C70">
        <v>202400049</v>
      </c>
      <c r="D70">
        <v>15</v>
      </c>
      <c r="E70">
        <v>57</v>
      </c>
      <c r="F70">
        <v>5</v>
      </c>
      <c r="G70">
        <v>9</v>
      </c>
      <c r="H70">
        <v>0</v>
      </c>
    </row>
    <row r="71" spans="2:8">
      <c r="B71" t="s">
        <v>188</v>
      </c>
      <c r="C71">
        <v>202400187</v>
      </c>
      <c r="D71">
        <v>23</v>
      </c>
      <c r="E71">
        <v>56</v>
      </c>
      <c r="F71">
        <v>9</v>
      </c>
      <c r="G71">
        <v>9</v>
      </c>
      <c r="H71">
        <v>0</v>
      </c>
    </row>
    <row r="72" spans="2:8">
      <c r="B72" t="s">
        <v>234</v>
      </c>
      <c r="C72">
        <v>202400233</v>
      </c>
      <c r="D72">
        <v>17</v>
      </c>
      <c r="E72">
        <v>84</v>
      </c>
      <c r="F72">
        <v>6</v>
      </c>
      <c r="G72">
        <v>8</v>
      </c>
      <c r="H72">
        <v>0</v>
      </c>
    </row>
    <row r="73" spans="2:8">
      <c r="B73" t="s">
        <v>388</v>
      </c>
      <c r="C73">
        <v>202400387</v>
      </c>
      <c r="D73">
        <v>18</v>
      </c>
      <c r="E73">
        <v>59</v>
      </c>
      <c r="F73">
        <v>5</v>
      </c>
      <c r="G73">
        <v>10</v>
      </c>
      <c r="H73">
        <v>0</v>
      </c>
    </row>
    <row r="74" spans="2:8">
      <c r="B74" t="s">
        <v>346</v>
      </c>
      <c r="C74">
        <v>202400345</v>
      </c>
      <c r="D74">
        <v>20</v>
      </c>
      <c r="E74">
        <v>77</v>
      </c>
      <c r="F74">
        <v>8</v>
      </c>
      <c r="G74">
        <v>9</v>
      </c>
      <c r="H74">
        <v>0</v>
      </c>
    </row>
    <row r="75" spans="2:8">
      <c r="B75" t="s">
        <v>359</v>
      </c>
      <c r="C75">
        <v>202400358</v>
      </c>
      <c r="D75">
        <v>28</v>
      </c>
      <c r="E75">
        <v>94</v>
      </c>
      <c r="F75">
        <v>6</v>
      </c>
      <c r="G75">
        <v>10</v>
      </c>
      <c r="H75">
        <v>0</v>
      </c>
    </row>
    <row r="76" spans="2:8">
      <c r="B76" t="s">
        <v>171</v>
      </c>
      <c r="C76">
        <v>202400170</v>
      </c>
      <c r="D76">
        <v>20</v>
      </c>
      <c r="E76">
        <v>84</v>
      </c>
      <c r="F76">
        <v>6</v>
      </c>
      <c r="G76">
        <v>10</v>
      </c>
      <c r="H76"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E8CF-C04A-8F4C-97B1-24893991FCA4}">
  <sheetPr>
    <tabColor theme="8" tint="0.79998168889431442"/>
  </sheetPr>
  <dimension ref="B1:M78"/>
  <sheetViews>
    <sheetView workbookViewId="0">
      <selection activeCell="H4" sqref="H4:H78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484</v>
      </c>
      <c r="C2">
        <v>3</v>
      </c>
      <c r="D2" t="s">
        <v>439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278</v>
      </c>
      <c r="C4">
        <v>202400277</v>
      </c>
      <c r="D4">
        <v>24</v>
      </c>
      <c r="E4">
        <v>70</v>
      </c>
      <c r="F4">
        <v>5</v>
      </c>
      <c r="G4">
        <v>9</v>
      </c>
      <c r="H4">
        <v>0</v>
      </c>
    </row>
    <row r="5" spans="2:13">
      <c r="B5" t="s">
        <v>196</v>
      </c>
      <c r="C5">
        <v>202400195</v>
      </c>
      <c r="D5">
        <v>19</v>
      </c>
      <c r="E5">
        <v>74</v>
      </c>
      <c r="F5">
        <v>7</v>
      </c>
      <c r="G5">
        <v>8</v>
      </c>
      <c r="H5">
        <v>0</v>
      </c>
    </row>
    <row r="6" spans="2:13">
      <c r="B6" t="s">
        <v>381</v>
      </c>
      <c r="C6">
        <v>202400380</v>
      </c>
      <c r="D6">
        <v>30</v>
      </c>
      <c r="E6">
        <v>72</v>
      </c>
      <c r="F6">
        <v>5</v>
      </c>
      <c r="G6">
        <v>9</v>
      </c>
      <c r="H6">
        <v>0</v>
      </c>
    </row>
    <row r="7" spans="2:13">
      <c r="B7" t="s">
        <v>45</v>
      </c>
      <c r="C7">
        <v>202400044</v>
      </c>
      <c r="D7">
        <v>19</v>
      </c>
      <c r="E7">
        <v>75</v>
      </c>
      <c r="F7">
        <v>7</v>
      </c>
      <c r="G7">
        <v>8</v>
      </c>
      <c r="H7">
        <v>0</v>
      </c>
    </row>
    <row r="8" spans="2:13">
      <c r="B8" t="s">
        <v>315</v>
      </c>
      <c r="C8">
        <v>202400314</v>
      </c>
      <c r="D8">
        <v>24</v>
      </c>
      <c r="E8">
        <v>76</v>
      </c>
      <c r="F8">
        <v>5</v>
      </c>
      <c r="G8">
        <v>9</v>
      </c>
      <c r="H8">
        <v>0</v>
      </c>
    </row>
    <row r="9" spans="2:13">
      <c r="B9" t="s">
        <v>337</v>
      </c>
      <c r="C9">
        <v>202400336</v>
      </c>
      <c r="D9">
        <v>29</v>
      </c>
      <c r="E9">
        <v>54</v>
      </c>
      <c r="F9">
        <v>10</v>
      </c>
      <c r="G9">
        <v>10</v>
      </c>
      <c r="H9">
        <v>0</v>
      </c>
    </row>
    <row r="10" spans="2:13">
      <c r="B10" t="s">
        <v>126</v>
      </c>
      <c r="C10">
        <v>202400125</v>
      </c>
      <c r="D10">
        <v>23</v>
      </c>
      <c r="E10">
        <v>97</v>
      </c>
      <c r="F10">
        <v>4</v>
      </c>
      <c r="G10">
        <v>10</v>
      </c>
      <c r="H10">
        <v>0</v>
      </c>
    </row>
    <row r="11" spans="2:13">
      <c r="B11" t="s">
        <v>250</v>
      </c>
      <c r="C11">
        <v>202400249</v>
      </c>
      <c r="D11">
        <v>24</v>
      </c>
      <c r="E11">
        <v>73</v>
      </c>
      <c r="F11">
        <v>7</v>
      </c>
      <c r="G11">
        <v>10</v>
      </c>
      <c r="H11">
        <v>0</v>
      </c>
    </row>
    <row r="12" spans="2:13">
      <c r="B12" t="s">
        <v>348</v>
      </c>
      <c r="C12">
        <v>202400347</v>
      </c>
      <c r="D12">
        <v>22</v>
      </c>
      <c r="E12">
        <v>58</v>
      </c>
      <c r="F12">
        <v>3</v>
      </c>
      <c r="G12">
        <v>9</v>
      </c>
      <c r="H12">
        <v>0</v>
      </c>
    </row>
    <row r="13" spans="2:13">
      <c r="B13" t="s">
        <v>148</v>
      </c>
      <c r="C13">
        <v>202400147</v>
      </c>
      <c r="D13">
        <v>25</v>
      </c>
      <c r="E13">
        <v>89</v>
      </c>
      <c r="F13">
        <v>4</v>
      </c>
      <c r="G13">
        <v>10</v>
      </c>
      <c r="H13">
        <v>0</v>
      </c>
    </row>
    <row r="14" spans="2:13">
      <c r="B14" t="s">
        <v>33</v>
      </c>
      <c r="C14">
        <v>202400032</v>
      </c>
      <c r="D14">
        <v>17</v>
      </c>
      <c r="E14">
        <v>99</v>
      </c>
      <c r="F14">
        <v>3</v>
      </c>
      <c r="G14">
        <v>8</v>
      </c>
      <c r="H14">
        <v>0</v>
      </c>
    </row>
    <row r="15" spans="2:13">
      <c r="B15" t="s">
        <v>11</v>
      </c>
      <c r="C15">
        <v>202400010</v>
      </c>
      <c r="D15">
        <v>19</v>
      </c>
      <c r="E15">
        <v>98</v>
      </c>
      <c r="F15">
        <v>3</v>
      </c>
      <c r="G15">
        <v>8</v>
      </c>
      <c r="H15">
        <v>0</v>
      </c>
    </row>
    <row r="16" spans="2:13">
      <c r="B16" t="s">
        <v>38</v>
      </c>
      <c r="C16">
        <v>202400037</v>
      </c>
      <c r="D16">
        <v>26</v>
      </c>
      <c r="E16">
        <v>75</v>
      </c>
      <c r="F16">
        <v>9</v>
      </c>
      <c r="G16">
        <v>9</v>
      </c>
      <c r="H16">
        <v>0</v>
      </c>
    </row>
    <row r="17" spans="2:8">
      <c r="B17" t="s">
        <v>251</v>
      </c>
      <c r="C17">
        <v>202400250</v>
      </c>
      <c r="D17">
        <v>15</v>
      </c>
      <c r="E17">
        <v>69</v>
      </c>
      <c r="F17">
        <v>3</v>
      </c>
      <c r="G17">
        <v>9</v>
      </c>
      <c r="H17">
        <v>0</v>
      </c>
    </row>
    <row r="18" spans="2:8">
      <c r="B18" t="s">
        <v>301</v>
      </c>
      <c r="C18">
        <v>202400300</v>
      </c>
      <c r="D18">
        <v>20</v>
      </c>
      <c r="E18">
        <v>62</v>
      </c>
      <c r="F18">
        <v>6</v>
      </c>
      <c r="G18">
        <v>10</v>
      </c>
      <c r="H18">
        <v>0</v>
      </c>
    </row>
    <row r="19" spans="2:8">
      <c r="B19" t="s">
        <v>473</v>
      </c>
      <c r="C19">
        <v>202400007</v>
      </c>
      <c r="D19">
        <v>24</v>
      </c>
      <c r="E19">
        <v>50</v>
      </c>
      <c r="F19">
        <v>3</v>
      </c>
      <c r="G19">
        <v>8</v>
      </c>
      <c r="H19">
        <v>0</v>
      </c>
    </row>
    <row r="20" spans="2:8">
      <c r="B20" t="s">
        <v>263</v>
      </c>
      <c r="C20">
        <v>202400262</v>
      </c>
      <c r="D20">
        <v>17</v>
      </c>
      <c r="E20">
        <v>57</v>
      </c>
      <c r="F20">
        <v>8</v>
      </c>
      <c r="G20">
        <v>9</v>
      </c>
      <c r="H20">
        <v>0</v>
      </c>
    </row>
    <row r="21" spans="2:8">
      <c r="B21" t="s">
        <v>31</v>
      </c>
      <c r="C21">
        <v>202400030</v>
      </c>
      <c r="D21">
        <v>20</v>
      </c>
      <c r="E21">
        <v>91</v>
      </c>
      <c r="F21">
        <v>6</v>
      </c>
      <c r="G21">
        <v>10</v>
      </c>
      <c r="H21">
        <v>0</v>
      </c>
    </row>
    <row r="22" spans="2:8">
      <c r="B22" t="s">
        <v>350</v>
      </c>
      <c r="C22">
        <v>202400349</v>
      </c>
      <c r="D22">
        <v>15</v>
      </c>
      <c r="E22">
        <v>63</v>
      </c>
      <c r="F22">
        <v>7</v>
      </c>
      <c r="G22">
        <v>9</v>
      </c>
      <c r="H22">
        <v>0</v>
      </c>
    </row>
    <row r="23" spans="2:8">
      <c r="B23" t="s">
        <v>66</v>
      </c>
      <c r="C23">
        <v>202400065</v>
      </c>
      <c r="D23">
        <v>23</v>
      </c>
      <c r="E23">
        <v>92</v>
      </c>
      <c r="F23">
        <v>5</v>
      </c>
      <c r="G23">
        <v>9</v>
      </c>
      <c r="H23">
        <v>0</v>
      </c>
    </row>
    <row r="24" spans="2:8">
      <c r="B24" t="s">
        <v>297</v>
      </c>
      <c r="C24">
        <v>202400296</v>
      </c>
      <c r="D24">
        <v>22</v>
      </c>
      <c r="E24">
        <v>82</v>
      </c>
      <c r="F24">
        <v>4</v>
      </c>
      <c r="G24">
        <v>9</v>
      </c>
      <c r="H24">
        <v>0</v>
      </c>
    </row>
    <row r="25" spans="2:8">
      <c r="B25" t="s">
        <v>125</v>
      </c>
      <c r="C25">
        <v>202400124</v>
      </c>
      <c r="D25">
        <v>24</v>
      </c>
      <c r="E25">
        <v>50</v>
      </c>
      <c r="F25">
        <v>5</v>
      </c>
      <c r="G25">
        <v>8</v>
      </c>
      <c r="H25">
        <v>0</v>
      </c>
    </row>
    <row r="26" spans="2:8">
      <c r="B26" t="s">
        <v>233</v>
      </c>
      <c r="C26">
        <v>202400232</v>
      </c>
      <c r="D26">
        <v>30</v>
      </c>
      <c r="E26">
        <v>61</v>
      </c>
      <c r="F26">
        <v>4</v>
      </c>
      <c r="G26">
        <v>8</v>
      </c>
      <c r="H26">
        <v>0</v>
      </c>
    </row>
    <row r="27" spans="2:8">
      <c r="B27" t="s">
        <v>143</v>
      </c>
      <c r="C27">
        <v>202400142</v>
      </c>
      <c r="D27">
        <v>23</v>
      </c>
      <c r="E27">
        <v>100</v>
      </c>
      <c r="F27">
        <v>8</v>
      </c>
      <c r="G27">
        <v>8</v>
      </c>
      <c r="H27">
        <v>0</v>
      </c>
    </row>
    <row r="28" spans="2:8">
      <c r="B28" t="s">
        <v>110</v>
      </c>
      <c r="C28">
        <v>202400109</v>
      </c>
      <c r="D28">
        <v>22</v>
      </c>
      <c r="E28">
        <v>54</v>
      </c>
      <c r="F28">
        <v>8</v>
      </c>
      <c r="G28">
        <v>8</v>
      </c>
      <c r="H28">
        <v>0</v>
      </c>
    </row>
    <row r="29" spans="2:8">
      <c r="B29" t="s">
        <v>95</v>
      </c>
      <c r="C29">
        <v>202400094</v>
      </c>
      <c r="D29">
        <v>30</v>
      </c>
      <c r="E29">
        <v>82</v>
      </c>
      <c r="F29">
        <v>5</v>
      </c>
      <c r="G29">
        <v>9</v>
      </c>
      <c r="H29">
        <v>0</v>
      </c>
    </row>
    <row r="30" spans="2:8">
      <c r="B30" t="s">
        <v>265</v>
      </c>
      <c r="C30">
        <v>202400264</v>
      </c>
      <c r="D30">
        <v>29</v>
      </c>
      <c r="E30">
        <v>73</v>
      </c>
      <c r="F30">
        <v>6</v>
      </c>
      <c r="G30">
        <v>9</v>
      </c>
      <c r="H30">
        <v>0</v>
      </c>
    </row>
    <row r="31" spans="2:8">
      <c r="B31" t="s">
        <v>59</v>
      </c>
      <c r="C31">
        <v>202400058</v>
      </c>
      <c r="D31">
        <v>15</v>
      </c>
      <c r="E31">
        <v>63</v>
      </c>
      <c r="F31">
        <v>7</v>
      </c>
      <c r="G31">
        <v>10</v>
      </c>
      <c r="H31">
        <v>0</v>
      </c>
    </row>
    <row r="32" spans="2:8">
      <c r="B32" t="s">
        <v>273</v>
      </c>
      <c r="C32">
        <v>202400272</v>
      </c>
      <c r="D32">
        <v>23</v>
      </c>
      <c r="E32">
        <v>52</v>
      </c>
      <c r="F32">
        <v>7</v>
      </c>
      <c r="G32">
        <v>9</v>
      </c>
      <c r="H32">
        <v>0</v>
      </c>
    </row>
    <row r="33" spans="2:8">
      <c r="B33" t="s">
        <v>194</v>
      </c>
      <c r="C33">
        <v>202400193</v>
      </c>
      <c r="D33">
        <v>24</v>
      </c>
      <c r="E33">
        <v>52</v>
      </c>
      <c r="F33">
        <v>6</v>
      </c>
      <c r="G33">
        <v>9</v>
      </c>
      <c r="H33">
        <v>0</v>
      </c>
    </row>
    <row r="34" spans="2:8">
      <c r="B34" t="s">
        <v>149</v>
      </c>
      <c r="C34">
        <v>202400148</v>
      </c>
      <c r="D34">
        <v>28</v>
      </c>
      <c r="E34">
        <v>53</v>
      </c>
      <c r="F34">
        <v>3</v>
      </c>
      <c r="G34">
        <v>10</v>
      </c>
      <c r="H34">
        <v>0</v>
      </c>
    </row>
    <row r="35" spans="2:8">
      <c r="B35" t="s">
        <v>380</v>
      </c>
      <c r="C35">
        <v>202400379</v>
      </c>
      <c r="D35">
        <v>19</v>
      </c>
      <c r="E35">
        <v>64</v>
      </c>
      <c r="F35">
        <v>10</v>
      </c>
      <c r="G35">
        <v>9</v>
      </c>
      <c r="H35">
        <v>0</v>
      </c>
    </row>
    <row r="36" spans="2:8">
      <c r="B36" t="s">
        <v>165</v>
      </c>
      <c r="C36">
        <v>202400164</v>
      </c>
      <c r="D36">
        <v>27</v>
      </c>
      <c r="E36">
        <v>82</v>
      </c>
      <c r="F36">
        <v>6</v>
      </c>
      <c r="G36">
        <v>8</v>
      </c>
      <c r="H36">
        <v>0</v>
      </c>
    </row>
    <row r="37" spans="2:8">
      <c r="B37" t="s">
        <v>114</v>
      </c>
      <c r="C37">
        <v>202400113</v>
      </c>
      <c r="D37">
        <v>22</v>
      </c>
      <c r="E37">
        <v>76</v>
      </c>
      <c r="F37">
        <v>7</v>
      </c>
      <c r="G37">
        <v>9</v>
      </c>
      <c r="H37">
        <v>0</v>
      </c>
    </row>
    <row r="38" spans="2:8">
      <c r="B38" t="s">
        <v>322</v>
      </c>
      <c r="C38">
        <v>202400321</v>
      </c>
      <c r="D38">
        <v>24</v>
      </c>
      <c r="E38">
        <v>72</v>
      </c>
      <c r="F38">
        <v>9</v>
      </c>
      <c r="G38">
        <v>9</v>
      </c>
      <c r="H38">
        <v>0</v>
      </c>
    </row>
    <row r="39" spans="2:8">
      <c r="B39" t="s">
        <v>187</v>
      </c>
      <c r="C39">
        <v>202400186</v>
      </c>
      <c r="D39">
        <v>23</v>
      </c>
      <c r="E39">
        <v>60</v>
      </c>
      <c r="F39">
        <v>9</v>
      </c>
      <c r="G39">
        <v>10</v>
      </c>
      <c r="H39">
        <v>0</v>
      </c>
    </row>
    <row r="40" spans="2:8">
      <c r="B40" t="s">
        <v>46</v>
      </c>
      <c r="C40">
        <v>202400045</v>
      </c>
      <c r="D40">
        <v>23</v>
      </c>
      <c r="E40">
        <v>86</v>
      </c>
      <c r="F40">
        <v>6</v>
      </c>
      <c r="G40">
        <v>10</v>
      </c>
      <c r="H40">
        <v>0</v>
      </c>
    </row>
    <row r="41" spans="2:8">
      <c r="B41" t="s">
        <v>214</v>
      </c>
      <c r="C41">
        <v>202400213</v>
      </c>
      <c r="D41">
        <v>17</v>
      </c>
      <c r="E41">
        <v>68</v>
      </c>
      <c r="F41">
        <v>7</v>
      </c>
      <c r="G41">
        <v>8</v>
      </c>
      <c r="H41">
        <v>0</v>
      </c>
    </row>
    <row r="42" spans="2:8">
      <c r="B42" t="s">
        <v>302</v>
      </c>
      <c r="C42">
        <v>202400301</v>
      </c>
      <c r="D42">
        <v>25</v>
      </c>
      <c r="E42">
        <v>69</v>
      </c>
      <c r="F42">
        <v>8</v>
      </c>
      <c r="G42">
        <v>9</v>
      </c>
      <c r="H42">
        <v>0</v>
      </c>
    </row>
    <row r="43" spans="2:8">
      <c r="B43" t="s">
        <v>336</v>
      </c>
      <c r="C43">
        <v>202400335</v>
      </c>
      <c r="D43">
        <v>20</v>
      </c>
      <c r="E43">
        <v>99</v>
      </c>
      <c r="F43">
        <v>7</v>
      </c>
      <c r="G43">
        <v>10</v>
      </c>
      <c r="H43">
        <v>0</v>
      </c>
    </row>
    <row r="44" spans="2:8">
      <c r="B44" t="s">
        <v>319</v>
      </c>
      <c r="C44">
        <v>202400318</v>
      </c>
      <c r="D44">
        <v>24</v>
      </c>
      <c r="E44">
        <v>64</v>
      </c>
      <c r="F44">
        <v>4</v>
      </c>
      <c r="G44">
        <v>10</v>
      </c>
      <c r="H44">
        <v>0</v>
      </c>
    </row>
    <row r="45" spans="2:8">
      <c r="B45" t="s">
        <v>91</v>
      </c>
      <c r="C45">
        <v>202400090</v>
      </c>
      <c r="D45">
        <v>19</v>
      </c>
      <c r="E45">
        <v>56</v>
      </c>
      <c r="F45">
        <v>8</v>
      </c>
      <c r="G45">
        <v>10</v>
      </c>
      <c r="H45">
        <v>0</v>
      </c>
    </row>
    <row r="46" spans="2:8">
      <c r="B46" t="s">
        <v>353</v>
      </c>
      <c r="C46">
        <v>202400352</v>
      </c>
      <c r="D46">
        <v>17</v>
      </c>
      <c r="E46">
        <v>99</v>
      </c>
      <c r="F46">
        <v>4</v>
      </c>
      <c r="G46">
        <v>9</v>
      </c>
      <c r="H46">
        <v>0</v>
      </c>
    </row>
    <row r="47" spans="2:8">
      <c r="B47" t="s">
        <v>208</v>
      </c>
      <c r="C47">
        <v>202400207</v>
      </c>
      <c r="D47">
        <v>19</v>
      </c>
      <c r="E47">
        <v>55</v>
      </c>
      <c r="F47">
        <v>3</v>
      </c>
      <c r="G47">
        <v>9</v>
      </c>
      <c r="H47">
        <v>0</v>
      </c>
    </row>
    <row r="48" spans="2:8">
      <c r="B48" t="s">
        <v>102</v>
      </c>
      <c r="C48">
        <v>202400101</v>
      </c>
      <c r="D48">
        <v>29</v>
      </c>
      <c r="E48">
        <v>64</v>
      </c>
      <c r="F48">
        <v>8</v>
      </c>
      <c r="G48">
        <v>10</v>
      </c>
      <c r="H48">
        <v>0</v>
      </c>
    </row>
    <row r="49" spans="2:8">
      <c r="B49" t="s">
        <v>223</v>
      </c>
      <c r="C49">
        <v>202400222</v>
      </c>
      <c r="D49">
        <v>19</v>
      </c>
      <c r="E49">
        <v>91</v>
      </c>
      <c r="F49">
        <v>4</v>
      </c>
      <c r="G49">
        <v>8</v>
      </c>
      <c r="H49">
        <v>0</v>
      </c>
    </row>
    <row r="50" spans="2:8">
      <c r="B50" t="s">
        <v>307</v>
      </c>
      <c r="C50">
        <v>202400306</v>
      </c>
      <c r="D50">
        <v>29</v>
      </c>
      <c r="E50">
        <v>63</v>
      </c>
      <c r="F50">
        <v>5</v>
      </c>
      <c r="G50">
        <v>10</v>
      </c>
      <c r="H50">
        <v>0</v>
      </c>
    </row>
    <row r="51" spans="2:8">
      <c r="B51" t="s">
        <v>61</v>
      </c>
      <c r="C51">
        <v>202400060</v>
      </c>
      <c r="D51">
        <v>17</v>
      </c>
      <c r="E51">
        <v>58</v>
      </c>
      <c r="F51">
        <v>7</v>
      </c>
      <c r="G51">
        <v>8</v>
      </c>
      <c r="H51">
        <v>0</v>
      </c>
    </row>
    <row r="52" spans="2:8">
      <c r="B52" t="s">
        <v>243</v>
      </c>
      <c r="C52">
        <v>202400242</v>
      </c>
      <c r="D52">
        <v>17</v>
      </c>
      <c r="E52">
        <v>77</v>
      </c>
      <c r="F52">
        <v>4</v>
      </c>
      <c r="G52">
        <v>9</v>
      </c>
      <c r="H52">
        <v>0</v>
      </c>
    </row>
    <row r="53" spans="2:8">
      <c r="B53" t="s">
        <v>15</v>
      </c>
      <c r="C53">
        <v>202400014</v>
      </c>
      <c r="D53">
        <v>27</v>
      </c>
      <c r="E53">
        <v>66</v>
      </c>
      <c r="F53">
        <v>9</v>
      </c>
      <c r="G53">
        <v>10</v>
      </c>
      <c r="H53">
        <v>0</v>
      </c>
    </row>
    <row r="54" spans="2:8">
      <c r="B54" t="s">
        <v>64</v>
      </c>
      <c r="C54">
        <v>202400063</v>
      </c>
      <c r="D54">
        <v>24</v>
      </c>
      <c r="E54">
        <v>88</v>
      </c>
      <c r="F54">
        <v>7</v>
      </c>
      <c r="G54">
        <v>8</v>
      </c>
      <c r="H54">
        <v>0</v>
      </c>
    </row>
    <row r="55" spans="2:8">
      <c r="B55" t="s">
        <v>358</v>
      </c>
      <c r="C55">
        <v>202400357</v>
      </c>
      <c r="D55">
        <v>17</v>
      </c>
      <c r="E55">
        <v>83</v>
      </c>
      <c r="F55">
        <v>8</v>
      </c>
      <c r="G55">
        <v>9</v>
      </c>
      <c r="H55">
        <v>0</v>
      </c>
    </row>
    <row r="56" spans="2:8">
      <c r="B56" t="s">
        <v>375</v>
      </c>
      <c r="C56">
        <v>202400374</v>
      </c>
      <c r="D56">
        <v>29</v>
      </c>
      <c r="E56">
        <v>75</v>
      </c>
      <c r="F56">
        <v>9</v>
      </c>
      <c r="G56">
        <v>8</v>
      </c>
      <c r="H56">
        <v>0</v>
      </c>
    </row>
    <row r="57" spans="2:8">
      <c r="B57" t="s">
        <v>115</v>
      </c>
      <c r="C57">
        <v>202400114</v>
      </c>
      <c r="D57">
        <v>17</v>
      </c>
      <c r="E57">
        <v>89</v>
      </c>
      <c r="F57">
        <v>10</v>
      </c>
      <c r="G57">
        <v>9</v>
      </c>
      <c r="H57">
        <v>0</v>
      </c>
    </row>
    <row r="58" spans="2:8">
      <c r="B58" t="s">
        <v>361</v>
      </c>
      <c r="C58">
        <v>202400360</v>
      </c>
      <c r="D58">
        <v>22</v>
      </c>
      <c r="E58">
        <v>75</v>
      </c>
      <c r="F58">
        <v>6</v>
      </c>
      <c r="G58">
        <v>9</v>
      </c>
      <c r="H58">
        <v>0</v>
      </c>
    </row>
    <row r="59" spans="2:8">
      <c r="B59" t="s">
        <v>162</v>
      </c>
      <c r="C59">
        <v>202400161</v>
      </c>
      <c r="D59">
        <v>25</v>
      </c>
      <c r="E59">
        <v>75</v>
      </c>
      <c r="F59">
        <v>9</v>
      </c>
      <c r="G59">
        <v>9</v>
      </c>
      <c r="H59">
        <v>0</v>
      </c>
    </row>
    <row r="60" spans="2:8">
      <c r="B60" t="s">
        <v>206</v>
      </c>
      <c r="C60">
        <v>202400205</v>
      </c>
      <c r="D60">
        <v>19</v>
      </c>
      <c r="E60">
        <v>65</v>
      </c>
      <c r="F60">
        <v>5</v>
      </c>
      <c r="G60">
        <v>8</v>
      </c>
      <c r="H60">
        <v>0</v>
      </c>
    </row>
    <row r="61" spans="2:8">
      <c r="B61" t="s">
        <v>156</v>
      </c>
      <c r="C61">
        <v>202400155</v>
      </c>
      <c r="D61">
        <v>20</v>
      </c>
      <c r="E61">
        <v>93</v>
      </c>
      <c r="F61">
        <v>3</v>
      </c>
      <c r="G61">
        <v>8</v>
      </c>
      <c r="H61">
        <v>0</v>
      </c>
    </row>
    <row r="62" spans="2:8">
      <c r="B62" t="s">
        <v>343</v>
      </c>
      <c r="C62">
        <v>202400342</v>
      </c>
      <c r="D62">
        <v>24</v>
      </c>
      <c r="E62">
        <v>80</v>
      </c>
      <c r="F62">
        <v>7</v>
      </c>
      <c r="G62">
        <v>9</v>
      </c>
      <c r="H62">
        <v>0</v>
      </c>
    </row>
    <row r="63" spans="2:8">
      <c r="B63" t="s">
        <v>121</v>
      </c>
      <c r="C63">
        <v>202400120</v>
      </c>
      <c r="D63">
        <v>28</v>
      </c>
      <c r="E63">
        <v>82</v>
      </c>
      <c r="F63">
        <v>10</v>
      </c>
      <c r="G63">
        <v>9</v>
      </c>
      <c r="H63">
        <v>0</v>
      </c>
    </row>
    <row r="64" spans="2:8">
      <c r="B64" t="s">
        <v>399</v>
      </c>
      <c r="C64">
        <v>202400398</v>
      </c>
      <c r="D64">
        <v>28</v>
      </c>
      <c r="E64">
        <v>85</v>
      </c>
      <c r="F64">
        <v>8</v>
      </c>
      <c r="G64">
        <v>10</v>
      </c>
      <c r="H64">
        <v>0</v>
      </c>
    </row>
    <row r="65" spans="2:8">
      <c r="B65" t="s">
        <v>364</v>
      </c>
      <c r="C65">
        <v>202400363</v>
      </c>
      <c r="D65">
        <v>18</v>
      </c>
      <c r="E65">
        <v>72</v>
      </c>
      <c r="F65">
        <v>7</v>
      </c>
      <c r="G65">
        <v>10</v>
      </c>
      <c r="H65">
        <v>0</v>
      </c>
    </row>
    <row r="66" spans="2:8">
      <c r="B66" t="s">
        <v>367</v>
      </c>
      <c r="C66">
        <v>202400366</v>
      </c>
      <c r="D66">
        <v>25</v>
      </c>
      <c r="E66">
        <v>67</v>
      </c>
      <c r="F66">
        <v>7</v>
      </c>
      <c r="G66">
        <v>9</v>
      </c>
      <c r="H66">
        <v>0</v>
      </c>
    </row>
    <row r="67" spans="2:8">
      <c r="B67" t="s">
        <v>212</v>
      </c>
      <c r="C67">
        <v>202400211</v>
      </c>
      <c r="D67">
        <v>30</v>
      </c>
      <c r="E67">
        <v>59</v>
      </c>
      <c r="F67">
        <v>8</v>
      </c>
      <c r="G67">
        <v>9</v>
      </c>
      <c r="H67">
        <v>0</v>
      </c>
    </row>
    <row r="68" spans="2:8">
      <c r="B68" t="s">
        <v>200</v>
      </c>
      <c r="C68">
        <v>202400199</v>
      </c>
      <c r="D68">
        <v>16</v>
      </c>
      <c r="E68">
        <v>66</v>
      </c>
      <c r="F68">
        <v>8</v>
      </c>
      <c r="G68">
        <v>10</v>
      </c>
      <c r="H68">
        <v>0</v>
      </c>
    </row>
    <row r="69" spans="2:8">
      <c r="B69" t="s">
        <v>55</v>
      </c>
      <c r="C69">
        <v>202400054</v>
      </c>
      <c r="D69">
        <v>17</v>
      </c>
      <c r="E69">
        <v>97</v>
      </c>
      <c r="F69">
        <v>7</v>
      </c>
      <c r="G69">
        <v>10</v>
      </c>
      <c r="H69">
        <v>0</v>
      </c>
    </row>
    <row r="70" spans="2:8">
      <c r="B70" t="s">
        <v>26</v>
      </c>
      <c r="C70">
        <v>202400025</v>
      </c>
      <c r="D70">
        <v>27</v>
      </c>
      <c r="E70">
        <v>72</v>
      </c>
      <c r="F70">
        <v>5</v>
      </c>
      <c r="G70">
        <v>9</v>
      </c>
      <c r="H70">
        <v>0</v>
      </c>
    </row>
    <row r="71" spans="2:8">
      <c r="B71" t="s">
        <v>41</v>
      </c>
      <c r="C71">
        <v>202400040</v>
      </c>
      <c r="D71">
        <v>15</v>
      </c>
      <c r="E71">
        <v>93</v>
      </c>
      <c r="F71">
        <v>9</v>
      </c>
      <c r="G71">
        <v>10</v>
      </c>
      <c r="H71">
        <v>0</v>
      </c>
    </row>
    <row r="72" spans="2:8">
      <c r="B72" t="s">
        <v>318</v>
      </c>
      <c r="C72">
        <v>202400317</v>
      </c>
      <c r="D72">
        <v>29</v>
      </c>
      <c r="E72">
        <v>77</v>
      </c>
      <c r="F72">
        <v>8</v>
      </c>
      <c r="G72">
        <v>9</v>
      </c>
      <c r="H72">
        <v>0</v>
      </c>
    </row>
    <row r="73" spans="2:8">
      <c r="B73" t="s">
        <v>189</v>
      </c>
      <c r="C73">
        <v>202400188</v>
      </c>
      <c r="D73">
        <v>18</v>
      </c>
      <c r="E73">
        <v>76</v>
      </c>
      <c r="F73">
        <v>5</v>
      </c>
      <c r="G73">
        <v>8</v>
      </c>
      <c r="H73">
        <v>0</v>
      </c>
    </row>
    <row r="74" spans="2:8">
      <c r="B74" t="s">
        <v>264</v>
      </c>
      <c r="C74">
        <v>202400263</v>
      </c>
      <c r="D74">
        <v>15</v>
      </c>
      <c r="E74">
        <v>64</v>
      </c>
      <c r="F74">
        <v>10</v>
      </c>
      <c r="G74">
        <v>10</v>
      </c>
      <c r="H74">
        <v>0</v>
      </c>
    </row>
    <row r="75" spans="2:8">
      <c r="B75" t="s">
        <v>274</v>
      </c>
      <c r="C75">
        <v>202400273</v>
      </c>
      <c r="D75">
        <v>22</v>
      </c>
      <c r="E75">
        <v>84</v>
      </c>
      <c r="F75">
        <v>6</v>
      </c>
      <c r="G75">
        <v>9</v>
      </c>
      <c r="H75">
        <v>0</v>
      </c>
    </row>
    <row r="76" spans="2:8">
      <c r="B76" t="s">
        <v>49</v>
      </c>
      <c r="C76">
        <v>202400048</v>
      </c>
      <c r="D76">
        <v>27</v>
      </c>
      <c r="E76">
        <v>67</v>
      </c>
      <c r="F76">
        <v>10</v>
      </c>
      <c r="G76">
        <v>10</v>
      </c>
      <c r="H76">
        <v>0</v>
      </c>
    </row>
    <row r="77" spans="2:8">
      <c r="B77" t="s">
        <v>58</v>
      </c>
      <c r="C77">
        <v>202400057</v>
      </c>
      <c r="D77">
        <v>27</v>
      </c>
      <c r="E77">
        <v>55</v>
      </c>
      <c r="F77">
        <v>9</v>
      </c>
      <c r="G77">
        <v>10</v>
      </c>
      <c r="H77">
        <v>0</v>
      </c>
    </row>
    <row r="78" spans="2:8">
      <c r="B78" t="s">
        <v>341</v>
      </c>
      <c r="C78">
        <v>202400340</v>
      </c>
      <c r="D78">
        <v>18</v>
      </c>
      <c r="E78">
        <v>88</v>
      </c>
      <c r="F78">
        <v>4</v>
      </c>
      <c r="G78">
        <v>10</v>
      </c>
      <c r="H78"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A721-C805-014E-842D-F3CCF4CB5ACD}">
  <sheetPr>
    <tabColor theme="8" tint="0.79998168889431442"/>
  </sheetPr>
  <dimension ref="B1:M78"/>
  <sheetViews>
    <sheetView workbookViewId="0">
      <selection activeCell="H4" sqref="H4:H78"/>
    </sheetView>
  </sheetViews>
  <sheetFormatPr baseColWidth="10" defaultRowHeight="18"/>
  <sheetData>
    <row r="1" spans="2:13">
      <c r="B1" t="s">
        <v>486</v>
      </c>
      <c r="C1" t="s">
        <v>485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481</v>
      </c>
      <c r="J1" t="s">
        <v>482</v>
      </c>
      <c r="K1" t="s">
        <v>483</v>
      </c>
      <c r="L1" t="s">
        <v>518</v>
      </c>
      <c r="M1" t="s">
        <v>519</v>
      </c>
    </row>
    <row r="2" spans="2:13">
      <c r="B2" t="s">
        <v>484</v>
      </c>
      <c r="C2">
        <v>4</v>
      </c>
      <c r="D2" t="s">
        <v>439</v>
      </c>
      <c r="E2" s="4">
        <v>0.3</v>
      </c>
      <c r="F2" s="4">
        <v>0.3</v>
      </c>
      <c r="G2" s="4">
        <v>0.2</v>
      </c>
      <c r="H2" s="4">
        <v>0.2</v>
      </c>
      <c r="I2" s="4">
        <v>0.3</v>
      </c>
      <c r="J2" s="4">
        <v>0.4</v>
      </c>
      <c r="K2" s="4">
        <v>0.2</v>
      </c>
      <c r="L2" s="4">
        <v>0.1</v>
      </c>
      <c r="M2" s="4">
        <v>0</v>
      </c>
    </row>
    <row r="3" spans="2:13">
      <c r="B3" s="3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t="str">
        <f>main!H2</f>
        <v>이의신청</v>
      </c>
      <c r="I3" s="4" t="s">
        <v>480</v>
      </c>
      <c r="J3" s="4"/>
      <c r="K3" s="4"/>
    </row>
    <row r="4" spans="2:13">
      <c r="B4" t="s">
        <v>276</v>
      </c>
      <c r="C4">
        <v>202400275</v>
      </c>
      <c r="D4">
        <v>21</v>
      </c>
      <c r="E4">
        <v>64</v>
      </c>
      <c r="F4">
        <v>10</v>
      </c>
      <c r="G4">
        <v>8</v>
      </c>
      <c r="H4">
        <v>0</v>
      </c>
    </row>
    <row r="5" spans="2:13">
      <c r="B5" t="s">
        <v>140</v>
      </c>
      <c r="C5">
        <v>202400139</v>
      </c>
      <c r="D5">
        <v>27</v>
      </c>
      <c r="E5">
        <v>82</v>
      </c>
      <c r="F5">
        <v>10</v>
      </c>
      <c r="G5">
        <v>8</v>
      </c>
      <c r="H5">
        <v>0</v>
      </c>
    </row>
    <row r="6" spans="2:13">
      <c r="B6" t="s">
        <v>175</v>
      </c>
      <c r="C6">
        <v>202400174</v>
      </c>
      <c r="D6">
        <v>23</v>
      </c>
      <c r="E6">
        <v>67</v>
      </c>
      <c r="F6">
        <v>6</v>
      </c>
      <c r="G6">
        <v>10</v>
      </c>
      <c r="H6">
        <v>0</v>
      </c>
    </row>
    <row r="7" spans="2:13">
      <c r="B7" t="s">
        <v>288</v>
      </c>
      <c r="C7">
        <v>202400287</v>
      </c>
      <c r="D7">
        <v>27</v>
      </c>
      <c r="E7">
        <v>94</v>
      </c>
      <c r="F7">
        <v>6</v>
      </c>
      <c r="G7">
        <v>9</v>
      </c>
      <c r="H7">
        <v>0</v>
      </c>
    </row>
    <row r="8" spans="2:13">
      <c r="B8" t="s">
        <v>360</v>
      </c>
      <c r="C8">
        <v>202400359</v>
      </c>
      <c r="D8">
        <v>20</v>
      </c>
      <c r="E8">
        <v>59</v>
      </c>
      <c r="F8">
        <v>4</v>
      </c>
      <c r="G8">
        <v>10</v>
      </c>
      <c r="H8">
        <v>0</v>
      </c>
    </row>
    <row r="9" spans="2:13">
      <c r="B9" t="s">
        <v>256</v>
      </c>
      <c r="C9">
        <v>202400255</v>
      </c>
      <c r="D9">
        <v>29</v>
      </c>
      <c r="E9">
        <v>51</v>
      </c>
      <c r="F9">
        <v>8</v>
      </c>
      <c r="G9">
        <v>8</v>
      </c>
      <c r="H9">
        <v>0</v>
      </c>
    </row>
    <row r="10" spans="2:13">
      <c r="B10" t="s">
        <v>6</v>
      </c>
      <c r="C10">
        <v>202400005</v>
      </c>
      <c r="D10">
        <v>15</v>
      </c>
      <c r="E10">
        <v>85</v>
      </c>
      <c r="F10">
        <v>5</v>
      </c>
      <c r="G10">
        <v>8</v>
      </c>
      <c r="H10">
        <v>0</v>
      </c>
    </row>
    <row r="11" spans="2:13">
      <c r="B11" t="s">
        <v>28</v>
      </c>
      <c r="C11">
        <v>202400027</v>
      </c>
      <c r="D11">
        <v>16</v>
      </c>
      <c r="E11">
        <v>84</v>
      </c>
      <c r="F11">
        <v>8</v>
      </c>
      <c r="G11">
        <v>10</v>
      </c>
      <c r="H11">
        <v>0</v>
      </c>
    </row>
    <row r="12" spans="2:13">
      <c r="B12" t="s">
        <v>179</v>
      </c>
      <c r="C12">
        <v>202400178</v>
      </c>
      <c r="D12">
        <v>28</v>
      </c>
      <c r="E12">
        <v>70</v>
      </c>
      <c r="F12">
        <v>8</v>
      </c>
      <c r="G12">
        <v>8</v>
      </c>
      <c r="H12">
        <v>0</v>
      </c>
    </row>
    <row r="13" spans="2:13">
      <c r="B13" t="s">
        <v>88</v>
      </c>
      <c r="C13">
        <v>202400087</v>
      </c>
      <c r="D13">
        <v>25</v>
      </c>
      <c r="E13">
        <v>81</v>
      </c>
      <c r="F13">
        <v>10</v>
      </c>
      <c r="G13">
        <v>8</v>
      </c>
      <c r="H13">
        <v>0</v>
      </c>
    </row>
    <row r="14" spans="2:13">
      <c r="B14" t="s">
        <v>339</v>
      </c>
      <c r="C14">
        <v>202400338</v>
      </c>
      <c r="D14">
        <v>16</v>
      </c>
      <c r="E14">
        <v>59</v>
      </c>
      <c r="F14">
        <v>4</v>
      </c>
      <c r="G14">
        <v>10</v>
      </c>
      <c r="H14">
        <v>0</v>
      </c>
    </row>
    <row r="15" spans="2:13">
      <c r="B15" t="s">
        <v>53</v>
      </c>
      <c r="C15">
        <v>202400052</v>
      </c>
      <c r="D15">
        <v>21</v>
      </c>
      <c r="E15">
        <v>86</v>
      </c>
      <c r="F15">
        <v>4</v>
      </c>
      <c r="G15">
        <v>9</v>
      </c>
      <c r="H15">
        <v>0</v>
      </c>
    </row>
    <row r="16" spans="2:13">
      <c r="B16" t="s">
        <v>304</v>
      </c>
      <c r="C16">
        <v>202400303</v>
      </c>
      <c r="D16">
        <v>18</v>
      </c>
      <c r="E16">
        <v>89</v>
      </c>
      <c r="F16">
        <v>3</v>
      </c>
      <c r="G16">
        <v>8</v>
      </c>
      <c r="H16">
        <v>0</v>
      </c>
    </row>
    <row r="17" spans="2:8">
      <c r="B17" t="s">
        <v>68</v>
      </c>
      <c r="C17">
        <v>202400067</v>
      </c>
      <c r="D17">
        <v>24</v>
      </c>
      <c r="E17">
        <v>80</v>
      </c>
      <c r="F17">
        <v>7</v>
      </c>
      <c r="G17">
        <v>10</v>
      </c>
      <c r="H17">
        <v>0</v>
      </c>
    </row>
    <row r="18" spans="2:8">
      <c r="B18" t="s">
        <v>363</v>
      </c>
      <c r="C18">
        <v>202400362</v>
      </c>
      <c r="D18">
        <v>16</v>
      </c>
      <c r="E18">
        <v>94</v>
      </c>
      <c r="F18">
        <v>9</v>
      </c>
      <c r="G18">
        <v>9</v>
      </c>
      <c r="H18">
        <v>0</v>
      </c>
    </row>
    <row r="19" spans="2:8">
      <c r="B19" t="s">
        <v>139</v>
      </c>
      <c r="C19">
        <v>202400138</v>
      </c>
      <c r="D19">
        <v>19</v>
      </c>
      <c r="E19">
        <v>70</v>
      </c>
      <c r="F19">
        <v>4</v>
      </c>
      <c r="G19">
        <v>9</v>
      </c>
      <c r="H19">
        <v>0</v>
      </c>
    </row>
    <row r="20" spans="2:8">
      <c r="B20" t="s">
        <v>296</v>
      </c>
      <c r="C20">
        <v>202400295</v>
      </c>
      <c r="D20">
        <v>22</v>
      </c>
      <c r="E20">
        <v>80</v>
      </c>
      <c r="F20">
        <v>7</v>
      </c>
      <c r="G20">
        <v>9</v>
      </c>
      <c r="H20">
        <v>0</v>
      </c>
    </row>
    <row r="21" spans="2:8">
      <c r="B21" t="s">
        <v>317</v>
      </c>
      <c r="C21">
        <v>202400316</v>
      </c>
      <c r="D21">
        <v>29</v>
      </c>
      <c r="E21">
        <v>54</v>
      </c>
      <c r="F21">
        <v>10</v>
      </c>
      <c r="G21">
        <v>9</v>
      </c>
      <c r="H21">
        <v>0</v>
      </c>
    </row>
    <row r="22" spans="2:8">
      <c r="B22" t="s">
        <v>163</v>
      </c>
      <c r="C22">
        <v>202400162</v>
      </c>
      <c r="D22">
        <v>21</v>
      </c>
      <c r="E22">
        <v>83</v>
      </c>
      <c r="F22">
        <v>10</v>
      </c>
      <c r="G22">
        <v>10</v>
      </c>
      <c r="H22">
        <v>0</v>
      </c>
    </row>
    <row r="23" spans="2:8">
      <c r="B23" t="s">
        <v>474</v>
      </c>
      <c r="C23">
        <v>202400017</v>
      </c>
      <c r="D23">
        <v>18</v>
      </c>
      <c r="E23">
        <v>82</v>
      </c>
      <c r="F23">
        <v>8</v>
      </c>
      <c r="G23">
        <v>8</v>
      </c>
      <c r="H23">
        <v>0</v>
      </c>
    </row>
    <row r="24" spans="2:8">
      <c r="B24" t="s">
        <v>248</v>
      </c>
      <c r="C24">
        <v>202400247</v>
      </c>
      <c r="D24">
        <v>24</v>
      </c>
      <c r="E24">
        <v>74</v>
      </c>
      <c r="F24">
        <v>4</v>
      </c>
      <c r="G24">
        <v>8</v>
      </c>
      <c r="H24">
        <v>0</v>
      </c>
    </row>
    <row r="25" spans="2:8">
      <c r="B25" t="s">
        <v>269</v>
      </c>
      <c r="C25">
        <v>202400268</v>
      </c>
      <c r="D25">
        <v>19</v>
      </c>
      <c r="E25">
        <v>70</v>
      </c>
      <c r="F25">
        <v>10</v>
      </c>
      <c r="G25">
        <v>9</v>
      </c>
      <c r="H25">
        <v>0</v>
      </c>
    </row>
    <row r="26" spans="2:8">
      <c r="B26" t="s">
        <v>249</v>
      </c>
      <c r="C26">
        <v>202400248</v>
      </c>
      <c r="D26">
        <v>24</v>
      </c>
      <c r="E26">
        <v>60</v>
      </c>
      <c r="F26">
        <v>7</v>
      </c>
      <c r="G26">
        <v>9</v>
      </c>
      <c r="H26">
        <v>0</v>
      </c>
    </row>
    <row r="27" spans="2:8">
      <c r="B27" t="s">
        <v>209</v>
      </c>
      <c r="C27">
        <v>202400208</v>
      </c>
      <c r="D27">
        <v>15</v>
      </c>
      <c r="E27">
        <v>87</v>
      </c>
      <c r="F27">
        <v>10</v>
      </c>
      <c r="G27">
        <v>9</v>
      </c>
      <c r="H27">
        <v>0</v>
      </c>
    </row>
    <row r="28" spans="2:8">
      <c r="B28" t="s">
        <v>255</v>
      </c>
      <c r="C28">
        <v>202400254</v>
      </c>
      <c r="D28">
        <v>24</v>
      </c>
      <c r="E28">
        <v>64</v>
      </c>
      <c r="F28">
        <v>7</v>
      </c>
      <c r="G28">
        <v>9</v>
      </c>
      <c r="H28">
        <v>0</v>
      </c>
    </row>
    <row r="29" spans="2:8">
      <c r="B29" t="s">
        <v>129</v>
      </c>
      <c r="C29">
        <v>202400128</v>
      </c>
      <c r="D29">
        <v>16</v>
      </c>
      <c r="E29">
        <v>61</v>
      </c>
      <c r="F29">
        <v>6</v>
      </c>
      <c r="G29">
        <v>9</v>
      </c>
      <c r="H29">
        <v>0</v>
      </c>
    </row>
    <row r="30" spans="2:8">
      <c r="B30" t="s">
        <v>270</v>
      </c>
      <c r="C30">
        <v>202400269</v>
      </c>
      <c r="D30">
        <v>21</v>
      </c>
      <c r="E30">
        <v>80</v>
      </c>
      <c r="F30">
        <v>3</v>
      </c>
      <c r="G30">
        <v>10</v>
      </c>
      <c r="H30">
        <v>0</v>
      </c>
    </row>
    <row r="31" spans="2:8">
      <c r="B31" t="s">
        <v>138</v>
      </c>
      <c r="C31">
        <v>202400137</v>
      </c>
      <c r="D31">
        <v>22</v>
      </c>
      <c r="E31">
        <v>92</v>
      </c>
      <c r="F31">
        <v>7</v>
      </c>
      <c r="G31">
        <v>9</v>
      </c>
      <c r="H31">
        <v>0</v>
      </c>
    </row>
    <row r="32" spans="2:8">
      <c r="B32" t="s">
        <v>226</v>
      </c>
      <c r="C32">
        <v>202400225</v>
      </c>
      <c r="D32">
        <v>30</v>
      </c>
      <c r="E32">
        <v>93</v>
      </c>
      <c r="F32">
        <v>7</v>
      </c>
      <c r="G32">
        <v>8</v>
      </c>
      <c r="H32">
        <v>0</v>
      </c>
    </row>
    <row r="33" spans="2:8">
      <c r="B33" t="s">
        <v>351</v>
      </c>
      <c r="C33">
        <v>202400350</v>
      </c>
      <c r="D33">
        <v>22</v>
      </c>
      <c r="E33">
        <v>69</v>
      </c>
      <c r="F33">
        <v>5</v>
      </c>
      <c r="G33">
        <v>9</v>
      </c>
      <c r="H33">
        <v>0</v>
      </c>
    </row>
    <row r="34" spans="2:8">
      <c r="B34" t="s">
        <v>63</v>
      </c>
      <c r="C34">
        <v>202400062</v>
      </c>
      <c r="D34">
        <v>19</v>
      </c>
      <c r="E34">
        <v>78</v>
      </c>
      <c r="F34">
        <v>10</v>
      </c>
      <c r="G34">
        <v>10</v>
      </c>
      <c r="H34">
        <v>0</v>
      </c>
    </row>
    <row r="35" spans="2:8">
      <c r="B35" t="s">
        <v>80</v>
      </c>
      <c r="C35">
        <v>202400079</v>
      </c>
      <c r="D35">
        <v>23</v>
      </c>
      <c r="E35">
        <v>61</v>
      </c>
      <c r="F35">
        <v>9</v>
      </c>
      <c r="G35">
        <v>10</v>
      </c>
      <c r="H35">
        <v>0</v>
      </c>
    </row>
    <row r="36" spans="2:8">
      <c r="B36" t="s">
        <v>37</v>
      </c>
      <c r="C36">
        <v>202400036</v>
      </c>
      <c r="D36">
        <v>20</v>
      </c>
      <c r="E36">
        <v>93</v>
      </c>
      <c r="F36">
        <v>9</v>
      </c>
      <c r="G36">
        <v>10</v>
      </c>
      <c r="H36">
        <v>0</v>
      </c>
    </row>
    <row r="37" spans="2:8">
      <c r="B37" t="s">
        <v>65</v>
      </c>
      <c r="C37">
        <v>202400064</v>
      </c>
      <c r="D37">
        <v>25</v>
      </c>
      <c r="E37">
        <v>87</v>
      </c>
      <c r="F37">
        <v>4</v>
      </c>
      <c r="G37">
        <v>8</v>
      </c>
      <c r="H37">
        <v>0</v>
      </c>
    </row>
    <row r="38" spans="2:8">
      <c r="B38" t="s">
        <v>325</v>
      </c>
      <c r="C38">
        <v>202400324</v>
      </c>
      <c r="D38">
        <v>21</v>
      </c>
      <c r="E38">
        <v>59</v>
      </c>
      <c r="F38">
        <v>5</v>
      </c>
      <c r="G38">
        <v>8</v>
      </c>
      <c r="H38">
        <v>0</v>
      </c>
    </row>
    <row r="39" spans="2:8">
      <c r="B39" t="s">
        <v>355</v>
      </c>
      <c r="C39">
        <v>202400354</v>
      </c>
      <c r="D39">
        <v>29</v>
      </c>
      <c r="E39">
        <v>70</v>
      </c>
      <c r="F39">
        <v>6</v>
      </c>
      <c r="G39">
        <v>10</v>
      </c>
      <c r="H39">
        <v>0</v>
      </c>
    </row>
    <row r="40" spans="2:8">
      <c r="B40" t="s">
        <v>98</v>
      </c>
      <c r="C40">
        <v>202400097</v>
      </c>
      <c r="D40">
        <v>20</v>
      </c>
      <c r="E40">
        <v>61</v>
      </c>
      <c r="F40">
        <v>4</v>
      </c>
      <c r="G40">
        <v>10</v>
      </c>
      <c r="H40">
        <v>0</v>
      </c>
    </row>
    <row r="41" spans="2:8">
      <c r="B41" t="s">
        <v>183</v>
      </c>
      <c r="C41">
        <v>202400182</v>
      </c>
      <c r="D41">
        <v>18</v>
      </c>
      <c r="E41">
        <v>51</v>
      </c>
      <c r="F41">
        <v>9</v>
      </c>
      <c r="G41">
        <v>8</v>
      </c>
      <c r="H41">
        <v>0</v>
      </c>
    </row>
    <row r="42" spans="2:8">
      <c r="B42" t="s">
        <v>44</v>
      </c>
      <c r="C42">
        <v>202400043</v>
      </c>
      <c r="D42">
        <v>28</v>
      </c>
      <c r="E42">
        <v>100</v>
      </c>
      <c r="F42">
        <v>6</v>
      </c>
      <c r="G42">
        <v>10</v>
      </c>
      <c r="H42">
        <v>0</v>
      </c>
    </row>
    <row r="43" spans="2:8">
      <c r="B43" t="s">
        <v>352</v>
      </c>
      <c r="C43">
        <v>202400351</v>
      </c>
      <c r="D43">
        <v>26</v>
      </c>
      <c r="E43">
        <v>90</v>
      </c>
      <c r="F43">
        <v>8</v>
      </c>
      <c r="G43">
        <v>8</v>
      </c>
      <c r="H43">
        <v>0</v>
      </c>
    </row>
    <row r="44" spans="2:8">
      <c r="B44" t="s">
        <v>280</v>
      </c>
      <c r="C44">
        <v>202400279</v>
      </c>
      <c r="D44">
        <v>27</v>
      </c>
      <c r="E44">
        <v>77</v>
      </c>
      <c r="F44">
        <v>5</v>
      </c>
      <c r="G44">
        <v>10</v>
      </c>
      <c r="H44">
        <v>0</v>
      </c>
    </row>
    <row r="45" spans="2:8">
      <c r="B45" t="s">
        <v>401</v>
      </c>
      <c r="C45">
        <v>202400400</v>
      </c>
      <c r="D45">
        <v>20</v>
      </c>
      <c r="E45">
        <v>58</v>
      </c>
      <c r="F45">
        <v>6</v>
      </c>
      <c r="G45">
        <v>8</v>
      </c>
      <c r="H45">
        <v>0</v>
      </c>
    </row>
    <row r="46" spans="2:8">
      <c r="B46" t="s">
        <v>78</v>
      </c>
      <c r="C46">
        <v>202400077</v>
      </c>
      <c r="D46">
        <v>28</v>
      </c>
      <c r="E46">
        <v>55</v>
      </c>
      <c r="F46">
        <v>8</v>
      </c>
      <c r="G46">
        <v>10</v>
      </c>
      <c r="H46">
        <v>0</v>
      </c>
    </row>
    <row r="47" spans="2:8">
      <c r="B47" t="s">
        <v>283</v>
      </c>
      <c r="C47">
        <v>202400282</v>
      </c>
      <c r="D47">
        <v>15</v>
      </c>
      <c r="E47">
        <v>99</v>
      </c>
      <c r="F47">
        <v>7</v>
      </c>
      <c r="G47">
        <v>10</v>
      </c>
      <c r="H47">
        <v>0</v>
      </c>
    </row>
    <row r="48" spans="2:8">
      <c r="B48" t="s">
        <v>79</v>
      </c>
      <c r="C48">
        <v>202400078</v>
      </c>
      <c r="D48">
        <v>19</v>
      </c>
      <c r="E48">
        <v>70</v>
      </c>
      <c r="F48">
        <v>8</v>
      </c>
      <c r="G48">
        <v>8</v>
      </c>
      <c r="H48">
        <v>0</v>
      </c>
    </row>
    <row r="49" spans="2:8">
      <c r="B49" t="s">
        <v>329</v>
      </c>
      <c r="C49">
        <v>202400328</v>
      </c>
      <c r="D49">
        <v>20</v>
      </c>
      <c r="E49">
        <v>92</v>
      </c>
      <c r="F49">
        <v>9</v>
      </c>
      <c r="G49">
        <v>8</v>
      </c>
      <c r="H49">
        <v>0</v>
      </c>
    </row>
    <row r="50" spans="2:8">
      <c r="B50" t="s">
        <v>62</v>
      </c>
      <c r="C50">
        <v>202400061</v>
      </c>
      <c r="D50">
        <v>18</v>
      </c>
      <c r="E50">
        <v>89</v>
      </c>
      <c r="F50">
        <v>10</v>
      </c>
      <c r="G50">
        <v>8</v>
      </c>
      <c r="H50">
        <v>0</v>
      </c>
    </row>
    <row r="51" spans="2:8">
      <c r="B51" t="s">
        <v>116</v>
      </c>
      <c r="C51">
        <v>202400115</v>
      </c>
      <c r="D51">
        <v>29</v>
      </c>
      <c r="E51">
        <v>95</v>
      </c>
      <c r="F51">
        <v>7</v>
      </c>
      <c r="G51">
        <v>10</v>
      </c>
      <c r="H51">
        <v>0</v>
      </c>
    </row>
    <row r="52" spans="2:8">
      <c r="B52" t="s">
        <v>217</v>
      </c>
      <c r="C52">
        <v>202400216</v>
      </c>
      <c r="D52">
        <v>15</v>
      </c>
      <c r="E52">
        <v>84</v>
      </c>
      <c r="F52">
        <v>9</v>
      </c>
      <c r="G52">
        <v>9</v>
      </c>
      <c r="H52">
        <v>0</v>
      </c>
    </row>
    <row r="53" spans="2:8">
      <c r="B53" t="s">
        <v>93</v>
      </c>
      <c r="C53">
        <v>202400092</v>
      </c>
      <c r="D53">
        <v>30</v>
      </c>
      <c r="E53">
        <v>95</v>
      </c>
      <c r="F53">
        <v>4</v>
      </c>
      <c r="G53">
        <v>8</v>
      </c>
      <c r="H53">
        <v>0</v>
      </c>
    </row>
    <row r="54" spans="2:8">
      <c r="B54" t="s">
        <v>347</v>
      </c>
      <c r="C54">
        <v>202400346</v>
      </c>
      <c r="D54">
        <v>19</v>
      </c>
      <c r="E54">
        <v>71</v>
      </c>
      <c r="F54">
        <v>7</v>
      </c>
      <c r="G54">
        <v>9</v>
      </c>
      <c r="H54">
        <v>0</v>
      </c>
    </row>
    <row r="55" spans="2:8">
      <c r="B55" t="s">
        <v>275</v>
      </c>
      <c r="C55">
        <v>202400274</v>
      </c>
      <c r="D55">
        <v>24</v>
      </c>
      <c r="E55">
        <v>55</v>
      </c>
      <c r="F55">
        <v>10</v>
      </c>
      <c r="G55">
        <v>9</v>
      </c>
      <c r="H55">
        <v>0</v>
      </c>
    </row>
    <row r="56" spans="2:8">
      <c r="B56" t="s">
        <v>184</v>
      </c>
      <c r="C56">
        <v>202400183</v>
      </c>
      <c r="D56">
        <v>17</v>
      </c>
      <c r="E56">
        <v>79</v>
      </c>
      <c r="F56">
        <v>6</v>
      </c>
      <c r="G56">
        <v>8</v>
      </c>
      <c r="H56">
        <v>0</v>
      </c>
    </row>
    <row r="57" spans="2:8">
      <c r="B57" t="s">
        <v>389</v>
      </c>
      <c r="C57">
        <v>202400388</v>
      </c>
      <c r="D57">
        <v>27</v>
      </c>
      <c r="E57">
        <v>71</v>
      </c>
      <c r="F57">
        <v>7</v>
      </c>
      <c r="G57">
        <v>10</v>
      </c>
      <c r="H57">
        <v>0</v>
      </c>
    </row>
    <row r="58" spans="2:8">
      <c r="B58" t="s">
        <v>108</v>
      </c>
      <c r="C58">
        <v>202400107</v>
      </c>
      <c r="D58">
        <v>27</v>
      </c>
      <c r="E58">
        <v>89</v>
      </c>
      <c r="F58">
        <v>9</v>
      </c>
      <c r="G58">
        <v>8</v>
      </c>
      <c r="H58">
        <v>0</v>
      </c>
    </row>
    <row r="59" spans="2:8">
      <c r="B59" t="s">
        <v>267</v>
      </c>
      <c r="C59">
        <v>202400266</v>
      </c>
      <c r="D59">
        <v>27</v>
      </c>
      <c r="E59">
        <v>84</v>
      </c>
      <c r="F59">
        <v>8</v>
      </c>
      <c r="G59">
        <v>8</v>
      </c>
      <c r="H59">
        <v>0</v>
      </c>
    </row>
    <row r="60" spans="2:8">
      <c r="B60" t="s">
        <v>295</v>
      </c>
      <c r="C60">
        <v>202400294</v>
      </c>
      <c r="D60">
        <v>23</v>
      </c>
      <c r="E60">
        <v>95</v>
      </c>
      <c r="F60">
        <v>4</v>
      </c>
      <c r="G60">
        <v>8</v>
      </c>
      <c r="H60">
        <v>0</v>
      </c>
    </row>
    <row r="61" spans="2:8">
      <c r="B61" t="s">
        <v>141</v>
      </c>
      <c r="C61">
        <v>202400140</v>
      </c>
      <c r="D61">
        <v>30</v>
      </c>
      <c r="E61">
        <v>70</v>
      </c>
      <c r="F61">
        <v>9</v>
      </c>
      <c r="G61">
        <v>10</v>
      </c>
      <c r="H61">
        <v>0</v>
      </c>
    </row>
    <row r="62" spans="2:8">
      <c r="B62" t="s">
        <v>300</v>
      </c>
      <c r="C62">
        <v>202400299</v>
      </c>
      <c r="D62">
        <v>17</v>
      </c>
      <c r="E62">
        <v>84</v>
      </c>
      <c r="F62">
        <v>4</v>
      </c>
      <c r="G62">
        <v>10</v>
      </c>
      <c r="H62">
        <v>0</v>
      </c>
    </row>
    <row r="63" spans="2:8">
      <c r="B63" t="s">
        <v>216</v>
      </c>
      <c r="C63">
        <v>202400215</v>
      </c>
      <c r="D63">
        <v>22</v>
      </c>
      <c r="E63">
        <v>55</v>
      </c>
      <c r="F63">
        <v>9</v>
      </c>
      <c r="G63">
        <v>10</v>
      </c>
      <c r="H63">
        <v>0</v>
      </c>
    </row>
    <row r="64" spans="2:8">
      <c r="B64" t="s">
        <v>246</v>
      </c>
      <c r="C64">
        <v>202400245</v>
      </c>
      <c r="D64">
        <v>20</v>
      </c>
      <c r="E64">
        <v>51</v>
      </c>
      <c r="F64">
        <v>9</v>
      </c>
      <c r="G64">
        <v>9</v>
      </c>
      <c r="H64">
        <v>0</v>
      </c>
    </row>
    <row r="65" spans="2:8">
      <c r="B65" t="s">
        <v>56</v>
      </c>
      <c r="C65">
        <v>202400055</v>
      </c>
      <c r="D65">
        <v>22</v>
      </c>
      <c r="E65">
        <v>93</v>
      </c>
      <c r="F65">
        <v>8</v>
      </c>
      <c r="G65">
        <v>8</v>
      </c>
      <c r="H65">
        <v>0</v>
      </c>
    </row>
    <row r="66" spans="2:8">
      <c r="B66" t="s">
        <v>166</v>
      </c>
      <c r="C66">
        <v>202400165</v>
      </c>
      <c r="D66">
        <v>18</v>
      </c>
      <c r="E66">
        <v>69</v>
      </c>
      <c r="F66">
        <v>5</v>
      </c>
      <c r="G66">
        <v>9</v>
      </c>
      <c r="H66">
        <v>0</v>
      </c>
    </row>
    <row r="67" spans="2:8">
      <c r="B67" t="s">
        <v>204</v>
      </c>
      <c r="C67">
        <v>202400203</v>
      </c>
      <c r="D67">
        <v>29</v>
      </c>
      <c r="E67">
        <v>89</v>
      </c>
      <c r="F67">
        <v>8</v>
      </c>
      <c r="G67">
        <v>9</v>
      </c>
      <c r="H67">
        <v>0</v>
      </c>
    </row>
    <row r="68" spans="2:8">
      <c r="B68" t="s">
        <v>24</v>
      </c>
      <c r="C68">
        <v>202400023</v>
      </c>
      <c r="D68">
        <v>26</v>
      </c>
      <c r="E68">
        <v>85</v>
      </c>
      <c r="F68">
        <v>9</v>
      </c>
      <c r="G68">
        <v>8</v>
      </c>
      <c r="H68">
        <v>0</v>
      </c>
    </row>
    <row r="69" spans="2:8">
      <c r="B69" t="s">
        <v>237</v>
      </c>
      <c r="C69">
        <v>202400236</v>
      </c>
      <c r="D69">
        <v>28</v>
      </c>
      <c r="E69">
        <v>98</v>
      </c>
      <c r="F69">
        <v>10</v>
      </c>
      <c r="G69">
        <v>9</v>
      </c>
      <c r="H69">
        <v>0</v>
      </c>
    </row>
    <row r="70" spans="2:8">
      <c r="B70" t="s">
        <v>12</v>
      </c>
      <c r="C70">
        <v>202400011</v>
      </c>
      <c r="D70">
        <v>25</v>
      </c>
      <c r="E70">
        <v>85</v>
      </c>
      <c r="F70">
        <v>3</v>
      </c>
      <c r="G70">
        <v>9</v>
      </c>
      <c r="H70">
        <v>0</v>
      </c>
    </row>
    <row r="71" spans="2:8">
      <c r="B71" t="s">
        <v>104</v>
      </c>
      <c r="C71">
        <v>202400103</v>
      </c>
      <c r="D71">
        <v>23</v>
      </c>
      <c r="E71">
        <v>91</v>
      </c>
      <c r="F71">
        <v>8</v>
      </c>
      <c r="G71">
        <v>10</v>
      </c>
      <c r="H71">
        <v>0</v>
      </c>
    </row>
    <row r="72" spans="2:8">
      <c r="B72" t="s">
        <v>400</v>
      </c>
      <c r="C72">
        <v>202400399</v>
      </c>
      <c r="D72">
        <v>30</v>
      </c>
      <c r="E72">
        <v>80</v>
      </c>
      <c r="F72">
        <v>9</v>
      </c>
      <c r="G72">
        <v>8</v>
      </c>
      <c r="H72">
        <v>0</v>
      </c>
    </row>
    <row r="73" spans="2:8">
      <c r="B73" t="s">
        <v>235</v>
      </c>
      <c r="C73">
        <v>202400234</v>
      </c>
      <c r="D73">
        <v>16</v>
      </c>
      <c r="E73">
        <v>71</v>
      </c>
      <c r="F73">
        <v>6</v>
      </c>
      <c r="G73">
        <v>8</v>
      </c>
      <c r="H73">
        <v>0</v>
      </c>
    </row>
    <row r="74" spans="2:8">
      <c r="B74" t="s">
        <v>132</v>
      </c>
      <c r="C74">
        <v>202400131</v>
      </c>
      <c r="D74">
        <v>15</v>
      </c>
      <c r="E74">
        <v>81</v>
      </c>
      <c r="F74">
        <v>9</v>
      </c>
      <c r="G74">
        <v>8</v>
      </c>
      <c r="H74">
        <v>0</v>
      </c>
    </row>
    <row r="75" spans="2:8">
      <c r="B75" t="s">
        <v>168</v>
      </c>
      <c r="C75">
        <v>202400167</v>
      </c>
      <c r="D75">
        <v>26</v>
      </c>
      <c r="E75">
        <v>62</v>
      </c>
      <c r="F75">
        <v>7</v>
      </c>
      <c r="G75">
        <v>9</v>
      </c>
      <c r="H75">
        <v>0</v>
      </c>
    </row>
    <row r="76" spans="2:8">
      <c r="B76" t="s">
        <v>72</v>
      </c>
      <c r="C76">
        <v>202400071</v>
      </c>
      <c r="D76">
        <v>18</v>
      </c>
      <c r="E76">
        <v>60</v>
      </c>
      <c r="F76">
        <v>6</v>
      </c>
      <c r="G76">
        <v>8</v>
      </c>
      <c r="H76">
        <v>0</v>
      </c>
    </row>
    <row r="77" spans="2:8">
      <c r="B77" t="s">
        <v>281</v>
      </c>
      <c r="C77">
        <v>202400280</v>
      </c>
      <c r="D77">
        <v>25</v>
      </c>
      <c r="E77">
        <v>54</v>
      </c>
      <c r="F77">
        <v>8</v>
      </c>
      <c r="G77">
        <v>8</v>
      </c>
      <c r="H77">
        <v>0</v>
      </c>
    </row>
    <row r="78" spans="2:8">
      <c r="B78" t="s">
        <v>259</v>
      </c>
      <c r="C78">
        <v>202400258</v>
      </c>
      <c r="D78">
        <v>23</v>
      </c>
      <c r="E78">
        <v>58</v>
      </c>
      <c r="F78">
        <v>6</v>
      </c>
      <c r="G78">
        <v>9</v>
      </c>
      <c r="H78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35</vt:i4>
      </vt:variant>
      <vt:variant>
        <vt:lpstr>이름 지정된 범위</vt:lpstr>
      </vt:variant>
      <vt:variant>
        <vt:i4>4</vt:i4>
      </vt:variant>
    </vt:vector>
  </HeadingPairs>
  <TitlesOfParts>
    <vt:vector size="39" baseType="lpstr">
      <vt:lpstr>main</vt:lpstr>
      <vt:lpstr>Admin</vt:lpstr>
      <vt:lpstr>Professor</vt:lpstr>
      <vt:lpstr>Student</vt:lpstr>
      <vt:lpstr>&gt;Courses</vt:lpstr>
      <vt:lpstr>경영학원론_1</vt:lpstr>
      <vt:lpstr>경영학원론_2</vt:lpstr>
      <vt:lpstr>경영학원론_3</vt:lpstr>
      <vt:lpstr>경영학원론_4</vt:lpstr>
      <vt:lpstr>경제학원론_1</vt:lpstr>
      <vt:lpstr>경제학원론_2</vt:lpstr>
      <vt:lpstr>경제학원론_3</vt:lpstr>
      <vt:lpstr>경영통계학_1</vt:lpstr>
      <vt:lpstr>경영통계학_2</vt:lpstr>
      <vt:lpstr>경영통계학_3</vt:lpstr>
      <vt:lpstr>무역학개론_1</vt:lpstr>
      <vt:lpstr>회계학원론_1</vt:lpstr>
      <vt:lpstr>경영정보시스템_1</vt:lpstr>
      <vt:lpstr>관리회계_1</vt:lpstr>
      <vt:lpstr>관리회계_2</vt:lpstr>
      <vt:lpstr>마케팅_1</vt:lpstr>
      <vt:lpstr>마케팅리서치_1</vt:lpstr>
      <vt:lpstr>세법개론_1</vt:lpstr>
      <vt:lpstr>재무관리_1</vt:lpstr>
      <vt:lpstr>조직행동론_1</vt:lpstr>
      <vt:lpstr>조직행동론_2</vt:lpstr>
      <vt:lpstr>중급재무회계_1</vt:lpstr>
      <vt:lpstr>투자론_1</vt:lpstr>
      <vt:lpstr>경영과학_1</vt:lpstr>
      <vt:lpstr>세무회계_1</vt:lpstr>
      <vt:lpstr>스마트경영_1</vt:lpstr>
      <vt:lpstr>스마트경영_2</vt:lpstr>
      <vt:lpstr>인적자원관리_1</vt:lpstr>
      <vt:lpstr>서비스마케팅_1</vt:lpstr>
      <vt:lpstr>제품관리_1</vt:lpstr>
      <vt:lpstr>Admin!Print_Area</vt:lpstr>
      <vt:lpstr>main!Print_Area</vt:lpstr>
      <vt:lpstr>Professor!Print_Area</vt:lpstr>
      <vt:lpstr>Student!Print_Area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곽민석</dc:creator>
  <cp:lastModifiedBy>곽민석</cp:lastModifiedBy>
  <dcterms:created xsi:type="dcterms:W3CDTF">2024-11-21T19:23:36Z</dcterms:created>
  <dcterms:modified xsi:type="dcterms:W3CDTF">2024-12-15T17:39:21Z</dcterms:modified>
</cp:coreProperties>
</file>