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sharedocs\DavWWWRoot\sites\nd\BusinessAsUsual\Generation Information\GenInfo\2019\2019_January_minor_update\15_web_submission\"/>
    </mc:Choice>
  </mc:AlternateContent>
  <xr:revisionPtr revIDLastSave="0" documentId="10_ncr:100000_{09D136DF-F705-41BE-BB75-DA7235035794}" xr6:coauthVersionLast="31" xr6:coauthVersionMax="31" xr10:uidLastSave="{00000000-0000-0000-0000-000000000000}"/>
  <bookViews>
    <workbookView xWindow="0" yWindow="0" windowWidth="13125" windowHeight="6105" xr2:uid="{00000000-000D-0000-FFFF-FFFF00000000}"/>
  </bookViews>
  <sheets>
    <sheet name="New South Wales Summary" sheetId="1" r:id="rId1"/>
    <sheet name="Change Log" sheetId="2" r:id="rId2"/>
    <sheet name="Existing S &amp; SS Generation" sheetId="11" r:id="rId3"/>
    <sheet name="Summer Scheduled Capacities" sheetId="14" r:id="rId4"/>
    <sheet name="Winter Scheduled Capacities" sheetId="15" r:id="rId5"/>
    <sheet name="Existing NS Generation" sheetId="12" r:id="rId6"/>
    <sheet name="New Developments" sheetId="10" r:id="rId7"/>
    <sheet name="Background Information" sheetId="18" r:id="rId8"/>
  </sheets>
  <definedNames>
    <definedName name="ExternalData_1" localSheetId="5" hidden="1">'Existing NS Generation'!$A$2:$I$89</definedName>
    <definedName name="ExternalData_1" localSheetId="2">'Existing S &amp; SS Generation'!#REF!</definedName>
    <definedName name="ExternalData_1" localSheetId="3" hidden="1">'Summer Scheduled Capacities'!$A$2:$O$46</definedName>
    <definedName name="ExternalData_1" localSheetId="4" hidden="1">'Winter Scheduled Capacities'!$A$2:$O$46</definedName>
    <definedName name="ExternalData_2" localSheetId="2" hidden="1">'Existing S &amp; SS Generation'!$A$2:$L$34</definedName>
    <definedName name="ExternalData_2" localSheetId="3" hidden="1">'Summer Scheduled Capacities'!$A$56:$O$73</definedName>
    <definedName name="ExternalData_2" localSheetId="4" hidden="1">'Winter Scheduled Capacities'!$A$56:$O$73</definedName>
    <definedName name="ExternalData_3" localSheetId="3" hidden="1">'Summer Scheduled Capacities'!$A$80:$O$107</definedName>
    <definedName name="ExternalData_3" localSheetId="4" hidden="1">'Winter Scheduled Capacities'!$A$80:$O$107</definedName>
  </definedNames>
  <calcPr calcId="179017"/>
</workbook>
</file>

<file path=xl/calcChain.xml><?xml version="1.0" encoding="utf-8"?>
<calcChain xmlns="http://schemas.openxmlformats.org/spreadsheetml/2006/main">
  <c r="D36" i="11" l="1"/>
  <c r="L60" i="1" l="1"/>
  <c r="K60" i="1"/>
  <c r="J60" i="1"/>
  <c r="I60" i="1"/>
  <c r="H60" i="1"/>
  <c r="G60" i="1"/>
  <c r="F60" i="1"/>
  <c r="E60" i="1"/>
  <c r="D60" i="1"/>
  <c r="C60" i="1"/>
  <c r="L65" i="1"/>
  <c r="K65" i="1"/>
  <c r="J65" i="1"/>
  <c r="I65" i="1"/>
  <c r="H65" i="1"/>
  <c r="G65" i="1"/>
  <c r="F65" i="1"/>
  <c r="E65" i="1"/>
  <c r="D65" i="1"/>
  <c r="C65" i="1"/>
  <c r="L61" i="1"/>
  <c r="K61" i="1"/>
  <c r="J61" i="1"/>
  <c r="I61" i="1"/>
  <c r="H61" i="1"/>
  <c r="G61" i="1"/>
  <c r="F61" i="1"/>
  <c r="E61" i="1"/>
  <c r="D61" i="1"/>
  <c r="C61" i="1"/>
  <c r="K59" i="1" l="1"/>
  <c r="M65" i="1"/>
  <c r="G59" i="1"/>
  <c r="M61" i="1"/>
  <c r="F59" i="1"/>
  <c r="J59" i="1"/>
  <c r="M60" i="1"/>
  <c r="D59" i="1"/>
  <c r="H59" i="1"/>
  <c r="L59" i="1"/>
  <c r="E59" i="1"/>
  <c r="I59" i="1"/>
  <c r="C91" i="12"/>
  <c r="G64" i="1" l="1"/>
  <c r="L62" i="1" l="1"/>
  <c r="K62" i="1"/>
  <c r="J62" i="1"/>
  <c r="I62" i="1"/>
  <c r="H62" i="1"/>
  <c r="G62" i="1"/>
  <c r="F62" i="1"/>
  <c r="E62" i="1"/>
  <c r="D62" i="1"/>
  <c r="C62" i="1"/>
  <c r="M62" i="1" l="1"/>
  <c r="C110" i="15"/>
  <c r="D110" i="15"/>
  <c r="E110" i="15"/>
  <c r="F110" i="15"/>
  <c r="G110" i="15"/>
  <c r="H110" i="15"/>
  <c r="I110" i="15"/>
  <c r="J110" i="15"/>
  <c r="K110" i="15"/>
  <c r="B110" i="15"/>
  <c r="C109" i="15"/>
  <c r="D109" i="15"/>
  <c r="E109" i="15"/>
  <c r="F109" i="15"/>
  <c r="G109" i="15"/>
  <c r="H109" i="15"/>
  <c r="I109" i="15"/>
  <c r="J109" i="15"/>
  <c r="K109" i="15"/>
  <c r="B109" i="15"/>
  <c r="K75" i="15"/>
  <c r="K77" i="15" s="1"/>
  <c r="C75" i="15"/>
  <c r="C77" i="15" s="1"/>
  <c r="D75" i="15"/>
  <c r="D77" i="15" s="1"/>
  <c r="E75" i="15"/>
  <c r="E77" i="15" s="1"/>
  <c r="F75" i="15"/>
  <c r="F77" i="15" s="1"/>
  <c r="G75" i="15"/>
  <c r="G77" i="15" s="1"/>
  <c r="H75" i="15"/>
  <c r="H77" i="15" s="1"/>
  <c r="I75" i="15"/>
  <c r="I77" i="15" s="1"/>
  <c r="J75" i="15"/>
  <c r="J77" i="15" s="1"/>
  <c r="B75" i="15"/>
  <c r="B77" i="15" s="1"/>
  <c r="C48" i="15"/>
  <c r="D48" i="15"/>
  <c r="E48" i="15"/>
  <c r="F48" i="15"/>
  <c r="G48" i="15"/>
  <c r="H48" i="15"/>
  <c r="I48" i="15"/>
  <c r="J48" i="15"/>
  <c r="K48" i="15"/>
  <c r="B48" i="15"/>
  <c r="K110" i="14"/>
  <c r="J110" i="14"/>
  <c r="I110" i="14"/>
  <c r="H110" i="14"/>
  <c r="G110" i="14"/>
  <c r="F110" i="14"/>
  <c r="E110" i="14"/>
  <c r="D110" i="14"/>
  <c r="C110" i="14"/>
  <c r="B110" i="14"/>
  <c r="K109" i="14"/>
  <c r="J109" i="14"/>
  <c r="I109" i="14"/>
  <c r="H109" i="14"/>
  <c r="G109" i="14"/>
  <c r="F109" i="14"/>
  <c r="E109" i="14"/>
  <c r="D109" i="14"/>
  <c r="C109" i="14"/>
  <c r="B109" i="14"/>
  <c r="K75" i="14"/>
  <c r="K77" i="14" s="1"/>
  <c r="J75" i="14"/>
  <c r="J77" i="14" s="1"/>
  <c r="I75" i="14"/>
  <c r="I77" i="14" s="1"/>
  <c r="H75" i="14"/>
  <c r="H77" i="14" s="1"/>
  <c r="G75" i="14"/>
  <c r="G77" i="14" s="1"/>
  <c r="F75" i="14"/>
  <c r="F77" i="14" s="1"/>
  <c r="E75" i="14"/>
  <c r="E77" i="14" s="1"/>
  <c r="D75" i="14"/>
  <c r="D77" i="14" s="1"/>
  <c r="C75" i="14"/>
  <c r="C77" i="14" s="1"/>
  <c r="B75" i="14"/>
  <c r="B77" i="14" s="1"/>
  <c r="C48" i="14" l="1"/>
  <c r="D48" i="14"/>
  <c r="E48" i="14"/>
  <c r="F48" i="14"/>
  <c r="G48" i="14"/>
  <c r="H48" i="14"/>
  <c r="I48" i="14"/>
  <c r="J48" i="14"/>
  <c r="K48" i="14"/>
  <c r="B48" i="14"/>
  <c r="H63" i="1" l="1"/>
  <c r="C59" i="1" l="1"/>
  <c r="M59" i="1" s="1"/>
  <c r="L64" i="1"/>
  <c r="K64" i="1"/>
  <c r="J64" i="1"/>
  <c r="I64" i="1"/>
  <c r="H64" i="1"/>
  <c r="F64" i="1"/>
  <c r="E64" i="1"/>
  <c r="D64" i="1"/>
  <c r="C64" i="1"/>
  <c r="L63" i="1"/>
  <c r="K63" i="1"/>
  <c r="J63" i="1"/>
  <c r="I63" i="1"/>
  <c r="G63" i="1"/>
  <c r="F63" i="1"/>
  <c r="E63" i="1"/>
  <c r="D63" i="1"/>
  <c r="C63" i="1"/>
  <c r="M64" i="1" l="1"/>
  <c r="M6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NewDevs" description="Connection to the 'NewDevs' query in the workbook." type="5" refreshedVersion="6" background="1" saveData="1">
    <dbPr connection="Provider=Microsoft.Mashup.OleDb.1;Data Source=$Workbook$;Location=newdevs;Extended Properties=&quot;&quot;" command="SELECT * FROM [NewDevs]"/>
  </connection>
</connections>
</file>

<file path=xl/sharedStrings.xml><?xml version="1.0" encoding="utf-8"?>
<sst xmlns="http://schemas.openxmlformats.org/spreadsheetml/2006/main" count="3634" uniqueCount="817">
  <si>
    <t>Existing &amp; committed scheduled and semi-scheduled generation</t>
  </si>
  <si>
    <t>Power Station</t>
  </si>
  <si>
    <t>Owner</t>
  </si>
  <si>
    <t>Technology Type</t>
  </si>
  <si>
    <t>Fuel Type</t>
  </si>
  <si>
    <t>Dispatch Type</t>
  </si>
  <si>
    <t>Service Status</t>
  </si>
  <si>
    <t>Region</t>
  </si>
  <si>
    <t>Compression Reciprocating Engine</t>
  </si>
  <si>
    <t>Diesel</t>
  </si>
  <si>
    <t>S</t>
  </si>
  <si>
    <t>In Service</t>
  </si>
  <si>
    <t>Wind - Onshore</t>
  </si>
  <si>
    <t>Wind</t>
  </si>
  <si>
    <t>SS</t>
  </si>
  <si>
    <t>OCGT</t>
  </si>
  <si>
    <t>Natural Gas Pipeline</t>
  </si>
  <si>
    <t>Water</t>
  </si>
  <si>
    <t>Hydro - Gravity</t>
  </si>
  <si>
    <t>Bayswater</t>
  </si>
  <si>
    <t>AGL Energy</t>
  </si>
  <si>
    <t>4 x 660</t>
  </si>
  <si>
    <t>Steam Sub Critical</t>
  </si>
  <si>
    <t>Black Coal</t>
  </si>
  <si>
    <t>NSW</t>
  </si>
  <si>
    <t>Blowering</t>
  </si>
  <si>
    <t>Snowy Hydro Ltd</t>
  </si>
  <si>
    <t>1 x 80</t>
  </si>
  <si>
    <t>Boco Rock Wind Farm</t>
  </si>
  <si>
    <t>Electricity Generating Public Company Limited</t>
  </si>
  <si>
    <t>9 x 1.6
58 x 1.7</t>
  </si>
  <si>
    <t>AGL</t>
  </si>
  <si>
    <t>Coal Seam Methane</t>
  </si>
  <si>
    <t>Broken Hill Solar Plant</t>
  </si>
  <si>
    <t>PARF Company 6 Pty Limited</t>
  </si>
  <si>
    <t>40 x 1.325</t>
  </si>
  <si>
    <t>PV panels</t>
  </si>
  <si>
    <t>Solar</t>
  </si>
  <si>
    <t>PV-Tracking Flat panel</t>
  </si>
  <si>
    <t>Colongra</t>
  </si>
  <si>
    <t>4 x 181</t>
  </si>
  <si>
    <t>CCGT</t>
  </si>
  <si>
    <t>Eraring</t>
  </si>
  <si>
    <t>Origin Energy Eraring Pty Ltd</t>
  </si>
  <si>
    <t>4 x 720</t>
  </si>
  <si>
    <t>Gullen Range Solar Farm</t>
  </si>
  <si>
    <t>New Gullen Range Wind Farm Pty Ltd</t>
  </si>
  <si>
    <t>4 x 2.5</t>
  </si>
  <si>
    <t>Gunning Wind Energy Developments</t>
  </si>
  <si>
    <t>31 x 1.5</t>
  </si>
  <si>
    <t>Guthega</t>
  </si>
  <si>
    <t>2 x 30</t>
  </si>
  <si>
    <t>EnergyAustralia</t>
  </si>
  <si>
    <t>Hume NSW</t>
  </si>
  <si>
    <t>GSP Energy Pty Ltd</t>
  </si>
  <si>
    <t>1 x 29</t>
  </si>
  <si>
    <t>Hunter Valley GT</t>
  </si>
  <si>
    <t>2 x 25</t>
  </si>
  <si>
    <t>Liddell</t>
  </si>
  <si>
    <t>4 x 500</t>
  </si>
  <si>
    <t>Announced Withdrawal</t>
  </si>
  <si>
    <t>Manildra Photovoltaic Solar Farm</t>
  </si>
  <si>
    <t>Manildra Prop Pty Ltd as trustee for the Manildra Asset Trust</t>
  </si>
  <si>
    <t>20 x 2.5</t>
  </si>
  <si>
    <t>Moree Solar Farm</t>
  </si>
  <si>
    <t>Moree Solar Farm Pty Ltd</t>
  </si>
  <si>
    <t>56 x 1</t>
  </si>
  <si>
    <t>Mt Piper</t>
  </si>
  <si>
    <t>2 x 660</t>
  </si>
  <si>
    <t>77 x 1.325</t>
  </si>
  <si>
    <t>Parkes Solar Farm</t>
  </si>
  <si>
    <t>Parkes Solar Farm Pty Ltd</t>
  </si>
  <si>
    <t>Sapphire Wind Farm</t>
  </si>
  <si>
    <t>SWF Nominees Pty Ltd as Trustee for SWF Asset Trust</t>
  </si>
  <si>
    <t>75 x 3.6</t>
  </si>
  <si>
    <t>Shoalhaven</t>
  </si>
  <si>
    <t>2 x 40
2 x 80</t>
  </si>
  <si>
    <t>Silverton Wind Farm</t>
  </si>
  <si>
    <t>PARF Company 8 Pty Ltd as trustee for the Silverton Project Trust</t>
  </si>
  <si>
    <t>58 x 3.43</t>
  </si>
  <si>
    <t>Smithfield Energy Facility</t>
  </si>
  <si>
    <t>Visy Power Generation</t>
  </si>
  <si>
    <t>3 x 36.3
1 x 62</t>
  </si>
  <si>
    <t>Tallawarra</t>
  </si>
  <si>
    <t>1 x 435</t>
  </si>
  <si>
    <t>Energy Pacific Vic Pty Ltd</t>
  </si>
  <si>
    <t>9 x 3
21 x 1.8
21 x 2</t>
  </si>
  <si>
    <t>Ratch Australia</t>
  </si>
  <si>
    <t>Tumut 3</t>
  </si>
  <si>
    <t>6 x 250</t>
  </si>
  <si>
    <t>Upper Tumut</t>
  </si>
  <si>
    <t>4 x 72
4 x 82</t>
  </si>
  <si>
    <t>Uranquinty</t>
  </si>
  <si>
    <t>Origin Energy Uranquinty Power Pty Ltd</t>
  </si>
  <si>
    <t>4 x 166</t>
  </si>
  <si>
    <t>Vales Point B</t>
  </si>
  <si>
    <t>Delta Electricity</t>
  </si>
  <si>
    <t>White Rock Wind Farm Pty Ltd</t>
  </si>
  <si>
    <t>Woodlawn Wind Farm</t>
  </si>
  <si>
    <t>Woodlawn Wind Pty Ltd</t>
  </si>
  <si>
    <t>23 x 2.1</t>
  </si>
  <si>
    <t>Total</t>
  </si>
  <si>
    <t>1</t>
  </si>
  <si>
    <t>0</t>
  </si>
  <si>
    <t>Beryl Solar Farm</t>
  </si>
  <si>
    <t>Inverters 1-60</t>
  </si>
  <si>
    <t>Bodangora Wind Farm</t>
  </si>
  <si>
    <t>Units 1-33</t>
  </si>
  <si>
    <t>Coleambally Solar Farm</t>
  </si>
  <si>
    <t>Crookwell 2 Wind Farm</t>
  </si>
  <si>
    <t>Units 1-28</t>
  </si>
  <si>
    <t>5</t>
  </si>
  <si>
    <t>12</t>
  </si>
  <si>
    <t>10</t>
  </si>
  <si>
    <t>8</t>
  </si>
  <si>
    <t>32</t>
  </si>
  <si>
    <t>Solar Panels</t>
  </si>
  <si>
    <t>Kangaroo Valley 5</t>
  </si>
  <si>
    <t>1-37</t>
  </si>
  <si>
    <t>Station</t>
  </si>
  <si>
    <t>Existing non-scheduled generation</t>
  </si>
  <si>
    <t>Nameplate Capacity (MW)</t>
  </si>
  <si>
    <t>101 Miller Street</t>
  </si>
  <si>
    <t>Cogent Energy Pty Ltd</t>
  </si>
  <si>
    <t>In service</t>
  </si>
  <si>
    <t>20 Bond St</t>
  </si>
  <si>
    <t>275 Kent St</t>
  </si>
  <si>
    <t>40 Mount St</t>
  </si>
  <si>
    <t>8 Chifley Place</t>
  </si>
  <si>
    <t>Albury Renewable Energy Facility</t>
  </si>
  <si>
    <t>LMS Energy Pty Ltd</t>
  </si>
  <si>
    <t>Landfill Methane / Landfill Gas</t>
  </si>
  <si>
    <t>Appin</t>
  </si>
  <si>
    <t>EDL CSM NSW Pty Ltd</t>
  </si>
  <si>
    <t>Waste Coal Mine Gas</t>
  </si>
  <si>
    <t>Awaba</t>
  </si>
  <si>
    <t>LMS ENERGY Pty Ltd</t>
  </si>
  <si>
    <t>Bankstown Sports Club</t>
  </si>
  <si>
    <t>Belconnen</t>
  </si>
  <si>
    <t>EDL LFG ACT Pty Ltd</t>
  </si>
  <si>
    <t>Belrose</t>
  </si>
  <si>
    <t>EDL LFG NSW Pty Ltd</t>
  </si>
  <si>
    <t>Blackmores</t>
  </si>
  <si>
    <t>Blayney</t>
  </si>
  <si>
    <t>Blaney and Crookwell WindFarm Pty Ltd</t>
  </si>
  <si>
    <t>Broadwater and Condong Co-generation plants</t>
  </si>
  <si>
    <t>Cape Byron Management</t>
  </si>
  <si>
    <t>Bagasse</t>
  </si>
  <si>
    <t>Broken Hill GT</t>
  </si>
  <si>
    <t>Essential Energy</t>
  </si>
  <si>
    <t>Burrendong</t>
  </si>
  <si>
    <t>Burrinjuck</t>
  </si>
  <si>
    <t>Green State Power Pty Ltd</t>
  </si>
  <si>
    <t>Capital East Solar Farm P1</t>
  </si>
  <si>
    <t>Capital East Solar Pty Ltd</t>
  </si>
  <si>
    <t>Capital Wind Farm</t>
  </si>
  <si>
    <t>Renewable Power Ventures Pty Ltd</t>
  </si>
  <si>
    <t>Condong</t>
  </si>
  <si>
    <t>Cape Byron Power</t>
  </si>
  <si>
    <t>Copeton</t>
  </si>
  <si>
    <t>Crookwell</t>
  </si>
  <si>
    <t>Cullerin Range Wind Farm</t>
  </si>
  <si>
    <t>Cullerin Range Wind Farm Pty Ltd</t>
  </si>
  <si>
    <t>Earthpower Technologies Sydney</t>
  </si>
  <si>
    <t>Biogas - Sludge captured for combustion methane only</t>
  </si>
  <si>
    <t>Eastern Creek</t>
  </si>
  <si>
    <t>Eastern Creek 2 Gas Utilisation Facility</t>
  </si>
  <si>
    <t>Pacific Hydro Investments Pty Ltd</t>
  </si>
  <si>
    <t>Eraring GT</t>
  </si>
  <si>
    <t>Erskine Park</t>
  </si>
  <si>
    <t>Glenbawn</t>
  </si>
  <si>
    <t>Glennies Creek</t>
  </si>
  <si>
    <t>EDL OCI Pty Ltd</t>
  </si>
  <si>
    <t>Grange Avenue</t>
  </si>
  <si>
    <t>Griffith Solar Farm</t>
  </si>
  <si>
    <t>Griffith Solar Farm Pty Ltd</t>
  </si>
  <si>
    <t>Jacks Gully</t>
  </si>
  <si>
    <t>Jindabyne</t>
  </si>
  <si>
    <t>Jounama</t>
  </si>
  <si>
    <t>Keepit</t>
  </si>
  <si>
    <t>Lucas Heights 2</t>
  </si>
  <si>
    <t>Lucas Heights I</t>
  </si>
  <si>
    <t>Mount Majura</t>
  </si>
  <si>
    <t>Mount Majura Solar Holdings Pty Ltd</t>
  </si>
  <si>
    <t>Mugga Lane</t>
  </si>
  <si>
    <t>Mugga Lane Solar Park</t>
  </si>
  <si>
    <t>Mugga Lane Solar Park Pty Ltd</t>
  </si>
  <si>
    <t>Narromine Solar Farm</t>
  </si>
  <si>
    <t>Dubbo Solar Hub Pty Ltd</t>
  </si>
  <si>
    <t>Nine Network Willoughby</t>
  </si>
  <si>
    <t>Nine Network</t>
  </si>
  <si>
    <t>Pindari</t>
  </si>
  <si>
    <t>Royalla Solar Farm</t>
  </si>
  <si>
    <t>Royalla Asset Pty Ltd ATF Royalla Asset Trust</t>
  </si>
  <si>
    <t>South Keswick Solar Farm</t>
  </si>
  <si>
    <t>St George Leagues Club</t>
  </si>
  <si>
    <t>Summer Hill</t>
  </si>
  <si>
    <t>Tahmoor</t>
  </si>
  <si>
    <t>EDL TT Pty Ltd</t>
  </si>
  <si>
    <t>Teralba</t>
  </si>
  <si>
    <t>Envirogen Pty Ltd</t>
  </si>
  <si>
    <t>The Drop</t>
  </si>
  <si>
    <t>Tower</t>
  </si>
  <si>
    <t>UNSW C25</t>
  </si>
  <si>
    <t>Warragamba HEPS</t>
  </si>
  <si>
    <t>Water NSW</t>
  </si>
  <si>
    <t>West Illawarra Leagues Club</t>
  </si>
  <si>
    <t>Wests Illawarra Leagues Club</t>
  </si>
  <si>
    <t>West Nowra Landfill Gas Power Generation Facility</t>
  </si>
  <si>
    <t>Western Suburbs League Club Campbelltown</t>
  </si>
  <si>
    <t>Wilga Park Power Station A</t>
  </si>
  <si>
    <t>Santos</t>
  </si>
  <si>
    <t>Wilga Park Power Station B</t>
  </si>
  <si>
    <t>Williamsdale Solar Farm</t>
  </si>
  <si>
    <t>OneSun Capital 10MW Operting Pty Ltd</t>
  </si>
  <si>
    <t>Woodlawn Bioreactor Energy Generation</t>
  </si>
  <si>
    <t>Veolia Environmental Services Aust P/L</t>
  </si>
  <si>
    <t>Wyangala A</t>
  </si>
  <si>
    <t>Hydro Power Pty Ltd</t>
  </si>
  <si>
    <t>Wyangala B</t>
  </si>
  <si>
    <t>Wyong</t>
  </si>
  <si>
    <t>Projects under development</t>
  </si>
  <si>
    <t>Project</t>
  </si>
  <si>
    <t>Unit Status</t>
  </si>
  <si>
    <t>Full Commercial Use Date</t>
  </si>
  <si>
    <t>TBA</t>
  </si>
  <si>
    <t>No</t>
  </si>
  <si>
    <t>Yes</t>
  </si>
  <si>
    <t>NS</t>
  </si>
  <si>
    <t>144</t>
  </si>
  <si>
    <t>1-31</t>
  </si>
  <si>
    <t>Generation capacity in the NEM</t>
  </si>
  <si>
    <t>Disclaimer</t>
  </si>
  <si>
    <t>This document is subject to an important disclaimer that limits or excludes AEMO's liability.</t>
  </si>
  <si>
    <t>Status</t>
  </si>
  <si>
    <t>Coal</t>
  </si>
  <si>
    <t>Gas other</t>
  </si>
  <si>
    <t>Biomass</t>
  </si>
  <si>
    <t>Other</t>
  </si>
  <si>
    <t>Existing</t>
  </si>
  <si>
    <t>Existing less Announced Withdrawal</t>
  </si>
  <si>
    <t>Committed</t>
  </si>
  <si>
    <t>Proposed</t>
  </si>
  <si>
    <t>Withdrawn</t>
  </si>
  <si>
    <t>Note: Existing includes Announced Withdrawal</t>
  </si>
  <si>
    <t>summary_status</t>
  </si>
  <si>
    <t>nameplatecapacity_mw_max</t>
  </si>
  <si>
    <t>capacity_empty</t>
  </si>
  <si>
    <t>region</t>
  </si>
  <si>
    <t>summary_bucket</t>
  </si>
  <si>
    <t>Publicly Announced</t>
  </si>
  <si>
    <t>Com*</t>
  </si>
  <si>
    <t>Bango Wind Farm</t>
  </si>
  <si>
    <t>Bango Wind Farm Pty Ltd</t>
  </si>
  <si>
    <t>up to 70</t>
  </si>
  <si>
    <t>280</t>
  </si>
  <si>
    <t>FS NSW Project No 1 AT Pty Ltd as trustee of FS NSW Project No 1 Asset Trust</t>
  </si>
  <si>
    <t>98.4</t>
  </si>
  <si>
    <t>Biala Wind Farm</t>
  </si>
  <si>
    <t>BJCE Australia</t>
  </si>
  <si>
    <t>1 - 31</t>
  </si>
  <si>
    <t>Oct 2019</t>
  </si>
  <si>
    <t>BluesScope Cogeneration Plant</t>
  </si>
  <si>
    <t>BlueScope</t>
  </si>
  <si>
    <t>225</t>
  </si>
  <si>
    <t>Bodangora Wind Farm Pty Ltd</t>
  </si>
  <si>
    <t>113.19</t>
  </si>
  <si>
    <t>Bogan River</t>
  </si>
  <si>
    <t>Infigen Energy</t>
  </si>
  <si>
    <t>Bomen Solar Farm</t>
  </si>
  <si>
    <t>Renew Estate</t>
  </si>
  <si>
    <t>120</t>
  </si>
  <si>
    <t>Brewongle Solar Farm</t>
  </si>
  <si>
    <t>Photon Energy</t>
  </si>
  <si>
    <t>TSM-330DD14AII</t>
  </si>
  <si>
    <t>Emerging</t>
  </si>
  <si>
    <t>112</t>
  </si>
  <si>
    <t>Brocklehurst Solar Farm</t>
  </si>
  <si>
    <t>29</t>
  </si>
  <si>
    <t>Vena Energy</t>
  </si>
  <si>
    <t>Units 1 to n</t>
  </si>
  <si>
    <t>150</t>
  </si>
  <si>
    <t>Capital 2 Wind Farm</t>
  </si>
  <si>
    <t>100</t>
  </si>
  <si>
    <t>Oct 2020</t>
  </si>
  <si>
    <t>Capital Solar Farm</t>
  </si>
  <si>
    <t>Capital Solar Farm Pty Ltd</t>
  </si>
  <si>
    <t>Inverters 1 - 34</t>
  </si>
  <si>
    <t>50</t>
  </si>
  <si>
    <t>Carrick Solar Farm</t>
  </si>
  <si>
    <t>LR6-72HV 345</t>
  </si>
  <si>
    <t>Chipping Norton Waste to Energy</t>
  </si>
  <si>
    <t>Benedict Indistries P/L</t>
  </si>
  <si>
    <t>Waste to Energy</t>
  </si>
  <si>
    <t>Biomass recycled municipal and industrial materials</t>
  </si>
  <si>
    <t>Neoen</t>
  </si>
  <si>
    <t>Collector</t>
  </si>
  <si>
    <t>189</t>
  </si>
  <si>
    <t>Sep 2020</t>
  </si>
  <si>
    <t>Corowa Solar Farm</t>
  </si>
  <si>
    <t>Corowa Operationsco Pty Ltd as trustee for Corowa Operations Trust</t>
  </si>
  <si>
    <t>Units 1-6
Units 7-8</t>
  </si>
  <si>
    <t>Crookwell Development Pty Ltd</t>
  </si>
  <si>
    <t>91</t>
  </si>
  <si>
    <t>Crookwell 3 Wind Farm</t>
  </si>
  <si>
    <t>Units 1-23</t>
  </si>
  <si>
    <t>88.09</t>
  </si>
  <si>
    <t>Crudine Ridge Wind Farm</t>
  </si>
  <si>
    <t>CRWF Nominees Pty Ltd</t>
  </si>
  <si>
    <t>135</t>
  </si>
  <si>
    <t>Currawarra Solar Farm</t>
  </si>
  <si>
    <t>RES Australia Pty Ltd</t>
  </si>
  <si>
    <t>195</t>
  </si>
  <si>
    <t>Darlington Point Solar Farm</t>
  </si>
  <si>
    <t>275</t>
  </si>
  <si>
    <t>Dunedoo Solar Farm</t>
  </si>
  <si>
    <t>ib vogt GmbH</t>
  </si>
  <si>
    <t>66</t>
  </si>
  <si>
    <t>Flyers Creek Wind Farm</t>
  </si>
  <si>
    <t>Units 1-42</t>
  </si>
  <si>
    <t>Jul 2020</t>
  </si>
  <si>
    <t>Gilgandra Solar Farm</t>
  </si>
  <si>
    <t>40</t>
  </si>
  <si>
    <t>Glen Innes Wind Farm</t>
  </si>
  <si>
    <t>Glen Innes WindPower Pty Ltd</t>
  </si>
  <si>
    <t>Units 1-25</t>
  </si>
  <si>
    <t>90</t>
  </si>
  <si>
    <t>Gloucester Gas Project</t>
  </si>
  <si>
    <t>15</t>
  </si>
  <si>
    <t>Goonumbla Solar Farm</t>
  </si>
  <si>
    <t>70</t>
  </si>
  <si>
    <t>Granite Hills Wind Farm</t>
  </si>
  <si>
    <t>Akuo Energy</t>
  </si>
  <si>
    <t>121</t>
  </si>
  <si>
    <t>Gunnedah Solar Farm</t>
  </si>
  <si>
    <t>CS3U-380MS</t>
  </si>
  <si>
    <t>115</t>
  </si>
  <si>
    <t>Gunning Solar Farm</t>
  </si>
  <si>
    <t>300</t>
  </si>
  <si>
    <t>Hay Sun Farm</t>
  </si>
  <si>
    <t>Overland Sun Farming Pty Ltd</t>
  </si>
  <si>
    <t>110</t>
  </si>
  <si>
    <t>85</t>
  </si>
  <si>
    <t>Jemalong Solar</t>
  </si>
  <si>
    <t>Vast Solar</t>
  </si>
  <si>
    <t>Junee Solar Farm</t>
  </si>
  <si>
    <t>Junee Operationsco Pty Ltd as trustee for Junee Operations Trust</t>
  </si>
  <si>
    <t>Jupiter Wind Farm</t>
  </si>
  <si>
    <t>EPYC Pty Ltd</t>
  </si>
  <si>
    <t>1-88</t>
  </si>
  <si>
    <t>350</t>
  </si>
  <si>
    <t>Liverpool Range Wind Farm</t>
  </si>
  <si>
    <t>EPURON Pty Ltd</t>
  </si>
  <si>
    <t>Units 1-267</t>
  </si>
  <si>
    <t>1000</t>
  </si>
  <si>
    <t>Marulan - OCGT/CCGT</t>
  </si>
  <si>
    <t>Maryvale Solar Farm</t>
  </si>
  <si>
    <t>LR6-72HV 345Wp</t>
  </si>
  <si>
    <t>Metz Solar Farm</t>
  </si>
  <si>
    <t>Moama Solar Farm</t>
  </si>
  <si>
    <t>Moama Operationsco Pty Ltd as trustee for Moama Operations Trust</t>
  </si>
  <si>
    <t>Molong Solar Farm</t>
  </si>
  <si>
    <t>Mumbil Solar Farm</t>
  </si>
  <si>
    <t>Newcastle Gas Peaker</t>
  </si>
  <si>
    <t>AGL Energy Limited</t>
  </si>
  <si>
    <t>250</t>
  </si>
  <si>
    <t>Dec 2022</t>
  </si>
  <si>
    <t>NSW Energy Cluster</t>
  </si>
  <si>
    <t>Alinta Energy Retail Sales Pty Ltd</t>
  </si>
  <si>
    <t>500</t>
  </si>
  <si>
    <t>Nov 2020</t>
  </si>
  <si>
    <t>NSW Gas Peaker</t>
  </si>
  <si>
    <t>Orange Grove Sun Farm</t>
  </si>
  <si>
    <t>80</t>
  </si>
  <si>
    <t>Paling Yards Wind Farm</t>
  </si>
  <si>
    <t>Global Power Generation Australia Pty Ltd</t>
  </si>
  <si>
    <t>Units 1-55</t>
  </si>
  <si>
    <t>231</t>
  </si>
  <si>
    <t>Photon Energy Leeton</t>
  </si>
  <si>
    <t>Maturing</t>
  </si>
  <si>
    <t>22</t>
  </si>
  <si>
    <t>Rye Park Wind Farm</t>
  </si>
  <si>
    <t>Tilt Renewables Australia</t>
  </si>
  <si>
    <t>1- 109</t>
  </si>
  <si>
    <t>327</t>
  </si>
  <si>
    <t>Apr 2021</t>
  </si>
  <si>
    <t>Sandigo Solar Farm</t>
  </si>
  <si>
    <t>ESCO Pacific</t>
  </si>
  <si>
    <t>Shoalhaven Expansion (expansion)</t>
  </si>
  <si>
    <t>Origin Energy</t>
  </si>
  <si>
    <t>Snowy 2.0</t>
  </si>
  <si>
    <t>2000</t>
  </si>
  <si>
    <t>Springdale Solar Farm</t>
  </si>
  <si>
    <t>Sundown Solar Farm</t>
  </si>
  <si>
    <t>CWP Renewables Pty Ltd</t>
  </si>
  <si>
    <t>600</t>
  </si>
  <si>
    <t>Sunraysia Solar Farm</t>
  </si>
  <si>
    <t>200</t>
  </si>
  <si>
    <t>Suntop Solar Farm</t>
  </si>
  <si>
    <t>Photon Solar</t>
  </si>
  <si>
    <t>Tarleigh Park Solar Farm</t>
  </si>
  <si>
    <t>Tomago GT</t>
  </si>
  <si>
    <t>Tumut Pulp and Paper Mill</t>
  </si>
  <si>
    <t>Visy</t>
  </si>
  <si>
    <t>Biogas - other captured for combustion not methane</t>
  </si>
  <si>
    <t>Upper Hunter Energy Park Pty Ltd</t>
  </si>
  <si>
    <t>Units 1-31</t>
  </si>
  <si>
    <t>Uungula Wind Farm</t>
  </si>
  <si>
    <t>Uungula Wind Farm Pty Ltd</t>
  </si>
  <si>
    <t>1-249</t>
  </si>
  <si>
    <t>400 - 650</t>
  </si>
  <si>
    <t>Vales Point Solar</t>
  </si>
  <si>
    <t>Vales Point Solar 1</t>
  </si>
  <si>
    <t>55</t>
  </si>
  <si>
    <t>Jan 2020</t>
  </si>
  <si>
    <t>Wagga North Solar Farm</t>
  </si>
  <si>
    <t>Wagga Wagga Operationsco Pty Ltd as trustree for Wagga Wagga Operations Trust</t>
  </si>
  <si>
    <t>1-10
11-12</t>
  </si>
  <si>
    <t>Wee Waa Solar Farm</t>
  </si>
  <si>
    <t>Overland Sun Farming</t>
  </si>
  <si>
    <t>Wellington North Solar Farm</t>
  </si>
  <si>
    <t>Wellington Solar Farm</t>
  </si>
  <si>
    <t>First Solar Australia Pty Ltd</t>
  </si>
  <si>
    <t>Inverter 1 to 132</t>
  </si>
  <si>
    <t>West Narrabi Electricity Generating Facility</t>
  </si>
  <si>
    <t>Power Generation Partners</t>
  </si>
  <si>
    <t>Woolbrook Wind Farm</t>
  </si>
  <si>
    <t>Newtricity</t>
  </si>
  <si>
    <t>Yarrabee Solar Power Project</t>
  </si>
  <si>
    <t>Reach Solar Energy Management Co</t>
  </si>
  <si>
    <t>Yarrabee Solar</t>
  </si>
  <si>
    <t>Feb 2021</t>
  </si>
  <si>
    <t>Yass Valley Wind Farm</t>
  </si>
  <si>
    <t>Goldwind</t>
  </si>
  <si>
    <t>Wind turbines 1-79</t>
  </si>
  <si>
    <t>Bindaree Beef Biodigestor Pant</t>
  </si>
  <si>
    <t>Yolarno</t>
  </si>
  <si>
    <t>CRS Canberra</t>
  </si>
  <si>
    <t>Benedict Industries PL</t>
  </si>
  <si>
    <t>Goulburn Bioenergy</t>
  </si>
  <si>
    <t>ReNu Energy Limited</t>
  </si>
  <si>
    <t>1.6</t>
  </si>
  <si>
    <t>Moorambilla Solar Farm</t>
  </si>
  <si>
    <t>Moorambilla Solar Pty Ltd</t>
  </si>
  <si>
    <t>Narrabri South Solar Farm</t>
  </si>
  <si>
    <t>Canadian Solar</t>
  </si>
  <si>
    <t>Summerhill Solar Farm</t>
  </si>
  <si>
    <t>Newcastle Council</t>
  </si>
  <si>
    <t>Upper Hunter Energy Park - Solar</t>
  </si>
  <si>
    <t>Upper Hunter Energy Park - Wind</t>
  </si>
  <si>
    <t>http://www.aemo.com.au/Electricity/National-Electricity-Market-NEM/Planning-and-forecasting/Generation-information</t>
  </si>
  <si>
    <t>Please read the full disclaimer at:</t>
  </si>
  <si>
    <t>Changes since last update</t>
  </si>
  <si>
    <t>None to report.</t>
  </si>
  <si>
    <t xml:space="preserve">Generation withdrawals  </t>
  </si>
  <si>
    <t xml:space="preserve">Announced withdrawals (i.e. Mothballed, Seasonal Shut down etc.)           </t>
  </si>
  <si>
    <r>
      <rPr>
        <b/>
        <sz val="9"/>
        <rFont val="Arial"/>
        <family val="2"/>
      </rPr>
      <t>Liddell Power Station:</t>
    </r>
    <r>
      <rPr>
        <sz val="9"/>
        <rFont val="Arial"/>
        <family val="2"/>
      </rPr>
      <t xml:space="preserve"> AGL Energy Limited advises that Liddell C Power Station (2000 MW) is to shut down in 2022.</t>
    </r>
  </si>
  <si>
    <t>Committed projects</t>
  </si>
  <si>
    <t xml:space="preserve">Proposed projects </t>
  </si>
  <si>
    <t>Please refer to information presented in the worksheet titled 'New Developments'.</t>
  </si>
  <si>
    <t xml:space="preserve">Plant limitations </t>
  </si>
  <si>
    <t>AEMO has not been advised of any plant limitations for this region.</t>
  </si>
  <si>
    <t>New South Wales existing and potential new developments by generation type (MW)</t>
  </si>
  <si>
    <t>Publication date:</t>
  </si>
  <si>
    <r>
      <rPr>
        <b/>
        <sz val="9"/>
        <rFont val="Arial"/>
        <family val="2"/>
      </rPr>
      <t xml:space="preserve">Eraring Power Station: </t>
    </r>
    <r>
      <rPr>
        <sz val="9"/>
        <rFont val="Arial"/>
        <family val="2"/>
      </rPr>
      <t>Eraring Energy advises that the upgrade of unit 4 was completed in November 2012.</t>
    </r>
  </si>
  <si>
    <r>
      <t>Wallerawang Power Station:</t>
    </r>
    <r>
      <rPr>
        <sz val="9"/>
        <color theme="1"/>
        <rFont val="Arial"/>
        <family val="2"/>
      </rPr>
      <t xml:space="preserve"> Energy Australia advises that the Wallerawang plant has revised its available capacity from 1,000 MW to 500 MW (-500 MW) for summer 2013–14 and winter 2013, due to the unit with DUID (dispatchable unit ID) WW7 being unavailable and only being brought back into service under extreme weather conditions.</t>
    </r>
  </si>
  <si>
    <r>
      <t>Colongra Power Station:</t>
    </r>
    <r>
      <rPr>
        <sz val="9"/>
        <color theme="1"/>
        <rFont val="Arial"/>
        <family val="2"/>
      </rPr>
      <t xml:space="preserve"> Delta Electricity advises that the Colongra plant available capacity has been revised from 668 MW to 724 MW (+56 MW) in summer, based on operating with distillate fuel.</t>
    </r>
  </si>
  <si>
    <r>
      <t>Wallerawang Power Station:</t>
    </r>
    <r>
      <rPr>
        <sz val="9"/>
        <color theme="1"/>
        <rFont val="Arial"/>
        <family val="2"/>
      </rPr>
      <t xml:space="preserve"> Energy Australia advises that the Wallerawang plant available capacity has been revised from 500 MW to 1,000 MW (+500 MW) in summer 2013–14, where both units are available dependant on demand.</t>
    </r>
  </si>
  <si>
    <r>
      <t>Liddell Power Station:</t>
    </r>
    <r>
      <rPr>
        <sz val="9"/>
        <color theme="1"/>
        <rFont val="Arial"/>
        <family val="2"/>
      </rPr>
      <t xml:space="preserve"> Energy Australia advises that the Liddell plant available capacity has been revised from 2,060 MW to 2,020 MW (-40 MW) in summer and winter due to a reassessment of plant capacity.</t>
    </r>
  </si>
  <si>
    <r>
      <rPr>
        <b/>
        <sz val="9"/>
        <color theme="1"/>
        <rFont val="Arial"/>
        <family val="2"/>
      </rPr>
      <t xml:space="preserve">Tallawarra Power Station: </t>
    </r>
    <r>
      <rPr>
        <sz val="9"/>
        <color theme="1"/>
        <rFont val="Arial"/>
        <family val="2"/>
      </rPr>
      <t xml:space="preserve"> Energy Australia advises that the Tallawarra plant's available capacity has been revised from 435 MW to 440 MW (+5 MW) in winter.</t>
    </r>
  </si>
  <si>
    <r>
      <rPr>
        <b/>
        <sz val="9"/>
        <color theme="1"/>
        <rFont val="Arial"/>
        <family val="2"/>
      </rPr>
      <t>Gullen Range Wind Farm</t>
    </r>
    <r>
      <rPr>
        <sz val="9"/>
        <color theme="1"/>
        <rFont val="Arial"/>
        <family val="2"/>
      </rPr>
      <t>: Gullen Range Wind Farm Pty Ltd advises that this is a committed project. Construction at the site has commenced and commissioning is planned for July 2014.</t>
    </r>
  </si>
  <si>
    <r>
      <rPr>
        <b/>
        <sz val="9"/>
        <color theme="1"/>
        <rFont val="Arial"/>
        <family val="2"/>
      </rPr>
      <t>Capital East Solar Farm P1</t>
    </r>
    <r>
      <rPr>
        <sz val="9"/>
        <color theme="1"/>
        <rFont val="Arial"/>
        <family val="2"/>
      </rPr>
      <t>: Infigen's Capital East Solar Farm demonstration facility is a committed project. Construction at site has commenced.</t>
    </r>
  </si>
  <si>
    <r>
      <rPr>
        <b/>
        <sz val="9"/>
        <color theme="1"/>
        <rFont val="Arial"/>
        <family val="2"/>
      </rPr>
      <t>Boco Rock Wind Farm</t>
    </r>
    <r>
      <rPr>
        <sz val="9"/>
        <color theme="1"/>
        <rFont val="Arial"/>
        <family val="2"/>
      </rPr>
      <t>: Boco Rock Wind Farm Pty Ltd advises that this is a committed project. Construction of the first phase of 113 MW at the site has commenced and commissioning is planned for December 2014.</t>
    </r>
  </si>
  <si>
    <r>
      <rPr>
        <b/>
        <sz val="9"/>
        <color theme="1"/>
        <rFont val="Arial"/>
        <family val="2"/>
      </rPr>
      <t>Taralga Wind Farm</t>
    </r>
    <r>
      <rPr>
        <sz val="9"/>
        <color theme="1"/>
        <rFont val="Arial"/>
        <family val="2"/>
      </rPr>
      <t>: CBD Energy/Banco Santander advises that this 106.7 MW Wind Farm is a committed project. Construction at the site has commenced and commissioning is planned for October 2014.</t>
    </r>
  </si>
  <si>
    <r>
      <rPr>
        <b/>
        <sz val="9"/>
        <color theme="1"/>
        <rFont val="Arial"/>
        <family val="2"/>
      </rPr>
      <t>Capital East Solar Farm P1</t>
    </r>
    <r>
      <rPr>
        <sz val="9"/>
        <color theme="1"/>
        <rFont val="Arial"/>
        <family val="2"/>
      </rPr>
      <t>: Infigen's Capital East Solar Farm (0.13 MW) demonstration facility project is was completed in June 2013.</t>
    </r>
  </si>
  <si>
    <r>
      <rPr>
        <b/>
        <sz val="9"/>
        <color theme="1"/>
        <rFont val="Arial"/>
        <family val="2"/>
      </rPr>
      <t>Broken Hill:</t>
    </r>
    <r>
      <rPr>
        <sz val="9"/>
        <color theme="1"/>
        <rFont val="Arial"/>
        <family val="2"/>
      </rPr>
      <t xml:space="preserve"> AGL Energy Limited advises that both the </t>
    </r>
    <r>
      <rPr>
        <b/>
        <sz val="9"/>
        <color theme="1"/>
        <rFont val="Arial"/>
        <family val="2"/>
      </rPr>
      <t xml:space="preserve">Broken Hill </t>
    </r>
    <r>
      <rPr>
        <sz val="9"/>
        <color theme="1"/>
        <rFont val="Arial"/>
        <family val="2"/>
      </rPr>
      <t>(53 MW) large-scale solar photovoltaic (PV) project is set to proceed after achieving financial close. Construction of the Broken Hill project is expected to commence in July 2014, and is scheduled to be completed around November 2015.</t>
    </r>
  </si>
  <si>
    <r>
      <rPr>
        <b/>
        <sz val="9"/>
        <color theme="1"/>
        <rFont val="Arial"/>
        <family val="2"/>
      </rPr>
      <t>Nyngan:</t>
    </r>
    <r>
      <rPr>
        <sz val="9"/>
        <color theme="1"/>
        <rFont val="Arial"/>
        <family val="2"/>
      </rPr>
      <t xml:space="preserve"> AGL Energy Limited advises that both the </t>
    </r>
    <r>
      <rPr>
        <b/>
        <sz val="9"/>
        <color theme="1"/>
        <rFont val="Arial"/>
        <family val="2"/>
      </rPr>
      <t xml:space="preserve">Nyngan </t>
    </r>
    <r>
      <rPr>
        <sz val="9"/>
        <color theme="1"/>
        <rFont val="Arial"/>
        <family val="2"/>
      </rPr>
      <t>(102 MW) large-scale solar photovoltaic (PV) projects is set to proceed after achieving financial close. Construction of the Nyngan project is expected to commence in February 2014, with completion scheduled by mid 2015.</t>
    </r>
  </si>
  <si>
    <r>
      <rPr>
        <b/>
        <sz val="9"/>
        <color theme="1"/>
        <rFont val="Arial"/>
        <family val="2"/>
      </rPr>
      <t xml:space="preserve">Royalla Solar Farm: </t>
    </r>
    <r>
      <rPr>
        <sz val="9"/>
        <color theme="1"/>
        <rFont val="Arial"/>
        <family val="2"/>
      </rPr>
      <t xml:space="preserve">Royalla Asset Pty Ltd ATF Royalla Asset Trust advises that </t>
    </r>
    <r>
      <rPr>
        <b/>
        <sz val="9"/>
        <color theme="1"/>
        <rFont val="Arial"/>
        <family val="2"/>
      </rPr>
      <t>Royalla Solar Farm</t>
    </r>
    <r>
      <rPr>
        <sz val="9"/>
        <color theme="1"/>
        <rFont val="Arial"/>
        <family val="2"/>
      </rPr>
      <t xml:space="preserve"> (20 MW) in ACT is now classified as a committed project, and construction at the site has commenced, with full commissioning planned for August 2014.</t>
    </r>
  </si>
  <si>
    <r>
      <rPr>
        <b/>
        <sz val="9"/>
        <color theme="1"/>
        <rFont val="Arial"/>
        <family val="2"/>
      </rPr>
      <t xml:space="preserve">Onesun Capital Solar Farm: </t>
    </r>
    <r>
      <rPr>
        <sz val="9"/>
        <color theme="1"/>
        <rFont val="Arial"/>
        <family val="2"/>
      </rPr>
      <t xml:space="preserve">Elementus Energy Pty Ltd advises that </t>
    </r>
    <r>
      <rPr>
        <b/>
        <sz val="9"/>
        <color theme="1"/>
        <rFont val="Arial"/>
        <family val="2"/>
      </rPr>
      <t>Onesun Capital Solar Farm</t>
    </r>
    <r>
      <rPr>
        <sz val="9"/>
        <color theme="1"/>
        <rFont val="Arial"/>
        <family val="2"/>
      </rPr>
      <t xml:space="preserve"> (7 MW) in ACT expects construction to commence in June 2014, with full commissioning planned for April 2015. </t>
    </r>
  </si>
  <si>
    <r>
      <rPr>
        <b/>
        <sz val="9"/>
        <color theme="1"/>
        <rFont val="Arial"/>
        <family val="2"/>
      </rPr>
      <t xml:space="preserve">Mugga Lane Solar Facility: </t>
    </r>
    <r>
      <rPr>
        <sz val="9"/>
        <color theme="1"/>
        <rFont val="Arial"/>
        <family val="2"/>
      </rPr>
      <t xml:space="preserve">Zhenfa Canberra Solar Farm One Pty Ltd advises that </t>
    </r>
    <r>
      <rPr>
        <b/>
        <sz val="9"/>
        <color theme="1"/>
        <rFont val="Arial"/>
        <family val="2"/>
      </rPr>
      <t>Mugga Lane Solar Facility</t>
    </r>
    <r>
      <rPr>
        <sz val="9"/>
        <color theme="1"/>
        <rFont val="Arial"/>
        <family val="2"/>
      </rPr>
      <t xml:space="preserve"> (13 MW) in ACT expects construction to commence in June 2014, with full commissioning planned for Q4 2014. </t>
    </r>
  </si>
  <si>
    <r>
      <rPr>
        <b/>
        <sz val="9"/>
        <color theme="1"/>
        <rFont val="Arial"/>
        <family val="2"/>
      </rPr>
      <t xml:space="preserve">Nyngan Solar Plant: </t>
    </r>
    <r>
      <rPr>
        <sz val="9"/>
        <color theme="1"/>
        <rFont val="Arial"/>
        <family val="2"/>
      </rPr>
      <t>AGL Engergy Limited advises the Nyngan Solar Plant</t>
    </r>
    <r>
      <rPr>
        <b/>
        <sz val="10"/>
        <color theme="1"/>
        <rFont val="Arial"/>
        <family val="2"/>
      </rPr>
      <t xml:space="preserve"> </t>
    </r>
    <r>
      <rPr>
        <sz val="10"/>
        <color theme="1"/>
        <rFont val="Arial"/>
        <family val="2"/>
      </rPr>
      <t>(102 MW solar) is now classified as a committed project. Construction has commenced, and full commissioning is planned for July 2015.</t>
    </r>
  </si>
  <si>
    <r>
      <rPr>
        <b/>
        <sz val="9"/>
        <color theme="1"/>
        <rFont val="Arial"/>
        <family val="2"/>
      </rPr>
      <t xml:space="preserve">Jupiter Wind Farm Project: </t>
    </r>
    <r>
      <rPr>
        <sz val="9"/>
        <color theme="1"/>
        <rFont val="Arial"/>
        <family val="2"/>
      </rPr>
      <t>EPYC Pty Ltd has announced the Jupiter Wind Farm Project (up to 100 wind turbines). If approved, construction and commissioning of the wind farm near Tarago would be completed by the end of 2016. The capacity of the project is yet to be advised.</t>
    </r>
  </si>
  <si>
    <r>
      <rPr>
        <b/>
        <sz val="9"/>
        <color theme="1"/>
        <rFont val="Arial"/>
        <family val="2"/>
      </rPr>
      <t xml:space="preserve">Wallerawang C: </t>
    </r>
    <r>
      <rPr>
        <sz val="9"/>
        <color theme="1"/>
        <rFont val="Arial"/>
        <family val="2"/>
      </rPr>
      <t>EnergyAustralia advises that Wallerawang C unit 7 (500 MW black coal) has been removed from service in January 2014. Unit 8 (500 MW) will remain available until the end of March 2014, and will then be placed on a three-month recall should market conditions change.</t>
    </r>
  </si>
  <si>
    <r>
      <t>Bayswater Power Station:</t>
    </r>
    <r>
      <rPr>
        <sz val="9"/>
        <color theme="1"/>
        <rFont val="Arial"/>
        <family val="2"/>
      </rPr>
      <t xml:space="preserve"> Macquarie Generation advises that the Bayswater Power Station available capacity has been revised from 2,720 MW to 2,700 MW (-20 MW) in summer and winter due to a reassessment of plant capacity.</t>
    </r>
  </si>
  <si>
    <r>
      <rPr>
        <b/>
        <sz val="9"/>
        <rFont val="Arial"/>
        <family val="2"/>
      </rPr>
      <t>Guthega Power Station</t>
    </r>
    <r>
      <rPr>
        <sz val="9"/>
        <rFont val="Arial"/>
        <family val="2"/>
      </rPr>
      <t>: Snowy Hydro Ltd advises that Guthega's available capacity has been revised from 68 MW to 34 MW (-34 MW) for summer 2022–23, due to major refurbishment of unit 1; and 68 MW to 34 MW (-34 MW) for summer 2023–24, due to major refurbishment of unit 2.</t>
    </r>
  </si>
  <si>
    <r>
      <rPr>
        <b/>
        <sz val="9"/>
        <color theme="1"/>
        <rFont val="Arial"/>
        <family val="2"/>
      </rPr>
      <t>Broken Hill Solar Plant</t>
    </r>
    <r>
      <rPr>
        <sz val="9"/>
        <color theme="1"/>
        <rFont val="Arial"/>
        <family val="2"/>
      </rPr>
      <t>: AGL PV Solar Development Pty Limited advises that Broken Hill Solar Plant (53 MW) is a committed project. Construction of the 53 MW at the site is to commence in July 2014 and commissioning is planned for August 2015.</t>
    </r>
  </si>
  <si>
    <r>
      <rPr>
        <b/>
        <sz val="9"/>
        <color theme="1"/>
        <rFont val="Arial"/>
        <family val="2"/>
      </rPr>
      <t>Boco Rock Wind Farm</t>
    </r>
    <r>
      <rPr>
        <sz val="9"/>
        <color theme="1"/>
        <rFont val="Arial"/>
        <family val="2"/>
      </rPr>
      <t>: Boco Rock Wind Farm Pty Ltd advises that Boco Rock Wind Farm (113 MW) is a committed project. Construction of the first phase at the site has commenced and commissioning is planned for March 2015.</t>
    </r>
  </si>
  <si>
    <r>
      <rPr>
        <b/>
        <sz val="9"/>
        <rFont val="Arial"/>
        <family val="2"/>
      </rPr>
      <t xml:space="preserve">OneSun Capital: </t>
    </r>
    <r>
      <rPr>
        <sz val="9"/>
        <rFont val="Arial"/>
        <family val="2"/>
      </rPr>
      <t>Elementus Energy Pty Ltd advises that OneSun Capital (10 MW) construction is to commence in October 2014 and commissioning is planned for April 2015.</t>
    </r>
  </si>
  <si>
    <r>
      <rPr>
        <b/>
        <sz val="9"/>
        <color theme="1"/>
        <rFont val="Arial"/>
        <family val="2"/>
      </rPr>
      <t>Boco Rock Wind Farm</t>
    </r>
    <r>
      <rPr>
        <sz val="9"/>
        <color theme="1"/>
        <rFont val="Arial"/>
        <family val="2"/>
      </rPr>
      <t>: Boco Rock Wind Farm Pty Ltd advises that Boco Rock Wind Farm (113 MW) is a committed project. Construction of the first phase at the site has commenced and commissioning is planned for January 2015.</t>
    </r>
  </si>
  <si>
    <r>
      <rPr>
        <b/>
        <sz val="9"/>
        <color theme="1"/>
        <rFont val="Arial"/>
        <family val="2"/>
      </rPr>
      <t>Taralga Wind Farm</t>
    </r>
    <r>
      <rPr>
        <sz val="9"/>
        <color theme="1"/>
        <rFont val="Arial"/>
        <family val="2"/>
      </rPr>
      <t>: CBD Energy/Banco Santander advises that Taralga Wind Farm (106.7 MW) is a committed project. Construction at the site has commenced and commissioning is planned for May 2015.</t>
    </r>
  </si>
  <si>
    <r>
      <rPr>
        <b/>
        <sz val="9"/>
        <color theme="1"/>
        <rFont val="Arial"/>
        <family val="2"/>
      </rPr>
      <t xml:space="preserve">Royalla Solar Farm: </t>
    </r>
    <r>
      <rPr>
        <sz val="9"/>
        <color theme="1"/>
        <rFont val="Arial"/>
        <family val="2"/>
      </rPr>
      <t>Royalla Asset Pty Ltd ATF Royalla Asset Trust advises that Royalla Solar Farm</t>
    </r>
    <r>
      <rPr>
        <b/>
        <sz val="10"/>
        <color theme="1"/>
        <rFont val="Arial"/>
        <family val="2"/>
      </rPr>
      <t xml:space="preserve"> </t>
    </r>
    <r>
      <rPr>
        <sz val="10"/>
        <color theme="1"/>
        <rFont val="Arial"/>
        <family val="2"/>
      </rPr>
      <t>(20 MW) is a committed project. Construction has commenced, and full commissioning is planned for February 2015.</t>
    </r>
  </si>
  <si>
    <r>
      <rPr>
        <b/>
        <sz val="9"/>
        <color theme="1"/>
        <rFont val="Arial"/>
        <family val="2"/>
      </rPr>
      <t>Wallerawang C Power Station</t>
    </r>
    <r>
      <rPr>
        <sz val="9"/>
        <color theme="1"/>
        <rFont val="Arial"/>
        <family val="2"/>
      </rPr>
      <t>: EnergyAustralia advises that Wallerawang C Power Station (1000 MW black coal) has been removed from service in January 2014 (Unit 8 500 MW) and March 2014 (Unit 7 500 MW), and will permanently closed and decommissioned.</t>
    </r>
  </si>
  <si>
    <r>
      <rPr>
        <b/>
        <sz val="9"/>
        <color theme="1"/>
        <rFont val="Arial"/>
        <family val="2"/>
      </rPr>
      <t xml:space="preserve">Redbank Power Station: </t>
    </r>
    <r>
      <rPr>
        <sz val="9"/>
        <color theme="1"/>
        <rFont val="Arial"/>
        <family val="2"/>
      </rPr>
      <t>Redbank Energy Ltd advises that Redbank Power Station (143.8 MW black coal) has been removed from service from August 2014 and shut down. There are no future plans at this stage for Redbank to return to service.</t>
    </r>
  </si>
  <si>
    <r>
      <rPr>
        <b/>
        <sz val="9"/>
        <color theme="1"/>
        <rFont val="Arial"/>
        <family val="2"/>
      </rPr>
      <t>Gullen Range Wind Farm</t>
    </r>
    <r>
      <rPr>
        <sz val="9"/>
        <color theme="1"/>
        <rFont val="Arial"/>
        <family val="2"/>
      </rPr>
      <t>: Gullen Range Wind Farm Pty Ltd advises that Gullen Range Wind Farm (165.5 MW) project has been completed and in full commercial operation since November 2014.</t>
    </r>
  </si>
  <si>
    <r>
      <rPr>
        <b/>
        <sz val="9"/>
        <rFont val="Arial"/>
        <family val="2"/>
      </rPr>
      <t>Taralga Wind Farm</t>
    </r>
    <r>
      <rPr>
        <sz val="9"/>
        <rFont val="Arial"/>
        <family val="2"/>
      </rPr>
      <t>: CBD Energy/Banco Santander advises that Taralga Wind Farm (106.7 MW) is under construction and full commercial operation is planned for May 2015.</t>
    </r>
  </si>
  <si>
    <r>
      <rPr>
        <b/>
        <sz val="9"/>
        <rFont val="Arial"/>
        <family val="2"/>
      </rPr>
      <t xml:space="preserve">Moree Solar Farm: </t>
    </r>
    <r>
      <rPr>
        <sz val="9"/>
        <rFont val="Arial"/>
        <family val="2"/>
      </rPr>
      <t>Moree Solar Farm advises that Moree Solar Farm (56 MW) is under construction since November 2014 and full commercial operation is planned for the end of March 2016.</t>
    </r>
  </si>
  <si>
    <r>
      <rPr>
        <b/>
        <sz val="9"/>
        <rFont val="Arial"/>
        <family val="2"/>
      </rPr>
      <t>Boco Rock Wind Farm</t>
    </r>
    <r>
      <rPr>
        <sz val="9"/>
        <rFont val="Arial"/>
        <family val="2"/>
      </rPr>
      <t>: Boco Rock Wind Farm Pty Ltd advises that Boco Rock Wind Farm (113 MW) has been completed and in full commercial operation since March 2015.</t>
    </r>
  </si>
  <si>
    <r>
      <rPr>
        <b/>
        <sz val="9"/>
        <rFont val="Arial"/>
        <family val="2"/>
      </rPr>
      <t xml:space="preserve">Royalla Solar Farm: </t>
    </r>
    <r>
      <rPr>
        <sz val="9"/>
        <rFont val="Arial"/>
        <family val="2"/>
      </rPr>
      <t>Royalla Asset Pty Ltd ATF Royalla Asset Trust advises that Royalla Solar Farm</t>
    </r>
    <r>
      <rPr>
        <b/>
        <sz val="10"/>
        <rFont val="Arial"/>
        <family val="2"/>
      </rPr>
      <t xml:space="preserve"> </t>
    </r>
    <r>
      <rPr>
        <sz val="10"/>
        <rFont val="Arial"/>
        <family val="2"/>
      </rPr>
      <t>(20 MW) has been completed and in full commercial operation since February 2015.</t>
    </r>
  </si>
  <si>
    <r>
      <rPr>
        <b/>
        <sz val="9"/>
        <color theme="1"/>
        <rFont val="Arial"/>
        <family val="2"/>
      </rPr>
      <t>Wilga Park Power Station B</t>
    </r>
    <r>
      <rPr>
        <sz val="9"/>
        <color theme="1"/>
        <rFont val="Arial"/>
        <family val="2"/>
      </rPr>
      <t>: Santos advises the Wilga Park Power Station B (6 MW) project has been completed and in full commercial operation since January 2015.</t>
    </r>
  </si>
  <si>
    <r>
      <rPr>
        <b/>
        <sz val="9"/>
        <color theme="1"/>
        <rFont val="Arial"/>
        <family val="2"/>
      </rPr>
      <t>Gullen Range Solar Project</t>
    </r>
    <r>
      <rPr>
        <sz val="9"/>
        <color theme="1"/>
        <rFont val="Arial"/>
        <family val="2"/>
      </rPr>
      <t xml:space="preserve">: Goldwind Australia Pty Ltd advises has announced plans to add a solar plant at the Gullen Range wind farm site. </t>
    </r>
  </si>
  <si>
    <r>
      <rPr>
        <b/>
        <sz val="9"/>
        <rFont val="Arial"/>
        <family val="2"/>
      </rPr>
      <t>Taralga Wind Farm</t>
    </r>
    <r>
      <rPr>
        <sz val="9"/>
        <rFont val="Arial"/>
        <family val="2"/>
      </rPr>
      <t>: CBD Energy/Banco Santander advises that Taralga Wind Farm (106.7 MW) has been completed and in full commercial operation since May 2015.</t>
    </r>
  </si>
  <si>
    <r>
      <rPr>
        <b/>
        <sz val="9"/>
        <color theme="1"/>
        <rFont val="Arial"/>
        <family val="2"/>
      </rPr>
      <t xml:space="preserve">Wallerawang C Power Station: </t>
    </r>
    <r>
      <rPr>
        <sz val="9"/>
        <color theme="1"/>
        <rFont val="Arial"/>
        <family val="2"/>
      </rPr>
      <t>EnergyAustralia advises that Wallerawang C Power Station (1000 MW black coal) has permanently closed in November 2014.</t>
    </r>
  </si>
  <si>
    <r>
      <rPr>
        <b/>
        <sz val="9"/>
        <color theme="1"/>
        <rFont val="Arial"/>
        <family val="2"/>
      </rPr>
      <t>Liddell Power Station:</t>
    </r>
    <r>
      <rPr>
        <sz val="9"/>
        <color theme="1"/>
        <rFont val="Arial"/>
        <family val="2"/>
      </rPr>
      <t xml:space="preserve"> AGL Energy Limited advises that Liddell C Power Station (2000 MW) is to shut down in 2022.</t>
    </r>
  </si>
  <si>
    <r>
      <rPr>
        <b/>
        <sz val="9"/>
        <color theme="1"/>
        <rFont val="Arial"/>
        <family val="2"/>
      </rPr>
      <t xml:space="preserve">SmithField Energy Facility: </t>
    </r>
    <r>
      <rPr>
        <sz val="9"/>
        <color theme="1"/>
        <rFont val="Arial"/>
        <family val="2"/>
      </rPr>
      <t>Smithfield Power Partnership advises that SmithField Energy Facility 170.9 MW) is to retire in 2017.</t>
    </r>
  </si>
  <si>
    <r>
      <rPr>
        <b/>
        <sz val="9"/>
        <color theme="1"/>
        <rFont val="Arial"/>
        <family val="2"/>
      </rPr>
      <t>Broken Hill Solar Plant</t>
    </r>
    <r>
      <rPr>
        <sz val="9"/>
        <color theme="1"/>
        <rFont val="Arial"/>
        <family val="2"/>
      </rPr>
      <t>: AGL PV Solar Development Pty Limited advises that Broken Hill Solar Plant (53 MW) has been in full commercial operation since October 2015.</t>
    </r>
  </si>
  <si>
    <r>
      <rPr>
        <b/>
        <sz val="9"/>
        <rFont val="Arial"/>
        <family val="2"/>
      </rPr>
      <t xml:space="preserve">SmithField Energy Facility: </t>
    </r>
    <r>
      <rPr>
        <sz val="9"/>
        <rFont val="Arial"/>
        <family val="2"/>
      </rPr>
      <t>Smithfield Power Partnership advises that SmithField Energy Facility 170.9 MW) is to close on 31 July 2017.</t>
    </r>
  </si>
  <si>
    <r>
      <rPr>
        <b/>
        <sz val="9"/>
        <rFont val="Arial"/>
        <family val="2"/>
      </rPr>
      <t xml:space="preserve">Moree Solar Farm: </t>
    </r>
    <r>
      <rPr>
        <sz val="9"/>
        <rFont val="Arial"/>
        <family val="2"/>
      </rPr>
      <t>Moree Solar Farm advises that Moree Solar Farm (56 MW) full commercial operation is planned for the end of March 2016.</t>
    </r>
  </si>
  <si>
    <r>
      <rPr>
        <b/>
        <sz val="9"/>
        <rFont val="Arial"/>
        <family val="2"/>
      </rPr>
      <t xml:space="preserve">New Development: </t>
    </r>
    <r>
      <rPr>
        <sz val="9"/>
        <rFont val="Arial"/>
        <family val="2"/>
      </rPr>
      <t>Gidginbung Solar Farm, White Rock Solar Farm, Manildra Solar Farm, Capital Solar Farm, Parkes Solar Farm, Griffith Solar Farm, Dubbo Solar Hub, Griffith Solar Farm.</t>
    </r>
  </si>
  <si>
    <r>
      <rPr>
        <b/>
        <sz val="9"/>
        <rFont val="Arial"/>
        <family val="2"/>
      </rPr>
      <t xml:space="preserve">Moree Solar Farm: </t>
    </r>
    <r>
      <rPr>
        <sz val="9"/>
        <rFont val="Arial"/>
        <family val="2"/>
      </rPr>
      <t>Moree Solar Farm Pty Ltd  advises that Moree Solar Farm (56 MW) has been completed and is in full commercial operation since late March 2016.</t>
    </r>
  </si>
  <si>
    <r>
      <rPr>
        <b/>
        <sz val="9"/>
        <rFont val="Arial"/>
        <family val="2"/>
      </rPr>
      <t>White Rock Wind Farm:</t>
    </r>
    <r>
      <rPr>
        <sz val="9"/>
        <rFont val="Arial"/>
        <family val="2"/>
      </rPr>
      <t xml:space="preserve"> Goldwind Australia advises that White Rock Wind Farm (175 MW) is a committed project.</t>
    </r>
  </si>
  <si>
    <r>
      <t xml:space="preserve">Williamsdale Solar Farm: </t>
    </r>
    <r>
      <rPr>
        <sz val="9"/>
        <rFont val="Arial"/>
        <family val="2"/>
      </rPr>
      <t>Elementus Energy Ptd Ltd. advises that Williamsdale Solar Farm (10MW) is a committed project.</t>
    </r>
  </si>
  <si>
    <r>
      <t xml:space="preserve">Mugga Lane Solar Park: </t>
    </r>
    <r>
      <rPr>
        <sz val="9"/>
        <rFont val="Arial"/>
        <family val="2"/>
      </rPr>
      <t>Zhenfa Canberra Solar Farm One advises that Mugga Lane Solar Park (13MW) is a committed project.</t>
    </r>
  </si>
  <si>
    <r>
      <rPr>
        <b/>
        <sz val="9"/>
        <color theme="1"/>
        <rFont val="Arial"/>
        <family val="2"/>
      </rPr>
      <t>Eraring GT:</t>
    </r>
    <r>
      <rPr>
        <sz val="9"/>
        <color theme="1"/>
        <rFont val="Arial"/>
        <family val="2"/>
      </rPr>
      <t xml:space="preserve"> AEMO has corrected the entry on the worksheet titled 'Existing NS Generation' to show OCGT for the Technology Type. This also updates the capacity totals shown below, moving 42 MW of Existing/Existing less announced withdrawal capacity from the "Other" category to the "OCGT" category.</t>
    </r>
  </si>
  <si>
    <r>
      <rPr>
        <b/>
        <sz val="9"/>
        <color theme="1"/>
        <rFont val="Arial"/>
        <family val="2"/>
      </rPr>
      <t>Griffith Solar Farm:</t>
    </r>
    <r>
      <rPr>
        <sz val="9"/>
        <color theme="1"/>
        <rFont val="Arial"/>
        <family val="2"/>
      </rPr>
      <t xml:space="preserve"> Griffith Solar Farm Pty Ltd advises that Griffith Solar Farm (29 MW) is now a committed project.</t>
    </r>
  </si>
  <si>
    <r>
      <rPr>
        <b/>
        <sz val="9"/>
        <color theme="1"/>
        <rFont val="Arial"/>
        <family val="2"/>
      </rPr>
      <t>Parkes Solar Farm:</t>
    </r>
    <r>
      <rPr>
        <sz val="9"/>
        <color theme="1"/>
        <rFont val="Arial"/>
        <family val="2"/>
      </rPr>
      <t xml:space="preserve"> Parkes Solar Farm Pty Ltd advises that Parkes Solar Farm (55 MW) is now a committed project.</t>
    </r>
  </si>
  <si>
    <r>
      <rPr>
        <b/>
        <sz val="9"/>
        <rFont val="Arial"/>
        <family val="2"/>
      </rPr>
      <t>Williamsdale Solar Farm:</t>
    </r>
    <r>
      <rPr>
        <sz val="9"/>
        <rFont val="Arial"/>
        <family val="2"/>
      </rPr>
      <t xml:space="preserve"> OneSun advises that Williamsdale Solar Farm (10MW) is now completed and is undergoing commissioning tests with full commercial operation expected in March 2017.</t>
    </r>
  </si>
  <si>
    <r>
      <rPr>
        <b/>
        <sz val="9"/>
        <rFont val="Arial"/>
        <family val="2"/>
      </rPr>
      <t>Woodlawn Bioreactor Energy Generation (expansion):</t>
    </r>
    <r>
      <rPr>
        <sz val="9"/>
        <rFont val="Arial"/>
        <family val="2"/>
      </rPr>
      <t xml:space="preserve"> AEMO has corrected the capacity totals shown below to include this existing new development (7.455 MW) in the Biomass (Proposed) category.</t>
    </r>
  </si>
  <si>
    <r>
      <rPr>
        <b/>
        <sz val="9"/>
        <color theme="1"/>
        <rFont val="Arial"/>
        <family val="2"/>
      </rPr>
      <t>Manildra Photovoltaic Solar Farm:</t>
    </r>
    <r>
      <rPr>
        <sz val="9"/>
        <color theme="1"/>
        <rFont val="Arial"/>
        <family val="2"/>
      </rPr>
      <t xml:space="preserve">  Manildra Prop Pty Ltd as trustee for the Manildra Asset Trust advises that Manildra Photovoltaic Solar Farm (50 MW) is now a committed project.</t>
    </r>
  </si>
  <si>
    <r>
      <rPr>
        <b/>
        <sz val="9"/>
        <color theme="1"/>
        <rFont val="Arial"/>
        <family val="2"/>
      </rPr>
      <t>Gullen Range Solar Farm:</t>
    </r>
    <r>
      <rPr>
        <sz val="9"/>
        <color theme="1"/>
        <rFont val="Arial"/>
        <family val="2"/>
      </rPr>
      <t xml:space="preserve"> New Gullen Range Wind Farm Pty Ltd advises that Gullen Range Solar Farm (10 MW) is now a committed project.</t>
    </r>
  </si>
  <si>
    <r>
      <rPr>
        <b/>
        <sz val="9"/>
        <rFont val="Arial"/>
        <family val="2"/>
      </rPr>
      <t>Mugga Lane Solar Park:</t>
    </r>
    <r>
      <rPr>
        <sz val="9"/>
        <rFont val="Arial"/>
        <family val="2"/>
      </rPr>
      <t xml:space="preserve"> Mugga Lane Solar Park Pty Ltd advises that Mugga Lane Solar Park (13 MW) is now an existing generator with full commercial operation having commenced in 2017.</t>
    </r>
  </si>
  <si>
    <r>
      <rPr>
        <b/>
        <sz val="9"/>
        <rFont val="Arial"/>
        <family val="2"/>
      </rPr>
      <t xml:space="preserve">Smithfield Energy Facility: </t>
    </r>
    <r>
      <rPr>
        <sz val="9"/>
        <rFont val="Arial"/>
        <family val="2"/>
      </rPr>
      <t>Visy Power Generation advises that Smithfield Energy Facility, which closed in July 2017, has been brought back into service with up to 109 MW of capacity available, with a further 62 MW available on recall with lead time to be determined.</t>
    </r>
  </si>
  <si>
    <r>
      <rPr>
        <b/>
        <sz val="9"/>
        <rFont val="Arial"/>
        <family val="2"/>
      </rPr>
      <t xml:space="preserve">Bodangora Wind Farm: </t>
    </r>
    <r>
      <rPr>
        <sz val="9"/>
        <rFont val="Arial"/>
        <family val="2"/>
      </rPr>
      <t xml:space="preserve">Bodangora Wind Farm (113 MW) is now reported as committed since Infigen Energy has advised construction has commenced. </t>
    </r>
  </si>
  <si>
    <r>
      <t xml:space="preserve">Silverton Wind Farm: </t>
    </r>
    <r>
      <rPr>
        <sz val="9"/>
        <rFont val="Arial"/>
        <family val="2"/>
      </rPr>
      <t>PARF Company Pty Ltd as trustee for the Silverton Project Trust advises that Silverton Wind Farm (198.94 MW) is now a committed project.</t>
    </r>
  </si>
  <si>
    <r>
      <rPr>
        <b/>
        <sz val="9"/>
        <rFont val="Arial"/>
        <family val="2"/>
      </rPr>
      <t xml:space="preserve">White Rock Solar Farm: </t>
    </r>
    <r>
      <rPr>
        <sz val="9"/>
        <rFont val="Arial"/>
        <family val="2"/>
      </rPr>
      <t xml:space="preserve"> White Rock Solar Farm (20 MW) is now reported as committed since White Rock Wind Farm Pty Ltd has advised construction has commenced. </t>
    </r>
  </si>
  <si>
    <r>
      <rPr>
        <b/>
        <sz val="9"/>
        <rFont val="Arial"/>
        <family val="2"/>
      </rPr>
      <t>Sapphire Wind Farm Phase 1 and 2:</t>
    </r>
    <r>
      <rPr>
        <sz val="9"/>
        <rFont val="Arial"/>
        <family val="2"/>
      </rPr>
      <t xml:space="preserve"> Sapphire Wind Farm Pty Ltd advises that Sapphire Wind Farm Phase 1 and 2 (270 MW) is now committed.</t>
    </r>
  </si>
  <si>
    <r>
      <rPr>
        <b/>
        <sz val="9"/>
        <rFont val="Arial"/>
        <family val="2"/>
      </rPr>
      <t>Hunter Economic Zone Diesel:</t>
    </r>
    <r>
      <rPr>
        <sz val="9"/>
        <rFont val="Arial"/>
        <family val="2"/>
      </rPr>
      <t xml:space="preserve"> Hunter Economic Zone Diesels (28.8 MW) is now reported at committed as Snowy Hydro Ltd advises construction has commenced.</t>
    </r>
  </si>
  <si>
    <r>
      <t xml:space="preserve">Crookwell 2 Wind Farm: </t>
    </r>
    <r>
      <rPr>
        <sz val="9"/>
        <rFont val="Arial"/>
        <family val="2"/>
      </rPr>
      <t>Crookwell 2 Wind Farm (91 MW) is reported as committed as Crookwell Development Pty Ltd has advised construction has commenced.</t>
    </r>
  </si>
  <si>
    <r>
      <t xml:space="preserve">Bayswater: </t>
    </r>
    <r>
      <rPr>
        <sz val="9"/>
        <rFont val="Arial"/>
        <family val="2"/>
      </rPr>
      <t>AGL has advised Bayswater Power Station will increase capacity by 25 MW each Winter from 2019 to 2022</t>
    </r>
  </si>
  <si>
    <t>New South Wales</t>
  </si>
  <si>
    <t>New South Wales Summary</t>
  </si>
  <si>
    <t>New South Wales Change Log</t>
  </si>
  <si>
    <t>Temperature effects on generation</t>
  </si>
  <si>
    <t>The actual level of generation available at any particular time will depend on the condition of the generating plant. This includes factors such as age, outages, and wear. Another important factor with respect to output is the reduction in thermal efficiency as the temperature increases.</t>
  </si>
  <si>
    <t>Because temperature can affect plant generation capacities in different ways, basing generation capacities on region-specific reference temperatures facilitates more effective assessment of available generation capacity under weather conditions frequently associated with high demand.</t>
  </si>
  <si>
    <t>To produce the supply-demand outlook, AEMO — in consultation with the Jurisdictional Planning Bodies (JPBs) — undertakes the following:</t>
  </si>
  <si>
    <r>
      <rPr>
        <sz val="9"/>
        <color theme="1"/>
        <rFont val="Symbol"/>
        <family val="1"/>
        <charset val="2"/>
      </rPr>
      <t>·</t>
    </r>
    <r>
      <rPr>
        <sz val="7"/>
        <color theme="1"/>
        <rFont val="Times New Roman"/>
        <family val="1"/>
      </rPr>
      <t xml:space="preserve">      </t>
    </r>
    <r>
      <rPr>
        <sz val="9"/>
        <color theme="1"/>
        <rFont val="Arial"/>
        <family val="2"/>
      </rPr>
      <t>Uses historical data to estimate typical weather conditions, and to determine reference temperatures frequently associated with times of 10% probability of exceedance (POE) maximum demand in the major load centres for each region.</t>
    </r>
  </si>
  <si>
    <r>
      <rPr>
        <sz val="9"/>
        <color theme="1"/>
        <rFont val="Symbol"/>
        <family val="1"/>
        <charset val="2"/>
      </rPr>
      <t>·</t>
    </r>
    <r>
      <rPr>
        <sz val="7"/>
        <color theme="1"/>
        <rFont val="Times New Roman"/>
        <family val="1"/>
      </rPr>
      <t xml:space="preserve">      </t>
    </r>
    <r>
      <rPr>
        <sz val="9"/>
        <color theme="1"/>
        <rFont val="Arial"/>
        <family val="2"/>
      </rPr>
      <t>Asks generators to provide generating unit capacities for summer and winter using these common reference temperatures. The table below lists the common reference temperatures AEMO applies for each region. In general, annual maximum demands occur during summer; the exception is Tasmania, where maximum demand occurs during winter. Summer maximum demand in Tasmania occurs during colder temperatures, resulting in a relatively low summer reference temperature.</t>
    </r>
  </si>
  <si>
    <t>Generation capacity reference temperatures</t>
  </si>
  <si>
    <t>Region  </t>
  </si>
  <si>
    <t>Summer (°C)</t>
  </si>
  <si>
    <t>Winter (°C)</t>
  </si>
  <si>
    <t>Queensland</t>
  </si>
  <si>
    <t>Victoria</t>
  </si>
  <si>
    <t>South Australia</t>
  </si>
  <si>
    <t>Tasmania</t>
  </si>
  <si>
    <t>Maximum capacity</t>
  </si>
  <si>
    <t>Some thermal (generation that burns fuel) and non-thermal (renewable generation) generating systems can provide additional, short-term capacity that exceeds the registered capacity. This is known as maximum capacity.</t>
  </si>
  <si>
    <t>Proposed generation in the NEM</t>
  </si>
  <si>
    <t>In addition to capacity forecasts, generation plant owners advise AEMO about the status of generation projects currently under development in each region.</t>
  </si>
  <si>
    <t>Generation project commitment criteria</t>
  </si>
  <si>
    <t>Category</t>
  </si>
  <si>
    <t>Criteria</t>
  </si>
  <si>
    <t>Site</t>
  </si>
  <si>
    <t>The project proponent has purchased/settled/acquired (or commenced legal proceedings to purchase/settle/acquire) land for the construction of the project.</t>
  </si>
  <si>
    <t>Major components</t>
  </si>
  <si>
    <t>Contracts for the supply and construction of major plant or equipment components (such as generating units, turbines, boilers, transmission towers, conductors, and terminal station equipment) have been finalised and executed, including any provisions for cancellation payments.</t>
  </si>
  <si>
    <t>Finance</t>
  </si>
  <si>
    <t>The financing arrangements for the proposal, including any debt plans, must have been concluded and contracts executed.</t>
  </si>
  <si>
    <t>Lists all updates to new development projects and existing generation information since the 2012 ESOO.</t>
  </si>
  <si>
    <r>
      <rPr>
        <b/>
        <sz val="9"/>
        <rFont val="Arial"/>
        <family val="2"/>
      </rPr>
      <t>Beryl Solar Farm:</t>
    </r>
    <r>
      <rPr>
        <sz val="9"/>
        <rFont val="Arial"/>
        <family val="2"/>
      </rPr>
      <t xml:space="preserve"> FS NSW Project No 1 AT Pty Ltd advises that Beryl Solar Farm (98.4 MW) is now a committed project.</t>
    </r>
  </si>
  <si>
    <r>
      <rPr>
        <b/>
        <sz val="9"/>
        <rFont val="Arial"/>
        <family val="2"/>
      </rPr>
      <t>Coleambally Solar Farm:</t>
    </r>
    <r>
      <rPr>
        <sz val="9"/>
        <rFont val="Arial"/>
        <family val="2"/>
      </rPr>
      <t xml:space="preserve"> Coleambally Solar Farm (180 MW) is now reported as committed since Neoen advises that it has commenced construction.</t>
    </r>
  </si>
  <si>
    <r>
      <rPr>
        <b/>
        <sz val="9"/>
        <rFont val="Arial"/>
        <family val="2"/>
      </rPr>
      <t>Crudine Ridge Wind Farm:</t>
    </r>
    <r>
      <rPr>
        <sz val="9"/>
        <rFont val="Arial"/>
        <family val="2"/>
      </rPr>
      <t xml:space="preserve"> Crudine Ridge Wind Farm (135 MW) is now reported as committed since CRWF Nominees Pty Ltd advises that it has commenced construction.</t>
    </r>
  </si>
  <si>
    <t>133 Castlereagh St</t>
  </si>
  <si>
    <t>Bakers Maison</t>
  </si>
  <si>
    <t>PV Panels</t>
  </si>
  <si>
    <t>Brown Mountain Hydro Power Station</t>
  </si>
  <si>
    <t>Cochrane Dam Pty Ltd</t>
  </si>
  <si>
    <t>Chillamurra</t>
  </si>
  <si>
    <t>De Bortoli Wines</t>
  </si>
  <si>
    <t>DHL6 Solar Horsley Park</t>
  </si>
  <si>
    <t>Drayton's Family Wines Solar</t>
  </si>
  <si>
    <t>LMCC - Works Depot Power Station</t>
  </si>
  <si>
    <t>Parkes Shire Council STP</t>
  </si>
  <si>
    <t>Parkes Shire Council WTP</t>
  </si>
  <si>
    <t>Penrith RSL Solar</t>
  </si>
  <si>
    <t>Proten - Farm 60</t>
  </si>
  <si>
    <t>Proten - Farm 61</t>
  </si>
  <si>
    <t>Proten - Farm 74</t>
  </si>
  <si>
    <t>Proten - Farm 75 - 79</t>
  </si>
  <si>
    <t>Stockland Development Wetherill Park</t>
  </si>
  <si>
    <t>Taronga Western Plains Zoo</t>
  </si>
  <si>
    <t xml:space="preserve">Todae Solar CSU </t>
  </si>
  <si>
    <t>Todae Solar PE - Llandilo</t>
  </si>
  <si>
    <t>Todae Solar- PF Minchinbury</t>
  </si>
  <si>
    <t>Todae Solar SV - Mater Clinic</t>
  </si>
  <si>
    <t>Todae Solar SV - Mater Hospital</t>
  </si>
  <si>
    <t>Summer aggregate available scheduled and semi-scheduled generation</t>
  </si>
  <si>
    <t>PowerStation</t>
  </si>
  <si>
    <t>DispatchType</t>
  </si>
  <si>
    <t>FuelType</t>
  </si>
  <si>
    <t>Season</t>
  </si>
  <si>
    <t>Fossil</t>
  </si>
  <si>
    <t>summer</t>
  </si>
  <si>
    <t>Hydro</t>
  </si>
  <si>
    <t>Gullen Range Wind Farm</t>
  </si>
  <si>
    <t>Shoalhaven Expansion</t>
  </si>
  <si>
    <t>The table above lists the latest Summer capacities for New South Wales generation. Summer conditions relate to statistically predicted contribution under 10% POE maximum demand conditions.</t>
  </si>
  <si>
    <t>Due to the intermittent nature of wind, wind generation capacities are de-rated to account for the output most likely to be available during times of maximum demand. AEMO refers to this as the "firm contribution" from wind generators during peak periods. These figures are 6.7% of the installed capacity during summer, and 3.7% during winter, based on AEMO's analysis of historical wind output over summer 2012-13 to 2016-17, and winter 2013 to 2017.</t>
  </si>
  <si>
    <t>Due to the intermittent nature of sunlight, solar generation capacities are de-rated to account for the output most likely to be available during times of maximum demand. However, AEMO has not yet calculated contribution factors for solar, due to there being insufficient historical data to analyse for semi-scheduled solar generation in the New South Wales. Thus the Firm Solar Capacity values in the table below are shown as NA, and do not contribute to the total capacity in that table.</t>
  </si>
  <si>
    <t>The two tables below have been included to better represent the supply availability in New South Wales, by taking into account the firm contribution by semi-scheduled generation. The Summer aggregate scheduled and firm semi-scheduled generation table presents scheduled generation and aggregated firm semi-scheduled generation.  The Summer aggregate available semi-scheduled generation table lists the total available capacity for semi-scheduled generation for the Summer period. The total refers to the maximum amount that can be generated from the semi-scheduled generation at the Summer reference temperatures.</t>
  </si>
  <si>
    <t>Summer aggregate scheduled and firm semi-scheduled generation</t>
  </si>
  <si>
    <t>Firm Wind Capacity</t>
  </si>
  <si>
    <t>Firm Solar Capacity</t>
  </si>
  <si>
    <t>Summer aggregate available semi-scheduled generation</t>
  </si>
  <si>
    <t>NA</t>
  </si>
  <si>
    <t>Winter aggregate available scheduled and semi-scheduled generation</t>
  </si>
  <si>
    <t>2019</t>
  </si>
  <si>
    <t>2020</t>
  </si>
  <si>
    <t>2021</t>
  </si>
  <si>
    <t>2022</t>
  </si>
  <si>
    <t>2023</t>
  </si>
  <si>
    <t>2024</t>
  </si>
  <si>
    <t>2025</t>
  </si>
  <si>
    <t>2026</t>
  </si>
  <si>
    <t>2027</t>
  </si>
  <si>
    <t>2028</t>
  </si>
  <si>
    <t>winter</t>
  </si>
  <si>
    <t>The table above lists the latest Winter capacities for New South Wales generation. Winter conditions relate to statistically predicted contribution under 10% POE maximum demand conditions.</t>
  </si>
  <si>
    <t>Due to the intermittent nature of sunlight, solar generation capacities are de-rated to account for the output most likely to be available during times of maximum demand. However, AEMO has not yet calculated contribution factors for solar, due to there being insufficient historical data to analyse for semi-scheduled solar generation in New South Wales. Thus the Firm Solar Capacity values in the table below are shown as NA, and do not contribute to the total capacity in that table.</t>
  </si>
  <si>
    <t>The two tables below have been included to better represent the supply availability in New South Wales, by taking into account the firm contribution by semi-scheduled generation. The Winter aggregate scheduled and firm semi-scheduled generation table presents scheduled generation and aggregated firm semi-scheduled generation.  The Winter aggregate available semi-scheduled generation table lists the total available capacity for semi-scheduled generation for the Winter period. The total refers to the maximum amount that can be generated from the semi-scheduled generation at the Winter reference temperatures.</t>
  </si>
  <si>
    <t>Winter aggregate scheduled and firm semi-scheduled generation</t>
  </si>
  <si>
    <t>Winter aggregate available semi-scheduled generation</t>
  </si>
  <si>
    <t>Total (Wind)</t>
  </si>
  <si>
    <t>Total (Solar)</t>
  </si>
  <si>
    <t>Beryl/Gulgong Solar Project</t>
  </si>
  <si>
    <t>Units 1 - n</t>
  </si>
  <si>
    <t>Gidginbung</t>
  </si>
  <si>
    <t>Epho</t>
  </si>
  <si>
    <t>Gregadoo Solar Farm</t>
  </si>
  <si>
    <t>Gregadoo Solar Farm Pty Ltd</t>
  </si>
  <si>
    <t>Hunter EconomicZone</t>
  </si>
  <si>
    <t>1-16</t>
  </si>
  <si>
    <t>28.8</t>
  </si>
  <si>
    <t>Riverina Solar Farm</t>
  </si>
  <si>
    <t>Riverina Solar farm Pty Ltd</t>
  </si>
  <si>
    <t>STP315 - 24/Vem</t>
  </si>
  <si>
    <t>Wagga Wagga Solar Project</t>
  </si>
  <si>
    <t>Coppabella Wind Farm</t>
  </si>
  <si>
    <t>285</t>
  </si>
  <si>
    <t>Nevertire Solar Farm</t>
  </si>
  <si>
    <t>105</t>
  </si>
  <si>
    <t>LR6-72HV 345Wp Custom parameters</t>
  </si>
  <si>
    <t>Walgett Solar Farm</t>
  </si>
  <si>
    <t>White Rock Solar Farm</t>
  </si>
  <si>
    <t>White Rock Wind Farm - Stage 1</t>
  </si>
  <si>
    <t>Spark Ignition  Reciprocating Engine</t>
  </si>
  <si>
    <t>8 x 2.5</t>
  </si>
  <si>
    <t>70 x 2.5</t>
  </si>
  <si>
    <t>Eastern Creek Energy from Waste Facility</t>
  </si>
  <si>
    <t>Next Generation NSW</t>
  </si>
  <si>
    <t>69</t>
  </si>
  <si>
    <t>White Rock Wind Farm - Stage 2</t>
  </si>
  <si>
    <t>Stage 2 uncommitted 71-119</t>
  </si>
  <si>
    <t>174.93</t>
  </si>
  <si>
    <t>Source</t>
  </si>
  <si>
    <t>http://bialawindfarm.com</t>
  </si>
  <si>
    <t>https://www.infigenenergy.com/our-business/development-pipeline/solar-energy-projects/</t>
  </si>
  <si>
    <t>https://www.infigenenergy.com/about-us/news/infigen-welcomes-project-approval-for-proposed-capital-2-wind-farm/</t>
  </si>
  <si>
    <t>https://www.terrainsolar.com/corowa</t>
  </si>
  <si>
    <t>https://www.crudineridgewindfarm.com.au/</t>
  </si>
  <si>
    <t>https://www.infigenenergy.com/our-business/development-pipeline/wind-energy-projects/</t>
  </si>
  <si>
    <t>http://gilgandrasolarfarm.com.au/</t>
  </si>
  <si>
    <t>http://www.vastsolar.com/portfolio-items/project-2/</t>
  </si>
  <si>
    <t>https://www.terrainsolar.com/junee</t>
  </si>
  <si>
    <t>http://epuron.com.au/wind/liverpool-range/</t>
  </si>
  <si>
    <t>https://www.terrainsolar.com/moama</t>
  </si>
  <si>
    <t>http://www.nswenergycluster.net/</t>
  </si>
  <si>
    <t>http://www.overlandsunfarming.com.au/orange-grove-sun-farm.html</t>
  </si>
  <si>
    <t>http://sunraysiasolarfarm.com.au/</t>
  </si>
  <si>
    <t>http://upperhunterenergypark.com.au/</t>
  </si>
  <si>
    <t>http://www.de.com.au/sustainability/projects/solar-project</t>
  </si>
  <si>
    <t>https://www.terrainsolar.com/wagga</t>
  </si>
  <si>
    <t>www.yarrabeesolar.com</t>
  </si>
  <si>
    <t xml:space="preserve">Crudine Ridge Wind Farm_x000D_
</t>
  </si>
  <si>
    <t>Winter 2019</t>
  </si>
  <si>
    <t>Summer 2018-19</t>
  </si>
  <si>
    <t xml:space="preserve">Summer 2019-20_x000D_
</t>
  </si>
  <si>
    <t xml:space="preserve">Co-generation_x000D_
</t>
  </si>
  <si>
    <t>Natural Gas</t>
  </si>
  <si>
    <t xml:space="preserve">Natural Gas / Diesel_x000D_
</t>
  </si>
  <si>
    <r>
      <t>·</t>
    </r>
    <r>
      <rPr>
        <sz val="7"/>
        <color theme="1"/>
        <rFont val="Times New Roman"/>
        <family val="1"/>
      </rPr>
      <t xml:space="preserve">      </t>
    </r>
    <r>
      <rPr>
        <sz val="9"/>
        <color theme="1"/>
        <rFont val="Arial"/>
        <family val="2"/>
      </rPr>
      <t>Proposed projects, which are further identified as:</t>
    </r>
  </si>
  <si>
    <r>
      <t xml:space="preserve"> -</t>
    </r>
    <r>
      <rPr>
        <sz val="7"/>
        <color theme="1"/>
        <rFont val="Times New Roman"/>
        <family val="1"/>
      </rPr>
      <t xml:space="preserve">     </t>
    </r>
    <r>
      <rPr>
        <sz val="9"/>
        <color theme="1"/>
        <rFont val="Arial"/>
        <family val="2"/>
      </rPr>
      <t xml:space="preserve">Maturing proposals, representing projects that have progressed with site, planning applications, and finance arrangements, but not to the point that they can be classified as advanced. Maturing projects may be explicitly included in scenario analysis to assess future reliability or market impacts and are tested for economic efficiency in capacity outlook modelling. </t>
    </r>
  </si>
  <si>
    <t>Avonile Solar Farm</t>
  </si>
  <si>
    <t/>
  </si>
  <si>
    <t>http://www.avonlie-solarfarm.com/</t>
  </si>
  <si>
    <t>Hills of Gold Wind Farm</t>
  </si>
  <si>
    <t>Wind Energy Partners</t>
  </si>
  <si>
    <t>400</t>
  </si>
  <si>
    <t>https://www.hillsofgoldenergy.com/</t>
  </si>
  <si>
    <t>New England Solar Farm</t>
  </si>
  <si>
    <t>UPC Renewables</t>
  </si>
  <si>
    <t>800</t>
  </si>
  <si>
    <t>https://www.newenglandsolarfarm.com.au/</t>
  </si>
  <si>
    <t>Quorn Park Solar Farm</t>
  </si>
  <si>
    <t>Renewable Energy Developments</t>
  </si>
  <si>
    <t>160</t>
  </si>
  <si>
    <t>https://www.energy.nsw.gov.au/energy-consumers/energy-sources/electricity/electricity-generation</t>
  </si>
  <si>
    <t>Wollar Solar Farm</t>
  </si>
  <si>
    <t>Wollar Solar Development Pty Ltd</t>
  </si>
  <si>
    <t>https://www.wollarsolarfarm.com.au/</t>
  </si>
  <si>
    <r>
      <t xml:space="preserve"> -</t>
    </r>
    <r>
      <rPr>
        <sz val="7"/>
        <color theme="1"/>
        <rFont val="Times New Roman"/>
        <family val="1"/>
      </rPr>
      <t xml:space="preserve">     </t>
    </r>
    <r>
      <rPr>
        <sz val="9"/>
        <color theme="1"/>
        <rFont val="Arial"/>
        <family val="2"/>
      </rPr>
      <t>Committed proposals, representing projects that have satisfied all five (5) of AEMO's commitment criteria.</t>
    </r>
  </si>
  <si>
    <t>Upgrade</t>
  </si>
  <si>
    <t xml:space="preserve">Black Coal_x000D_
</t>
  </si>
  <si>
    <t>Winter 2022</t>
  </si>
  <si>
    <t>Solar*</t>
  </si>
  <si>
    <t>* Solar excludes rooftop PV installations</t>
  </si>
  <si>
    <t>45</t>
  </si>
  <si>
    <t>Any person who owns, controls, or operates a generating system connected to a transmission or distribution network must register with AEMO as a generator unless it has the benefit of an exemption from that requirement. A generating system’s registered capacity is the aggregate megawatt (MW) capacity of all its component generation units, as registered with AEMO.</t>
  </si>
  <si>
    <t>The registered capacity should be the same as a generating system’s nameplate capacity. Nameplate capacity represents the maximum continuous output or consumption in MW, as specified by the manufacturer, or as subsequently modified. Nameplate capacity can change for a number of reasons, such as upgrade projects, age or a review of performance.</t>
  </si>
  <si>
    <t>Under the National Electricity Rules (NER), generating units are classified as scheduled (S), semi-scheduled (SS), or non-scheduled (NS).</t>
  </si>
  <si>
    <r>
      <t xml:space="preserve">For further information about generation classification guide, please refer to the AEMO Generation Exemption and Classification Guide on the AEMO website:
http://aemo.com.au/-/media/Files/Electricity/NEM/Participant_Information/New-Participants/Generator-Exemption-and-Classification-Guide.pdf </t>
    </r>
    <r>
      <rPr>
        <b/>
        <sz val="9"/>
        <rFont val="Arial"/>
        <family val="2"/>
      </rPr>
      <t xml:space="preserve">
</t>
    </r>
  </si>
  <si>
    <t>Projects are categorised as follows:</t>
  </si>
  <si>
    <r>
      <t>·</t>
    </r>
    <r>
      <rPr>
        <sz val="7"/>
        <color theme="1"/>
        <rFont val="Times New Roman"/>
        <family val="1"/>
      </rPr>
      <t xml:space="preserve">      </t>
    </r>
    <r>
      <rPr>
        <sz val="9"/>
        <color theme="1"/>
        <rFont val="Arial"/>
        <family val="2"/>
      </rPr>
      <t>Committed projects, representing generation and storage for which formal commitment has been made for construction or installation. These are further identified as:</t>
    </r>
  </si>
  <si>
    <r>
      <t xml:space="preserve"> -</t>
    </r>
    <r>
      <rPr>
        <sz val="7"/>
        <color theme="1"/>
        <rFont val="Times New Roman"/>
        <family val="1"/>
      </rPr>
      <t xml:space="preserve">     </t>
    </r>
    <r>
      <rPr>
        <sz val="9"/>
        <color theme="1"/>
        <rFont val="Arial"/>
        <family val="2"/>
      </rPr>
      <t xml:space="preserve">Committed* proposals, representing projects that don't satisfy all five (5) of AEMO's commitment criteria, but  construction or installation has commenced. </t>
    </r>
  </si>
  <si>
    <r>
      <t xml:space="preserve"> -</t>
    </r>
    <r>
      <rPr>
        <sz val="7"/>
        <color theme="1"/>
        <rFont val="Times New Roman"/>
        <family val="1"/>
      </rPr>
      <t xml:space="preserve">     </t>
    </r>
    <r>
      <rPr>
        <sz val="9"/>
        <color theme="1"/>
        <rFont val="Arial"/>
        <family val="2"/>
      </rPr>
      <t xml:space="preserve">Emerging proposals, representing projects where sites have been identified, planning applications lodged and the development is considered financially and technically viable. However, planning approvals/construction is uncertain, and development maybe subject to changes in policy or commercial environment. These projects may be explicitly included in scenario analysis to assess future market impacts, and are tested for economic efficiency in capacity outlook modelling. However, a higher weighted average cost of capital will be assumed to reflect greater development uncertainty compared to maturing projects. </t>
    </r>
  </si>
  <si>
    <r>
      <t xml:space="preserve"> -</t>
    </r>
    <r>
      <rPr>
        <sz val="7"/>
        <color theme="1"/>
        <rFont val="Times New Roman"/>
        <family val="1"/>
      </rPr>
      <t xml:space="preserve">     </t>
    </r>
    <r>
      <rPr>
        <sz val="9"/>
        <color theme="1"/>
        <rFont val="Arial"/>
        <family val="2"/>
      </rPr>
      <t>Publicly Announced proposals, representing projects that have been announced publicly, but may not yet meet all or any of the commitment criteria. Costs and capabilities of these projects are developed using recently-completed projects and projections of cost components such as raw material supply and labour.</t>
    </r>
  </si>
  <si>
    <t>The proponent has obtained all required planning consents, construction approvals, connection contracts (including approval of proposed negotiated Generator Performance Standards from AEMO under clause 5.3.4A of the National Electricity Rules), and licences, including completion and acceptance of any necessary environmental impact statements.</t>
  </si>
  <si>
    <t>Date</t>
  </si>
  <si>
    <t>Construction of the proposal must either have commenced or a firm commencement date must have been set. Commercial use date for full operation must have been set.</t>
  </si>
  <si>
    <t>For the purposes of reliability assessments, and consistent with market systems, AEMO measures scheduled and semi-scheduled generation capacity on an as-generated basis, noting that for semi-scheduled systems the generating unit terminals are taken to be at the connection point. Non-scheduled generation is measured as sent-out (at the connection point) because it can include co-generation plants (that usually produce both heat and electricity), where the bulk of the capacity is consumed locally.</t>
  </si>
  <si>
    <t xml:space="preserve">Generation projects can be at different stages of development, which are assessed using AEMO’s five (5) commitment criteria, covering site acquisition, contracts for major components, planning and other approvals, financing, and date (see table below for a description of the criteria). </t>
  </si>
  <si>
    <r>
      <t xml:space="preserve"> -</t>
    </r>
    <r>
      <rPr>
        <sz val="7"/>
        <color theme="1"/>
        <rFont val="Times New Roman"/>
        <family val="1"/>
      </rPr>
      <t xml:space="preserve">     </t>
    </r>
    <r>
      <rPr>
        <sz val="9"/>
        <color theme="1"/>
        <rFont val="Arial"/>
        <family val="2"/>
      </rPr>
      <t>Advanced proposals, representing projects that are highly likely to proceed, satisfying Site and Finance criteria plus either Planning and approvals or Major components criteria, and have notified AEMO of a scheduled commercial operation date. Typically included in sensitivity analysis for MLF.</t>
    </r>
  </si>
  <si>
    <t>Planning and Approvals</t>
  </si>
  <si>
    <r>
      <t xml:space="preserve">Coal, Diesel, CCGT, OCGT, Gas other, Water, Biomass, Geo-thermal, Other : </t>
    </r>
    <r>
      <rPr>
        <sz val="9"/>
        <rFont val="Arial"/>
        <family val="2"/>
      </rPr>
      <t>None to report.</t>
    </r>
  </si>
  <si>
    <r>
      <rPr>
        <b/>
        <sz val="9"/>
        <rFont val="Arial"/>
        <family val="2"/>
      </rPr>
      <t xml:space="preserve">Moree Solar Farm: </t>
    </r>
    <r>
      <rPr>
        <sz val="9"/>
        <rFont val="Arial"/>
        <family val="2"/>
      </rPr>
      <t>Moree Solar Farm advises that Moree Solar Farm (56 MW) is a committed project. Construction is to commence in July 2014 and commissioning is planned for February 2016.</t>
    </r>
  </si>
  <si>
    <r>
      <rPr>
        <b/>
        <sz val="9"/>
        <rFont val="Arial"/>
        <family val="2"/>
      </rPr>
      <t xml:space="preserve">Moree Solar Farm: </t>
    </r>
    <r>
      <rPr>
        <sz val="9"/>
        <rFont val="Arial"/>
        <family val="2"/>
      </rPr>
      <t>Moree Solar Farm advises that Moree Solar Farm (56 MW) is a committed project. Construction commenced in November 2014 and commissioning is planned for February 2016.</t>
    </r>
  </si>
  <si>
    <r>
      <rPr>
        <b/>
        <sz val="9"/>
        <color theme="1"/>
        <rFont val="Arial"/>
        <family val="2"/>
      </rPr>
      <t xml:space="preserve">Wilga Park Power Station </t>
    </r>
    <r>
      <rPr>
        <sz val="9"/>
        <color theme="1"/>
        <rFont val="Arial"/>
        <family val="2"/>
      </rPr>
      <t>B: Santos advises the Wilga Park Power Station B (6 MW) project has been completed and in full commercial operation since September 2014.</t>
    </r>
  </si>
  <si>
    <r>
      <rPr>
        <b/>
        <sz val="9"/>
        <rFont val="Arial"/>
        <family val="2"/>
      </rPr>
      <t xml:space="preserve">Nyngan Solar Plant: </t>
    </r>
    <r>
      <rPr>
        <sz val="9"/>
        <rFont val="Arial"/>
        <family val="2"/>
      </rPr>
      <t>AGL Energy Limited advises the Nyngan Solar Plant</t>
    </r>
    <r>
      <rPr>
        <b/>
        <sz val="10"/>
        <rFont val="Arial"/>
        <family val="2"/>
      </rPr>
      <t xml:space="preserve"> </t>
    </r>
    <r>
      <rPr>
        <sz val="10"/>
        <rFont val="Arial"/>
        <family val="2"/>
      </rPr>
      <t>(102 MW) has been completed and in full commercial operation since July 2015.</t>
    </r>
  </si>
  <si>
    <r>
      <rPr>
        <b/>
        <sz val="9"/>
        <rFont val="Arial"/>
        <family val="2"/>
      </rPr>
      <t xml:space="preserve">New Development: </t>
    </r>
    <r>
      <rPr>
        <sz val="9"/>
        <rFont val="Arial"/>
        <family val="2"/>
      </rPr>
      <t>Gullen Solar Project, Narromine Solar Farm, South Keswick Solar Farm, Boco Rock Wind Farm (expansion), Woodlawn Bioreactor Energy Generation (expansion).</t>
    </r>
  </si>
  <si>
    <t>1 x 50.5</t>
  </si>
  <si>
    <t>Unit Number and Nameplate Capacity (MW)</t>
  </si>
  <si>
    <t>Gunning Wind Farm</t>
  </si>
  <si>
    <t>Nyngan Solar Plant</t>
  </si>
  <si>
    <t>Taralga Wind Farm</t>
  </si>
  <si>
    <t>17 x 1.5
56 x 2.5</t>
  </si>
  <si>
    <t>Biofuel - other</t>
  </si>
  <si>
    <t>Note: Updated “Background Information” with changes to categories of proposed generation in the NEM.</t>
  </si>
  <si>
    <r>
      <t xml:space="preserve">Nevertire Solar Farm : </t>
    </r>
    <r>
      <rPr>
        <sz val="9"/>
        <rFont val="Arial"/>
        <family val="2"/>
      </rPr>
      <t>Nevertire Solar Farm (105MW) is now reported as committed since Elliott Nevertire Solar Pty Ltd advises that it has commenced construction</t>
    </r>
  </si>
  <si>
    <t>201819</t>
  </si>
  <si>
    <t>201920</t>
  </si>
  <si>
    <t>202021</t>
  </si>
  <si>
    <t>202122</t>
  </si>
  <si>
    <t>202223</t>
  </si>
  <si>
    <t>202324</t>
  </si>
  <si>
    <t>202425</t>
  </si>
  <si>
    <t>202526</t>
  </si>
  <si>
    <t>202627</t>
  </si>
  <si>
    <t>202728</t>
  </si>
  <si>
    <t>Elliott Nevertire Solar Pty Ltd</t>
  </si>
  <si>
    <t>1-53</t>
  </si>
  <si>
    <t xml:space="preserve">http://nevertiresolarfarm.com.au/ _x000D__x000D_
</t>
  </si>
  <si>
    <t>Jul 2019</t>
  </si>
  <si>
    <r>
      <t>Coleambally Solar Farm:</t>
    </r>
    <r>
      <rPr>
        <sz val="9"/>
        <color rgb="FF000000"/>
        <rFont val="Arial"/>
        <family val="2"/>
      </rPr>
      <t xml:space="preserve"> Neoen advises that Coleambally Solar Farm (180 MW) is undergoing commissioning testing.</t>
    </r>
  </si>
  <si>
    <t xml:space="preserve">Sunraysia Solar Farm_x000D_
</t>
  </si>
  <si>
    <r>
      <t>Sunraysia Solar Farm :</t>
    </r>
    <r>
      <rPr>
        <sz val="9"/>
        <color rgb="FF000000"/>
        <rFont val="Arial"/>
        <family val="2"/>
      </rPr>
      <t xml:space="preserve"> John Laing/Maoneng Group advise that Sunraysia Solar Farm (200MW) is now a committed project.</t>
    </r>
  </si>
  <si>
    <t>John Laing/Maoneng Group</t>
  </si>
  <si>
    <t>Dec 2019</t>
  </si>
  <si>
    <t>90 x 1.67</t>
  </si>
  <si>
    <t>Limondale solar plant 1</t>
  </si>
  <si>
    <t>Limondale solar plant 2</t>
  </si>
  <si>
    <t>In Commissioning*</t>
  </si>
  <si>
    <t>Limondale Solar Plant 1</t>
  </si>
  <si>
    <t>Innogy</t>
  </si>
  <si>
    <t>1-100</t>
  </si>
  <si>
    <t>220</t>
  </si>
  <si>
    <t>Apr 2020</t>
  </si>
  <si>
    <t>https://iam.innogy.com/en/about-innogy/innogy-innovation-technology/renewables/solar-energy/limondale-solar-plant</t>
  </si>
  <si>
    <t>Limondale Solar Plant 2</t>
  </si>
  <si>
    <t>1-14</t>
  </si>
  <si>
    <t>Apr 2019</t>
  </si>
  <si>
    <r>
      <t xml:space="preserve">Limondale solar plant 1: </t>
    </r>
    <r>
      <rPr>
        <sz val="9"/>
        <color rgb="FF000000"/>
        <rFont val="Arial"/>
        <family val="2"/>
      </rPr>
      <t>Innogy advises that Limondale solar plant 1 (220 MW) is now a committed project</t>
    </r>
  </si>
  <si>
    <r>
      <t xml:space="preserve">Limondale solar plant 2: </t>
    </r>
    <r>
      <rPr>
        <sz val="9"/>
        <color rgb="FF000000"/>
        <rFont val="Arial"/>
        <family val="2"/>
      </rPr>
      <t>Innogy advises that Limondale solar plant 2 (29 MW) is now a committed project</t>
    </r>
  </si>
  <si>
    <r>
      <rPr>
        <b/>
        <sz val="9"/>
        <rFont val="Arial"/>
        <family val="2"/>
      </rPr>
      <t>Wind:</t>
    </r>
    <r>
      <rPr>
        <sz val="9"/>
        <rFont val="Arial"/>
        <family val="2"/>
      </rPr>
      <t xml:space="preserve"> Bodangora Wind Farm (113.19 MW), Crookwell 2 Wind Farm (91 MW), Crudine Ridge Wind Farm (135 MW)</t>
    </r>
  </si>
  <si>
    <t>Com* - Identifies projects that are under construction, but AEMO has not been informed that the project meets all  commitment criteria.</t>
  </si>
  <si>
    <t>Battery Storage</t>
  </si>
  <si>
    <t>Pumped Storage</t>
  </si>
  <si>
    <t>* In Commissioning includes facilities that have both obtained NEM registration, and have demonstrated the ability to export at least 50% of Nameplate capacity under commissioning conditions, but are not yet operating unrestricted at the time of publication. These projects are included under the "Existing Less Announced Withdrawal" category in the Summary Table.</t>
  </si>
  <si>
    <t>Finley Solar Farm</t>
  </si>
  <si>
    <t>110.67</t>
  </si>
  <si>
    <t>133</t>
  </si>
  <si>
    <t>Finley/Canalla Solar Project</t>
  </si>
  <si>
    <t>FRV</t>
  </si>
  <si>
    <t>Clenergy</t>
  </si>
  <si>
    <t>170</t>
  </si>
  <si>
    <t>Hillston Sun Farm</t>
  </si>
  <si>
    <r>
      <t xml:space="preserve">Finley Solar Farm: </t>
    </r>
    <r>
      <rPr>
        <sz val="9"/>
        <rFont val="Arial"/>
        <family val="2"/>
      </rPr>
      <t>Finley Solar Farm Pty Ltd as trustee of the Finley Solar Trust advises that Finley Solar Farm (133 MW) is now a committed project</t>
    </r>
  </si>
  <si>
    <t>Darlington Point Solar Farm Pty Ltd</t>
  </si>
  <si>
    <t>1-108</t>
  </si>
  <si>
    <t>Nov 2019</t>
  </si>
  <si>
    <t>Finley Solar Farm Pty Ltd as trustee of the Finley Solar Trust</t>
  </si>
  <si>
    <r>
      <t xml:space="preserve">Darlington Point Solar Farm: </t>
    </r>
    <r>
      <rPr>
        <sz val="9"/>
        <rFont val="Arial"/>
        <family val="2"/>
      </rPr>
      <t>Darlington Point Solar Farm Pty Ltd advises that Darlington Point Solar Farm (275 MW) is now a committed project</t>
    </r>
  </si>
  <si>
    <t>http://edifyenergy.com/projects/darlingtonpoint/</t>
  </si>
  <si>
    <t>14.3</t>
  </si>
  <si>
    <t>http://epuron.com.au/solar/walgett-solar/</t>
  </si>
  <si>
    <t>Walgett Solar Pty Ltd</t>
  </si>
  <si>
    <t>Closure Date</t>
  </si>
  <si>
    <r>
      <t xml:space="preserve">Bomen Solar Farm: </t>
    </r>
    <r>
      <rPr>
        <sz val="9"/>
        <rFont val="Arial"/>
        <family val="2"/>
      </rPr>
      <t>Renew Estate advises that Bomen Solar Farm (120 MW) is now a committed project</t>
    </r>
  </si>
  <si>
    <r>
      <t xml:space="preserve">Solar: </t>
    </r>
    <r>
      <rPr>
        <sz val="9"/>
        <rFont val="Arial"/>
        <family val="2"/>
      </rPr>
      <t>Beryl Solar Farm (98.4 MW), Limondale Solar Plant 1 (220 MW), Limondale Solar Plant 2 (29 MW), Nevertire Solar Farm (105 MW), Sunraysia Solar Farm (200 MW), Finley Solar Farm (133 MW), Darlington Point Solar Farm (275 MW), Bomen Solar Farm (120 MW)</t>
    </r>
  </si>
  <si>
    <t>Units 1-22</t>
  </si>
  <si>
    <t>Feb 2020</t>
  </si>
  <si>
    <t xml:space="preserve">https://www.bomensolarfarm.com.au/ </t>
  </si>
  <si>
    <t>http://www.metzsolarfarm.com.au/</t>
  </si>
  <si>
    <t>Tilbuster Solar Farm</t>
  </si>
  <si>
    <t>Enerparc Australia Pty Ltd</t>
  </si>
  <si>
    <t>Dev-2020</t>
  </si>
  <si>
    <t>http://tilbustersolarfarm.com.au/the-project/</t>
  </si>
  <si>
    <t>Charlestown Square Cogeneration</t>
  </si>
  <si>
    <t>GPT RE Limited</t>
  </si>
  <si>
    <t>Unit Id</t>
  </si>
  <si>
    <t>Molong Operations Co Pty Ltd</t>
  </si>
  <si>
    <t>30</t>
  </si>
  <si>
    <t xml:space="preserve">Oven Mountain Pumped Storage_x000D_
</t>
  </si>
  <si>
    <t xml:space="preserve">600 MW / 7200 MWh_x000D_
</t>
  </si>
  <si>
    <t xml:space="preserve">http://www.ompshydro.com/_x000D_
</t>
  </si>
  <si>
    <r>
      <rPr>
        <b/>
        <sz val="9"/>
        <rFont val="Arial"/>
        <family val="2"/>
      </rPr>
      <t>Charlestown Square Cogeneration</t>
    </r>
    <r>
      <rPr>
        <sz val="9"/>
        <rFont val="Arial"/>
        <family val="2"/>
      </rPr>
      <t>: GPT RE Limited advises that Charlestown Square Cogeneration (2.8 MW) has been permanently decommissioned (withdrawn) since June 2018.</t>
    </r>
  </si>
  <si>
    <t>Charlestown Square Cogeneration (2.8 MW)</t>
  </si>
  <si>
    <t>Data presented is current as at 21 January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</si>
</sst>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0.0_-;\-* #,##0.0_-;_-* &quot;-&quot;??_-;_-@_-"/>
  </numFmts>
  <fonts count="36">
    <font>
      <sz val="11"/>
      <color rgb="FF000000"/>
      <name val="Calibri"/>
      <family val="2"/>
      <scheme val="minor"/>
    </font>
    <font>
      <b/>
      <sz val="15"/>
      <color rgb="FFF47321"/>
      <name val="Arial"/>
      <family val="2"/>
    </font>
    <font>
      <b/>
      <sz val="8"/>
      <color rgb="FF000000"/>
      <name val="Arial"/>
      <family val="2"/>
    </font>
    <font>
      <sz val="8"/>
      <color rgb="FFFFFFFF"/>
      <name val="Arial"/>
      <family val="2"/>
    </font>
    <font>
      <sz val="8"/>
      <color rgb="FF000000"/>
      <name val="Arial"/>
      <family val="2"/>
    </font>
    <font>
      <sz val="10"/>
      <color rgb="FF000000"/>
      <name val="Arial"/>
      <family val="2"/>
    </font>
    <font>
      <b/>
      <sz val="10"/>
      <color rgb="FFF47321"/>
      <name val="Arial"/>
      <family val="2"/>
    </font>
    <font>
      <sz val="11"/>
      <color theme="0"/>
      <name val="Calibri"/>
      <family val="2"/>
      <scheme val="minor"/>
    </font>
    <font>
      <sz val="11"/>
      <color rgb="FF000000"/>
      <name val="Calibri"/>
      <family val="2"/>
      <scheme val="minor"/>
    </font>
    <font>
      <u/>
      <sz val="11"/>
      <color theme="10"/>
      <name val="Calibri"/>
      <family val="2"/>
      <scheme val="minor"/>
    </font>
    <font>
      <u/>
      <sz val="10"/>
      <color theme="10"/>
      <name val="Arial"/>
      <family val="2"/>
    </font>
    <font>
      <b/>
      <sz val="10"/>
      <name val="Arial"/>
      <family val="2"/>
    </font>
    <font>
      <b/>
      <sz val="11"/>
      <color rgb="FFF47321"/>
      <name val="Arial"/>
      <family val="2"/>
    </font>
    <font>
      <sz val="11"/>
      <name val="Arial"/>
      <family val="2"/>
    </font>
    <font>
      <sz val="9"/>
      <color theme="1"/>
      <name val="Arial"/>
      <family val="2"/>
    </font>
    <font>
      <b/>
      <sz val="9"/>
      <name val="Arial"/>
      <family val="2"/>
    </font>
    <font>
      <sz val="9"/>
      <name val="Arial"/>
      <family val="2"/>
    </font>
    <font>
      <b/>
      <sz val="9"/>
      <color rgb="FFF47321"/>
      <name val="Arial"/>
      <family val="2"/>
    </font>
    <font>
      <b/>
      <sz val="9"/>
      <color theme="1"/>
      <name val="Arial"/>
      <family val="2"/>
    </font>
    <font>
      <b/>
      <sz val="10"/>
      <color theme="1"/>
      <name val="Arial"/>
      <family val="2"/>
    </font>
    <font>
      <sz val="10"/>
      <color theme="1"/>
      <name val="Arial"/>
      <family val="2"/>
    </font>
    <font>
      <sz val="10"/>
      <name val="Arial"/>
      <family val="2"/>
    </font>
    <font>
      <b/>
      <sz val="8"/>
      <color theme="0"/>
      <name val="Arial"/>
      <family val="2"/>
    </font>
    <font>
      <sz val="9"/>
      <color theme="1"/>
      <name val="Symbol"/>
      <family val="1"/>
      <charset val="2"/>
    </font>
    <font>
      <sz val="7"/>
      <color theme="1"/>
      <name val="Times New Roman"/>
      <family val="1"/>
    </font>
    <font>
      <sz val="9"/>
      <color theme="1"/>
      <name val="Arial"/>
      <family val="1"/>
      <charset val="2"/>
    </font>
    <font>
      <b/>
      <sz val="10"/>
      <color rgb="FF333333"/>
      <name val="Arial"/>
      <family val="2"/>
    </font>
    <font>
      <b/>
      <sz val="8"/>
      <name val="Arial"/>
      <family val="2"/>
    </font>
    <font>
      <b/>
      <sz val="8"/>
      <color rgb="FFFFFFFF"/>
      <name val="Arial"/>
      <family val="2"/>
    </font>
    <font>
      <sz val="8"/>
      <name val="Arial"/>
      <family val="2"/>
    </font>
    <font>
      <sz val="11"/>
      <color theme="1"/>
      <name val="Arial"/>
      <family val="2"/>
    </font>
    <font>
      <sz val="11"/>
      <name val="Calibri"/>
      <family val="2"/>
      <scheme val="minor"/>
    </font>
    <font>
      <b/>
      <sz val="9"/>
      <color rgb="FF000000"/>
      <name val="Arial"/>
      <family val="2"/>
    </font>
    <font>
      <sz val="9"/>
      <color rgb="FF000000"/>
      <name val="Arial"/>
      <family val="2"/>
    </font>
    <font>
      <sz val="11"/>
      <color rgb="FFFF0000"/>
      <name val="Calibri"/>
      <family val="2"/>
      <scheme val="minor"/>
    </font>
    <font>
      <sz val="8"/>
      <color rgb="FFFF0000"/>
      <name val="Arial"/>
      <family val="2"/>
    </font>
  </fonts>
  <fills count="11">
    <fill>
      <patternFill patternType="none"/>
    </fill>
    <fill>
      <patternFill patternType="gray125"/>
    </fill>
    <fill>
      <patternFill patternType="solid">
        <fgColor rgb="FFFFC222"/>
      </patternFill>
    </fill>
    <fill>
      <patternFill patternType="solid">
        <fgColor rgb="FF948671"/>
      </patternFill>
    </fill>
    <fill>
      <patternFill patternType="solid">
        <fgColor rgb="FFF9F8F6"/>
      </patternFill>
    </fill>
    <fill>
      <patternFill patternType="solid">
        <fgColor rgb="FFE7E3DC"/>
      </patternFill>
    </fill>
    <fill>
      <patternFill patternType="solid">
        <fgColor rgb="FF948671"/>
        <bgColor indexed="64"/>
      </patternFill>
    </fill>
    <fill>
      <patternFill patternType="solid">
        <fgColor rgb="FFF9F8F6"/>
        <bgColor indexed="64"/>
      </patternFill>
    </fill>
    <fill>
      <patternFill patternType="solid">
        <fgColor rgb="FFE7E3DC"/>
        <bgColor indexed="64"/>
      </patternFill>
    </fill>
    <fill>
      <patternFill patternType="solid">
        <fgColor theme="0"/>
        <bgColor indexed="64"/>
      </patternFill>
    </fill>
    <fill>
      <patternFill patternType="solid">
        <fgColor rgb="FFFFC000"/>
        <bgColor indexed="64"/>
      </patternFill>
    </fill>
  </fills>
  <borders count="14">
    <border>
      <left/>
      <right/>
      <top/>
      <bottom/>
      <diagonal/>
    </border>
    <border>
      <left style="medium">
        <color rgb="FFFFFFFF"/>
      </left>
      <right style="medium">
        <color rgb="FFFFFFFF"/>
      </right>
      <top style="medium">
        <color rgb="FFFFFFFF"/>
      </top>
      <bottom style="medium">
        <color rgb="FFFFFFFF"/>
      </bottom>
      <diagonal/>
    </border>
    <border>
      <left/>
      <right/>
      <top style="double">
        <color rgb="FF000000"/>
      </top>
      <bottom/>
      <diagonal/>
    </border>
    <border>
      <left style="double">
        <color rgb="FF000000"/>
      </left>
      <right style="medium">
        <color rgb="FFFFFFFF"/>
      </right>
      <top style="double">
        <color rgb="FF000000"/>
      </top>
      <bottom style="medium">
        <color rgb="FFFFFFFF"/>
      </bottom>
      <diagonal/>
    </border>
    <border>
      <left style="double">
        <color rgb="FF000000"/>
      </left>
      <right/>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rgb="FFFFFFFF"/>
      </left>
      <right/>
      <top/>
      <bottom style="medium">
        <color rgb="FFFFFFFF"/>
      </bottom>
      <diagonal/>
    </border>
    <border>
      <left style="medium">
        <color rgb="FFFFFFFF"/>
      </left>
      <right style="medium">
        <color rgb="FFFFFFFF"/>
      </right>
      <top style="medium">
        <color rgb="FFFFFFFF"/>
      </top>
      <bottom/>
      <diagonal/>
    </border>
    <border>
      <left/>
      <right style="medium">
        <color rgb="FFFFFFFF"/>
      </right>
      <top/>
      <bottom style="thick">
        <color rgb="FFF9F8F6"/>
      </bottom>
      <diagonal/>
    </border>
    <border>
      <left style="medium">
        <color rgb="FFFFFFFF"/>
      </left>
      <right/>
      <top/>
      <bottom/>
      <diagonal/>
    </border>
    <border>
      <left style="medium">
        <color rgb="FFFFFFFF"/>
      </left>
      <right style="medium">
        <color rgb="FFFFFFFF"/>
      </right>
      <top/>
      <bottom/>
      <diagonal/>
    </border>
    <border>
      <left/>
      <right style="medium">
        <color rgb="FFFFFFFF"/>
      </right>
      <top style="medium">
        <color rgb="FFFFFFFF"/>
      </top>
      <bottom/>
      <diagonal/>
    </border>
  </borders>
  <cellStyleXfs count="6">
    <xf numFmtId="0" fontId="0" fillId="0" borderId="0"/>
    <xf numFmtId="43" fontId="8" fillId="0" borderId="0" applyFont="0" applyFill="0" applyBorder="0" applyAlignment="0" applyProtection="0"/>
    <xf numFmtId="0" fontId="9" fillId="0" borderId="0" applyNumberFormat="0" applyFill="0" applyBorder="0" applyAlignment="0" applyProtection="0"/>
    <xf numFmtId="0" fontId="30" fillId="0" borderId="0"/>
    <xf numFmtId="0" fontId="8" fillId="0" borderId="0"/>
    <xf numFmtId="43" fontId="8" fillId="0" borderId="0" applyFont="0" applyFill="0" applyBorder="0" applyAlignment="0" applyProtection="0"/>
  </cellStyleXfs>
  <cellXfs count="194">
    <xf numFmtId="0" fontId="0" fillId="0" borderId="0" xfId="0"/>
    <xf numFmtId="0" fontId="1" fillId="0" borderId="1" xfId="0" applyFont="1" applyBorder="1" applyAlignment="1">
      <alignment horizontal="left"/>
    </xf>
    <xf numFmtId="0" fontId="2" fillId="2"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5" fillId="0" borderId="2" xfId="0" applyFont="1" applyBorder="1"/>
    <xf numFmtId="0" fontId="6" fillId="0" borderId="3" xfId="0" applyFont="1" applyBorder="1" applyAlignment="1">
      <alignment horizontal="left"/>
    </xf>
    <xf numFmtId="0" fontId="5" fillId="0" borderId="4" xfId="0" applyFont="1" applyBorder="1"/>
    <xf numFmtId="0" fontId="0" fillId="0" borderId="0" xfId="0"/>
    <xf numFmtId="0" fontId="5" fillId="0" borderId="0" xfId="0" applyFont="1" applyBorder="1"/>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0" fillId="0" borderId="0" xfId="0"/>
    <xf numFmtId="0" fontId="3" fillId="6" borderId="5" xfId="0" applyNumberFormat="1" applyFont="1" applyFill="1" applyBorder="1" applyAlignment="1">
      <alignment horizontal="left" vertical="center"/>
    </xf>
    <xf numFmtId="0" fontId="3" fillId="6" borderId="6" xfId="0" applyNumberFormat="1" applyFont="1" applyFill="1" applyBorder="1" applyAlignment="1">
      <alignment horizontal="left" vertical="center"/>
    </xf>
    <xf numFmtId="0" fontId="4" fillId="7" borderId="1" xfId="0" applyNumberFormat="1" applyFont="1" applyFill="1" applyBorder="1" applyAlignment="1">
      <alignment horizontal="center" vertical="center" wrapText="1"/>
    </xf>
    <xf numFmtId="0" fontId="4" fillId="7" borderId="7" xfId="0" applyNumberFormat="1" applyFont="1" applyFill="1" applyBorder="1" applyAlignment="1">
      <alignment horizontal="center" vertical="center" wrapText="1"/>
    </xf>
    <xf numFmtId="0" fontId="4" fillId="7" borderId="9" xfId="0" applyNumberFormat="1" applyFont="1" applyFill="1" applyBorder="1" applyAlignment="1">
      <alignment horizontal="center" vertical="center" wrapText="1"/>
    </xf>
    <xf numFmtId="0" fontId="3" fillId="6" borderId="1" xfId="0" applyNumberFormat="1" applyFont="1" applyFill="1" applyBorder="1" applyAlignment="1">
      <alignment horizontal="left" vertical="center" wrapText="1"/>
    </xf>
    <xf numFmtId="0" fontId="3" fillId="6" borderId="7" xfId="0" applyNumberFormat="1" applyFont="1" applyFill="1" applyBorder="1" applyAlignment="1">
      <alignment horizontal="left" vertical="center" wrapText="1"/>
    </xf>
    <xf numFmtId="0" fontId="3" fillId="6" borderId="9" xfId="0" applyNumberFormat="1" applyFont="1" applyFill="1" applyBorder="1" applyAlignment="1">
      <alignment horizontal="left" vertical="center" wrapText="1"/>
    </xf>
    <xf numFmtId="0" fontId="4" fillId="8" borderId="1" xfId="0" applyNumberFormat="1" applyFont="1" applyFill="1" applyBorder="1" applyAlignment="1">
      <alignment horizontal="center" vertical="center" wrapText="1"/>
    </xf>
    <xf numFmtId="0" fontId="4" fillId="8" borderId="7" xfId="0" applyNumberFormat="1" applyFont="1" applyFill="1" applyBorder="1" applyAlignment="1">
      <alignment horizontal="center" vertical="center" wrapText="1"/>
    </xf>
    <xf numFmtId="0" fontId="4" fillId="8" borderId="9" xfId="0" applyNumberFormat="1" applyFont="1" applyFill="1" applyBorder="1" applyAlignment="1">
      <alignment horizontal="center" vertical="center" wrapText="1"/>
    </xf>
    <xf numFmtId="1" fontId="4" fillId="8" borderId="1" xfId="0" applyNumberFormat="1" applyFont="1" applyFill="1" applyBorder="1" applyAlignment="1">
      <alignment horizontal="center" vertical="center"/>
    </xf>
    <xf numFmtId="1" fontId="4" fillId="8" borderId="7" xfId="0" applyNumberFormat="1" applyFont="1" applyFill="1" applyBorder="1" applyAlignment="1">
      <alignment horizontal="center" vertical="center"/>
    </xf>
    <xf numFmtId="1" fontId="4" fillId="8" borderId="9" xfId="0" applyNumberFormat="1" applyFont="1" applyFill="1" applyBorder="1" applyAlignment="1">
      <alignment horizontal="center" vertical="center"/>
    </xf>
    <xf numFmtId="0" fontId="7" fillId="0" borderId="0" xfId="0" applyFont="1"/>
    <xf numFmtId="0" fontId="10" fillId="9" borderId="4" xfId="2" applyFont="1" applyFill="1" applyBorder="1"/>
    <xf numFmtId="0" fontId="0" fillId="9" borderId="0" xfId="0" applyFill="1"/>
    <xf numFmtId="0" fontId="11" fillId="9" borderId="0" xfId="0" applyFont="1" applyFill="1" applyBorder="1" applyAlignment="1">
      <alignment horizontal="left"/>
    </xf>
    <xf numFmtId="0" fontId="1" fillId="0" borderId="0" xfId="0" applyFont="1" applyBorder="1" applyAlignment="1">
      <alignment horizontal="left"/>
    </xf>
    <xf numFmtId="0" fontId="12" fillId="9" borderId="0" xfId="0" applyFont="1" applyFill="1" applyAlignment="1">
      <alignment horizontal="left" vertical="center"/>
    </xf>
    <xf numFmtId="0" fontId="13" fillId="9" borderId="0" xfId="0" applyFont="1" applyFill="1"/>
    <xf numFmtId="0" fontId="16" fillId="9" borderId="0" xfId="0" applyFont="1" applyFill="1" applyAlignment="1">
      <alignment horizontal="left" vertical="top" wrapText="1"/>
    </xf>
    <xf numFmtId="0" fontId="14" fillId="9" borderId="0" xfId="0" applyFont="1" applyFill="1" applyAlignment="1">
      <alignment horizontal="left" vertical="center" wrapText="1"/>
    </xf>
    <xf numFmtId="0" fontId="17" fillId="9" borderId="0" xfId="0" applyFont="1" applyFill="1" applyAlignment="1">
      <alignment vertical="center"/>
    </xf>
    <xf numFmtId="0" fontId="18" fillId="9" borderId="0" xfId="0" applyFont="1" applyFill="1" applyAlignment="1">
      <alignment horizontal="left" vertical="center" wrapText="1"/>
    </xf>
    <xf numFmtId="0" fontId="12" fillId="9" borderId="0" xfId="0" applyFont="1" applyFill="1" applyAlignment="1">
      <alignment vertical="center"/>
    </xf>
    <xf numFmtId="0" fontId="15" fillId="9" borderId="0" xfId="0" applyFont="1" applyFill="1" applyAlignment="1">
      <alignment horizontal="left" vertical="center" wrapText="1"/>
    </xf>
    <xf numFmtId="0" fontId="16" fillId="9" borderId="0" xfId="0" applyFont="1" applyFill="1" applyAlignment="1">
      <alignment horizontal="left" vertical="center" wrapText="1"/>
    </xf>
    <xf numFmtId="0" fontId="16" fillId="9" borderId="0" xfId="0" applyFont="1" applyFill="1"/>
    <xf numFmtId="0" fontId="14" fillId="9" borderId="0" xfId="0" applyFont="1" applyFill="1"/>
    <xf numFmtId="164" fontId="4" fillId="4" borderId="1" xfId="1" applyNumberFormat="1" applyFont="1" applyFill="1" applyBorder="1" applyAlignment="1">
      <alignment horizontal="center" vertical="center"/>
    </xf>
    <xf numFmtId="164" fontId="4" fillId="5" borderId="1" xfId="1" applyNumberFormat="1" applyFont="1" applyFill="1" applyBorder="1" applyAlignment="1">
      <alignment horizontal="center" vertical="center"/>
    </xf>
    <xf numFmtId="0" fontId="16" fillId="9" borderId="0" xfId="0" applyFont="1" applyFill="1" applyAlignment="1">
      <alignment vertical="center"/>
    </xf>
    <xf numFmtId="15" fontId="18" fillId="9" borderId="0" xfId="0" applyNumberFormat="1" applyFont="1" applyFill="1"/>
    <xf numFmtId="0" fontId="14" fillId="9" borderId="0" xfId="0" applyFont="1" applyFill="1" applyAlignment="1">
      <alignment horizontal="left" vertical="center"/>
    </xf>
    <xf numFmtId="0" fontId="1" fillId="9" borderId="1" xfId="0" applyFont="1" applyFill="1" applyBorder="1" applyAlignment="1">
      <alignment horizontal="left"/>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0" fontId="28" fillId="3" borderId="1" xfId="0" applyFont="1" applyFill="1" applyBorder="1" applyAlignment="1">
      <alignment horizontal="left" vertical="center" wrapText="1"/>
    </xf>
    <xf numFmtId="1" fontId="2" fillId="4" borderId="1" xfId="0" applyNumberFormat="1" applyFont="1" applyFill="1" applyBorder="1" applyAlignment="1">
      <alignment horizontal="center" vertical="center"/>
    </xf>
    <xf numFmtId="0" fontId="31" fillId="9" borderId="0" xfId="0" applyFont="1" applyFill="1"/>
    <xf numFmtId="0" fontId="27" fillId="2" borderId="6" xfId="0" applyFont="1" applyFill="1" applyBorder="1" applyAlignment="1">
      <alignment horizontal="left" vertical="center" wrapText="1"/>
    </xf>
    <xf numFmtId="0" fontId="27" fillId="2" borderId="7" xfId="0" applyFont="1" applyFill="1" applyBorder="1" applyAlignment="1">
      <alignment horizontal="left" vertical="center" wrapText="1"/>
    </xf>
    <xf numFmtId="0" fontId="4" fillId="7" borderId="7" xfId="0" applyNumberFormat="1" applyFont="1" applyFill="1" applyBorder="1" applyAlignment="1">
      <alignment horizontal="left" vertical="center" wrapText="1"/>
    </xf>
    <xf numFmtId="0" fontId="4" fillId="8" borderId="7" xfId="0" quotePrefix="1" applyNumberFormat="1" applyFont="1" applyFill="1" applyBorder="1" applyAlignment="1">
      <alignment horizontal="left" vertical="center"/>
    </xf>
    <xf numFmtId="0" fontId="4" fillId="7" borderId="7" xfId="0" applyNumberFormat="1" applyFont="1" applyFill="1" applyBorder="1" applyAlignment="1">
      <alignment horizontal="left" vertical="center"/>
    </xf>
    <xf numFmtId="0" fontId="4" fillId="7" borderId="1" xfId="0" applyNumberFormat="1" applyFont="1" applyFill="1" applyBorder="1" applyAlignment="1">
      <alignment horizontal="left" vertical="center" wrapText="1"/>
    </xf>
    <xf numFmtId="0" fontId="4" fillId="8" borderId="1" xfId="0" quotePrefix="1" applyNumberFormat="1" applyFont="1" applyFill="1" applyBorder="1" applyAlignment="1">
      <alignment horizontal="left" vertical="center"/>
    </xf>
    <xf numFmtId="0" fontId="4" fillId="7" borderId="1" xfId="0" applyNumberFormat="1" applyFont="1" applyFill="1" applyBorder="1" applyAlignment="1">
      <alignment horizontal="left" vertical="center"/>
    </xf>
    <xf numFmtId="0" fontId="4" fillId="8" borderId="1" xfId="0" applyNumberFormat="1" applyFont="1" applyFill="1" applyBorder="1" applyAlignment="1">
      <alignment horizontal="left" vertical="center"/>
    </xf>
    <xf numFmtId="0" fontId="27" fillId="2" borderId="1" xfId="0" applyFont="1" applyFill="1" applyBorder="1" applyAlignment="1">
      <alignment horizontal="center" vertical="center" wrapText="1"/>
    </xf>
    <xf numFmtId="0" fontId="0" fillId="9" borderId="0" xfId="0" applyFill="1" applyAlignment="1">
      <alignment horizontal="left"/>
    </xf>
    <xf numFmtId="0" fontId="0" fillId="0" borderId="0" xfId="0"/>
    <xf numFmtId="0" fontId="0" fillId="9" borderId="0" xfId="0" applyFill="1"/>
    <xf numFmtId="1" fontId="4" fillId="7" borderId="1" xfId="0" applyNumberFormat="1" applyFont="1" applyFill="1" applyBorder="1" applyAlignment="1">
      <alignment horizontal="center" vertical="center"/>
    </xf>
    <xf numFmtId="1" fontId="4" fillId="7" borderId="7" xfId="0" applyNumberFormat="1" applyFont="1" applyFill="1" applyBorder="1" applyAlignment="1">
      <alignment horizontal="center" vertical="center"/>
    </xf>
    <xf numFmtId="1" fontId="4" fillId="7" borderId="9" xfId="0" applyNumberFormat="1" applyFont="1" applyFill="1" applyBorder="1" applyAlignment="1">
      <alignment horizontal="center" vertical="center"/>
    </xf>
    <xf numFmtId="0" fontId="0" fillId="0" borderId="0" xfId="0"/>
    <xf numFmtId="0" fontId="0" fillId="9" borderId="0" xfId="0" applyFill="1"/>
    <xf numFmtId="0" fontId="0" fillId="0" borderId="0" xfId="0"/>
    <xf numFmtId="0" fontId="12" fillId="9" borderId="0" xfId="0" applyFont="1" applyFill="1" applyAlignment="1">
      <alignment horizontal="left" vertical="center"/>
    </xf>
    <xf numFmtId="0" fontId="16" fillId="9" borderId="0" xfId="0" applyFont="1" applyFill="1" applyAlignment="1">
      <alignment vertical="center"/>
    </xf>
    <xf numFmtId="15" fontId="18" fillId="9" borderId="0" xfId="0" applyNumberFormat="1" applyFont="1" applyFill="1"/>
    <xf numFmtId="0" fontId="3" fillId="6" borderId="7" xfId="0" applyNumberFormat="1" applyFont="1" applyFill="1" applyBorder="1" applyAlignment="1">
      <alignment vertical="center" wrapText="1"/>
    </xf>
    <xf numFmtId="0" fontId="4" fillId="7" borderId="7" xfId="0" applyNumberFormat="1" applyFont="1" applyFill="1" applyBorder="1" applyAlignment="1">
      <alignment vertical="center" wrapText="1"/>
    </xf>
    <xf numFmtId="0" fontId="4" fillId="8" borderId="7" xfId="0" applyNumberFormat="1" applyFont="1" applyFill="1" applyBorder="1" applyAlignment="1">
      <alignment vertical="center" wrapText="1"/>
    </xf>
    <xf numFmtId="0" fontId="3" fillId="6" borderId="1" xfId="0" applyNumberFormat="1" applyFont="1" applyFill="1" applyBorder="1" applyAlignment="1">
      <alignment vertical="center" wrapText="1"/>
    </xf>
    <xf numFmtId="0" fontId="4" fillId="7" borderId="1" xfId="0" applyNumberFormat="1" applyFont="1" applyFill="1" applyBorder="1" applyAlignment="1">
      <alignment vertical="center" wrapText="1"/>
    </xf>
    <xf numFmtId="0" fontId="4" fillId="8" borderId="1" xfId="0" applyNumberFormat="1" applyFont="1" applyFill="1" applyBorder="1" applyAlignment="1">
      <alignment vertical="center" wrapText="1"/>
    </xf>
    <xf numFmtId="0" fontId="3" fillId="6" borderId="9" xfId="0" applyNumberFormat="1" applyFont="1" applyFill="1" applyBorder="1" applyAlignment="1">
      <alignment vertical="center" wrapText="1"/>
    </xf>
    <xf numFmtId="0" fontId="4" fillId="7" borderId="9" xfId="0" applyNumberFormat="1" applyFont="1" applyFill="1" applyBorder="1" applyAlignment="1">
      <alignment vertical="center" wrapText="1"/>
    </xf>
    <xf numFmtId="0" fontId="4" fillId="8" borderId="9" xfId="0" applyNumberFormat="1" applyFont="1" applyFill="1" applyBorder="1" applyAlignment="1">
      <alignment vertical="center" wrapText="1"/>
    </xf>
    <xf numFmtId="0" fontId="0" fillId="9" borderId="0" xfId="0" applyFill="1"/>
    <xf numFmtId="0" fontId="0" fillId="9" borderId="0" xfId="0" applyFill="1" applyAlignment="1">
      <alignment horizontal="left" vertical="top"/>
    </xf>
    <xf numFmtId="0" fontId="31" fillId="9" borderId="0" xfId="0" applyFont="1" applyFill="1" applyAlignment="1">
      <alignment wrapText="1"/>
    </xf>
    <xf numFmtId="165" fontId="4" fillId="7" borderId="7" xfId="1" applyNumberFormat="1" applyFont="1" applyFill="1" applyBorder="1" applyAlignment="1">
      <alignment horizontal="center" vertical="center"/>
    </xf>
    <xf numFmtId="165" fontId="4" fillId="8" borderId="7" xfId="1" applyNumberFormat="1" applyFont="1" applyFill="1" applyBorder="1" applyAlignment="1">
      <alignment horizontal="center" vertical="center"/>
    </xf>
    <xf numFmtId="165" fontId="4" fillId="7" borderId="1" xfId="1" applyNumberFormat="1" applyFont="1" applyFill="1" applyBorder="1" applyAlignment="1">
      <alignment horizontal="center" vertical="center"/>
    </xf>
    <xf numFmtId="165" fontId="4" fillId="8" borderId="1" xfId="1" applyNumberFormat="1" applyFont="1" applyFill="1" applyBorder="1" applyAlignment="1">
      <alignment horizontal="center" vertical="center"/>
    </xf>
    <xf numFmtId="165" fontId="4" fillId="7" borderId="9" xfId="1" applyNumberFormat="1" applyFont="1" applyFill="1" applyBorder="1" applyAlignment="1">
      <alignment horizontal="center" vertical="center"/>
    </xf>
    <xf numFmtId="165" fontId="4" fillId="8" borderId="9" xfId="1" applyNumberFormat="1" applyFont="1" applyFill="1" applyBorder="1" applyAlignment="1">
      <alignment horizontal="center" vertical="center"/>
    </xf>
    <xf numFmtId="165" fontId="2" fillId="4" borderId="1" xfId="1" applyNumberFormat="1" applyFont="1" applyFill="1" applyBorder="1" applyAlignment="1">
      <alignment horizontal="center" vertical="center"/>
    </xf>
    <xf numFmtId="165" fontId="4" fillId="4" borderId="1" xfId="1" applyNumberFormat="1" applyFont="1" applyFill="1" applyBorder="1" applyAlignment="1">
      <alignment horizontal="center" vertical="center"/>
    </xf>
    <xf numFmtId="165" fontId="4" fillId="5" borderId="1" xfId="1" applyNumberFormat="1" applyFont="1" applyFill="1" applyBorder="1" applyAlignment="1">
      <alignment horizontal="center" vertical="center"/>
    </xf>
    <xf numFmtId="165" fontId="2" fillId="5" borderId="1" xfId="1" applyNumberFormat="1" applyFont="1" applyFill="1" applyBorder="1" applyAlignment="1">
      <alignment horizontal="center" vertical="center"/>
    </xf>
    <xf numFmtId="165" fontId="0" fillId="9" borderId="0" xfId="1" applyNumberFormat="1" applyFont="1" applyFill="1"/>
    <xf numFmtId="165" fontId="4" fillId="8" borderId="7" xfId="1" applyNumberFormat="1" applyFont="1" applyFill="1" applyBorder="1" applyAlignment="1">
      <alignment vertical="center"/>
    </xf>
    <xf numFmtId="165" fontId="4" fillId="8" borderId="1" xfId="1" applyNumberFormat="1" applyFont="1" applyFill="1" applyBorder="1" applyAlignment="1">
      <alignment vertical="center"/>
    </xf>
    <xf numFmtId="165" fontId="4" fillId="8" borderId="7" xfId="1" quotePrefix="1" applyNumberFormat="1" applyFont="1" applyFill="1" applyBorder="1" applyAlignment="1">
      <alignment horizontal="left" vertical="center"/>
    </xf>
    <xf numFmtId="165" fontId="4" fillId="8" borderId="1" xfId="1" quotePrefix="1" applyNumberFormat="1" applyFont="1" applyFill="1" applyBorder="1" applyAlignment="1">
      <alignment horizontal="left" vertical="center"/>
    </xf>
    <xf numFmtId="165" fontId="4" fillId="8" borderId="1" xfId="1" applyNumberFormat="1" applyFont="1" applyFill="1" applyBorder="1" applyAlignment="1">
      <alignment horizontal="left" vertical="center"/>
    </xf>
    <xf numFmtId="0" fontId="4" fillId="7" borderId="12" xfId="0" applyNumberFormat="1" applyFont="1" applyFill="1" applyBorder="1" applyAlignment="1">
      <alignment horizontal="left" vertical="center"/>
    </xf>
    <xf numFmtId="0" fontId="4" fillId="8" borderId="12" xfId="0" applyNumberFormat="1" applyFont="1" applyFill="1" applyBorder="1" applyAlignment="1">
      <alignment horizontal="left" vertical="center"/>
    </xf>
    <xf numFmtId="0" fontId="0" fillId="0" borderId="0" xfId="0"/>
    <xf numFmtId="0" fontId="4" fillId="8" borderId="12" xfId="0" quotePrefix="1" applyNumberFormat="1" applyFont="1" applyFill="1" applyBorder="1" applyAlignment="1">
      <alignment horizontal="left" vertical="center"/>
    </xf>
    <xf numFmtId="0" fontId="4" fillId="0" borderId="0" xfId="0" applyFont="1" applyAlignment="1">
      <alignment wrapText="1"/>
    </xf>
    <xf numFmtId="0" fontId="0" fillId="0" borderId="0" xfId="0"/>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1" fontId="2" fillId="5" borderId="1" xfId="0" applyNumberFormat="1" applyFont="1" applyFill="1" applyBorder="1" applyAlignment="1">
      <alignment horizontal="center" vertical="center"/>
    </xf>
    <xf numFmtId="0" fontId="1" fillId="9" borderId="0" xfId="4" applyFont="1" applyFill="1" applyAlignment="1">
      <alignment horizontal="left" vertical="center"/>
    </xf>
    <xf numFmtId="0" fontId="8" fillId="9" borderId="0" xfId="4" applyFill="1"/>
    <xf numFmtId="0" fontId="16" fillId="9" borderId="0" xfId="4" applyFont="1" applyFill="1" applyAlignment="1">
      <alignment vertical="top" wrapText="1"/>
    </xf>
    <xf numFmtId="0" fontId="14" fillId="9" borderId="0" xfId="4" applyFont="1" applyFill="1" applyAlignment="1">
      <alignment vertical="center"/>
    </xf>
    <xf numFmtId="0" fontId="12" fillId="9" borderId="0" xfId="4" applyFont="1" applyFill="1" applyAlignment="1">
      <alignment vertical="center"/>
    </xf>
    <xf numFmtId="0" fontId="23" fillId="9" borderId="0" xfId="4" applyFont="1" applyFill="1" applyAlignment="1">
      <alignment horizontal="left" vertical="center" indent="2"/>
    </xf>
    <xf numFmtId="0" fontId="26" fillId="9" borderId="0" xfId="4" applyFont="1" applyFill="1" applyAlignment="1">
      <alignment vertical="center"/>
    </xf>
    <xf numFmtId="0" fontId="27" fillId="10" borderId="10" xfId="4" applyFont="1" applyFill="1" applyBorder="1" applyAlignment="1">
      <alignment horizontal="left" vertical="center"/>
    </xf>
    <xf numFmtId="0" fontId="28" fillId="6" borderId="6" xfId="4" applyFont="1" applyFill="1" applyBorder="1" applyAlignment="1">
      <alignment vertical="center" wrapText="1"/>
    </xf>
    <xf numFmtId="0" fontId="29" fillId="9" borderId="11" xfId="4" applyFont="1" applyFill="1" applyBorder="1" applyAlignment="1">
      <alignment horizontal="center" vertical="center" wrapText="1"/>
    </xf>
    <xf numFmtId="0" fontId="20" fillId="9" borderId="0" xfId="4" applyFont="1" applyFill="1" applyAlignment="1">
      <alignment horizontal="justify" vertical="center"/>
    </xf>
    <xf numFmtId="0" fontId="1" fillId="9" borderId="0" xfId="4" applyFont="1" applyFill="1" applyAlignment="1">
      <alignment vertical="center"/>
    </xf>
    <xf numFmtId="0" fontId="8" fillId="9" borderId="0" xfId="4" applyFill="1" applyAlignment="1"/>
    <xf numFmtId="0" fontId="14" fillId="9" borderId="0" xfId="4" applyFont="1" applyFill="1" applyAlignment="1">
      <alignment horizontal="left" vertical="center" indent="2"/>
    </xf>
    <xf numFmtId="0" fontId="26" fillId="9" borderId="0" xfId="4" applyFont="1" applyFill="1" applyAlignment="1">
      <alignment horizontal="left" vertical="center"/>
    </xf>
    <xf numFmtId="0" fontId="27" fillId="10" borderId="11" xfId="4" applyFont="1" applyFill="1" applyBorder="1" applyAlignment="1">
      <alignment horizontal="left" vertical="center"/>
    </xf>
    <xf numFmtId="0" fontId="22" fillId="9" borderId="6" xfId="4" applyFont="1" applyFill="1" applyBorder="1" applyAlignment="1">
      <alignment vertical="center"/>
    </xf>
    <xf numFmtId="0" fontId="0" fillId="0" borderId="0" xfId="0"/>
    <xf numFmtId="0" fontId="27" fillId="2" borderId="1" xfId="0" applyFont="1" applyFill="1" applyBorder="1" applyAlignment="1">
      <alignment horizontal="center" vertical="center"/>
    </xf>
    <xf numFmtId="0" fontId="0" fillId="0" borderId="0" xfId="0"/>
    <xf numFmtId="0" fontId="12" fillId="9" borderId="0" xfId="0" applyFont="1" applyFill="1" applyAlignment="1">
      <alignment horizontal="left" vertical="center"/>
    </xf>
    <xf numFmtId="0" fontId="16" fillId="9" borderId="0" xfId="3" applyFont="1" applyFill="1" applyBorder="1" applyAlignment="1">
      <alignment horizontal="left" vertical="center" wrapText="1"/>
    </xf>
    <xf numFmtId="0" fontId="0" fillId="0" borderId="0" xfId="0" applyAlignment="1">
      <alignment vertical="center"/>
    </xf>
    <xf numFmtId="0" fontId="0" fillId="0" borderId="0" xfId="0"/>
    <xf numFmtId="0" fontId="16" fillId="9" borderId="0" xfId="3" applyFont="1" applyFill="1" applyAlignment="1">
      <alignment horizontal="left" vertical="center" wrapText="1"/>
    </xf>
    <xf numFmtId="0" fontId="4" fillId="8" borderId="12" xfId="0" applyNumberFormat="1" applyFont="1" applyFill="1" applyBorder="1" applyAlignment="1">
      <alignment vertical="center" wrapText="1"/>
    </xf>
    <xf numFmtId="0" fontId="32" fillId="0" borderId="0" xfId="0" applyFont="1"/>
    <xf numFmtId="0" fontId="0" fillId="0" borderId="0" xfId="0"/>
    <xf numFmtId="0" fontId="16" fillId="9" borderId="0" xfId="3" applyFont="1" applyFill="1" applyAlignment="1">
      <alignment horizontal="left" vertical="center" wrapText="1"/>
    </xf>
    <xf numFmtId="0" fontId="35" fillId="0" borderId="0" xfId="0" applyFont="1" applyAlignment="1"/>
    <xf numFmtId="0" fontId="34" fillId="0" borderId="0" xfId="0" applyFont="1" applyAlignment="1"/>
    <xf numFmtId="0" fontId="0" fillId="0" borderId="0" xfId="0"/>
    <xf numFmtId="0" fontId="16" fillId="9" borderId="0" xfId="3" applyFont="1" applyFill="1" applyAlignment="1">
      <alignment horizontal="left" vertical="center" wrapText="1"/>
    </xf>
    <xf numFmtId="0" fontId="12" fillId="9" borderId="0" xfId="0" applyFont="1" applyFill="1" applyAlignment="1">
      <alignment horizontal="left" vertical="center"/>
    </xf>
    <xf numFmtId="165" fontId="4" fillId="8" borderId="9" xfId="1" applyNumberFormat="1" applyFont="1" applyFill="1" applyBorder="1" applyAlignment="1">
      <alignment vertical="center"/>
    </xf>
    <xf numFmtId="0" fontId="4" fillId="7" borderId="12" xfId="0" applyNumberFormat="1" applyFont="1" applyFill="1" applyBorder="1" applyAlignment="1">
      <alignment horizontal="center" vertical="center" wrapText="1"/>
    </xf>
    <xf numFmtId="0" fontId="16" fillId="9" borderId="0" xfId="3" applyFont="1" applyFill="1" applyAlignment="1">
      <alignment vertical="center"/>
    </xf>
    <xf numFmtId="0" fontId="0" fillId="0" borderId="0" xfId="0"/>
    <xf numFmtId="0" fontId="15" fillId="9" borderId="0" xfId="3" applyFont="1" applyFill="1" applyAlignment="1">
      <alignment horizontal="left" vertical="center" wrapText="1"/>
    </xf>
    <xf numFmtId="0" fontId="16" fillId="9" borderId="0" xfId="3" applyFont="1" applyFill="1" applyAlignment="1">
      <alignment horizontal="left" vertical="center" wrapText="1"/>
    </xf>
    <xf numFmtId="0" fontId="15" fillId="9" borderId="0" xfId="3" applyFont="1" applyFill="1" applyAlignment="1">
      <alignment vertical="center"/>
    </xf>
    <xf numFmtId="0" fontId="29" fillId="0" borderId="0" xfId="0" applyFont="1" applyAlignment="1">
      <alignment horizontal="left" vertical="top" wrapText="1"/>
    </xf>
    <xf numFmtId="0" fontId="0" fillId="0" borderId="0" xfId="0"/>
    <xf numFmtId="0" fontId="16" fillId="9" borderId="0" xfId="3" applyFont="1" applyFill="1" applyAlignment="1">
      <alignment horizontal="left" vertical="center" wrapText="1"/>
    </xf>
    <xf numFmtId="0" fontId="2" fillId="4" borderId="0" xfId="0" applyFont="1" applyFill="1" applyBorder="1" applyAlignment="1">
      <alignment horizontal="center" vertical="center" wrapText="1"/>
    </xf>
    <xf numFmtId="0" fontId="3" fillId="6" borderId="13" xfId="0" applyNumberFormat="1" applyFont="1" applyFill="1" applyBorder="1" applyAlignment="1">
      <alignment horizontal="left" vertical="center"/>
    </xf>
    <xf numFmtId="0" fontId="4" fillId="7" borderId="9" xfId="0" applyNumberFormat="1" applyFont="1" applyFill="1" applyBorder="1" applyAlignment="1">
      <alignment horizontal="left" vertical="center" wrapText="1"/>
    </xf>
    <xf numFmtId="0" fontId="4" fillId="8" borderId="9" xfId="0" applyNumberFormat="1" applyFont="1" applyFill="1" applyBorder="1" applyAlignment="1">
      <alignment horizontal="left" vertical="center"/>
    </xf>
    <xf numFmtId="0" fontId="4" fillId="7" borderId="9" xfId="0" applyNumberFormat="1" applyFont="1" applyFill="1" applyBorder="1" applyAlignment="1">
      <alignment horizontal="left" vertical="center"/>
    </xf>
    <xf numFmtId="165" fontId="4" fillId="8" borderId="9" xfId="1" applyNumberFormat="1" applyFont="1" applyFill="1" applyBorder="1" applyAlignment="1">
      <alignment horizontal="left" vertical="center"/>
    </xf>
    <xf numFmtId="0" fontId="0" fillId="0" borderId="0" xfId="0"/>
    <xf numFmtId="0" fontId="16" fillId="9" borderId="0" xfId="3" applyFont="1" applyFill="1" applyAlignment="1">
      <alignment horizontal="left" vertical="center" wrapText="1"/>
    </xf>
    <xf numFmtId="0" fontId="16" fillId="9" borderId="0" xfId="3" applyFont="1" applyFill="1" applyAlignment="1">
      <alignment horizontal="left" vertical="center"/>
    </xf>
    <xf numFmtId="0" fontId="35" fillId="0" borderId="0" xfId="0" applyFont="1" applyAlignment="1">
      <alignment horizontal="left" vertical="top" wrapText="1"/>
    </xf>
    <xf numFmtId="0" fontId="4" fillId="0" borderId="0" xfId="0" applyFont="1" applyAlignment="1">
      <alignment wrapText="1"/>
    </xf>
    <xf numFmtId="0" fontId="0" fillId="0" borderId="0" xfId="0"/>
    <xf numFmtId="0" fontId="15" fillId="9" borderId="0" xfId="3" applyFont="1" applyFill="1" applyAlignment="1">
      <alignment horizontal="left" vertical="center" wrapText="1"/>
    </xf>
    <xf numFmtId="0" fontId="16" fillId="9" borderId="0" xfId="3" applyFont="1" applyFill="1" applyAlignment="1">
      <alignment horizontal="left" vertical="center" wrapText="1"/>
    </xf>
    <xf numFmtId="0" fontId="12" fillId="9" borderId="0" xfId="0" applyFont="1" applyFill="1" applyAlignment="1">
      <alignment horizontal="left" vertical="center"/>
    </xf>
    <xf numFmtId="0" fontId="14" fillId="9" borderId="0" xfId="0" applyFont="1" applyFill="1" applyAlignment="1">
      <alignment horizontal="left" vertical="center" wrapText="1"/>
    </xf>
    <xf numFmtId="0" fontId="16" fillId="9" borderId="0" xfId="0" applyFont="1" applyFill="1" applyAlignment="1">
      <alignment horizontal="left" vertical="center" wrapText="1"/>
    </xf>
    <xf numFmtId="0" fontId="15" fillId="9" borderId="0" xfId="0" applyFont="1" applyFill="1" applyAlignment="1">
      <alignment horizontal="left" vertical="center" wrapText="1"/>
    </xf>
    <xf numFmtId="0" fontId="16" fillId="9" borderId="0" xfId="3" applyFont="1" applyFill="1" applyBorder="1" applyAlignment="1">
      <alignment horizontal="left" vertical="center" wrapText="1"/>
    </xf>
    <xf numFmtId="0" fontId="18" fillId="9" borderId="0" xfId="0" applyFont="1" applyFill="1" applyAlignment="1">
      <alignment horizontal="left" vertical="center" wrapText="1"/>
    </xf>
    <xf numFmtId="0" fontId="16" fillId="9" borderId="0" xfId="0" applyFont="1" applyFill="1" applyAlignment="1">
      <alignment horizontal="left" vertical="top" wrapText="1"/>
    </xf>
    <xf numFmtId="0" fontId="15" fillId="9" borderId="0" xfId="0" applyFont="1" applyFill="1" applyAlignment="1">
      <alignment horizontal="left" vertical="top" wrapText="1"/>
    </xf>
    <xf numFmtId="0" fontId="29" fillId="0" borderId="0" xfId="0" applyFont="1" applyAlignment="1">
      <alignment horizontal="left" vertical="top" wrapText="1"/>
    </xf>
    <xf numFmtId="0" fontId="5" fillId="9" borderId="0" xfId="0" applyFont="1" applyFill="1" applyAlignment="1">
      <alignment horizontal="left" vertical="top" wrapText="1"/>
    </xf>
    <xf numFmtId="0" fontId="0" fillId="9" borderId="0" xfId="0" applyFill="1" applyAlignment="1">
      <alignment horizontal="left" vertical="top" wrapText="1"/>
    </xf>
    <xf numFmtId="0" fontId="29" fillId="0" borderId="0" xfId="0" applyFont="1" applyAlignment="1">
      <alignment wrapText="1"/>
    </xf>
    <xf numFmtId="0" fontId="31" fillId="0" borderId="0" xfId="0" applyFont="1"/>
    <xf numFmtId="0" fontId="14" fillId="9" borderId="0" xfId="4" applyFont="1" applyFill="1" applyAlignment="1">
      <alignment horizontal="left" vertical="center" wrapText="1"/>
    </xf>
    <xf numFmtId="0" fontId="16" fillId="9" borderId="0" xfId="4" applyFont="1" applyFill="1" applyAlignment="1">
      <alignment horizontal="left" vertical="center" wrapText="1"/>
    </xf>
    <xf numFmtId="0" fontId="16" fillId="9" borderId="0" xfId="4" applyFont="1" applyFill="1" applyAlignment="1">
      <alignment vertical="top" wrapText="1"/>
    </xf>
    <xf numFmtId="0" fontId="27" fillId="10" borderId="11" xfId="4" applyFont="1" applyFill="1" applyBorder="1" applyAlignment="1">
      <alignment horizontal="left" vertical="center"/>
    </xf>
    <xf numFmtId="0" fontId="27" fillId="10" borderId="0" xfId="4" applyFont="1" applyFill="1" applyBorder="1" applyAlignment="1">
      <alignment horizontal="left" vertical="center"/>
    </xf>
    <xf numFmtId="0" fontId="25" fillId="9" borderId="0" xfId="4" applyFont="1" applyFill="1" applyAlignment="1">
      <alignment horizontal="left" vertical="center" wrapText="1" indent="2"/>
    </xf>
    <xf numFmtId="0" fontId="14" fillId="9" borderId="0" xfId="4" applyFont="1" applyFill="1" applyAlignment="1">
      <alignment horizontal="left" vertical="center" wrapText="1" indent="2"/>
    </xf>
    <xf numFmtId="0" fontId="23" fillId="9" borderId="0" xfId="4" applyFont="1" applyFill="1" applyAlignment="1">
      <alignment horizontal="left" vertical="center" wrapText="1"/>
    </xf>
    <xf numFmtId="0" fontId="29" fillId="9" borderId="11" xfId="4" applyFont="1" applyFill="1" applyBorder="1" applyAlignment="1">
      <alignment horizontal="left" vertical="center" wrapText="1"/>
    </xf>
    <xf numFmtId="0" fontId="29" fillId="9" borderId="0" xfId="4" applyFont="1" applyFill="1" applyBorder="1" applyAlignment="1">
      <alignment horizontal="left" vertical="center" wrapText="1"/>
    </xf>
    <xf numFmtId="0" fontId="29" fillId="9" borderId="0" xfId="4" applyFont="1" applyFill="1" applyAlignment="1">
      <alignment horizontal="left" vertical="center" wrapText="1"/>
    </xf>
  </cellXfs>
  <cellStyles count="6">
    <cellStyle name="Comma" xfId="1" builtinId="3"/>
    <cellStyle name="Comma 2" xfId="5" xr:uid="{00000000-0005-0000-0000-000001000000}"/>
    <cellStyle name="Hyperlink" xfId="2" builtinId="8"/>
    <cellStyle name="Normal" xfId="0" builtinId="0"/>
    <cellStyle name="Normal 2" xfId="3" xr:uid="{00000000-0005-0000-0000-000004000000}"/>
    <cellStyle name="Normal 2 2" xfId="4" xr:uid="{00000000-0005-0000-0000-000005000000}"/>
  </cellStyles>
  <dxfs count="144">
    <dxf>
      <font>
        <sz val="8"/>
        <name val="Arial"/>
        <family val="2"/>
        <scheme val="none"/>
      </font>
      <numFmt numFmtId="0" formatCode="General"/>
      <fill>
        <patternFill patternType="solid">
          <fgColor indexed="64"/>
          <bgColor rgb="FFE7E3DC"/>
        </patternFill>
      </fill>
      <alignment horizontal="left" vertical="center" textRotation="0" wrapText="0" indent="0" justifyLastLine="0" shrinkToFit="0" readingOrder="0"/>
      <border diagonalUp="0" diagonalDown="0">
        <left style="medium">
          <color rgb="FFFFFFFF"/>
        </left>
        <right style="medium">
          <color rgb="FFFFFFFF"/>
        </right>
        <top/>
        <bottom/>
        <vertical/>
        <horizontal/>
      </border>
    </dxf>
    <dxf>
      <font>
        <sz val="8"/>
        <name val="Arial"/>
        <family val="2"/>
        <scheme val="none"/>
      </font>
      <numFmt numFmtId="0" formatCode="General"/>
      <fill>
        <patternFill patternType="solid">
          <fgColor indexed="64"/>
          <bgColor rgb="FFF9F8F6"/>
        </patternFill>
      </fill>
      <alignment horizontal="left" vertical="center" textRotation="0" wrapText="0" indent="0" justifyLastLine="0" shrinkToFit="0" readingOrder="0"/>
      <border diagonalUp="0" diagonalDown="0">
        <left style="medium">
          <color rgb="FFFFFFFF"/>
        </left>
        <right style="medium">
          <color rgb="FFFFFFFF"/>
        </right>
        <top/>
        <bottom/>
        <vertical/>
        <horizontal/>
      </border>
    </dxf>
    <dxf>
      <font>
        <sz val="8"/>
        <name val="Arial"/>
        <family val="2"/>
        <scheme val="none"/>
      </font>
      <numFmt numFmtId="0" formatCode="General"/>
      <fill>
        <patternFill patternType="solid">
          <fgColor indexed="64"/>
          <bgColor rgb="FFE7E3DC"/>
        </patternFill>
      </fill>
      <alignment horizontal="left" vertical="center" textRotation="0" wrapText="0" indent="0" justifyLastLine="0" shrinkToFit="0" readingOrder="0"/>
      <border diagonalUp="0" diagonalDown="0">
        <left style="medium">
          <color rgb="FFFFFFFF"/>
        </left>
        <right style="medium">
          <color rgb="FFFFFFFF"/>
        </right>
        <top/>
        <bottom/>
        <vertical/>
        <horizontal/>
      </border>
    </dxf>
    <dxf>
      <font>
        <b val="0"/>
        <i val="0"/>
        <strike val="0"/>
        <condense val="0"/>
        <extend val="0"/>
        <outline val="0"/>
        <shadow val="0"/>
        <u val="none"/>
        <vertAlign val="baseline"/>
        <sz val="8"/>
        <color rgb="FF000000"/>
        <name val="Arial"/>
        <family val="2"/>
        <scheme val="none"/>
      </font>
      <numFmt numFmtId="0" formatCode="General"/>
      <fill>
        <patternFill patternType="solid">
          <fgColor indexed="64"/>
          <bgColor rgb="FFF9F8F6"/>
        </patternFill>
      </fill>
      <alignment horizontal="left" vertical="center" textRotation="0" wrapText="0" indent="0" justifyLastLine="0" shrinkToFit="0" readingOrder="0"/>
      <border diagonalUp="0" diagonalDown="0">
        <left style="medium">
          <color rgb="FFFFFFFF"/>
        </left>
        <right style="medium">
          <color rgb="FFFFFFFF"/>
        </right>
        <top/>
        <bottom/>
        <vertical/>
        <horizontal/>
      </border>
    </dxf>
    <dxf>
      <font>
        <sz val="8"/>
        <name val="Arial"/>
        <family val="2"/>
        <scheme val="none"/>
      </font>
      <numFmt numFmtId="0" formatCode="General"/>
      <fill>
        <patternFill patternType="solid">
          <fgColor indexed="64"/>
          <bgColor rgb="FFE7E3DC"/>
        </patternFill>
      </fill>
      <alignment horizontal="left" vertical="center" textRotation="0" wrapText="0" indent="0" justifyLastLine="0" shrinkToFit="0" readingOrder="0"/>
      <border diagonalUp="0" diagonalDown="0">
        <left style="medium">
          <color rgb="FFFFFFFF"/>
        </left>
        <right style="medium">
          <color rgb="FFFFFFFF"/>
        </right>
        <top/>
        <bottom/>
        <vertical/>
        <horizontal/>
      </border>
    </dxf>
    <dxf>
      <font>
        <sz val="8"/>
        <name val="Arial"/>
        <family val="2"/>
        <scheme val="none"/>
      </font>
      <numFmt numFmtId="0" formatCode="General"/>
      <fill>
        <patternFill patternType="solid">
          <fgColor indexed="64"/>
          <bgColor rgb="FFF9F8F6"/>
        </patternFill>
      </fill>
      <alignment horizontal="left"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E7E3DC"/>
        </patternFill>
      </fill>
      <alignment horizontal="left"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F9F8F6"/>
        </patternFill>
      </fill>
      <alignment horizontal="left"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65" formatCode="_-* #,##0.0_-;\-* #,##0.0_-;_-* &quot;-&quot;??_-;_-@_-"/>
      <fill>
        <patternFill patternType="solid">
          <fgColor indexed="64"/>
          <bgColor rgb="FFE7E3DC"/>
        </patternFill>
      </fill>
      <alignment horizontal="left"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F9F8F6"/>
        </patternFill>
      </fill>
      <alignment horizontal="left"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E7E3DC"/>
        </patternFill>
      </fill>
      <alignment horizontal="left"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F9F8F6"/>
        </patternFill>
      </fill>
      <alignment horizontal="left"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E7E3DC"/>
        </patternFill>
      </fill>
      <alignment horizontal="left"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F9F8F6"/>
        </patternFill>
      </fill>
      <alignment horizontal="left"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color rgb="FFFFFFFF"/>
        <name val="Arial"/>
        <family val="2"/>
        <scheme val="none"/>
      </font>
      <numFmt numFmtId="0" formatCode="General"/>
      <fill>
        <patternFill patternType="solid">
          <fgColor indexed="64"/>
          <bgColor rgb="FF948671"/>
        </patternFill>
      </fill>
      <alignment horizontal="left" vertical="center" textRotation="0" wrapText="0" indent="0" justifyLastLine="0" shrinkToFit="0" readingOrder="0"/>
      <border diagonalUp="0" diagonalDown="0">
        <left/>
        <right style="medium">
          <color rgb="FFFFFFFF"/>
        </right>
        <top style="medium">
          <color rgb="FFFFFFFF"/>
        </top>
        <bottom style="medium">
          <color rgb="FFFFFFFF"/>
        </bottom>
        <vertical/>
        <horizontal/>
      </border>
    </dxf>
    <dxf>
      <border outline="0">
        <left style="medium">
          <color rgb="FFFFFFFF"/>
        </left>
        <right style="medium">
          <color rgb="FFFFFFFF"/>
        </right>
        <top style="medium">
          <color rgb="FFFFFFFF"/>
        </top>
        <bottom style="medium">
          <color rgb="FFFFFFFF"/>
        </bottom>
      </border>
    </dxf>
    <dxf>
      <border outline="0">
        <bottom style="medium">
          <color rgb="FFFFFFFF"/>
        </bottom>
      </border>
    </dxf>
    <dxf>
      <font>
        <b/>
        <i val="0"/>
        <strike val="0"/>
        <condense val="0"/>
        <extend val="0"/>
        <outline val="0"/>
        <shadow val="0"/>
        <u val="none"/>
        <vertAlign val="baseline"/>
        <sz val="8"/>
        <color rgb="FF000000"/>
        <name val="Arial"/>
        <family val="2"/>
        <scheme val="none"/>
      </font>
      <fill>
        <patternFill patternType="solid">
          <fgColor indexed="64"/>
          <bgColor rgb="FFFFC222"/>
        </patternFill>
      </fill>
      <alignment horizontal="center" vertical="center" textRotation="0" wrapText="1" indent="0" justifyLastLine="0" shrinkToFit="0" readingOrder="0"/>
      <border diagonalUp="0" diagonalDown="0" outline="0">
        <left style="medium">
          <color rgb="FFFFFFFF"/>
        </left>
        <right style="medium">
          <color rgb="FFFFFFFF"/>
        </right>
        <top/>
        <bottom/>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F9F8F6"/>
        </patternFill>
      </fill>
      <alignment horizontal="center"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F9F8F6"/>
        </patternFill>
      </fill>
      <alignment horizontal="center" vertical="center" textRotation="0" wrapText="1" indent="0" justifyLastLine="0" shrinkToFit="0" readingOrder="0"/>
      <border diagonalUp="0" diagonalDown="0">
        <left style="medium">
          <color rgb="FFFFFFFF"/>
        </left>
        <right style="medium">
          <color rgb="FFFFFFFF"/>
        </right>
        <top/>
        <bottom/>
        <vertical/>
        <horizontal/>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F9F8F6"/>
        </patternFill>
      </fill>
      <alignment horizontal="center"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general"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F9F8F6"/>
        </patternFill>
      </fill>
      <alignment horizontal="center"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color rgb="FFFFFFFF"/>
        <name val="Arial"/>
        <family val="2"/>
        <scheme val="none"/>
      </font>
      <numFmt numFmtId="0" formatCode="General"/>
      <fill>
        <patternFill patternType="solid">
          <fgColor indexed="64"/>
          <bgColor rgb="FF948671"/>
        </patternFill>
      </fill>
      <alignment horizontal="left"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border outline="0">
        <bottom style="medium">
          <color rgb="FFFFFFFF"/>
        </bottom>
      </border>
    </dxf>
    <dxf>
      <font>
        <b/>
        <i val="0"/>
        <strike val="0"/>
        <condense val="0"/>
        <extend val="0"/>
        <outline val="0"/>
        <shadow val="0"/>
        <u val="none"/>
        <vertAlign val="baseline"/>
        <sz val="8"/>
        <color rgb="FF000000"/>
        <name val="Arial"/>
        <family val="2"/>
        <scheme val="none"/>
      </font>
      <fill>
        <patternFill patternType="solid">
          <fgColor indexed="64"/>
          <bgColor rgb="FFFFC222"/>
        </patternFill>
      </fill>
      <alignment horizontal="center" vertical="center" textRotation="0" wrapText="1" indent="0" justifyLastLine="0" shrinkToFit="0" readingOrder="0"/>
      <border diagonalUp="0" diagonalDown="0" outline="0">
        <left style="medium">
          <color rgb="FFFFFFFF"/>
        </left>
        <right style="medium">
          <color rgb="FFFFFFFF"/>
        </right>
        <top/>
        <bottom/>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color rgb="FFFFFFFF"/>
        <name val="Arial"/>
        <family val="2"/>
        <scheme val="none"/>
      </font>
      <numFmt numFmtId="0" formatCode="General"/>
      <fill>
        <patternFill patternType="solid">
          <fgColor indexed="64"/>
          <bgColor rgb="FF948671"/>
        </patternFill>
      </fill>
      <alignment horizontal="left"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border outline="0">
        <bottom style="medium">
          <color rgb="FFFFFFFF"/>
        </bottom>
      </border>
    </dxf>
    <dxf>
      <font>
        <b/>
        <i val="0"/>
        <strike val="0"/>
        <condense val="0"/>
        <extend val="0"/>
        <outline val="0"/>
        <shadow val="0"/>
        <u val="none"/>
        <vertAlign val="baseline"/>
        <sz val="8"/>
        <color auto="1"/>
        <name val="Arial"/>
        <family val="2"/>
        <scheme val="none"/>
      </font>
      <fill>
        <patternFill patternType="solid">
          <fgColor indexed="64"/>
          <bgColor rgb="FFFFC222"/>
        </patternFill>
      </fill>
      <alignment horizontal="center" vertical="center" textRotation="0" wrapText="1" indent="0" justifyLastLine="0" shrinkToFit="0" readingOrder="0"/>
      <border diagonalUp="0" diagonalDown="0" outline="0">
        <left style="medium">
          <color rgb="FFFFFFFF"/>
        </left>
        <right style="medium">
          <color rgb="FFFFFFFF"/>
        </right>
        <top/>
        <bottom/>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color rgb="FFFFFFFF"/>
        <name val="Arial"/>
        <family val="2"/>
        <scheme val="none"/>
      </font>
      <numFmt numFmtId="0" formatCode="General"/>
      <fill>
        <patternFill patternType="solid">
          <fgColor indexed="64"/>
          <bgColor rgb="FF948671"/>
        </patternFill>
      </fill>
      <alignment horizontal="left"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border outline="0">
        <bottom style="medium">
          <color rgb="FFFFFFFF"/>
        </bottom>
      </border>
    </dxf>
    <dxf>
      <font>
        <b/>
        <i val="0"/>
        <strike val="0"/>
        <condense val="0"/>
        <extend val="0"/>
        <outline val="0"/>
        <shadow val="0"/>
        <u val="none"/>
        <vertAlign val="baseline"/>
        <sz val="8"/>
        <color auto="1"/>
        <name val="Arial"/>
        <family val="2"/>
        <scheme val="none"/>
      </font>
      <fill>
        <patternFill patternType="solid">
          <fgColor indexed="64"/>
          <bgColor rgb="FFFFC222"/>
        </patternFill>
      </fill>
      <alignment horizontal="center" vertical="center" textRotation="0" wrapText="1" indent="0" justifyLastLine="0" shrinkToFit="0" readingOrder="0"/>
      <border diagonalUp="0" diagonalDown="0" outline="0">
        <left style="medium">
          <color rgb="FFFFFFFF"/>
        </left>
        <right style="medium">
          <color rgb="FFFFFFFF"/>
        </right>
        <top/>
        <bottom/>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color rgb="FFFFFFFF"/>
        <name val="Arial"/>
        <family val="2"/>
        <scheme val="none"/>
      </font>
      <numFmt numFmtId="0" formatCode="General"/>
      <fill>
        <patternFill patternType="solid">
          <fgColor indexed="64"/>
          <bgColor rgb="FF948671"/>
        </patternFill>
      </fill>
      <alignment horizontal="left"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border outline="0">
        <bottom style="medium">
          <color rgb="FFFFFFFF"/>
        </bottom>
      </border>
    </dxf>
    <dxf>
      <font>
        <b/>
        <i val="0"/>
        <strike val="0"/>
        <condense val="0"/>
        <extend val="0"/>
        <outline val="0"/>
        <shadow val="0"/>
        <u val="none"/>
        <vertAlign val="baseline"/>
        <sz val="8"/>
        <color auto="1"/>
        <name val="Arial"/>
        <family val="2"/>
        <scheme val="none"/>
      </font>
      <fill>
        <patternFill patternType="solid">
          <fgColor indexed="64"/>
          <bgColor rgb="FFFFC222"/>
        </patternFill>
      </fill>
      <alignment horizontal="center" vertical="center" textRotation="0" wrapText="1" indent="0" justifyLastLine="0" shrinkToFit="0" readingOrder="0"/>
      <border diagonalUp="0" diagonalDown="0" outline="0">
        <left style="medium">
          <color rgb="FFFFFFFF"/>
        </left>
        <right style="medium">
          <color rgb="FFFFFFFF"/>
        </right>
        <top/>
        <bottom/>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color rgb="FFFFFFFF"/>
        <name val="Arial"/>
        <family val="2"/>
        <scheme val="none"/>
      </font>
      <numFmt numFmtId="0" formatCode="General"/>
      <fill>
        <patternFill patternType="solid">
          <fgColor indexed="64"/>
          <bgColor rgb="FF948671"/>
        </patternFill>
      </fill>
      <alignment horizontal="left"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border outline="0">
        <bottom style="medium">
          <color rgb="FFFFFFFF"/>
        </bottom>
      </border>
    </dxf>
    <dxf>
      <font>
        <b/>
        <i val="0"/>
        <strike val="0"/>
        <condense val="0"/>
        <extend val="0"/>
        <outline val="0"/>
        <shadow val="0"/>
        <u val="none"/>
        <vertAlign val="baseline"/>
        <sz val="8"/>
        <color rgb="FF000000"/>
        <name val="Arial"/>
        <family val="2"/>
        <scheme val="none"/>
      </font>
      <fill>
        <patternFill patternType="solid">
          <fgColor indexed="64"/>
          <bgColor rgb="FFFFC222"/>
        </patternFill>
      </fill>
      <alignment horizontal="center" vertical="center" textRotation="0" wrapText="1" indent="0" justifyLastLine="0" shrinkToFit="0" readingOrder="0"/>
      <border diagonalUp="0" diagonalDown="0" outline="0">
        <left style="medium">
          <color rgb="FFFFFFFF"/>
        </left>
        <right style="medium">
          <color rgb="FFFFFFFF"/>
        </right>
        <top/>
        <bottom/>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color rgb="FFFFFFFF"/>
        <name val="Arial"/>
        <family val="2"/>
        <scheme val="none"/>
      </font>
      <numFmt numFmtId="0" formatCode="General"/>
      <fill>
        <patternFill patternType="solid">
          <fgColor indexed="64"/>
          <bgColor rgb="FF948671"/>
        </patternFill>
      </fill>
      <alignment horizontal="left"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border outline="0">
        <bottom style="medium">
          <color rgb="FFFFFFFF"/>
        </bottom>
      </border>
    </dxf>
    <dxf>
      <font>
        <b/>
        <i val="0"/>
        <strike val="0"/>
        <condense val="0"/>
        <extend val="0"/>
        <outline val="0"/>
        <shadow val="0"/>
        <u val="none"/>
        <vertAlign val="baseline"/>
        <sz val="8"/>
        <color rgb="FF000000"/>
        <name val="Arial"/>
        <family val="2"/>
        <scheme val="none"/>
      </font>
      <fill>
        <patternFill patternType="solid">
          <fgColor indexed="64"/>
          <bgColor rgb="FFFFC222"/>
        </patternFill>
      </fill>
      <alignment horizontal="center" vertical="center" textRotation="0" wrapText="1" indent="0" justifyLastLine="0" shrinkToFit="0" readingOrder="0"/>
      <border diagonalUp="0" diagonalDown="0" outline="0">
        <left style="medium">
          <color rgb="FFFFFFFF"/>
        </left>
        <right style="medium">
          <color rgb="FFFFFFFF"/>
        </right>
        <top/>
        <bottom/>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1" formatCode="0"/>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center" textRotation="0" wrapText="0"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color rgb="FFFFFFFF"/>
        <name val="Arial"/>
        <family val="2"/>
        <scheme val="none"/>
      </font>
      <numFmt numFmtId="0" formatCode="General"/>
      <fill>
        <patternFill patternType="solid">
          <fgColor indexed="64"/>
          <bgColor rgb="FF948671"/>
        </patternFill>
      </fill>
      <alignment horizontal="left"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trike val="0"/>
        <outline val="0"/>
        <shadow val="0"/>
        <u val="none"/>
        <vertAlign val="baseline"/>
        <sz val="8"/>
        <color auto="1"/>
        <name val="Arial"/>
        <family val="2"/>
        <scheme val="none"/>
      </font>
    </dxf>
    <dxf>
      <font>
        <sz val="8"/>
        <name val="Arial"/>
        <family val="2"/>
        <scheme val="none"/>
      </font>
      <numFmt numFmtId="0" formatCode="General"/>
      <fill>
        <patternFill patternType="solid">
          <fgColor indexed="64"/>
          <bgColor rgb="FFE7E3DC"/>
        </patternFill>
      </fill>
      <alignment horizontal="center"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F9F8F6"/>
        </patternFill>
      </fill>
      <alignment horizontal="center"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E7E3DC"/>
        </patternFill>
      </fill>
      <alignment horizontal="center"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0" formatCode="General"/>
      <fill>
        <patternFill patternType="solid">
          <fgColor indexed="64"/>
          <bgColor rgb="FFF9F8F6"/>
        </patternFill>
      </fill>
      <alignment horizontal="general" vertical="center" textRotation="0" wrapText="1" indent="0" justifyLastLine="0" shrinkToFit="0" readingOrder="0"/>
      <border diagonalUp="0" diagonalDown="0">
        <left style="medium">
          <color rgb="FFFFFFFF"/>
        </left>
        <right style="medium">
          <color rgb="FFFFFFFF"/>
        </right>
        <top/>
        <bottom style="medium">
          <color rgb="FFFFFFFF"/>
        </bottom>
        <vertical/>
        <horizontal/>
      </border>
    </dxf>
    <dxf>
      <font>
        <sz val="8"/>
        <name val="Arial"/>
        <family val="2"/>
        <scheme val="none"/>
      </font>
      <numFmt numFmtId="0" formatCode="General"/>
      <fill>
        <patternFill patternType="solid">
          <fgColor indexed="64"/>
          <bgColor rgb="FFF9F8F6"/>
        </patternFill>
      </fill>
      <alignment horizontal="general"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E7E3DC"/>
        </patternFill>
      </fill>
      <alignment horizontal="general"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F9F8F6"/>
        </patternFill>
      </fill>
      <alignment horizontal="general"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E7E3DC"/>
        </patternFill>
      </fill>
      <alignment horizontal="general"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8"/>
        <color rgb="FF000000"/>
        <name val="Arial"/>
        <family val="2"/>
        <scheme val="none"/>
      </font>
      <numFmt numFmtId="0" formatCode="General"/>
      <fill>
        <patternFill patternType="solid">
          <fgColor indexed="64"/>
          <bgColor rgb="FFF9F8F6"/>
        </patternFill>
      </fill>
      <alignment horizontal="general"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name val="Arial"/>
        <family val="2"/>
        <scheme val="none"/>
      </font>
      <numFmt numFmtId="0" formatCode="General"/>
      <fill>
        <patternFill patternType="solid">
          <fgColor indexed="64"/>
          <bgColor rgb="FFE7E3DC"/>
        </patternFill>
      </fill>
      <alignment horizontal="general" vertical="center" textRotation="0" wrapText="1" indent="0" justifyLastLine="0" shrinkToFit="0" readingOrder="0"/>
      <border diagonalUp="0" diagonalDown="0">
        <left style="medium">
          <color rgb="FFFFFFFF"/>
        </left>
        <right style="medium">
          <color rgb="FFFFFFFF"/>
        </right>
        <top/>
        <bottom/>
        <vertical/>
        <horizontal/>
      </border>
    </dxf>
    <dxf>
      <font>
        <sz val="8"/>
        <name val="Arial"/>
        <family val="2"/>
        <scheme val="none"/>
      </font>
      <numFmt numFmtId="0" formatCode="General"/>
      <fill>
        <patternFill patternType="solid">
          <fgColor indexed="64"/>
          <bgColor rgb="FFF9F8F6"/>
        </patternFill>
      </fill>
      <alignment horizontal="general"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font>
        <sz val="8"/>
        <color rgb="FFFFFFFF"/>
        <name val="Arial"/>
        <family val="2"/>
        <scheme val="none"/>
      </font>
      <numFmt numFmtId="0" formatCode="General"/>
      <fill>
        <patternFill patternType="solid">
          <fgColor indexed="64"/>
          <bgColor rgb="FF948671"/>
        </patternFill>
      </fill>
      <alignment horizontal="general" vertical="center" textRotation="0" wrapText="1" indent="0" justifyLastLine="0" shrinkToFit="0" readingOrder="0"/>
      <border diagonalUp="0" diagonalDown="0">
        <left style="medium">
          <color rgb="FFFFFFFF"/>
        </left>
        <right style="medium">
          <color rgb="FFFFFFFF"/>
        </right>
        <top style="medium">
          <color rgb="FFFFFFFF"/>
        </top>
        <bottom style="medium">
          <color rgb="FFFFFFFF"/>
        </bottom>
        <vertical/>
        <horizontal/>
      </border>
    </dxf>
    <dxf>
      <border outline="0">
        <bottom style="medium">
          <color rgb="FFFFFFFF"/>
        </bottom>
      </border>
    </dxf>
    <dxf>
      <font>
        <b/>
        <i val="0"/>
        <strike val="0"/>
        <condense val="0"/>
        <extend val="0"/>
        <outline val="0"/>
        <shadow val="0"/>
        <u val="none"/>
        <vertAlign val="baseline"/>
        <sz val="8"/>
        <color rgb="FF000000"/>
        <name val="Arial"/>
        <family val="2"/>
        <scheme val="none"/>
      </font>
      <fill>
        <patternFill patternType="solid">
          <fgColor indexed="64"/>
          <bgColor rgb="FFFFC222"/>
        </patternFill>
      </fill>
      <alignment horizontal="center" vertical="center" textRotation="0" wrapText="1"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'New South Wales Summary'!$B$61</c:f>
              <c:strCache>
                <c:ptCount val="1"/>
                <c:pt idx="0">
                  <c:v>Existing less Announced Withdrawal</c:v>
                </c:pt>
              </c:strCache>
            </c:strRef>
          </c:tx>
          <c:spPr>
            <a:solidFill>
              <a:schemeClr val="accent6">
                <a:lumMod val="75000"/>
              </a:schemeClr>
            </a:solidFill>
            <a:ln>
              <a:noFill/>
            </a:ln>
            <a:effectLst/>
          </c:spPr>
          <c:invertIfNegative val="0"/>
          <c:cat>
            <c:strRef>
              <c:f>'New South Wales Summary'!$C$58:$L$58</c:f>
              <c:strCache>
                <c:ptCount val="10"/>
                <c:pt idx="0">
                  <c:v>Coal</c:v>
                </c:pt>
                <c:pt idx="1">
                  <c:v>CCGT</c:v>
                </c:pt>
                <c:pt idx="2">
                  <c:v>OCGT</c:v>
                </c:pt>
                <c:pt idx="3">
                  <c:v>Gas other</c:v>
                </c:pt>
                <c:pt idx="4">
                  <c:v>Solar*</c:v>
                </c:pt>
                <c:pt idx="5">
                  <c:v>Wind</c:v>
                </c:pt>
                <c:pt idx="6">
                  <c:v>Water</c:v>
                </c:pt>
                <c:pt idx="7">
                  <c:v>Biomass</c:v>
                </c:pt>
                <c:pt idx="8">
                  <c:v>Battery Storage</c:v>
                </c:pt>
                <c:pt idx="9">
                  <c:v>Other</c:v>
                </c:pt>
              </c:strCache>
            </c:strRef>
          </c:cat>
          <c:val>
            <c:numRef>
              <c:f>'New South Wales Summary'!$C$61:$L$61</c:f>
              <c:numCache>
                <c:formatCode>_-* #,##0_-;\-* #,##0_-;_-* "-"??_-;_-@_-</c:formatCode>
                <c:ptCount val="10"/>
                <c:pt idx="0">
                  <c:v>8160</c:v>
                </c:pt>
                <c:pt idx="1">
                  <c:v>605.9</c:v>
                </c:pt>
                <c:pt idx="2">
                  <c:v>1530</c:v>
                </c:pt>
                <c:pt idx="3">
                  <c:v>144.46</c:v>
                </c:pt>
                <c:pt idx="4">
                  <c:v>632.02269999999999</c:v>
                </c:pt>
                <c:pt idx="5">
                  <c:v>1307</c:v>
                </c:pt>
                <c:pt idx="6">
                  <c:v>2706.1</c:v>
                </c:pt>
                <c:pt idx="7">
                  <c:v>162.87400000000002</c:v>
                </c:pt>
                <c:pt idx="8">
                  <c:v>0</c:v>
                </c:pt>
                <c:pt idx="9">
                  <c:v>9.1300000000000008</c:v>
                </c:pt>
              </c:numCache>
            </c:numRef>
          </c:val>
          <c:extLst>
            <c:ext xmlns:c16="http://schemas.microsoft.com/office/drawing/2014/chart" uri="{C3380CC4-5D6E-409C-BE32-E72D297353CC}">
              <c16:uniqueId val="{00000001-A3D1-482D-B116-277E85E54BB3}"/>
            </c:ext>
          </c:extLst>
        </c:ser>
        <c:ser>
          <c:idx val="0"/>
          <c:order val="1"/>
          <c:tx>
            <c:strRef>
              <c:f>'New South Wales Summary'!$B$60</c:f>
              <c:strCache>
                <c:ptCount val="1"/>
                <c:pt idx="0">
                  <c:v>Announced Withdrawal</c:v>
                </c:pt>
              </c:strCache>
            </c:strRef>
          </c:tx>
          <c:spPr>
            <a:solidFill>
              <a:srgbClr val="FFC000"/>
            </a:solidFill>
            <a:ln>
              <a:noFill/>
            </a:ln>
            <a:effectLst/>
          </c:spPr>
          <c:invertIfNegative val="0"/>
          <c:cat>
            <c:strRef>
              <c:f>'New South Wales Summary'!$C$58:$L$58</c:f>
              <c:strCache>
                <c:ptCount val="10"/>
                <c:pt idx="0">
                  <c:v>Coal</c:v>
                </c:pt>
                <c:pt idx="1">
                  <c:v>CCGT</c:v>
                </c:pt>
                <c:pt idx="2">
                  <c:v>OCGT</c:v>
                </c:pt>
                <c:pt idx="3">
                  <c:v>Gas other</c:v>
                </c:pt>
                <c:pt idx="4">
                  <c:v>Solar*</c:v>
                </c:pt>
                <c:pt idx="5">
                  <c:v>Wind</c:v>
                </c:pt>
                <c:pt idx="6">
                  <c:v>Water</c:v>
                </c:pt>
                <c:pt idx="7">
                  <c:v>Biomass</c:v>
                </c:pt>
                <c:pt idx="8">
                  <c:v>Battery Storage</c:v>
                </c:pt>
                <c:pt idx="9">
                  <c:v>Other</c:v>
                </c:pt>
              </c:strCache>
            </c:strRef>
          </c:cat>
          <c:val>
            <c:numRef>
              <c:f>'New South Wales Summary'!$C$60:$L$60</c:f>
              <c:numCache>
                <c:formatCode>_-* #,##0_-;\-* #,##0_-;_-* "-"??_-;_-@_-</c:formatCode>
                <c:ptCount val="10"/>
                <c:pt idx="0">
                  <c:v>2000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A3D1-482D-B116-277E85E54BB3}"/>
            </c:ext>
          </c:extLst>
        </c:ser>
        <c:ser>
          <c:idx val="2"/>
          <c:order val="2"/>
          <c:tx>
            <c:strRef>
              <c:f>'New South Wales Summary'!$B$63</c:f>
              <c:strCache>
                <c:ptCount val="1"/>
                <c:pt idx="0">
                  <c:v>Committed</c:v>
                </c:pt>
              </c:strCache>
            </c:strRef>
          </c:tx>
          <c:spPr>
            <a:solidFill>
              <a:schemeClr val="tx2"/>
            </a:solidFill>
            <a:ln>
              <a:noFill/>
            </a:ln>
            <a:effectLst/>
          </c:spPr>
          <c:invertIfNegative val="0"/>
          <c:cat>
            <c:strRef>
              <c:f>'New South Wales Summary'!$C$58:$L$58</c:f>
              <c:strCache>
                <c:ptCount val="10"/>
                <c:pt idx="0">
                  <c:v>Coal</c:v>
                </c:pt>
                <c:pt idx="1">
                  <c:v>CCGT</c:v>
                </c:pt>
                <c:pt idx="2">
                  <c:v>OCGT</c:v>
                </c:pt>
                <c:pt idx="3">
                  <c:v>Gas other</c:v>
                </c:pt>
                <c:pt idx="4">
                  <c:v>Solar*</c:v>
                </c:pt>
                <c:pt idx="5">
                  <c:v>Wind</c:v>
                </c:pt>
                <c:pt idx="6">
                  <c:v>Water</c:v>
                </c:pt>
                <c:pt idx="7">
                  <c:v>Biomass</c:v>
                </c:pt>
                <c:pt idx="8">
                  <c:v>Battery Storage</c:v>
                </c:pt>
                <c:pt idx="9">
                  <c:v>Other</c:v>
                </c:pt>
              </c:strCache>
            </c:strRef>
          </c:cat>
          <c:val>
            <c:numRef>
              <c:f>'New South Wales Summary'!$C$63:$L$63</c:f>
              <c:numCache>
                <c:formatCode>_-* #,##0_-;\-* #,##0_-;_-* "-"??_-;_-@_-</c:formatCode>
                <c:ptCount val="10"/>
                <c:pt idx="0">
                  <c:v>0</c:v>
                </c:pt>
                <c:pt idx="1">
                  <c:v>0</c:v>
                </c:pt>
                <c:pt idx="2">
                  <c:v>0</c:v>
                </c:pt>
                <c:pt idx="3">
                  <c:v>0</c:v>
                </c:pt>
                <c:pt idx="4">
                  <c:v>1180.4000000000001</c:v>
                </c:pt>
                <c:pt idx="5">
                  <c:v>339.19</c:v>
                </c:pt>
                <c:pt idx="6">
                  <c:v>0</c:v>
                </c:pt>
                <c:pt idx="7">
                  <c:v>0</c:v>
                </c:pt>
                <c:pt idx="8">
                  <c:v>0</c:v>
                </c:pt>
                <c:pt idx="9">
                  <c:v>0</c:v>
                </c:pt>
              </c:numCache>
            </c:numRef>
          </c:val>
          <c:extLst>
            <c:ext xmlns:c16="http://schemas.microsoft.com/office/drawing/2014/chart" uri="{C3380CC4-5D6E-409C-BE32-E72D297353CC}">
              <c16:uniqueId val="{00000002-A3D1-482D-B116-277E85E54BB3}"/>
            </c:ext>
          </c:extLst>
        </c:ser>
        <c:ser>
          <c:idx val="3"/>
          <c:order val="3"/>
          <c:tx>
            <c:strRef>
              <c:f>'New South Wales Summary'!$B$64</c:f>
              <c:strCache>
                <c:ptCount val="1"/>
                <c:pt idx="0">
                  <c:v>Proposed</c:v>
                </c:pt>
              </c:strCache>
            </c:strRef>
          </c:tx>
          <c:spPr>
            <a:solidFill>
              <a:schemeClr val="accent1">
                <a:lumMod val="40000"/>
                <a:lumOff val="60000"/>
              </a:schemeClr>
            </a:solidFill>
            <a:ln>
              <a:noFill/>
            </a:ln>
            <a:effectLst/>
          </c:spPr>
          <c:invertIfNegative val="0"/>
          <c:cat>
            <c:strRef>
              <c:f>'New South Wales Summary'!$C$58:$L$58</c:f>
              <c:strCache>
                <c:ptCount val="10"/>
                <c:pt idx="0">
                  <c:v>Coal</c:v>
                </c:pt>
                <c:pt idx="1">
                  <c:v>CCGT</c:v>
                </c:pt>
                <c:pt idx="2">
                  <c:v>OCGT</c:v>
                </c:pt>
                <c:pt idx="3">
                  <c:v>Gas other</c:v>
                </c:pt>
                <c:pt idx="4">
                  <c:v>Solar*</c:v>
                </c:pt>
                <c:pt idx="5">
                  <c:v>Wind</c:v>
                </c:pt>
                <c:pt idx="6">
                  <c:v>Water</c:v>
                </c:pt>
                <c:pt idx="7">
                  <c:v>Biomass</c:v>
                </c:pt>
                <c:pt idx="8">
                  <c:v>Battery Storage</c:v>
                </c:pt>
                <c:pt idx="9">
                  <c:v>Other</c:v>
                </c:pt>
              </c:strCache>
            </c:strRef>
          </c:cat>
          <c:val>
            <c:numRef>
              <c:f>'New South Wales Summary'!$C$64:$L$64</c:f>
              <c:numCache>
                <c:formatCode>_-* #,##0_-;\-* #,##0_-;_-* "-"??_-;_-@_-</c:formatCode>
                <c:ptCount val="10"/>
                <c:pt idx="0">
                  <c:v>0</c:v>
                </c:pt>
                <c:pt idx="1">
                  <c:v>15</c:v>
                </c:pt>
                <c:pt idx="2">
                  <c:v>0</c:v>
                </c:pt>
                <c:pt idx="3">
                  <c:v>975</c:v>
                </c:pt>
                <c:pt idx="4">
                  <c:v>6109.3</c:v>
                </c:pt>
                <c:pt idx="5">
                  <c:v>5446.6900000000005</c:v>
                </c:pt>
                <c:pt idx="6">
                  <c:v>2600</c:v>
                </c:pt>
                <c:pt idx="7">
                  <c:v>180.6</c:v>
                </c:pt>
                <c:pt idx="8">
                  <c:v>0</c:v>
                </c:pt>
                <c:pt idx="9">
                  <c:v>28.8</c:v>
                </c:pt>
              </c:numCache>
            </c:numRef>
          </c:val>
          <c:extLst>
            <c:ext xmlns:c16="http://schemas.microsoft.com/office/drawing/2014/chart" uri="{C3380CC4-5D6E-409C-BE32-E72D297353CC}">
              <c16:uniqueId val="{00000003-A3D1-482D-B116-277E85E54BB3}"/>
            </c:ext>
          </c:extLst>
        </c:ser>
        <c:ser>
          <c:idx val="4"/>
          <c:order val="4"/>
          <c:tx>
            <c:strRef>
              <c:f>'New South Wales Summary'!$B$65</c:f>
              <c:strCache>
                <c:ptCount val="1"/>
                <c:pt idx="0">
                  <c:v>Withdrawn</c:v>
                </c:pt>
              </c:strCache>
            </c:strRef>
          </c:tx>
          <c:spPr>
            <a:solidFill>
              <a:schemeClr val="accent2"/>
            </a:solidFill>
            <a:ln>
              <a:noFill/>
            </a:ln>
            <a:effectLst/>
          </c:spPr>
          <c:invertIfNegative val="0"/>
          <c:cat>
            <c:strRef>
              <c:f>'New South Wales Summary'!$C$58:$L$58</c:f>
              <c:strCache>
                <c:ptCount val="10"/>
                <c:pt idx="0">
                  <c:v>Coal</c:v>
                </c:pt>
                <c:pt idx="1">
                  <c:v>CCGT</c:v>
                </c:pt>
                <c:pt idx="2">
                  <c:v>OCGT</c:v>
                </c:pt>
                <c:pt idx="3">
                  <c:v>Gas other</c:v>
                </c:pt>
                <c:pt idx="4">
                  <c:v>Solar*</c:v>
                </c:pt>
                <c:pt idx="5">
                  <c:v>Wind</c:v>
                </c:pt>
                <c:pt idx="6">
                  <c:v>Water</c:v>
                </c:pt>
                <c:pt idx="7">
                  <c:v>Biomass</c:v>
                </c:pt>
                <c:pt idx="8">
                  <c:v>Battery Storage</c:v>
                </c:pt>
                <c:pt idx="9">
                  <c:v>Other</c:v>
                </c:pt>
              </c:strCache>
            </c:strRef>
          </c:cat>
          <c:val>
            <c:numRef>
              <c:f>'New South Wales Summary'!$C$65:$L$65</c:f>
              <c:numCache>
                <c:formatCode>_-* #,##0_-;\-* #,##0_-;_-* "-"??_-;_-@_-</c:formatCode>
                <c:ptCount val="10"/>
                <c:pt idx="0">
                  <c:v>0</c:v>
                </c:pt>
                <c:pt idx="1">
                  <c:v>0</c:v>
                </c:pt>
                <c:pt idx="2">
                  <c:v>0</c:v>
                </c:pt>
                <c:pt idx="3">
                  <c:v>2.8</c:v>
                </c:pt>
                <c:pt idx="4">
                  <c:v>0</c:v>
                </c:pt>
                <c:pt idx="5">
                  <c:v>0</c:v>
                </c:pt>
                <c:pt idx="6">
                  <c:v>0</c:v>
                </c:pt>
                <c:pt idx="7">
                  <c:v>0</c:v>
                </c:pt>
                <c:pt idx="8">
                  <c:v>0</c:v>
                </c:pt>
                <c:pt idx="9">
                  <c:v>0</c:v>
                </c:pt>
              </c:numCache>
            </c:numRef>
          </c:val>
          <c:extLst>
            <c:ext xmlns:c16="http://schemas.microsoft.com/office/drawing/2014/chart" uri="{C3380CC4-5D6E-409C-BE32-E72D297353CC}">
              <c16:uniqueId val="{00000004-A3D1-482D-B116-277E85E54BB3}"/>
            </c:ext>
          </c:extLst>
        </c:ser>
        <c:ser>
          <c:idx val="5"/>
          <c:order val="5"/>
          <c:tx>
            <c:strRef>
              <c:f>'New South Wales Summary'!$B$62</c:f>
              <c:strCache>
                <c:ptCount val="1"/>
                <c:pt idx="0">
                  <c:v>Upgrade</c:v>
                </c:pt>
              </c:strCache>
            </c:strRef>
          </c:tx>
          <c:spPr>
            <a:solidFill>
              <a:schemeClr val="tx1"/>
            </a:solidFill>
            <a:ln>
              <a:noFill/>
            </a:ln>
            <a:effectLst/>
          </c:spPr>
          <c:invertIfNegative val="0"/>
          <c:cat>
            <c:strRef>
              <c:f>'New South Wales Summary'!$C$58:$L$58</c:f>
              <c:strCache>
                <c:ptCount val="10"/>
                <c:pt idx="0">
                  <c:v>Coal</c:v>
                </c:pt>
                <c:pt idx="1">
                  <c:v>CCGT</c:v>
                </c:pt>
                <c:pt idx="2">
                  <c:v>OCGT</c:v>
                </c:pt>
                <c:pt idx="3">
                  <c:v>Gas other</c:v>
                </c:pt>
                <c:pt idx="4">
                  <c:v>Solar*</c:v>
                </c:pt>
                <c:pt idx="5">
                  <c:v>Wind</c:v>
                </c:pt>
                <c:pt idx="6">
                  <c:v>Water</c:v>
                </c:pt>
                <c:pt idx="7">
                  <c:v>Biomass</c:v>
                </c:pt>
                <c:pt idx="8">
                  <c:v>Battery Storage</c:v>
                </c:pt>
                <c:pt idx="9">
                  <c:v>Other</c:v>
                </c:pt>
              </c:strCache>
            </c:strRef>
          </c:cat>
          <c:val>
            <c:numRef>
              <c:f>'New South Wales Summary'!$C$62:$L$62</c:f>
              <c:numCache>
                <c:formatCode>_-* #,##0_-;\-* #,##0_-;_-* "-"??_-;_-@_-</c:formatCode>
                <c:ptCount val="10"/>
                <c:pt idx="0">
                  <c:v>100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8935-4218-B808-C52963AA2D9C}"/>
            </c:ext>
          </c:extLst>
        </c:ser>
        <c:dLbls>
          <c:showLegendKey val="0"/>
          <c:showVal val="0"/>
          <c:showCatName val="0"/>
          <c:showSerName val="0"/>
          <c:showPercent val="0"/>
          <c:showBubbleSize val="0"/>
        </c:dLbls>
        <c:gapWidth val="150"/>
        <c:overlap val="100"/>
        <c:axId val="1023113008"/>
        <c:axId val="1023113336"/>
      </c:barChart>
      <c:catAx>
        <c:axId val="1023113008"/>
        <c:scaling>
          <c:orientation val="minMax"/>
        </c:scaling>
        <c:delete val="0"/>
        <c:axPos val="b"/>
        <c:minorGridlines>
          <c:spPr>
            <a:ln w="9525" cap="flat" cmpd="sng" algn="ctr">
              <a:solidFill>
                <a:schemeClr val="bg1"/>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3113336"/>
        <c:crosses val="autoZero"/>
        <c:auto val="1"/>
        <c:lblAlgn val="ctr"/>
        <c:lblOffset val="100"/>
        <c:noMultiLvlLbl val="0"/>
      </c:catAx>
      <c:valAx>
        <c:axId val="1023113336"/>
        <c:scaling>
          <c:orientation val="minMax"/>
        </c:scaling>
        <c:delete val="0"/>
        <c:axPos val="l"/>
        <c:minorGridlines>
          <c:spPr>
            <a:ln w="9525" cap="flat" cmpd="sng" algn="ctr">
              <a:solidFill>
                <a:schemeClr val="bg1"/>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AU"/>
                  <a:t>Generation</a:t>
                </a:r>
                <a:r>
                  <a:rPr lang="en-AU" baseline="0"/>
                  <a:t> capacity (MW)</a:t>
                </a:r>
                <a:endParaRPr lang="en-AU"/>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3113008"/>
        <c:crosses val="autoZero"/>
        <c:crossBetween val="between"/>
      </c:valAx>
      <c:spPr>
        <a:solidFill>
          <a:schemeClr val="bg1">
            <a:lumMod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280986</xdr:colOff>
      <xdr:row>35</xdr:row>
      <xdr:rowOff>157161</xdr:rowOff>
    </xdr:from>
    <xdr:to>
      <xdr:col>12</xdr:col>
      <xdr:colOff>571499</xdr:colOff>
      <xdr:row>56</xdr:row>
      <xdr:rowOff>28574</xdr:rowOff>
    </xdr:to>
    <xdr:graphicFrame macro="">
      <xdr:nvGraphicFramePr>
        <xdr:cNvPr id="3" name="Chart 2">
          <a:extLst>
            <a:ext uri="{FF2B5EF4-FFF2-40B4-BE49-F238E27FC236}">
              <a16:creationId xmlns:a16="http://schemas.microsoft.com/office/drawing/2014/main" id="{F1CC7371-0D3A-4FD3-8A85-2971C5B52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istingstable" displayName="existingstable" ref="A2:L34" totalsRowShown="0" headerRowDxfId="143" headerRowBorderDxfId="142">
  <tableColumns count="12">
    <tableColumn id="1" xr3:uid="{00000000-0010-0000-0000-000001000000}" name="Power Station" dataDxfId="141"/>
    <tableColumn id="2" xr3:uid="{00000000-0010-0000-0000-000002000000}" name="Owner" dataDxfId="140"/>
    <tableColumn id="3" xr3:uid="{C39D1C73-36B8-4B71-8FCF-B05C5CC0C9B2}" name="Unit Number and Nameplate Capacity (MW)" dataDxfId="139"/>
    <tableColumn id="4" xr3:uid="{3ECE958F-22C2-48DD-933A-CB83BDA62FF1}" name="Nameplate Capacity (MW)" dataDxfId="138"/>
    <tableColumn id="5" xr3:uid="{00000000-0010-0000-0000-000005000000}" name="Technology Type" dataDxfId="137"/>
    <tableColumn id="6" xr3:uid="{00000000-0010-0000-0000-000006000000}" name="Fuel Type" dataDxfId="136"/>
    <tableColumn id="7" xr3:uid="{00000000-0010-0000-0000-000007000000}" name="Dispatch Type" dataDxfId="135"/>
    <tableColumn id="8" xr3:uid="{00000000-0010-0000-0000-000008000000}" name="Service Status" dataDxfId="134"/>
    <tableColumn id="12" xr3:uid="{2FDB29DA-5D9E-4AE5-A58C-D61151967A25}" name="Closure Date" dataDxfId="133"/>
    <tableColumn id="9" xr3:uid="{00000000-0010-0000-0000-000009000000}" name="Region" dataDxfId="132"/>
    <tableColumn id="10" xr3:uid="{00000000-0010-0000-0000-00000A000000}" name="summary_status" dataDxfId="131"/>
    <tableColumn id="11" xr3:uid="{00000000-0010-0000-0000-00000B000000}" name="summary_bucket" dataDxfId="1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sumcapsalltable" displayName="sumcapsalltable" ref="A2:O46" totalsRowShown="0" headerRowDxfId="129">
  <tableColumns count="15">
    <tableColumn id="1" xr3:uid="{00000000-0010-0000-0100-000001000000}" name="PowerStation" dataDxfId="128"/>
    <tableColumn id="2" xr3:uid="{00000000-0010-0000-0100-000002000000}" name="201819" dataDxfId="127" dataCellStyle="Comma"/>
    <tableColumn id="3" xr3:uid="{00000000-0010-0000-0100-000003000000}" name="201920" dataDxfId="126" dataCellStyle="Comma"/>
    <tableColumn id="4" xr3:uid="{00000000-0010-0000-0100-000004000000}" name="202021" dataDxfId="125" dataCellStyle="Comma"/>
    <tableColumn id="5" xr3:uid="{00000000-0010-0000-0100-000005000000}" name="202122" dataDxfId="124" dataCellStyle="Comma"/>
    <tableColumn id="6" xr3:uid="{00000000-0010-0000-0100-000006000000}" name="202223" dataDxfId="123" dataCellStyle="Comma"/>
    <tableColumn id="7" xr3:uid="{00000000-0010-0000-0100-000007000000}" name="202324" dataDxfId="122" dataCellStyle="Comma"/>
    <tableColumn id="8" xr3:uid="{00000000-0010-0000-0100-000008000000}" name="202425" dataDxfId="121" dataCellStyle="Comma"/>
    <tableColumn id="9" xr3:uid="{00000000-0010-0000-0100-000009000000}" name="202526" dataDxfId="120" dataCellStyle="Comma"/>
    <tableColumn id="10" xr3:uid="{00000000-0010-0000-0100-00000A000000}" name="202627" dataDxfId="119" dataCellStyle="Comma"/>
    <tableColumn id="11" xr3:uid="{00000000-0010-0000-0100-00000B000000}" name="202728" dataDxfId="118" dataCellStyle="Comma"/>
    <tableColumn id="12" xr3:uid="{00000000-0010-0000-0100-00000C000000}" name="DispatchType" dataDxfId="117"/>
    <tableColumn id="13" xr3:uid="{00000000-0010-0000-0100-00000D000000}" name="FuelType" dataDxfId="116"/>
    <tableColumn id="14" xr3:uid="{00000000-0010-0000-0100-00000E000000}" name="Region" dataDxfId="115"/>
    <tableColumn id="15" xr3:uid="{00000000-0010-0000-0100-00000F000000}" name="Season" dataDxfId="1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sumcapsstable" displayName="sumcapsstable" ref="A56:O73" totalsRowShown="0" headerRowDxfId="113" headerRowBorderDxfId="112">
  <autoFilter ref="A56:O73" xr:uid="{6755EB53-9BBC-4CB8-A963-D2116F13F134}"/>
  <tableColumns count="15">
    <tableColumn id="1" xr3:uid="{00000000-0010-0000-0200-000001000000}" name="PowerStation" dataDxfId="111"/>
    <tableColumn id="2" xr3:uid="{00000000-0010-0000-0200-000002000000}" name="201819" dataDxfId="110" dataCellStyle="Comma"/>
    <tableColumn id="3" xr3:uid="{00000000-0010-0000-0200-000003000000}" name="201920" dataDxfId="109" dataCellStyle="Comma"/>
    <tableColumn id="4" xr3:uid="{00000000-0010-0000-0200-000004000000}" name="202021" dataDxfId="108" dataCellStyle="Comma"/>
    <tableColumn id="5" xr3:uid="{00000000-0010-0000-0200-000005000000}" name="202122" dataDxfId="107" dataCellStyle="Comma"/>
    <tableColumn id="6" xr3:uid="{00000000-0010-0000-0200-000006000000}" name="202223" dataDxfId="106" dataCellStyle="Comma"/>
    <tableColumn id="7" xr3:uid="{00000000-0010-0000-0200-000007000000}" name="202324" dataDxfId="105" dataCellStyle="Comma"/>
    <tableColumn id="8" xr3:uid="{00000000-0010-0000-0200-000008000000}" name="202425" dataDxfId="104" dataCellStyle="Comma"/>
    <tableColumn id="9" xr3:uid="{00000000-0010-0000-0200-000009000000}" name="202526" dataDxfId="103" dataCellStyle="Comma"/>
    <tableColumn id="10" xr3:uid="{00000000-0010-0000-0200-00000A000000}" name="202627" dataDxfId="102" dataCellStyle="Comma"/>
    <tableColumn id="11" xr3:uid="{00000000-0010-0000-0200-00000B000000}" name="202728" dataDxfId="101" dataCellStyle="Comma"/>
    <tableColumn id="12" xr3:uid="{00000000-0010-0000-0200-00000C000000}" name="DispatchType" dataDxfId="100"/>
    <tableColumn id="13" xr3:uid="{00000000-0010-0000-0200-00000D000000}" name="FuelType" dataDxfId="99"/>
    <tableColumn id="14" xr3:uid="{00000000-0010-0000-0200-00000E000000}" name="Region" dataDxfId="98"/>
    <tableColumn id="15" xr3:uid="{00000000-0010-0000-0200-00000F000000}" name="Season" dataDxfId="9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sumcapssstable" displayName="sumcapssstable" ref="A80:O107" totalsRowShown="0" headerRowDxfId="96" headerRowBorderDxfId="95">
  <autoFilter ref="A80:O107" xr:uid="{58765E8E-DBBA-45E4-A03D-9707FF020309}"/>
  <tableColumns count="15">
    <tableColumn id="1" xr3:uid="{00000000-0010-0000-0300-000001000000}" name="PowerStation" dataDxfId="94"/>
    <tableColumn id="2" xr3:uid="{00000000-0010-0000-0300-000002000000}" name="201819" dataDxfId="93" dataCellStyle="Comma"/>
    <tableColumn id="3" xr3:uid="{00000000-0010-0000-0300-000003000000}" name="201920" dataDxfId="92" dataCellStyle="Comma"/>
    <tableColumn id="4" xr3:uid="{00000000-0010-0000-0300-000004000000}" name="202021" dataDxfId="91" dataCellStyle="Comma"/>
    <tableColumn id="5" xr3:uid="{00000000-0010-0000-0300-000005000000}" name="202122" dataDxfId="90" dataCellStyle="Comma"/>
    <tableColumn id="6" xr3:uid="{00000000-0010-0000-0300-000006000000}" name="202223" dataDxfId="89" dataCellStyle="Comma"/>
    <tableColumn id="7" xr3:uid="{00000000-0010-0000-0300-000007000000}" name="202324" dataDxfId="88" dataCellStyle="Comma"/>
    <tableColumn id="8" xr3:uid="{00000000-0010-0000-0300-000008000000}" name="202425" dataDxfId="87" dataCellStyle="Comma"/>
    <tableColumn id="9" xr3:uid="{00000000-0010-0000-0300-000009000000}" name="202526" dataDxfId="86" dataCellStyle="Comma"/>
    <tableColumn id="10" xr3:uid="{00000000-0010-0000-0300-00000A000000}" name="202627" dataDxfId="85" dataCellStyle="Comma"/>
    <tableColumn id="11" xr3:uid="{00000000-0010-0000-0300-00000B000000}" name="202728" dataDxfId="84" dataCellStyle="Comma"/>
    <tableColumn id="12" xr3:uid="{00000000-0010-0000-0300-00000C000000}" name="DispatchType" dataDxfId="83"/>
    <tableColumn id="13" xr3:uid="{00000000-0010-0000-0300-00000D000000}" name="FuelType" dataDxfId="82"/>
    <tableColumn id="14" xr3:uid="{00000000-0010-0000-0300-00000E000000}" name="Region" dataDxfId="81"/>
    <tableColumn id="15" xr3:uid="{00000000-0010-0000-0300-00000F000000}" name="Season" dataDxfId="8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wincapsalltable" displayName="wincapsalltable" ref="A2:O46" totalsRowShown="0" headerRowDxfId="79" headerRowBorderDxfId="78">
  <tableColumns count="15">
    <tableColumn id="1" xr3:uid="{00000000-0010-0000-0400-000001000000}" name="PowerStation" dataDxfId="77"/>
    <tableColumn id="2" xr3:uid="{00000000-0010-0000-0400-000002000000}" name="2019" dataDxfId="76" dataCellStyle="Comma"/>
    <tableColumn id="3" xr3:uid="{00000000-0010-0000-0400-000003000000}" name="2020" dataDxfId="75" dataCellStyle="Comma"/>
    <tableColumn id="4" xr3:uid="{00000000-0010-0000-0400-000004000000}" name="2021" dataDxfId="74" dataCellStyle="Comma"/>
    <tableColumn id="5" xr3:uid="{00000000-0010-0000-0400-000005000000}" name="2022" dataDxfId="73" dataCellStyle="Comma"/>
    <tableColumn id="6" xr3:uid="{00000000-0010-0000-0400-000006000000}" name="2023" dataDxfId="72" dataCellStyle="Comma"/>
    <tableColumn id="7" xr3:uid="{00000000-0010-0000-0400-000007000000}" name="2024" dataDxfId="71" dataCellStyle="Comma"/>
    <tableColumn id="8" xr3:uid="{00000000-0010-0000-0400-000008000000}" name="2025" dataDxfId="70" dataCellStyle="Comma"/>
    <tableColumn id="9" xr3:uid="{00000000-0010-0000-0400-000009000000}" name="2026" dataDxfId="69" dataCellStyle="Comma"/>
    <tableColumn id="10" xr3:uid="{00000000-0010-0000-0400-00000A000000}" name="2027" dataDxfId="68" dataCellStyle="Comma"/>
    <tableColumn id="11" xr3:uid="{00000000-0010-0000-0400-00000B000000}" name="2028" dataDxfId="67" dataCellStyle="Comma"/>
    <tableColumn id="12" xr3:uid="{00000000-0010-0000-0400-00000C000000}" name="DispatchType" dataDxfId="66"/>
    <tableColumn id="13" xr3:uid="{00000000-0010-0000-0400-00000D000000}" name="FuelType" dataDxfId="65"/>
    <tableColumn id="14" xr3:uid="{00000000-0010-0000-0400-00000E000000}" name="Region" dataDxfId="64"/>
    <tableColumn id="15" xr3:uid="{00000000-0010-0000-0400-00000F000000}" name="Season" dataDxfId="6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wincapsstable" displayName="wincapsstable" ref="A56:O73" totalsRowShown="0" headerRowDxfId="62" headerRowBorderDxfId="61">
  <autoFilter ref="A56:O73" xr:uid="{DDFABCE1-DD0C-4A3C-B204-1B5F741B0AC2}"/>
  <tableColumns count="15">
    <tableColumn id="1" xr3:uid="{00000000-0010-0000-0500-000001000000}" name="PowerStation" dataDxfId="60"/>
    <tableColumn id="2" xr3:uid="{00000000-0010-0000-0500-000002000000}" name="2019" dataDxfId="59" dataCellStyle="Comma"/>
    <tableColumn id="3" xr3:uid="{00000000-0010-0000-0500-000003000000}" name="2020" dataDxfId="58" dataCellStyle="Comma"/>
    <tableColumn id="4" xr3:uid="{00000000-0010-0000-0500-000004000000}" name="2021" dataDxfId="57" dataCellStyle="Comma"/>
    <tableColumn id="5" xr3:uid="{00000000-0010-0000-0500-000005000000}" name="2022" dataDxfId="56" dataCellStyle="Comma"/>
    <tableColumn id="6" xr3:uid="{00000000-0010-0000-0500-000006000000}" name="2023" dataDxfId="55" dataCellStyle="Comma"/>
    <tableColumn id="7" xr3:uid="{00000000-0010-0000-0500-000007000000}" name="2024" dataDxfId="54" dataCellStyle="Comma"/>
    <tableColumn id="8" xr3:uid="{00000000-0010-0000-0500-000008000000}" name="2025" dataDxfId="53" dataCellStyle="Comma"/>
    <tableColumn id="9" xr3:uid="{00000000-0010-0000-0500-000009000000}" name="2026" dataDxfId="52" dataCellStyle="Comma"/>
    <tableColumn id="10" xr3:uid="{00000000-0010-0000-0500-00000A000000}" name="2027" dataDxfId="51" dataCellStyle="Comma"/>
    <tableColumn id="11" xr3:uid="{00000000-0010-0000-0500-00000B000000}" name="2028" dataDxfId="50" dataCellStyle="Comma"/>
    <tableColumn id="12" xr3:uid="{00000000-0010-0000-0500-00000C000000}" name="DispatchType" dataDxfId="49"/>
    <tableColumn id="13" xr3:uid="{00000000-0010-0000-0500-00000D000000}" name="FuelType" dataDxfId="48"/>
    <tableColumn id="14" xr3:uid="{00000000-0010-0000-0500-00000E000000}" name="Region" dataDxfId="47"/>
    <tableColumn id="15" xr3:uid="{00000000-0010-0000-0500-00000F000000}" name="Season" dataDxfId="46"/>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wincapssstable" displayName="wincapssstable" ref="A80:O107" totalsRowShown="0" headerRowDxfId="45" headerRowBorderDxfId="44">
  <autoFilter ref="A80:O107" xr:uid="{630E3297-4CDA-4104-86AE-9B16098D7EDD}"/>
  <tableColumns count="15">
    <tableColumn id="1" xr3:uid="{00000000-0010-0000-0600-000001000000}" name="PowerStation" dataDxfId="43"/>
    <tableColumn id="2" xr3:uid="{00000000-0010-0000-0600-000002000000}" name="2019" dataDxfId="42" dataCellStyle="Comma"/>
    <tableColumn id="3" xr3:uid="{00000000-0010-0000-0600-000003000000}" name="2020" dataDxfId="41" dataCellStyle="Comma"/>
    <tableColumn id="4" xr3:uid="{00000000-0010-0000-0600-000004000000}" name="2021" dataDxfId="40" dataCellStyle="Comma"/>
    <tableColumn id="5" xr3:uid="{00000000-0010-0000-0600-000005000000}" name="2022" dataDxfId="39" dataCellStyle="Comma"/>
    <tableColumn id="6" xr3:uid="{00000000-0010-0000-0600-000006000000}" name="2023" dataDxfId="38" dataCellStyle="Comma"/>
    <tableColumn id="7" xr3:uid="{00000000-0010-0000-0600-000007000000}" name="2024" dataDxfId="37" dataCellStyle="Comma"/>
    <tableColumn id="8" xr3:uid="{00000000-0010-0000-0600-000008000000}" name="2025" dataDxfId="36" dataCellStyle="Comma"/>
    <tableColumn id="9" xr3:uid="{00000000-0010-0000-0600-000009000000}" name="2026" dataDxfId="35" dataCellStyle="Comma"/>
    <tableColumn id="10" xr3:uid="{00000000-0010-0000-0600-00000A000000}" name="2027" dataDxfId="34" dataCellStyle="Comma"/>
    <tableColumn id="11" xr3:uid="{00000000-0010-0000-0600-00000B000000}" name="2028" dataDxfId="33" dataCellStyle="Comma"/>
    <tableColumn id="12" xr3:uid="{00000000-0010-0000-0600-00000C000000}" name="DispatchType" dataDxfId="32"/>
    <tableColumn id="13" xr3:uid="{00000000-0010-0000-0600-00000D000000}" name="FuelType" dataDxfId="31"/>
    <tableColumn id="14" xr3:uid="{00000000-0010-0000-0600-00000E000000}" name="Region" dataDxfId="30"/>
    <tableColumn id="15" xr3:uid="{00000000-0010-0000-0600-00000F000000}" name="Season" dataDxfId="2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existingnstable" displayName="existingnstable" ref="A2:I89" totalsRowShown="0" headerRowDxfId="28" headerRowBorderDxfId="27">
  <tableColumns count="9">
    <tableColumn id="1" xr3:uid="{00000000-0010-0000-0700-000001000000}" name="Power Station" dataDxfId="26"/>
    <tableColumn id="2" xr3:uid="{00000000-0010-0000-0700-000002000000}" name="Owner" dataDxfId="25"/>
    <tableColumn id="3" xr3:uid="{00000000-0010-0000-0700-000003000000}" name="Nameplate Capacity (MW)" dataDxfId="24" dataCellStyle="Comma"/>
    <tableColumn id="4" xr3:uid="{00000000-0010-0000-0700-000004000000}" name="Technology Type" dataDxfId="23"/>
    <tableColumn id="5" xr3:uid="{00000000-0010-0000-0700-000005000000}" name="Fuel Type" dataDxfId="22"/>
    <tableColumn id="6" xr3:uid="{4AE36DCF-A9CF-4D86-8A04-E8B3BFFFE565}" name="Service Status" dataDxfId="21"/>
    <tableColumn id="7" xr3:uid="{00000000-0010-0000-0700-000007000000}" name="Region" dataDxfId="20"/>
    <tableColumn id="8" xr3:uid="{00000000-0010-0000-0700-000008000000}" name="summary_bucket" dataDxfId="19"/>
    <tableColumn id="9" xr3:uid="{00000000-0010-0000-0700-000009000000}" name="summary_status" dataDxfId="18"/>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newdevtable" displayName="newdevtable" ref="A2:O101" totalsRowShown="0" headerRowDxfId="17" headerRowBorderDxfId="16" tableBorderDxfId="15">
  <tableColumns count="15">
    <tableColumn id="1" xr3:uid="{00000000-0010-0000-0800-000001000000}" name="Project" dataDxfId="14"/>
    <tableColumn id="2" xr3:uid="{00000000-0010-0000-0800-000002000000}" name="Owner" dataDxfId="13"/>
    <tableColumn id="3" xr3:uid="{00000000-0010-0000-0800-000003000000}" name="Unit Id" dataDxfId="12"/>
    <tableColumn id="4" xr3:uid="{00000000-0010-0000-0800-000004000000}" name="Technology Type" dataDxfId="11"/>
    <tableColumn id="5" xr3:uid="{00000000-0010-0000-0800-000005000000}" name="Fuel Type" dataDxfId="10"/>
    <tableColumn id="6" xr3:uid="{00000000-0010-0000-0800-000006000000}" name="Unit Status" dataDxfId="9"/>
    <tableColumn id="7" xr3:uid="{00000000-0010-0000-0800-000007000000}" name="Nameplate Capacity (MW)" dataDxfId="8" dataCellStyle="Comma"/>
    <tableColumn id="8" xr3:uid="{00000000-0010-0000-0800-000008000000}" name="Dispatch Type" dataDxfId="7"/>
    <tableColumn id="9" xr3:uid="{00000000-0010-0000-0800-000009000000}" name="Full Commercial Use Date" dataDxfId="6"/>
    <tableColumn id="15" xr3:uid="{00000000-0010-0000-0800-00000F000000}" name="Source" dataDxfId="5"/>
    <tableColumn id="10" xr3:uid="{00000000-0010-0000-0800-00000A000000}" name="summary_status" dataDxfId="4"/>
    <tableColumn id="11" xr3:uid="{00000000-0010-0000-0800-00000B000000}" name="nameplatecapacity_mw_max" dataDxfId="3"/>
    <tableColumn id="12" xr3:uid="{00000000-0010-0000-0800-00000C000000}" name="capacity_empty" dataDxfId="2"/>
    <tableColumn id="13" xr3:uid="{00000000-0010-0000-0800-00000D000000}" name="region" dataDxfId="1"/>
    <tableColumn id="14" xr3:uid="{00000000-0010-0000-0800-00000E000000}" name="summary_bucket"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emo.com.au/Electricity/National-Electricity-Market-NEM/Planning-and-forecasting/Generation-inform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69"/>
  <sheetViews>
    <sheetView showGridLines="0" tabSelected="1" workbookViewId="0"/>
  </sheetViews>
  <sheetFormatPr defaultRowHeight="15"/>
  <cols>
    <col min="1" max="1" width="4.7109375" customWidth="1"/>
    <col min="2" max="2" width="40.7109375" customWidth="1"/>
    <col min="11" max="11" width="9.140625" style="7"/>
  </cols>
  <sheetData>
    <row r="1" spans="1:11" ht="15.75" thickBot="1">
      <c r="A1" s="26" t="s">
        <v>24</v>
      </c>
    </row>
    <row r="2" spans="1:11" ht="16.5" thickTop="1" thickBot="1">
      <c r="B2" s="5" t="s">
        <v>232</v>
      </c>
      <c r="C2" s="4"/>
      <c r="D2" s="4"/>
      <c r="E2" s="4"/>
      <c r="F2" s="4"/>
      <c r="G2" s="4"/>
      <c r="H2" s="4"/>
      <c r="I2" s="4"/>
      <c r="J2" s="6"/>
      <c r="K2" s="8"/>
    </row>
    <row r="3" spans="1:11">
      <c r="B3" s="6" t="s">
        <v>233</v>
      </c>
      <c r="J3" s="6"/>
      <c r="K3" s="8"/>
    </row>
    <row r="4" spans="1:11">
      <c r="B4" s="6" t="s">
        <v>451</v>
      </c>
      <c r="J4" s="6"/>
      <c r="K4" s="8"/>
    </row>
    <row r="5" spans="1:11" ht="15.75" thickBot="1">
      <c r="B5" s="27" t="s">
        <v>450</v>
      </c>
      <c r="C5" s="28"/>
      <c r="D5" s="28"/>
      <c r="E5" s="28"/>
      <c r="F5" s="28"/>
      <c r="G5" s="28"/>
      <c r="H5" s="28"/>
      <c r="I5" s="28"/>
      <c r="J5" s="6"/>
      <c r="K5" s="8"/>
    </row>
    <row r="6" spans="1:11" ht="15.75" thickTop="1">
      <c r="B6" s="4"/>
      <c r="C6" s="4"/>
      <c r="D6" s="4"/>
      <c r="E6" s="4"/>
      <c r="F6" s="4"/>
      <c r="G6" s="4"/>
      <c r="H6" s="4"/>
      <c r="I6" s="4"/>
    </row>
    <row r="7" spans="1:11" s="11" customFormat="1">
      <c r="B7" s="29" t="s">
        <v>816</v>
      </c>
      <c r="C7" s="8"/>
      <c r="D7" s="8"/>
      <c r="E7" s="8"/>
      <c r="F7" s="8"/>
      <c r="G7" s="8"/>
      <c r="H7" s="8"/>
      <c r="I7" s="8"/>
    </row>
    <row r="8" spans="1:11" s="11" customFormat="1" ht="15.75" thickBot="1">
      <c r="B8" s="8"/>
      <c r="C8" s="8"/>
      <c r="D8" s="8"/>
      <c r="E8" s="8"/>
      <c r="F8" s="8"/>
      <c r="G8" s="8"/>
      <c r="H8" s="8"/>
      <c r="I8" s="8"/>
    </row>
    <row r="9" spans="1:11" ht="20.25" thickBot="1">
      <c r="B9" s="1" t="s">
        <v>529</v>
      </c>
    </row>
    <row r="10" spans="1:11" s="11" customFormat="1" ht="19.5">
      <c r="B10" s="30"/>
    </row>
    <row r="11" spans="1:11" s="11" customFormat="1">
      <c r="B11" s="31" t="s">
        <v>452</v>
      </c>
      <c r="C11" s="32"/>
      <c r="D11" s="32"/>
      <c r="E11" s="32"/>
      <c r="F11" s="32"/>
      <c r="G11" s="32"/>
      <c r="H11" s="32"/>
      <c r="I11" s="32"/>
      <c r="J11" s="32"/>
      <c r="K11" s="32"/>
    </row>
    <row r="12" spans="1:11" s="11" customFormat="1" ht="24" customHeight="1">
      <c r="B12" s="168" t="s">
        <v>785</v>
      </c>
      <c r="C12" s="169"/>
      <c r="D12" s="169"/>
      <c r="E12" s="169"/>
      <c r="F12" s="169"/>
      <c r="G12" s="169"/>
      <c r="H12" s="169"/>
      <c r="I12" s="169"/>
      <c r="J12" s="169"/>
      <c r="K12" s="169"/>
    </row>
    <row r="13" spans="1:11" s="135" customFormat="1">
      <c r="B13" s="168" t="s">
        <v>790</v>
      </c>
      <c r="C13" s="169"/>
      <c r="D13" s="169"/>
      <c r="E13" s="169"/>
      <c r="F13" s="169"/>
      <c r="G13" s="169"/>
      <c r="H13" s="169"/>
      <c r="I13" s="169"/>
      <c r="J13" s="169"/>
      <c r="K13" s="169"/>
    </row>
    <row r="14" spans="1:11" s="154" customFormat="1">
      <c r="B14" s="168" t="s">
        <v>796</v>
      </c>
      <c r="C14" s="169"/>
      <c r="D14" s="169"/>
      <c r="E14" s="169"/>
      <c r="F14" s="169"/>
      <c r="G14" s="169"/>
      <c r="H14" s="169"/>
      <c r="I14" s="169"/>
      <c r="J14" s="169"/>
      <c r="K14" s="169"/>
    </row>
    <row r="15" spans="1:11" s="162" customFormat="1">
      <c r="B15" s="164" t="s">
        <v>814</v>
      </c>
      <c r="C15" s="163"/>
      <c r="D15" s="163"/>
      <c r="E15" s="163"/>
      <c r="F15" s="163"/>
      <c r="G15" s="163"/>
      <c r="H15" s="163"/>
      <c r="I15" s="163"/>
      <c r="J15" s="163"/>
      <c r="K15" s="163"/>
    </row>
    <row r="16" spans="1:11" s="149" customFormat="1">
      <c r="B16" s="150"/>
      <c r="C16" s="151"/>
      <c r="D16" s="151"/>
      <c r="E16" s="151"/>
      <c r="F16" s="151"/>
      <c r="G16" s="151"/>
      <c r="H16" s="151"/>
      <c r="I16" s="151"/>
      <c r="J16" s="151"/>
      <c r="K16" s="151"/>
    </row>
    <row r="17" spans="2:11" s="11" customFormat="1">
      <c r="B17" s="170" t="s">
        <v>454</v>
      </c>
      <c r="C17" s="170"/>
      <c r="D17" s="170"/>
      <c r="E17" s="170"/>
      <c r="F17" s="170"/>
      <c r="G17" s="34"/>
      <c r="H17" s="34"/>
      <c r="I17" s="34"/>
      <c r="J17" s="34"/>
      <c r="K17" s="34"/>
    </row>
    <row r="18" spans="2:11" s="11" customFormat="1">
      <c r="B18" s="35" t="s">
        <v>243</v>
      </c>
      <c r="C18" s="34"/>
      <c r="D18" s="34"/>
      <c r="E18" s="34"/>
      <c r="F18" s="34"/>
      <c r="G18" s="34"/>
      <c r="H18" s="34"/>
      <c r="I18" s="34"/>
      <c r="J18" s="34"/>
      <c r="K18" s="34"/>
    </row>
    <row r="19" spans="2:11" s="11" customFormat="1">
      <c r="B19" s="171" t="s">
        <v>815</v>
      </c>
      <c r="C19" s="171"/>
      <c r="D19" s="171"/>
      <c r="E19" s="171"/>
      <c r="F19" s="171"/>
      <c r="G19" s="171"/>
      <c r="H19" s="171"/>
      <c r="I19" s="171"/>
      <c r="J19" s="171"/>
      <c r="K19" s="171"/>
    </row>
    <row r="20" spans="2:11" s="11" customFormat="1">
      <c r="B20" s="36"/>
      <c r="C20" s="34"/>
      <c r="D20" s="34"/>
      <c r="E20" s="34"/>
      <c r="F20" s="34"/>
      <c r="G20" s="34"/>
      <c r="H20" s="34"/>
      <c r="I20" s="34"/>
      <c r="J20" s="34"/>
      <c r="K20" s="34"/>
    </row>
    <row r="21" spans="2:11" s="11" customFormat="1">
      <c r="B21" s="35" t="s">
        <v>455</v>
      </c>
      <c r="C21" s="34"/>
      <c r="D21" s="34"/>
      <c r="E21" s="34"/>
      <c r="F21" s="34"/>
      <c r="G21" s="34"/>
      <c r="H21" s="34"/>
      <c r="I21" s="34"/>
      <c r="J21" s="34"/>
      <c r="K21" s="34"/>
    </row>
    <row r="22" spans="2:11" s="11" customFormat="1">
      <c r="B22" s="172" t="s">
        <v>456</v>
      </c>
      <c r="C22" s="172"/>
      <c r="D22" s="172"/>
      <c r="E22" s="172"/>
      <c r="F22" s="172"/>
      <c r="G22" s="172"/>
      <c r="H22" s="172"/>
      <c r="I22" s="172"/>
      <c r="J22" s="172"/>
      <c r="K22" s="172"/>
    </row>
    <row r="23" spans="2:11" s="11" customFormat="1">
      <c r="B23" s="37"/>
      <c r="C23" s="34"/>
      <c r="D23" s="34"/>
      <c r="E23" s="34"/>
      <c r="F23" s="34"/>
      <c r="G23" s="34"/>
      <c r="H23" s="34"/>
      <c r="I23" s="34"/>
      <c r="J23" s="34"/>
      <c r="K23" s="34"/>
    </row>
    <row r="24" spans="2:11" s="11" customFormat="1">
      <c r="B24" s="37" t="s">
        <v>457</v>
      </c>
      <c r="C24" s="34"/>
      <c r="D24" s="34"/>
      <c r="E24" s="34"/>
      <c r="F24" s="34"/>
      <c r="G24" s="34"/>
      <c r="H24" s="34"/>
      <c r="I24" s="34"/>
      <c r="J24" s="34"/>
      <c r="K24" s="34"/>
    </row>
    <row r="25" spans="2:11" s="11" customFormat="1">
      <c r="B25" s="173" t="s">
        <v>723</v>
      </c>
      <c r="C25" s="172"/>
      <c r="D25" s="172"/>
      <c r="E25" s="172"/>
      <c r="F25" s="172"/>
      <c r="G25" s="172"/>
      <c r="H25" s="172"/>
      <c r="I25" s="172"/>
      <c r="J25" s="172"/>
      <c r="K25" s="172"/>
    </row>
    <row r="26" spans="2:11" s="11" customFormat="1" ht="24" customHeight="1">
      <c r="B26" s="173" t="s">
        <v>797</v>
      </c>
      <c r="C26" s="173"/>
      <c r="D26" s="173"/>
      <c r="E26" s="173"/>
      <c r="F26" s="173"/>
      <c r="G26" s="173"/>
      <c r="H26" s="173"/>
      <c r="I26" s="173"/>
      <c r="J26" s="173"/>
      <c r="K26" s="173"/>
    </row>
    <row r="27" spans="2:11" s="11" customFormat="1" ht="17.25" customHeight="1">
      <c r="B27" s="172" t="s">
        <v>772</v>
      </c>
      <c r="C27" s="172"/>
      <c r="D27" s="172"/>
      <c r="E27" s="172"/>
      <c r="F27" s="172"/>
      <c r="G27" s="172"/>
      <c r="H27" s="172"/>
      <c r="I27" s="172"/>
      <c r="J27" s="172"/>
      <c r="K27" s="172"/>
    </row>
    <row r="28" spans="2:11" s="11" customFormat="1">
      <c r="B28" s="38"/>
      <c r="C28" s="39"/>
      <c r="D28" s="39"/>
      <c r="E28" s="39"/>
      <c r="F28" s="39"/>
      <c r="G28" s="39"/>
      <c r="H28" s="39"/>
      <c r="I28" s="39"/>
      <c r="J28" s="39"/>
      <c r="K28" s="39"/>
    </row>
    <row r="29" spans="2:11" s="11" customFormat="1">
      <c r="B29" s="37" t="s">
        <v>458</v>
      </c>
      <c r="C29" s="39"/>
      <c r="D29" s="39"/>
      <c r="E29" s="39"/>
      <c r="F29" s="39"/>
      <c r="G29" s="39"/>
      <c r="H29" s="39"/>
      <c r="I29" s="39"/>
      <c r="J29" s="39"/>
      <c r="K29" s="39"/>
    </row>
    <row r="30" spans="2:11" s="11" customFormat="1">
      <c r="B30" s="40" t="s">
        <v>459</v>
      </c>
      <c r="C30" s="39"/>
      <c r="D30" s="39"/>
      <c r="E30" s="39"/>
      <c r="F30" s="39"/>
      <c r="G30" s="39"/>
      <c r="H30" s="39"/>
      <c r="I30" s="39"/>
      <c r="J30" s="39"/>
      <c r="K30" s="39"/>
    </row>
    <row r="31" spans="2:11" s="11" customFormat="1">
      <c r="B31" s="34"/>
      <c r="C31" s="34"/>
      <c r="D31" s="34"/>
      <c r="E31" s="34"/>
      <c r="F31" s="34"/>
      <c r="G31" s="34"/>
      <c r="H31" s="34"/>
      <c r="I31" s="34"/>
      <c r="J31" s="34"/>
      <c r="K31" s="34"/>
    </row>
    <row r="32" spans="2:11" s="11" customFormat="1">
      <c r="B32" s="31" t="s">
        <v>460</v>
      </c>
      <c r="C32" s="34"/>
      <c r="D32" s="34"/>
      <c r="E32" s="34"/>
      <c r="F32" s="34"/>
      <c r="G32" s="34"/>
      <c r="H32" s="34"/>
      <c r="I32" s="34"/>
      <c r="J32" s="34"/>
      <c r="K32" s="34"/>
    </row>
    <row r="33" spans="2:11" s="11" customFormat="1">
      <c r="B33" s="40" t="s">
        <v>461</v>
      </c>
      <c r="C33" s="28"/>
      <c r="D33" s="28"/>
      <c r="E33" s="28"/>
      <c r="F33" s="28"/>
      <c r="G33" s="28"/>
      <c r="H33" s="28"/>
      <c r="I33" s="28"/>
      <c r="J33" s="28"/>
      <c r="K33" s="28"/>
    </row>
    <row r="34" spans="2:11" s="11" customFormat="1">
      <c r="B34" s="41"/>
      <c r="C34" s="28"/>
      <c r="D34" s="28"/>
      <c r="E34" s="28"/>
      <c r="F34" s="28"/>
      <c r="G34" s="28"/>
      <c r="H34" s="28"/>
      <c r="I34" s="28"/>
      <c r="J34" s="28"/>
      <c r="K34" s="28"/>
    </row>
    <row r="35" spans="2:11" s="11" customFormat="1">
      <c r="B35" s="31" t="s">
        <v>462</v>
      </c>
      <c r="C35" s="28"/>
      <c r="D35" s="28"/>
      <c r="E35" s="28"/>
      <c r="F35" s="28"/>
      <c r="G35" s="28"/>
      <c r="H35" s="28"/>
      <c r="I35" s="28"/>
      <c r="J35" s="28"/>
      <c r="K35" s="28"/>
    </row>
    <row r="58" spans="2:13" ht="23.25" thickBot="1">
      <c r="B58" s="2" t="s">
        <v>234</v>
      </c>
      <c r="C58" s="2" t="s">
        <v>235</v>
      </c>
      <c r="D58" s="2" t="s">
        <v>41</v>
      </c>
      <c r="E58" s="2" t="s">
        <v>15</v>
      </c>
      <c r="F58" s="2" t="s">
        <v>236</v>
      </c>
      <c r="G58" s="2" t="s">
        <v>704</v>
      </c>
      <c r="H58" s="2" t="s">
        <v>13</v>
      </c>
      <c r="I58" s="2" t="s">
        <v>17</v>
      </c>
      <c r="J58" s="2" t="s">
        <v>237</v>
      </c>
      <c r="K58" s="2" t="s">
        <v>774</v>
      </c>
      <c r="L58" s="2" t="s">
        <v>238</v>
      </c>
      <c r="M58" s="2" t="s">
        <v>101</v>
      </c>
    </row>
    <row r="59" spans="2:13" ht="15.75" thickBot="1">
      <c r="B59" s="3" t="s">
        <v>239</v>
      </c>
      <c r="C59" s="42">
        <f>C60+C61</f>
        <v>10160</v>
      </c>
      <c r="D59" s="43">
        <f>D60+D61</f>
        <v>605.9</v>
      </c>
      <c r="E59" s="42">
        <f t="shared" ref="E59:L59" si="0">E60+E61</f>
        <v>1530</v>
      </c>
      <c r="F59" s="43">
        <f t="shared" si="0"/>
        <v>144.46</v>
      </c>
      <c r="G59" s="42">
        <f t="shared" si="0"/>
        <v>632.02269999999999</v>
      </c>
      <c r="H59" s="43">
        <f t="shared" si="0"/>
        <v>1307</v>
      </c>
      <c r="I59" s="42">
        <f t="shared" si="0"/>
        <v>2706.1</v>
      </c>
      <c r="J59" s="43">
        <f t="shared" si="0"/>
        <v>162.87400000000002</v>
      </c>
      <c r="K59" s="42">
        <f t="shared" si="0"/>
        <v>0</v>
      </c>
      <c r="L59" s="43">
        <f t="shared" si="0"/>
        <v>9.1300000000000008</v>
      </c>
      <c r="M59" s="42">
        <f>SUM(C59:L59)</f>
        <v>17257.486699999998</v>
      </c>
    </row>
    <row r="60" spans="2:13" ht="15.75" thickBot="1">
      <c r="B60" s="3" t="s">
        <v>60</v>
      </c>
      <c r="C60" s="42">
        <f>SUMIFS(existingstable[Nameplate Capacity (MW)],existingstable[summary_status],'New South Wales Summary'!$B60,existingstable[summary_bucket],'New South Wales Summary'!C$58) + SUMIFS(existingnstable[Nameplate Capacity (MW)],existingnstable[summary_status],'New South Wales Summary'!$B60,existingnstable[summary_bucket],'New South Wales Summary'!C$58)</f>
        <v>2000</v>
      </c>
      <c r="D60" s="43">
        <f>SUMIFS(existingstable[Nameplate Capacity (MW)],existingstable[summary_status],'New South Wales Summary'!$B60,existingstable[summary_bucket],'New South Wales Summary'!D$58) + SUMIFS(existingnstable[Nameplate Capacity (MW)],existingnstable[summary_status],'New South Wales Summary'!$B60,existingnstable[summary_bucket],'New South Wales Summary'!D$58)</f>
        <v>0</v>
      </c>
      <c r="E60" s="42">
        <f>SUMIFS(existingstable[Nameplate Capacity (MW)],existingstable[summary_status],'New South Wales Summary'!$B60,existingstable[summary_bucket],'New South Wales Summary'!E$58) + SUMIFS(existingnstable[Nameplate Capacity (MW)],existingnstable[summary_status],'New South Wales Summary'!$B60,existingnstable[summary_bucket],'New South Wales Summary'!E$58)</f>
        <v>0</v>
      </c>
      <c r="F60" s="43">
        <f>SUMIFS(existingstable[Nameplate Capacity (MW)],existingstable[summary_status],'New South Wales Summary'!$B60,existingstable[summary_bucket],'New South Wales Summary'!F$58) + SUMIFS(existingnstable[Nameplate Capacity (MW)],existingnstable[summary_status],'New South Wales Summary'!$B60,existingnstable[summary_bucket],'New South Wales Summary'!F$58)</f>
        <v>0</v>
      </c>
      <c r="G60" s="42">
        <f>SUMIFS(existingstable[Nameplate Capacity (MW)],existingstable[summary_status],'New South Wales Summary'!$B60,existingstable[summary_bucket],'New South Wales Summary'!G$58) + SUMIFS(existingnstable[Nameplate Capacity (MW)],existingnstable[summary_status],'New South Wales Summary'!$B60,existingnstable[summary_bucket],'New South Wales Summary'!G$58)</f>
        <v>0</v>
      </c>
      <c r="H60" s="43">
        <f>SUMIFS(existingstable[Nameplate Capacity (MW)],existingstable[summary_status],'New South Wales Summary'!$B60,existingstable[summary_bucket],'New South Wales Summary'!H$58) + SUMIFS(existingnstable[Nameplate Capacity (MW)],existingnstable[summary_status],'New South Wales Summary'!$B60,existingnstable[summary_bucket],'New South Wales Summary'!H$58)</f>
        <v>0</v>
      </c>
      <c r="I60" s="42">
        <f>SUMIFS(existingstable[Nameplate Capacity (MW)],existingstable[summary_status],'New South Wales Summary'!$B60,existingstable[summary_bucket],'New South Wales Summary'!I$58) + SUMIFS(existingnstable[Nameplate Capacity (MW)],existingnstable[summary_status],'New South Wales Summary'!$B60,existingnstable[summary_bucket],'New South Wales Summary'!I$58)</f>
        <v>0</v>
      </c>
      <c r="J60" s="43">
        <f>SUMIFS(existingstable[Nameplate Capacity (MW)],existingstable[summary_status],'New South Wales Summary'!$B60,existingstable[summary_bucket],'New South Wales Summary'!J$58) + SUMIFS(existingnstable[Nameplate Capacity (MW)],existingnstable[summary_status],'New South Wales Summary'!$B60,existingnstable[summary_bucket],'New South Wales Summary'!J$58)</f>
        <v>0</v>
      </c>
      <c r="K60" s="42">
        <f>SUMIFS(existingstable[Nameplate Capacity (MW)],existingstable[summary_status],'New South Wales Summary'!$B60,existingstable[summary_bucket],'New South Wales Summary'!K$58) + SUMIFS(existingnstable[Nameplate Capacity (MW)],existingnstable[summary_status],'New South Wales Summary'!$B60,existingnstable[summary_bucket],'New South Wales Summary'!K$58)</f>
        <v>0</v>
      </c>
      <c r="L60" s="43">
        <f>SUMIFS(existingstable[Nameplate Capacity (MW)],existingstable[summary_status],'New South Wales Summary'!$B60,existingstable[summary_bucket],'New South Wales Summary'!L$58) + SUMIFS(existingnstable[Nameplate Capacity (MW)],existingnstable[summary_status],'New South Wales Summary'!$B60,existingnstable[summary_bucket],'New South Wales Summary'!L$58)</f>
        <v>0</v>
      </c>
      <c r="M60" s="42">
        <f>SUM(C60:L60)</f>
        <v>2000</v>
      </c>
    </row>
    <row r="61" spans="2:13" ht="15.75" thickBot="1">
      <c r="B61" s="3" t="s">
        <v>240</v>
      </c>
      <c r="C61" s="42">
        <f>SUMIFS(existingstable[Nameplate Capacity (MW)],existingstable[summary_status],'New South Wales Summary'!$B61,existingstable[summary_bucket],'New South Wales Summary'!C$58) + SUMIFS(existingnstable[Nameplate Capacity (MW)],existingnstable[summary_status],'New South Wales Summary'!$B61,existingnstable[summary_bucket],'New South Wales Summary'!C$58)</f>
        <v>8160</v>
      </c>
      <c r="D61" s="43">
        <f>SUMIFS(existingstable[Nameplate Capacity (MW)],existingstable[summary_status],'New South Wales Summary'!$B61,existingstable[summary_bucket],'New South Wales Summary'!D$58) + SUMIFS(existingnstable[Nameplate Capacity (MW)],existingnstable[summary_status],'New South Wales Summary'!$B61,existingnstable[summary_bucket],'New South Wales Summary'!D$58)</f>
        <v>605.9</v>
      </c>
      <c r="E61" s="42">
        <f>SUMIFS(existingstable[Nameplate Capacity (MW)],existingstable[summary_status],'New South Wales Summary'!$B61,existingstable[summary_bucket],'New South Wales Summary'!E$58) + SUMIFS(existingnstable[Nameplate Capacity (MW)],existingnstable[summary_status],'New South Wales Summary'!$B61,existingnstable[summary_bucket],'New South Wales Summary'!E$58)</f>
        <v>1530</v>
      </c>
      <c r="F61" s="43">
        <f>SUMIFS(existingstable[Nameplate Capacity (MW)],existingstable[summary_status],'New South Wales Summary'!$B61,existingstable[summary_bucket],'New South Wales Summary'!F$58) + SUMIFS(existingnstable[Nameplate Capacity (MW)],existingnstable[summary_status],'New South Wales Summary'!$B61,existingnstable[summary_bucket],'New South Wales Summary'!F$58)</f>
        <v>144.46</v>
      </c>
      <c r="G61" s="42">
        <f>SUMIFS(existingstable[Nameplate Capacity (MW)],existingstable[summary_status],'New South Wales Summary'!$B61,existingstable[summary_bucket],'New South Wales Summary'!G$58) + SUMIFS(existingnstable[Nameplate Capacity (MW)],existingnstable[summary_status],'New South Wales Summary'!$B61,existingnstable[summary_bucket],'New South Wales Summary'!G$58)</f>
        <v>632.02269999999999</v>
      </c>
      <c r="H61" s="43">
        <f>SUMIFS(existingstable[Nameplate Capacity (MW)],existingstable[summary_status],'New South Wales Summary'!$B61,existingstable[summary_bucket],'New South Wales Summary'!H$58) + SUMIFS(existingnstable[Nameplate Capacity (MW)],existingnstable[summary_status],'New South Wales Summary'!$B61,existingnstable[summary_bucket],'New South Wales Summary'!H$58)</f>
        <v>1307</v>
      </c>
      <c r="I61" s="42">
        <f>SUMIFS(existingstable[Nameplate Capacity (MW)],existingstable[summary_status],'New South Wales Summary'!$B61,existingstable[summary_bucket],'New South Wales Summary'!I$58) + SUMIFS(existingnstable[Nameplate Capacity (MW)],existingnstable[summary_status],'New South Wales Summary'!$B61,existingnstable[summary_bucket],'New South Wales Summary'!I$58)</f>
        <v>2706.1</v>
      </c>
      <c r="J61" s="43">
        <f>SUMIFS(existingstable[Nameplate Capacity (MW)],existingstable[summary_status],'New South Wales Summary'!$B61,existingstable[summary_bucket],'New South Wales Summary'!J$58) + SUMIFS(existingnstable[Nameplate Capacity (MW)],existingnstable[summary_status],'New South Wales Summary'!$B61,existingnstable[summary_bucket],'New South Wales Summary'!J$58)</f>
        <v>162.87400000000002</v>
      </c>
      <c r="K61" s="42">
        <f>SUMIFS(existingstable[Nameplate Capacity (MW)],existingstable[summary_status],'New South Wales Summary'!$B61,existingstable[summary_bucket],'New South Wales Summary'!K$58) + SUMIFS(existingnstable[Nameplate Capacity (MW)],existingnstable[summary_status],'New South Wales Summary'!$B61,existingnstable[summary_bucket],'New South Wales Summary'!K$58)</f>
        <v>0</v>
      </c>
      <c r="L61" s="43">
        <f>SUMIFS(existingstable[Nameplate Capacity (MW)],existingstable[summary_status],'New South Wales Summary'!$B61,existingstable[summary_bucket],'New South Wales Summary'!L$58) + SUMIFS(existingnstable[Nameplate Capacity (MW)],existingnstable[summary_status],'New South Wales Summary'!$B61,existingnstable[summary_bucket],'New South Wales Summary'!L$58)</f>
        <v>9.1300000000000008</v>
      </c>
      <c r="M61" s="42">
        <f>SUM(C61:L61)</f>
        <v>15257.486699999998</v>
      </c>
    </row>
    <row r="62" spans="2:13" s="105" customFormat="1" ht="15.75" thickBot="1">
      <c r="B62" s="3" t="s">
        <v>701</v>
      </c>
      <c r="C62" s="42">
        <f>SUMIFS(newdevtable[nameplatecapacity_mw_max],newdevtable[summary_status],'New South Wales Summary'!$B62,newdevtable[summary_bucket],'New South Wales Summary'!C$58)</f>
        <v>100</v>
      </c>
      <c r="D62" s="43">
        <f>SUMIFS(newdevtable[nameplatecapacity_mw_max],newdevtable[summary_status],'New South Wales Summary'!$B62,newdevtable[summary_bucket],'New South Wales Summary'!D$58)</f>
        <v>0</v>
      </c>
      <c r="E62" s="42">
        <f>SUMIFS(newdevtable[nameplatecapacity_mw_max],newdevtable[summary_status],'New South Wales Summary'!$B62,newdevtable[summary_bucket],'New South Wales Summary'!E$58)</f>
        <v>0</v>
      </c>
      <c r="F62" s="43">
        <f>SUMIFS(newdevtable[nameplatecapacity_mw_max],newdevtable[summary_status],'New South Wales Summary'!$B62,newdevtable[summary_bucket],'New South Wales Summary'!F$58)</f>
        <v>0</v>
      </c>
      <c r="G62" s="42">
        <f>SUMIFS(newdevtable[nameplatecapacity_mw_max],newdevtable[summary_status],'New South Wales Summary'!$B62,newdevtable[summary_bucket],'New South Wales Summary'!G$58)</f>
        <v>0</v>
      </c>
      <c r="H62" s="43">
        <f>SUMIFS(newdevtable[nameplatecapacity_mw_max],newdevtable[summary_status],'New South Wales Summary'!$B62,newdevtable[summary_bucket],'New South Wales Summary'!H$58)</f>
        <v>0</v>
      </c>
      <c r="I62" s="42">
        <f>SUMIFS(newdevtable[nameplatecapacity_mw_max],newdevtable[summary_status],'New South Wales Summary'!$B62,newdevtable[summary_bucket],'New South Wales Summary'!I$58)</f>
        <v>0</v>
      </c>
      <c r="J62" s="43">
        <f>SUMIFS(newdevtable[nameplatecapacity_mw_max],newdevtable[summary_status],'New South Wales Summary'!$B62,newdevtable[summary_bucket],'New South Wales Summary'!J$58)</f>
        <v>0</v>
      </c>
      <c r="K62" s="42">
        <f>SUMIFS(newdevtable[nameplatecapacity_mw_max],newdevtable[summary_status],'New South Wales Summary'!$B62,newdevtable[summary_bucket],'New South Wales Summary'!K$58)</f>
        <v>0</v>
      </c>
      <c r="L62" s="43">
        <f>SUMIFS(newdevtable[nameplatecapacity_mw_max],newdevtable[summary_status],'New South Wales Summary'!$B62,newdevtable[summary_bucket],'New South Wales Summary'!L$58)</f>
        <v>0</v>
      </c>
      <c r="M62" s="42">
        <f>SUM(C62:L62)</f>
        <v>100</v>
      </c>
    </row>
    <row r="63" spans="2:13" ht="15.75" thickBot="1">
      <c r="B63" s="3" t="s">
        <v>241</v>
      </c>
      <c r="C63" s="42">
        <f>SUMIFS(newdevtable[nameplatecapacity_mw_max],newdevtable[summary_status],'New South Wales Summary'!$B63,newdevtable[summary_bucket],'New South Wales Summary'!C$58)</f>
        <v>0</v>
      </c>
      <c r="D63" s="43">
        <f>SUMIFS(newdevtable[nameplatecapacity_mw_max],newdevtable[summary_status],'New South Wales Summary'!$B63,newdevtable[summary_bucket],'New South Wales Summary'!D$58)</f>
        <v>0</v>
      </c>
      <c r="E63" s="42">
        <f>SUMIFS(newdevtable[nameplatecapacity_mw_max],newdevtable[summary_status],'New South Wales Summary'!$B63,newdevtable[summary_bucket],'New South Wales Summary'!E$58)</f>
        <v>0</v>
      </c>
      <c r="F63" s="43">
        <f>SUMIFS(newdevtable[nameplatecapacity_mw_max],newdevtable[summary_status],'New South Wales Summary'!$B63,newdevtable[summary_bucket],'New South Wales Summary'!F$58)</f>
        <v>0</v>
      </c>
      <c r="G63" s="42">
        <f>SUMIFS(newdevtable[nameplatecapacity_mw_max],newdevtable[summary_status],'New South Wales Summary'!$B63,newdevtable[summary_bucket],'New South Wales Summary'!G$58)</f>
        <v>1180.4000000000001</v>
      </c>
      <c r="H63" s="43">
        <f>SUMIFS(newdevtable[nameplatecapacity_mw_max],newdevtable[summary_status],'New South Wales Summary'!$B63,newdevtable[summary_bucket],'New South Wales Summary'!H$58)</f>
        <v>339.19</v>
      </c>
      <c r="I63" s="42">
        <f>SUMIFS(newdevtable[nameplatecapacity_mw_max],newdevtable[summary_status],'New South Wales Summary'!$B63,newdevtable[summary_bucket],'New South Wales Summary'!I$58)</f>
        <v>0</v>
      </c>
      <c r="J63" s="43">
        <f>SUMIFS(newdevtable[nameplatecapacity_mw_max],newdevtable[summary_status],'New South Wales Summary'!$B63,newdevtable[summary_bucket],'New South Wales Summary'!J$58)</f>
        <v>0</v>
      </c>
      <c r="K63" s="42">
        <f>SUMIFS(newdevtable[nameplatecapacity_mw_max],newdevtable[summary_status],'New South Wales Summary'!$B63,newdevtable[summary_bucket],'New South Wales Summary'!K$58)</f>
        <v>0</v>
      </c>
      <c r="L63" s="43">
        <f>SUMIFS(newdevtable[nameplatecapacity_mw_max],newdevtable[summary_status],'New South Wales Summary'!$B63,newdevtable[summary_bucket],'New South Wales Summary'!L$58)</f>
        <v>0</v>
      </c>
      <c r="M63" s="42">
        <f t="shared" ref="M63" si="1">SUM(C63:L63)</f>
        <v>1519.5900000000001</v>
      </c>
    </row>
    <row r="64" spans="2:13" ht="15.75" thickBot="1">
      <c r="B64" s="3" t="s">
        <v>242</v>
      </c>
      <c r="C64" s="42">
        <f>SUMIFS(newdevtable[nameplatecapacity_mw_max],newdevtable[summary_status],'New South Wales Summary'!$B64,newdevtable[summary_bucket],'New South Wales Summary'!C$58)</f>
        <v>0</v>
      </c>
      <c r="D64" s="43">
        <f>SUMIFS(newdevtable[nameplatecapacity_mw_max],newdevtable[summary_status],'New South Wales Summary'!$B64,newdevtable[summary_bucket],'New South Wales Summary'!D$58)</f>
        <v>15</v>
      </c>
      <c r="E64" s="42">
        <f>SUMIFS(newdevtable[nameplatecapacity_mw_max],newdevtable[summary_status],'New South Wales Summary'!$B64,newdevtable[summary_bucket],'New South Wales Summary'!E$58)</f>
        <v>0</v>
      </c>
      <c r="F64" s="43">
        <f>SUMIFS(newdevtable[nameplatecapacity_mw_max],newdevtable[summary_status],'New South Wales Summary'!$B64,newdevtable[summary_bucket],'New South Wales Summary'!F$58)</f>
        <v>975</v>
      </c>
      <c r="G64" s="42">
        <f>SUMIFS(newdevtable[nameplatecapacity_mw_max],newdevtable[summary_status],'New South Wales Summary'!$B64,newdevtable[summary_bucket],'New South Wales Summary'!G$58)</f>
        <v>6109.3</v>
      </c>
      <c r="H64" s="43">
        <f>SUMIFS(newdevtable[nameplatecapacity_mw_max],newdevtable[summary_status],'New South Wales Summary'!$B64,newdevtable[summary_bucket],'New South Wales Summary'!H$58)</f>
        <v>5446.6900000000005</v>
      </c>
      <c r="I64" s="42">
        <f>SUMIFS(newdevtable[nameplatecapacity_mw_max],newdevtable[summary_status],'New South Wales Summary'!$B64,newdevtable[summary_bucket],'New South Wales Summary'!I$58)</f>
        <v>2600</v>
      </c>
      <c r="J64" s="43">
        <f>SUMIFS(newdevtable[nameplatecapacity_mw_max],newdevtable[summary_status],'New South Wales Summary'!$B64,newdevtable[summary_bucket],'New South Wales Summary'!J$58)</f>
        <v>180.6</v>
      </c>
      <c r="K64" s="42">
        <f>SUMIFS(newdevtable[nameplatecapacity_mw_max],newdevtable[summary_status],'New South Wales Summary'!$B64,newdevtable[summary_bucket],'New South Wales Summary'!K$58)</f>
        <v>0</v>
      </c>
      <c r="L64" s="43">
        <f>SUMIFS(newdevtable[nameplatecapacity_mw_max],newdevtable[summary_status],'New South Wales Summary'!$B64,newdevtable[summary_bucket],'New South Wales Summary'!L$58)</f>
        <v>28.8</v>
      </c>
      <c r="M64" s="42">
        <f>SUM(C64:L64)</f>
        <v>15355.390000000001</v>
      </c>
    </row>
    <row r="65" spans="2:13" ht="15.75" thickBot="1">
      <c r="B65" s="3" t="s">
        <v>243</v>
      </c>
      <c r="C65" s="42">
        <f>SUMIFS(existingstable[Nameplate Capacity (MW)],existingstable[summary_status],'New South Wales Summary'!$B65,existingstable[summary_bucket],'New South Wales Summary'!C$58) + SUMIFS(existingnstable[Nameplate Capacity (MW)],existingnstable[summary_status],'New South Wales Summary'!$B65,existingnstable[summary_bucket],'New South Wales Summary'!C$58)</f>
        <v>0</v>
      </c>
      <c r="D65" s="43">
        <f>SUMIFS(existingstable[Nameplate Capacity (MW)],existingstable[summary_status],'New South Wales Summary'!$B65,existingstable[summary_bucket],'New South Wales Summary'!D$58) + SUMIFS(existingnstable[Nameplate Capacity (MW)],existingnstable[summary_status],'New South Wales Summary'!$B65,existingnstable[summary_bucket],'New South Wales Summary'!D$58)</f>
        <v>0</v>
      </c>
      <c r="E65" s="42">
        <f>SUMIFS(existingstable[Nameplate Capacity (MW)],existingstable[summary_status],'New South Wales Summary'!$B65,existingstable[summary_bucket],'New South Wales Summary'!E$58) + SUMIFS(existingnstable[Nameplate Capacity (MW)],existingnstable[summary_status],'New South Wales Summary'!$B65,existingnstable[summary_bucket],'New South Wales Summary'!E$58)</f>
        <v>0</v>
      </c>
      <c r="F65" s="43">
        <f>SUMIFS(existingstable[Nameplate Capacity (MW)],existingstable[summary_status],'New South Wales Summary'!$B65,existingstable[summary_bucket],'New South Wales Summary'!F$58) + SUMIFS(existingnstable[Nameplate Capacity (MW)],existingnstable[summary_status],'New South Wales Summary'!$B65,existingnstable[summary_bucket],'New South Wales Summary'!F$58)</f>
        <v>2.8</v>
      </c>
      <c r="G65" s="42">
        <f>SUMIFS(existingstable[Nameplate Capacity (MW)],existingstable[summary_status],'New South Wales Summary'!$B65,existingstable[summary_bucket],'New South Wales Summary'!G$58) + SUMIFS(existingnstable[Nameplate Capacity (MW)],existingnstable[summary_status],'New South Wales Summary'!$B65,existingnstable[summary_bucket],'New South Wales Summary'!G$58)</f>
        <v>0</v>
      </c>
      <c r="H65" s="43">
        <f>SUMIFS(existingstable[Nameplate Capacity (MW)],existingstable[summary_status],'New South Wales Summary'!$B65,existingstable[summary_bucket],'New South Wales Summary'!H$58) + SUMIFS(existingnstable[Nameplate Capacity (MW)],existingnstable[summary_status],'New South Wales Summary'!$B65,existingnstable[summary_bucket],'New South Wales Summary'!H$58)</f>
        <v>0</v>
      </c>
      <c r="I65" s="42">
        <f>SUMIFS(existingstable[Nameplate Capacity (MW)],existingstable[summary_status],'New South Wales Summary'!$B65,existingstable[summary_bucket],'New South Wales Summary'!I$58) + SUMIFS(existingnstable[Nameplate Capacity (MW)],existingnstable[summary_status],'New South Wales Summary'!$B65,existingnstable[summary_bucket],'New South Wales Summary'!I$58)</f>
        <v>0</v>
      </c>
      <c r="J65" s="43">
        <f>SUMIFS(existingstable[Nameplate Capacity (MW)],existingstable[summary_status],'New South Wales Summary'!$B65,existingstable[summary_bucket],'New South Wales Summary'!J$58) + SUMIFS(existingnstable[Nameplate Capacity (MW)],existingnstable[summary_status],'New South Wales Summary'!$B65,existingnstable[summary_bucket],'New South Wales Summary'!J$58)</f>
        <v>0</v>
      </c>
      <c r="K65" s="42">
        <f>SUMIFS(existingstable[Nameplate Capacity (MW)],existingstable[summary_status],'New South Wales Summary'!$B65,existingstable[summary_bucket],'New South Wales Summary'!K$58) + SUMIFS(existingnstable[Nameplate Capacity (MW)],existingnstable[summary_status],'New South Wales Summary'!$B65,existingnstable[summary_bucket],'New South Wales Summary'!K$58)</f>
        <v>0</v>
      </c>
      <c r="L65" s="43">
        <f>SUMIFS(existingstable[Nameplate Capacity (MW)],existingstable[summary_status],'New South Wales Summary'!$B65,existingstable[summary_bucket],'New South Wales Summary'!L$58) + SUMIFS(existingnstable[Nameplate Capacity (MW)],existingnstable[summary_status],'New South Wales Summary'!$B65,existingnstable[summary_bucket],'New South Wales Summary'!L$58)</f>
        <v>0</v>
      </c>
      <c r="M65" s="42">
        <f>SUM(C65:L65)</f>
        <v>2.8</v>
      </c>
    </row>
    <row r="66" spans="2:13">
      <c r="B66" s="166" t="s">
        <v>244</v>
      </c>
      <c r="C66" s="167"/>
      <c r="D66" s="167"/>
      <c r="E66" s="167"/>
      <c r="F66" s="167"/>
      <c r="G66" s="167"/>
      <c r="H66" s="167"/>
      <c r="I66" s="167"/>
      <c r="J66" s="167"/>
      <c r="K66" s="167"/>
      <c r="L66" s="167"/>
    </row>
    <row r="67" spans="2:13">
      <c r="B67" s="107" t="s">
        <v>705</v>
      </c>
      <c r="C67" s="108"/>
      <c r="D67" s="108"/>
      <c r="E67" s="108"/>
      <c r="F67" s="108"/>
      <c r="G67" s="108"/>
      <c r="H67" s="108"/>
      <c r="I67" s="108"/>
      <c r="J67" s="108"/>
      <c r="K67" s="108"/>
    </row>
    <row r="68" spans="2:13">
      <c r="B68" s="165"/>
      <c r="C68" s="165"/>
      <c r="D68" s="165"/>
      <c r="E68" s="165"/>
      <c r="F68" s="165"/>
      <c r="G68" s="165"/>
      <c r="H68" s="165"/>
      <c r="I68" s="165"/>
      <c r="J68" s="165"/>
      <c r="K68" s="165"/>
      <c r="L68" s="165"/>
      <c r="M68" s="165"/>
    </row>
    <row r="69" spans="2:13" ht="24" customHeight="1">
      <c r="B69" s="165"/>
      <c r="C69" s="165"/>
      <c r="D69" s="165"/>
      <c r="E69" s="165"/>
      <c r="F69" s="165"/>
      <c r="G69" s="165"/>
      <c r="H69" s="165"/>
      <c r="I69" s="165"/>
      <c r="J69" s="165"/>
      <c r="K69" s="165"/>
      <c r="L69" s="165"/>
    </row>
  </sheetData>
  <mergeCells count="12">
    <mergeCell ref="B68:M68"/>
    <mergeCell ref="B69:L69"/>
    <mergeCell ref="B66:L66"/>
    <mergeCell ref="B12:K12"/>
    <mergeCell ref="B17:F17"/>
    <mergeCell ref="B19:K19"/>
    <mergeCell ref="B22:K22"/>
    <mergeCell ref="B25:K25"/>
    <mergeCell ref="B26:K26"/>
    <mergeCell ref="B27:K27"/>
    <mergeCell ref="B13:K13"/>
    <mergeCell ref="B14:K14"/>
  </mergeCells>
  <hyperlinks>
    <hyperlink ref="B5" r:id="rId1" xr:uid="{00000000-0004-0000-0000-000000000000}"/>
  </hyperlinks>
  <pageMargins left="0.7" right="0.7" top="0.75" bottom="0.75" header="0.3" footer="0.3"/>
  <pageSetup paperSize="9"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136"/>
  <sheetViews>
    <sheetView showGridLines="0" zoomScaleNormal="100" workbookViewId="0"/>
  </sheetViews>
  <sheetFormatPr defaultRowHeight="15"/>
  <cols>
    <col min="1" max="1" width="4.7109375" customWidth="1"/>
  </cols>
  <sheetData>
    <row r="1" spans="1:14" ht="20.25" thickBot="1">
      <c r="A1" s="28"/>
      <c r="B1" s="47" t="s">
        <v>530</v>
      </c>
      <c r="C1" s="28"/>
      <c r="D1" s="28"/>
      <c r="E1" s="28"/>
      <c r="F1" s="28"/>
      <c r="G1" s="28"/>
      <c r="H1" s="28"/>
      <c r="I1" s="28"/>
      <c r="J1" s="28"/>
      <c r="K1" s="28"/>
      <c r="L1" s="28"/>
      <c r="M1" s="28"/>
      <c r="N1" s="28"/>
    </row>
    <row r="2" spans="1:14">
      <c r="A2" s="28"/>
      <c r="B2" s="44" t="s">
        <v>558</v>
      </c>
      <c r="C2" s="28"/>
      <c r="D2" s="28"/>
      <c r="E2" s="28"/>
      <c r="F2" s="28"/>
      <c r="G2" s="28"/>
      <c r="H2" s="28"/>
      <c r="I2" s="28"/>
      <c r="J2" s="28"/>
      <c r="K2" s="28"/>
      <c r="L2" s="28"/>
      <c r="M2" s="28"/>
      <c r="N2" s="28"/>
    </row>
    <row r="3" spans="1:14">
      <c r="A3" s="28"/>
      <c r="B3" s="28"/>
      <c r="C3" s="28"/>
      <c r="D3" s="28"/>
      <c r="E3" s="28"/>
      <c r="F3" s="28"/>
      <c r="G3" s="28"/>
      <c r="H3" s="28"/>
      <c r="I3" s="28"/>
      <c r="J3" s="28"/>
      <c r="K3" s="28"/>
      <c r="L3" s="28"/>
      <c r="M3" s="28"/>
      <c r="N3" s="28"/>
    </row>
    <row r="4" spans="1:14">
      <c r="A4" s="28"/>
      <c r="B4" s="31" t="s">
        <v>463</v>
      </c>
      <c r="C4" s="28"/>
      <c r="D4" s="45">
        <v>41263</v>
      </c>
      <c r="E4" s="28"/>
      <c r="F4" s="28"/>
      <c r="G4" s="28"/>
      <c r="H4" s="28"/>
      <c r="I4" s="28"/>
      <c r="J4" s="28"/>
      <c r="K4" s="28"/>
      <c r="L4" s="28"/>
      <c r="M4" s="28"/>
      <c r="N4" s="28"/>
    </row>
    <row r="5" spans="1:14">
      <c r="A5" s="28"/>
      <c r="B5" s="44" t="s">
        <v>464</v>
      </c>
      <c r="C5" s="28"/>
      <c r="D5" s="28"/>
      <c r="E5" s="28"/>
      <c r="F5" s="28"/>
      <c r="G5" s="28"/>
      <c r="H5" s="28"/>
      <c r="I5" s="28"/>
      <c r="J5" s="28"/>
      <c r="K5" s="28"/>
      <c r="L5" s="28"/>
      <c r="M5" s="28"/>
      <c r="N5" s="28"/>
    </row>
    <row r="6" spans="1:14">
      <c r="A6" s="28"/>
      <c r="B6" s="28"/>
      <c r="C6" s="28"/>
      <c r="D6" s="28"/>
      <c r="E6" s="28"/>
      <c r="F6" s="28"/>
      <c r="G6" s="28"/>
      <c r="H6" s="28"/>
      <c r="I6" s="28"/>
      <c r="J6" s="28"/>
      <c r="K6" s="28"/>
      <c r="L6" s="28"/>
      <c r="M6" s="28"/>
      <c r="N6" s="28"/>
    </row>
    <row r="7" spans="1:14">
      <c r="A7" s="28"/>
      <c r="B7" s="31" t="s">
        <v>463</v>
      </c>
      <c r="C7" s="28"/>
      <c r="D7" s="45">
        <v>41327</v>
      </c>
      <c r="E7" s="28"/>
      <c r="F7" s="28"/>
      <c r="G7" s="28"/>
      <c r="H7" s="28"/>
      <c r="I7" s="28"/>
      <c r="J7" s="28"/>
      <c r="K7" s="28"/>
      <c r="L7" s="28"/>
      <c r="M7" s="28"/>
      <c r="N7" s="28"/>
    </row>
    <row r="8" spans="1:14" ht="45.75" customHeight="1">
      <c r="A8" s="28"/>
      <c r="B8" s="175" t="s">
        <v>465</v>
      </c>
      <c r="C8" s="171"/>
      <c r="D8" s="171"/>
      <c r="E8" s="171"/>
      <c r="F8" s="171"/>
      <c r="G8" s="171"/>
      <c r="H8" s="171"/>
      <c r="I8" s="171"/>
      <c r="J8" s="171"/>
      <c r="K8" s="171"/>
      <c r="L8" s="171"/>
      <c r="M8" s="171"/>
      <c r="N8" s="28"/>
    </row>
    <row r="9" spans="1:14" ht="35.25" customHeight="1">
      <c r="A9" s="28"/>
      <c r="B9" s="175" t="s">
        <v>466</v>
      </c>
      <c r="C9" s="171"/>
      <c r="D9" s="171"/>
      <c r="E9" s="171"/>
      <c r="F9" s="171"/>
      <c r="G9" s="171"/>
      <c r="H9" s="171"/>
      <c r="I9" s="171"/>
      <c r="J9" s="171"/>
      <c r="K9" s="171"/>
      <c r="L9" s="171"/>
      <c r="M9" s="171"/>
      <c r="N9" s="28"/>
    </row>
    <row r="10" spans="1:14">
      <c r="A10" s="28"/>
      <c r="B10" s="28"/>
      <c r="C10" s="28"/>
      <c r="D10" s="28"/>
      <c r="E10" s="28"/>
      <c r="F10" s="28"/>
      <c r="G10" s="28"/>
      <c r="H10" s="28"/>
      <c r="I10" s="28"/>
      <c r="J10" s="28"/>
      <c r="K10" s="28"/>
      <c r="L10" s="28"/>
      <c r="M10" s="28"/>
      <c r="N10" s="28"/>
    </row>
    <row r="11" spans="1:14">
      <c r="A11" s="28"/>
      <c r="B11" s="31" t="s">
        <v>463</v>
      </c>
      <c r="C11" s="28"/>
      <c r="D11" s="45">
        <v>41455</v>
      </c>
      <c r="E11" s="28"/>
      <c r="F11" s="28"/>
      <c r="G11" s="28"/>
      <c r="H11" s="28"/>
      <c r="I11" s="28"/>
      <c r="J11" s="28"/>
      <c r="K11" s="28"/>
      <c r="L11" s="28"/>
      <c r="M11" s="28"/>
      <c r="N11" s="28"/>
    </row>
    <row r="12" spans="1:14" ht="30" customHeight="1">
      <c r="A12" s="28"/>
      <c r="B12" s="175" t="s">
        <v>467</v>
      </c>
      <c r="C12" s="175"/>
      <c r="D12" s="175"/>
      <c r="E12" s="175"/>
      <c r="F12" s="175"/>
      <c r="G12" s="175"/>
      <c r="H12" s="175"/>
      <c r="I12" s="175"/>
      <c r="J12" s="175"/>
      <c r="K12" s="175"/>
      <c r="L12" s="175"/>
      <c r="M12" s="175"/>
      <c r="N12" s="28"/>
    </row>
    <row r="13" spans="1:14" ht="30.75" customHeight="1">
      <c r="A13" s="28"/>
      <c r="B13" s="175" t="s">
        <v>468</v>
      </c>
      <c r="C13" s="175"/>
      <c r="D13" s="175"/>
      <c r="E13" s="175"/>
      <c r="F13" s="175"/>
      <c r="G13" s="175"/>
      <c r="H13" s="175"/>
      <c r="I13" s="175"/>
      <c r="J13" s="175"/>
      <c r="K13" s="175"/>
      <c r="L13" s="175"/>
      <c r="M13" s="175"/>
      <c r="N13" s="28"/>
    </row>
    <row r="14" spans="1:14" ht="30" customHeight="1">
      <c r="A14" s="28"/>
      <c r="B14" s="171" t="s">
        <v>469</v>
      </c>
      <c r="C14" s="171"/>
      <c r="D14" s="171"/>
      <c r="E14" s="171"/>
      <c r="F14" s="171"/>
      <c r="G14" s="171"/>
      <c r="H14" s="171"/>
      <c r="I14" s="171"/>
      <c r="J14" s="171"/>
      <c r="K14" s="171"/>
      <c r="L14" s="171"/>
      <c r="M14" s="171"/>
      <c r="N14" s="28"/>
    </row>
    <row r="15" spans="1:14" ht="26.25" customHeight="1">
      <c r="A15" s="28"/>
      <c r="B15" s="171" t="s">
        <v>470</v>
      </c>
      <c r="C15" s="171"/>
      <c r="D15" s="171"/>
      <c r="E15" s="171"/>
      <c r="F15" s="171"/>
      <c r="G15" s="171"/>
      <c r="H15" s="171"/>
      <c r="I15" s="171"/>
      <c r="J15" s="171"/>
      <c r="K15" s="171"/>
      <c r="L15" s="28"/>
      <c r="M15" s="28"/>
      <c r="N15" s="28"/>
    </row>
    <row r="16" spans="1:14" ht="15" customHeight="1">
      <c r="A16" s="28"/>
      <c r="B16" s="46" t="s">
        <v>471</v>
      </c>
      <c r="C16" s="28"/>
      <c r="D16" s="28"/>
      <c r="E16" s="28"/>
      <c r="F16" s="28"/>
      <c r="G16" s="28"/>
      <c r="H16" s="28"/>
      <c r="I16" s="28"/>
      <c r="J16" s="28"/>
      <c r="K16" s="28"/>
      <c r="L16" s="28"/>
      <c r="M16" s="28"/>
      <c r="N16" s="28"/>
    </row>
    <row r="17" spans="1:14">
      <c r="A17" s="28"/>
      <c r="B17" s="28"/>
      <c r="C17" s="28"/>
      <c r="D17" s="28"/>
      <c r="E17" s="28"/>
      <c r="F17" s="28"/>
      <c r="G17" s="28"/>
      <c r="H17" s="28"/>
      <c r="I17" s="28"/>
      <c r="J17" s="28"/>
      <c r="K17" s="28"/>
      <c r="L17" s="28"/>
      <c r="M17" s="28"/>
      <c r="N17" s="28"/>
    </row>
    <row r="18" spans="1:14">
      <c r="A18" s="28"/>
      <c r="B18" s="31" t="s">
        <v>463</v>
      </c>
      <c r="C18" s="28"/>
      <c r="D18" s="45">
        <v>41499</v>
      </c>
      <c r="E18" s="28"/>
      <c r="F18" s="28"/>
      <c r="G18" s="28"/>
      <c r="H18" s="28"/>
      <c r="I18" s="28"/>
      <c r="J18" s="28"/>
      <c r="K18" s="28"/>
      <c r="L18" s="28"/>
      <c r="M18" s="28"/>
      <c r="N18" s="28"/>
    </row>
    <row r="19" spans="1:14" ht="28.5" customHeight="1">
      <c r="A19" s="28"/>
      <c r="B19" s="171" t="s">
        <v>472</v>
      </c>
      <c r="C19" s="171"/>
      <c r="D19" s="171"/>
      <c r="E19" s="171"/>
      <c r="F19" s="171"/>
      <c r="G19" s="171"/>
      <c r="H19" s="171"/>
      <c r="I19" s="171"/>
      <c r="J19" s="171"/>
      <c r="K19" s="171"/>
      <c r="L19" s="28"/>
      <c r="M19" s="28"/>
      <c r="N19" s="28"/>
    </row>
    <row r="20" spans="1:14" ht="26.25" customHeight="1">
      <c r="A20" s="28"/>
      <c r="B20" s="171" t="s">
        <v>473</v>
      </c>
      <c r="C20" s="171"/>
      <c r="D20" s="171"/>
      <c r="E20" s="171"/>
      <c r="F20" s="171"/>
      <c r="G20" s="171"/>
      <c r="H20" s="171"/>
      <c r="I20" s="171"/>
      <c r="J20" s="171"/>
      <c r="K20" s="171"/>
      <c r="L20" s="28"/>
      <c r="M20" s="28"/>
      <c r="N20" s="28"/>
    </row>
    <row r="21" spans="1:14">
      <c r="A21" s="28"/>
      <c r="B21" s="28"/>
      <c r="C21" s="28"/>
      <c r="D21" s="28"/>
      <c r="E21" s="28"/>
      <c r="F21" s="28"/>
      <c r="G21" s="28"/>
      <c r="H21" s="28"/>
      <c r="I21" s="28"/>
      <c r="J21" s="28"/>
      <c r="K21" s="28"/>
      <c r="L21" s="28"/>
      <c r="M21" s="28"/>
      <c r="N21" s="28"/>
    </row>
    <row r="22" spans="1:14">
      <c r="A22" s="28"/>
      <c r="B22" s="31" t="s">
        <v>463</v>
      </c>
      <c r="C22" s="28"/>
      <c r="D22" s="45">
        <v>41593</v>
      </c>
      <c r="E22" s="28"/>
      <c r="F22" s="28"/>
      <c r="G22" s="28"/>
      <c r="H22" s="28"/>
      <c r="I22" s="28"/>
      <c r="J22" s="28"/>
      <c r="K22" s="28"/>
      <c r="L22" s="28"/>
      <c r="M22" s="28"/>
      <c r="N22" s="28"/>
    </row>
    <row r="23" spans="1:14" ht="18.75" customHeight="1">
      <c r="A23" s="28"/>
      <c r="B23" s="46" t="s">
        <v>474</v>
      </c>
      <c r="C23" s="41"/>
      <c r="D23" s="41"/>
      <c r="E23" s="41"/>
      <c r="F23" s="41"/>
      <c r="G23" s="41"/>
      <c r="H23" s="41"/>
      <c r="I23" s="41"/>
      <c r="J23" s="41"/>
      <c r="K23" s="41"/>
      <c r="L23" s="28"/>
      <c r="M23" s="28"/>
      <c r="N23" s="28"/>
    </row>
    <row r="24" spans="1:14" ht="40.5" customHeight="1">
      <c r="A24" s="28"/>
      <c r="B24" s="171" t="s">
        <v>475</v>
      </c>
      <c r="C24" s="171"/>
      <c r="D24" s="171"/>
      <c r="E24" s="171"/>
      <c r="F24" s="171"/>
      <c r="G24" s="171"/>
      <c r="H24" s="171"/>
      <c r="I24" s="171"/>
      <c r="J24" s="171"/>
      <c r="K24" s="171"/>
      <c r="L24" s="41"/>
      <c r="M24" s="41"/>
      <c r="N24" s="28"/>
    </row>
    <row r="25" spans="1:14" ht="36.75" customHeight="1">
      <c r="A25" s="28"/>
      <c r="B25" s="171" t="s">
        <v>476</v>
      </c>
      <c r="C25" s="171"/>
      <c r="D25" s="171"/>
      <c r="E25" s="171"/>
      <c r="F25" s="171"/>
      <c r="G25" s="171"/>
      <c r="H25" s="171"/>
      <c r="I25" s="171"/>
      <c r="J25" s="171"/>
      <c r="K25" s="171"/>
      <c r="L25" s="41"/>
      <c r="M25" s="41"/>
      <c r="N25" s="28"/>
    </row>
    <row r="26" spans="1:14" ht="36" customHeight="1">
      <c r="A26" s="28"/>
      <c r="B26" s="171" t="s">
        <v>477</v>
      </c>
      <c r="C26" s="171"/>
      <c r="D26" s="171"/>
      <c r="E26" s="171"/>
      <c r="F26" s="171"/>
      <c r="G26" s="171"/>
      <c r="H26" s="171"/>
      <c r="I26" s="171"/>
      <c r="J26" s="171"/>
      <c r="K26" s="171"/>
      <c r="L26" s="41"/>
      <c r="M26" s="41"/>
      <c r="N26" s="28"/>
    </row>
    <row r="27" spans="1:14" ht="33" customHeight="1">
      <c r="A27" s="28"/>
      <c r="B27" s="171" t="s">
        <v>478</v>
      </c>
      <c r="C27" s="171"/>
      <c r="D27" s="171"/>
      <c r="E27" s="171"/>
      <c r="F27" s="171"/>
      <c r="G27" s="171"/>
      <c r="H27" s="171"/>
      <c r="I27" s="171"/>
      <c r="J27" s="171"/>
      <c r="K27" s="171"/>
      <c r="L27" s="41"/>
      <c r="M27" s="41"/>
      <c r="N27" s="28"/>
    </row>
    <row r="28" spans="1:14" ht="25.5" customHeight="1">
      <c r="A28" s="28"/>
      <c r="B28" s="171" t="s">
        <v>479</v>
      </c>
      <c r="C28" s="171"/>
      <c r="D28" s="171"/>
      <c r="E28" s="171"/>
      <c r="F28" s="171"/>
      <c r="G28" s="171"/>
      <c r="H28" s="171"/>
      <c r="I28" s="171"/>
      <c r="J28" s="171"/>
      <c r="K28" s="171"/>
      <c r="L28" s="41"/>
      <c r="M28" s="41"/>
      <c r="N28" s="28"/>
    </row>
    <row r="29" spans="1:14">
      <c r="A29" s="28"/>
      <c r="B29" s="28"/>
      <c r="C29" s="28"/>
      <c r="D29" s="28"/>
      <c r="E29" s="28"/>
      <c r="F29" s="28"/>
      <c r="G29" s="28"/>
      <c r="H29" s="28"/>
      <c r="I29" s="28"/>
      <c r="J29" s="28"/>
      <c r="K29" s="28"/>
      <c r="L29" s="28"/>
      <c r="M29" s="28"/>
      <c r="N29" s="28"/>
    </row>
    <row r="30" spans="1:14">
      <c r="A30" s="28"/>
      <c r="B30" s="31" t="s">
        <v>463</v>
      </c>
      <c r="C30" s="28"/>
      <c r="D30" s="45">
        <v>41698</v>
      </c>
      <c r="E30" s="28"/>
      <c r="F30" s="28"/>
      <c r="G30" s="28"/>
      <c r="H30" s="28"/>
      <c r="I30" s="28"/>
      <c r="J30" s="28"/>
      <c r="K30" s="28"/>
      <c r="L30" s="28"/>
      <c r="M30" s="28"/>
      <c r="N30" s="28"/>
    </row>
    <row r="31" spans="1:14" ht="24" customHeight="1">
      <c r="A31" s="28"/>
      <c r="B31" s="171" t="s">
        <v>480</v>
      </c>
      <c r="C31" s="171"/>
      <c r="D31" s="171"/>
      <c r="E31" s="171"/>
      <c r="F31" s="171"/>
      <c r="G31" s="171"/>
      <c r="H31" s="171"/>
      <c r="I31" s="171"/>
      <c r="J31" s="171"/>
      <c r="K31" s="171"/>
      <c r="L31" s="28"/>
      <c r="M31" s="28"/>
      <c r="N31" s="28"/>
    </row>
    <row r="32" spans="1:14" ht="42" customHeight="1">
      <c r="A32" s="28"/>
      <c r="B32" s="171" t="s">
        <v>481</v>
      </c>
      <c r="C32" s="171"/>
      <c r="D32" s="171"/>
      <c r="E32" s="171"/>
      <c r="F32" s="171"/>
      <c r="G32" s="171"/>
      <c r="H32" s="171"/>
      <c r="I32" s="171"/>
      <c r="J32" s="171"/>
      <c r="K32" s="171"/>
      <c r="L32" s="28"/>
      <c r="M32" s="28"/>
      <c r="N32" s="28"/>
    </row>
    <row r="33" spans="1:14" ht="39" customHeight="1">
      <c r="A33" s="28"/>
      <c r="B33" s="171" t="s">
        <v>482</v>
      </c>
      <c r="C33" s="171"/>
      <c r="D33" s="171"/>
      <c r="E33" s="171"/>
      <c r="F33" s="171"/>
      <c r="G33" s="171"/>
      <c r="H33" s="171"/>
      <c r="I33" s="171"/>
      <c r="J33" s="171"/>
      <c r="K33" s="171"/>
      <c r="L33" s="28"/>
      <c r="M33" s="28"/>
      <c r="N33" s="28"/>
    </row>
    <row r="34" spans="1:14">
      <c r="A34" s="28"/>
      <c r="B34" s="28"/>
      <c r="C34" s="28"/>
      <c r="D34" s="28"/>
      <c r="E34" s="28"/>
      <c r="F34" s="28"/>
      <c r="G34" s="28"/>
      <c r="H34" s="28"/>
      <c r="I34" s="28"/>
      <c r="J34" s="28"/>
      <c r="K34" s="28"/>
      <c r="L34" s="28"/>
      <c r="M34" s="28"/>
      <c r="N34" s="28"/>
    </row>
    <row r="35" spans="1:14">
      <c r="A35" s="28"/>
      <c r="B35" s="31" t="s">
        <v>463</v>
      </c>
      <c r="C35" s="28"/>
      <c r="D35" s="45">
        <v>41789</v>
      </c>
      <c r="E35" s="28"/>
      <c r="F35" s="28"/>
      <c r="G35" s="28"/>
      <c r="H35" s="28"/>
      <c r="I35" s="28"/>
      <c r="J35" s="28"/>
      <c r="K35" s="28"/>
      <c r="L35" s="28"/>
      <c r="M35" s="28"/>
      <c r="N35" s="28"/>
    </row>
    <row r="36" spans="1:14" ht="32.25" customHeight="1">
      <c r="A36" s="28"/>
      <c r="B36" s="175" t="s">
        <v>483</v>
      </c>
      <c r="C36" s="175"/>
      <c r="D36" s="175"/>
      <c r="E36" s="175"/>
      <c r="F36" s="175"/>
      <c r="G36" s="175"/>
      <c r="H36" s="175"/>
      <c r="I36" s="175"/>
      <c r="J36" s="175"/>
      <c r="K36" s="175"/>
      <c r="L36" s="175"/>
      <c r="M36" s="175"/>
      <c r="N36" s="28"/>
    </row>
    <row r="37" spans="1:14" ht="42" customHeight="1">
      <c r="A37" s="28"/>
      <c r="B37" s="172" t="s">
        <v>484</v>
      </c>
      <c r="C37" s="172"/>
      <c r="D37" s="172"/>
      <c r="E37" s="172"/>
      <c r="F37" s="172"/>
      <c r="G37" s="172"/>
      <c r="H37" s="172"/>
      <c r="I37" s="172"/>
      <c r="J37" s="172"/>
      <c r="K37" s="172"/>
      <c r="L37" s="172"/>
      <c r="M37" s="172"/>
      <c r="N37" s="28"/>
    </row>
    <row r="38" spans="1:14" ht="36.75" customHeight="1">
      <c r="A38" s="28"/>
      <c r="B38" s="171" t="s">
        <v>485</v>
      </c>
      <c r="C38" s="171"/>
      <c r="D38" s="171"/>
      <c r="E38" s="171"/>
      <c r="F38" s="171"/>
      <c r="G38" s="171"/>
      <c r="H38" s="171"/>
      <c r="I38" s="171"/>
      <c r="J38" s="171"/>
      <c r="K38" s="171"/>
      <c r="L38" s="28"/>
      <c r="M38" s="28"/>
      <c r="N38" s="28"/>
    </row>
    <row r="39" spans="1:14" ht="24" customHeight="1">
      <c r="A39" s="28"/>
      <c r="B39" s="171" t="s">
        <v>486</v>
      </c>
      <c r="C39" s="171"/>
      <c r="D39" s="171"/>
      <c r="E39" s="171"/>
      <c r="F39" s="171"/>
      <c r="G39" s="171"/>
      <c r="H39" s="171"/>
      <c r="I39" s="171"/>
      <c r="J39" s="171"/>
      <c r="K39" s="171"/>
      <c r="L39" s="28"/>
      <c r="M39" s="28"/>
      <c r="N39" s="28"/>
    </row>
    <row r="40" spans="1:14">
      <c r="A40" s="28"/>
      <c r="B40" s="28"/>
      <c r="C40" s="28"/>
      <c r="D40" s="28"/>
      <c r="E40" s="28"/>
      <c r="F40" s="28"/>
      <c r="G40" s="28"/>
      <c r="H40" s="28"/>
      <c r="I40" s="28"/>
      <c r="J40" s="28"/>
      <c r="K40" s="28"/>
      <c r="L40" s="28"/>
      <c r="M40" s="28"/>
      <c r="N40" s="28"/>
    </row>
    <row r="41" spans="1:14">
      <c r="A41" s="28"/>
      <c r="B41" s="31" t="s">
        <v>463</v>
      </c>
      <c r="C41" s="44"/>
      <c r="D41" s="45">
        <v>41858</v>
      </c>
      <c r="E41" s="28"/>
      <c r="F41" s="28"/>
      <c r="G41" s="28"/>
      <c r="H41" s="28"/>
      <c r="I41" s="28"/>
      <c r="J41" s="28"/>
      <c r="K41" s="28"/>
      <c r="L41" s="28"/>
      <c r="M41" s="28"/>
      <c r="N41" s="28"/>
    </row>
    <row r="42" spans="1:14" ht="24.75" customHeight="1">
      <c r="A42" s="28"/>
      <c r="B42" s="172" t="s">
        <v>724</v>
      </c>
      <c r="C42" s="171"/>
      <c r="D42" s="171"/>
      <c r="E42" s="171"/>
      <c r="F42" s="171"/>
      <c r="G42" s="171"/>
      <c r="H42" s="171"/>
      <c r="I42" s="171"/>
      <c r="J42" s="171"/>
      <c r="K42" s="171"/>
      <c r="L42" s="28"/>
      <c r="M42" s="28"/>
      <c r="N42" s="28"/>
    </row>
    <row r="43" spans="1:14" ht="27.75" customHeight="1">
      <c r="A43" s="28"/>
      <c r="B43" s="172" t="s">
        <v>487</v>
      </c>
      <c r="C43" s="171"/>
      <c r="D43" s="171"/>
      <c r="E43" s="171"/>
      <c r="F43" s="171"/>
      <c r="G43" s="171"/>
      <c r="H43" s="171"/>
      <c r="I43" s="171"/>
      <c r="J43" s="171"/>
      <c r="K43" s="171"/>
      <c r="L43" s="28"/>
      <c r="M43" s="28"/>
      <c r="N43" s="28"/>
    </row>
    <row r="44" spans="1:14">
      <c r="A44" s="28"/>
      <c r="B44" s="28"/>
      <c r="C44" s="28"/>
      <c r="D44" s="28"/>
      <c r="E44" s="28"/>
      <c r="F44" s="28"/>
      <c r="G44" s="28"/>
      <c r="H44" s="28"/>
      <c r="I44" s="28"/>
      <c r="J44" s="28"/>
      <c r="K44" s="28"/>
      <c r="L44" s="28"/>
      <c r="M44" s="28"/>
      <c r="N44" s="28"/>
    </row>
    <row r="45" spans="1:14">
      <c r="A45" s="28"/>
      <c r="B45" s="31" t="s">
        <v>463</v>
      </c>
      <c r="C45" s="44"/>
      <c r="D45" s="45">
        <v>41983</v>
      </c>
      <c r="E45" s="28"/>
      <c r="F45" s="28"/>
      <c r="G45" s="28"/>
      <c r="H45" s="28"/>
      <c r="I45" s="28"/>
      <c r="J45" s="28"/>
      <c r="K45" s="28"/>
      <c r="L45" s="28"/>
      <c r="M45" s="28"/>
      <c r="N45" s="28"/>
    </row>
    <row r="46" spans="1:14" ht="28.5" customHeight="1">
      <c r="A46" s="28"/>
      <c r="B46" s="171" t="s">
        <v>488</v>
      </c>
      <c r="C46" s="171"/>
      <c r="D46" s="171"/>
      <c r="E46" s="171"/>
      <c r="F46" s="171"/>
      <c r="G46" s="171"/>
      <c r="H46" s="171"/>
      <c r="I46" s="171"/>
      <c r="J46" s="171"/>
      <c r="K46" s="171"/>
      <c r="L46" s="28"/>
      <c r="M46" s="28"/>
      <c r="N46" s="28"/>
    </row>
    <row r="47" spans="1:14" ht="28.5" customHeight="1">
      <c r="A47" s="28"/>
      <c r="B47" s="171" t="s">
        <v>489</v>
      </c>
      <c r="C47" s="171"/>
      <c r="D47" s="171"/>
      <c r="E47" s="171"/>
      <c r="F47" s="171"/>
      <c r="G47" s="171"/>
      <c r="H47" s="171"/>
      <c r="I47" s="171"/>
      <c r="J47" s="171"/>
      <c r="K47" s="171"/>
      <c r="L47" s="28"/>
      <c r="M47" s="28"/>
      <c r="N47" s="28"/>
    </row>
    <row r="48" spans="1:14" ht="26.25" customHeight="1">
      <c r="A48" s="28"/>
      <c r="B48" s="171" t="s">
        <v>490</v>
      </c>
      <c r="C48" s="171"/>
      <c r="D48" s="171"/>
      <c r="E48" s="171"/>
      <c r="F48" s="171"/>
      <c r="G48" s="171"/>
      <c r="H48" s="171"/>
      <c r="I48" s="171"/>
      <c r="J48" s="171"/>
      <c r="K48" s="171"/>
      <c r="L48" s="28"/>
      <c r="M48" s="28"/>
      <c r="N48" s="28"/>
    </row>
    <row r="49" spans="1:14" ht="27" customHeight="1">
      <c r="A49" s="28"/>
      <c r="B49" s="172" t="s">
        <v>725</v>
      </c>
      <c r="C49" s="171"/>
      <c r="D49" s="171"/>
      <c r="E49" s="171"/>
      <c r="F49" s="171"/>
      <c r="G49" s="171"/>
      <c r="H49" s="171"/>
      <c r="I49" s="171"/>
      <c r="J49" s="171"/>
      <c r="K49" s="171"/>
      <c r="L49" s="28"/>
      <c r="M49" s="28"/>
      <c r="N49" s="28"/>
    </row>
    <row r="50" spans="1:14" ht="38.25" customHeight="1">
      <c r="A50" s="28"/>
      <c r="B50" s="171" t="s">
        <v>491</v>
      </c>
      <c r="C50" s="171"/>
      <c r="D50" s="171"/>
      <c r="E50" s="171"/>
      <c r="F50" s="171"/>
      <c r="G50" s="171"/>
      <c r="H50" s="171"/>
      <c r="I50" s="171"/>
      <c r="J50" s="171"/>
      <c r="K50" s="171"/>
      <c r="L50" s="28"/>
      <c r="M50" s="28"/>
      <c r="N50" s="28"/>
    </row>
    <row r="51" spans="1:14" ht="23.25" customHeight="1">
      <c r="A51" s="28"/>
      <c r="B51" s="171" t="s">
        <v>492</v>
      </c>
      <c r="C51" s="171"/>
      <c r="D51" s="171"/>
      <c r="E51" s="171"/>
      <c r="F51" s="171"/>
      <c r="G51" s="171"/>
      <c r="H51" s="171"/>
      <c r="I51" s="171"/>
      <c r="J51" s="171"/>
      <c r="K51" s="171"/>
      <c r="L51" s="28"/>
      <c r="M51" s="28"/>
      <c r="N51" s="28"/>
    </row>
    <row r="52" spans="1:14" ht="28.5" customHeight="1">
      <c r="A52" s="28"/>
      <c r="B52" s="171" t="s">
        <v>493</v>
      </c>
      <c r="C52" s="171"/>
      <c r="D52" s="171"/>
      <c r="E52" s="171"/>
      <c r="F52" s="171"/>
      <c r="G52" s="171"/>
      <c r="H52" s="171"/>
      <c r="I52" s="171"/>
      <c r="J52" s="171"/>
      <c r="K52" s="171"/>
      <c r="L52" s="28"/>
      <c r="M52" s="28"/>
      <c r="N52" s="28"/>
    </row>
    <row r="53" spans="1:14" ht="28.5" customHeight="1">
      <c r="A53" s="28"/>
      <c r="B53" s="171" t="s">
        <v>726</v>
      </c>
      <c r="C53" s="171"/>
      <c r="D53" s="171"/>
      <c r="E53" s="171"/>
      <c r="F53" s="171"/>
      <c r="G53" s="171"/>
      <c r="H53" s="171"/>
      <c r="I53" s="171"/>
      <c r="J53" s="171"/>
      <c r="K53" s="171"/>
      <c r="L53" s="28"/>
      <c r="M53" s="28"/>
      <c r="N53" s="28"/>
    </row>
    <row r="54" spans="1:14">
      <c r="A54" s="28"/>
      <c r="B54" s="28"/>
      <c r="C54" s="28"/>
      <c r="D54" s="28"/>
      <c r="E54" s="28"/>
      <c r="F54" s="28"/>
      <c r="G54" s="28"/>
      <c r="H54" s="28"/>
      <c r="I54" s="28"/>
      <c r="J54" s="28"/>
      <c r="K54" s="28"/>
      <c r="L54" s="28"/>
      <c r="M54" s="28"/>
      <c r="N54" s="28"/>
    </row>
    <row r="55" spans="1:14">
      <c r="A55" s="28"/>
      <c r="B55" s="31" t="s">
        <v>463</v>
      </c>
      <c r="C55" s="44"/>
      <c r="D55" s="45">
        <v>42109</v>
      </c>
      <c r="E55" s="28"/>
      <c r="F55" s="28"/>
      <c r="G55" s="28"/>
      <c r="H55" s="28"/>
      <c r="I55" s="28"/>
      <c r="J55" s="28"/>
      <c r="K55" s="28"/>
      <c r="L55" s="28"/>
      <c r="M55" s="28"/>
      <c r="N55" s="28"/>
    </row>
    <row r="56" spans="1:14" ht="24.75" customHeight="1">
      <c r="A56" s="28"/>
      <c r="B56" s="172" t="s">
        <v>494</v>
      </c>
      <c r="C56" s="172"/>
      <c r="D56" s="172"/>
      <c r="E56" s="172"/>
      <c r="F56" s="172"/>
      <c r="G56" s="172"/>
      <c r="H56" s="172"/>
      <c r="I56" s="172"/>
      <c r="J56" s="172"/>
      <c r="K56" s="172"/>
      <c r="L56" s="28"/>
      <c r="M56" s="28"/>
      <c r="N56" s="28"/>
    </row>
    <row r="57" spans="1:14" ht="30" customHeight="1">
      <c r="A57" s="28"/>
      <c r="B57" s="172" t="s">
        <v>495</v>
      </c>
      <c r="C57" s="172"/>
      <c r="D57" s="172"/>
      <c r="E57" s="172"/>
      <c r="F57" s="172"/>
      <c r="G57" s="172"/>
      <c r="H57" s="172"/>
      <c r="I57" s="172"/>
      <c r="J57" s="172"/>
      <c r="K57" s="172"/>
      <c r="L57" s="28"/>
      <c r="M57" s="28"/>
      <c r="N57" s="28"/>
    </row>
    <row r="58" spans="1:14" ht="29.25" customHeight="1">
      <c r="A58" s="28"/>
      <c r="B58" s="172" t="s">
        <v>496</v>
      </c>
      <c r="C58" s="172"/>
      <c r="D58" s="172"/>
      <c r="E58" s="172"/>
      <c r="F58" s="172"/>
      <c r="G58" s="172"/>
      <c r="H58" s="172"/>
      <c r="I58" s="172"/>
      <c r="J58" s="172"/>
      <c r="K58" s="172"/>
      <c r="L58" s="28"/>
      <c r="M58" s="28"/>
      <c r="N58" s="28"/>
    </row>
    <row r="59" spans="1:14" ht="27.75" customHeight="1">
      <c r="A59" s="28"/>
      <c r="B59" s="172" t="s">
        <v>497</v>
      </c>
      <c r="C59" s="172"/>
      <c r="D59" s="172"/>
      <c r="E59" s="172"/>
      <c r="F59" s="172"/>
      <c r="G59" s="172"/>
      <c r="H59" s="172"/>
      <c r="I59" s="172"/>
      <c r="J59" s="172"/>
      <c r="K59" s="172"/>
      <c r="L59" s="28"/>
      <c r="M59" s="28"/>
      <c r="N59" s="28"/>
    </row>
    <row r="60" spans="1:14" ht="27.75" customHeight="1">
      <c r="A60" s="28"/>
      <c r="B60" s="171" t="s">
        <v>498</v>
      </c>
      <c r="C60" s="171"/>
      <c r="D60" s="171"/>
      <c r="E60" s="171"/>
      <c r="F60" s="171"/>
      <c r="G60" s="171"/>
      <c r="H60" s="171"/>
      <c r="I60" s="171"/>
      <c r="J60" s="171"/>
      <c r="K60" s="171"/>
      <c r="L60" s="28"/>
      <c r="M60" s="28"/>
      <c r="N60" s="28"/>
    </row>
    <row r="61" spans="1:14" ht="28.5" customHeight="1">
      <c r="A61" s="28"/>
      <c r="B61" s="171" t="s">
        <v>499</v>
      </c>
      <c r="C61" s="171"/>
      <c r="D61" s="171"/>
      <c r="E61" s="171"/>
      <c r="F61" s="171"/>
      <c r="G61" s="171"/>
      <c r="H61" s="171"/>
      <c r="I61" s="171"/>
      <c r="J61" s="171"/>
      <c r="K61" s="171"/>
      <c r="L61" s="28"/>
      <c r="M61" s="28"/>
      <c r="N61" s="28"/>
    </row>
    <row r="62" spans="1:14">
      <c r="A62" s="28"/>
      <c r="B62" s="28"/>
      <c r="C62" s="28"/>
      <c r="D62" s="28"/>
      <c r="E62" s="28"/>
      <c r="F62" s="28"/>
      <c r="G62" s="28"/>
      <c r="H62" s="28"/>
      <c r="I62" s="28"/>
      <c r="J62" s="28"/>
      <c r="K62" s="28"/>
      <c r="L62" s="28"/>
      <c r="M62" s="28"/>
      <c r="N62" s="28"/>
    </row>
    <row r="63" spans="1:14">
      <c r="A63" s="28"/>
      <c r="B63" s="31" t="s">
        <v>463</v>
      </c>
      <c r="C63" s="44"/>
      <c r="D63" s="45">
        <v>42229</v>
      </c>
      <c r="E63" s="28"/>
      <c r="F63" s="28"/>
      <c r="G63" s="28"/>
      <c r="H63" s="28"/>
      <c r="I63" s="28"/>
      <c r="J63" s="28"/>
      <c r="K63" s="28"/>
      <c r="L63" s="28"/>
      <c r="M63" s="28"/>
      <c r="N63" s="28"/>
    </row>
    <row r="64" spans="1:14" ht="30.75" customHeight="1">
      <c r="A64" s="28"/>
      <c r="B64" s="172" t="s">
        <v>500</v>
      </c>
      <c r="C64" s="172"/>
      <c r="D64" s="172"/>
      <c r="E64" s="172"/>
      <c r="F64" s="172"/>
      <c r="G64" s="172"/>
      <c r="H64" s="172"/>
      <c r="I64" s="172"/>
      <c r="J64" s="172"/>
      <c r="K64" s="172"/>
      <c r="L64" s="28"/>
      <c r="M64" s="28"/>
      <c r="N64" s="28"/>
    </row>
    <row r="65" spans="1:14" ht="26.25" customHeight="1">
      <c r="A65" s="28"/>
      <c r="B65" s="172" t="s">
        <v>727</v>
      </c>
      <c r="C65" s="172"/>
      <c r="D65" s="172"/>
      <c r="E65" s="172"/>
      <c r="F65" s="172"/>
      <c r="G65" s="172"/>
      <c r="H65" s="172"/>
      <c r="I65" s="172"/>
      <c r="J65" s="172"/>
      <c r="K65" s="172"/>
      <c r="L65" s="28"/>
      <c r="M65" s="28"/>
      <c r="N65" s="28"/>
    </row>
    <row r="66" spans="1:14" ht="26.25" customHeight="1">
      <c r="A66" s="28"/>
      <c r="B66" s="171" t="s">
        <v>501</v>
      </c>
      <c r="C66" s="171"/>
      <c r="D66" s="171"/>
      <c r="E66" s="171"/>
      <c r="F66" s="171"/>
      <c r="G66" s="171"/>
      <c r="H66" s="171"/>
      <c r="I66" s="171"/>
      <c r="J66" s="171"/>
      <c r="K66" s="171"/>
      <c r="L66" s="28"/>
      <c r="M66" s="28"/>
      <c r="N66" s="28"/>
    </row>
    <row r="67" spans="1:14" ht="15" customHeight="1">
      <c r="A67" s="28"/>
      <c r="B67" s="171" t="s">
        <v>502</v>
      </c>
      <c r="C67" s="171"/>
      <c r="D67" s="171"/>
      <c r="E67" s="171"/>
      <c r="F67" s="171"/>
      <c r="G67" s="171"/>
      <c r="H67" s="171"/>
      <c r="I67" s="171"/>
      <c r="J67" s="171"/>
      <c r="K67" s="171"/>
      <c r="L67" s="28"/>
      <c r="M67" s="28"/>
      <c r="N67" s="28"/>
    </row>
    <row r="68" spans="1:14" ht="24.75" customHeight="1">
      <c r="A68" s="28"/>
      <c r="B68" s="171" t="s">
        <v>503</v>
      </c>
      <c r="C68" s="171"/>
      <c r="D68" s="171"/>
      <c r="E68" s="171"/>
      <c r="F68" s="171"/>
      <c r="G68" s="171"/>
      <c r="H68" s="171"/>
      <c r="I68" s="171"/>
      <c r="J68" s="171"/>
      <c r="K68" s="171"/>
      <c r="L68" s="28"/>
      <c r="M68" s="28"/>
      <c r="N68" s="28"/>
    </row>
    <row r="69" spans="1:14" ht="24.75" customHeight="1">
      <c r="A69" s="28"/>
      <c r="B69" s="171" t="s">
        <v>492</v>
      </c>
      <c r="C69" s="171"/>
      <c r="D69" s="171"/>
      <c r="E69" s="171"/>
      <c r="F69" s="171"/>
      <c r="G69" s="171"/>
      <c r="H69" s="171"/>
      <c r="I69" s="171"/>
      <c r="J69" s="171"/>
      <c r="K69" s="171"/>
      <c r="L69" s="28"/>
      <c r="M69" s="28"/>
      <c r="N69" s="28"/>
    </row>
    <row r="70" spans="1:14">
      <c r="A70" s="28"/>
      <c r="B70" s="28"/>
      <c r="C70" s="28"/>
      <c r="D70" s="28"/>
      <c r="E70" s="28"/>
      <c r="F70" s="28"/>
      <c r="G70" s="28"/>
      <c r="H70" s="28"/>
      <c r="I70" s="28"/>
      <c r="J70" s="28"/>
      <c r="K70" s="28"/>
      <c r="L70" s="28"/>
      <c r="M70" s="28"/>
      <c r="N70" s="28"/>
    </row>
    <row r="71" spans="1:14">
      <c r="A71" s="28"/>
      <c r="B71" s="31" t="s">
        <v>463</v>
      </c>
      <c r="C71" s="44"/>
      <c r="D71" s="45">
        <v>42300</v>
      </c>
      <c r="E71" s="28"/>
      <c r="F71" s="28"/>
      <c r="G71" s="28"/>
      <c r="H71" s="28"/>
      <c r="I71" s="28"/>
      <c r="J71" s="28"/>
      <c r="K71" s="28"/>
      <c r="L71" s="28"/>
      <c r="M71" s="28"/>
      <c r="N71" s="28"/>
    </row>
    <row r="72" spans="1:14" ht="27.75" customHeight="1">
      <c r="A72" s="28"/>
      <c r="B72" s="171" t="s">
        <v>504</v>
      </c>
      <c r="C72" s="171"/>
      <c r="D72" s="171"/>
      <c r="E72" s="171"/>
      <c r="F72" s="171"/>
      <c r="G72" s="171"/>
      <c r="H72" s="171"/>
      <c r="I72" s="171"/>
      <c r="J72" s="171"/>
      <c r="K72" s="171"/>
      <c r="L72" s="28"/>
      <c r="M72" s="28"/>
      <c r="N72" s="28"/>
    </row>
    <row r="73" spans="1:14">
      <c r="A73" s="28"/>
      <c r="B73" s="28"/>
      <c r="C73" s="28"/>
      <c r="D73" s="28"/>
      <c r="E73" s="28"/>
      <c r="F73" s="28"/>
      <c r="G73" s="28"/>
      <c r="H73" s="28"/>
      <c r="I73" s="28"/>
      <c r="J73" s="28"/>
      <c r="K73" s="28"/>
      <c r="L73" s="28"/>
      <c r="M73" s="28"/>
      <c r="N73" s="28"/>
    </row>
    <row r="74" spans="1:14">
      <c r="A74" s="28"/>
      <c r="B74" s="31" t="s">
        <v>463</v>
      </c>
      <c r="C74" s="44"/>
      <c r="D74" s="45">
        <v>42432</v>
      </c>
      <c r="E74" s="28"/>
      <c r="F74" s="28"/>
      <c r="G74" s="28"/>
      <c r="H74" s="28"/>
      <c r="I74" s="28"/>
      <c r="J74" s="28"/>
      <c r="K74" s="28"/>
      <c r="L74" s="28"/>
      <c r="M74" s="28"/>
      <c r="N74" s="28"/>
    </row>
    <row r="75" spans="1:14" ht="24.75" customHeight="1">
      <c r="A75" s="28"/>
      <c r="B75" s="172" t="s">
        <v>505</v>
      </c>
      <c r="C75" s="172"/>
      <c r="D75" s="172"/>
      <c r="E75" s="172"/>
      <c r="F75" s="172"/>
      <c r="G75" s="172"/>
      <c r="H75" s="172"/>
      <c r="I75" s="172"/>
      <c r="J75" s="172"/>
      <c r="K75" s="172"/>
      <c r="L75" s="28"/>
      <c r="M75" s="28"/>
      <c r="N75" s="28"/>
    </row>
    <row r="76" spans="1:14" ht="27.75" customHeight="1">
      <c r="A76" s="28"/>
      <c r="B76" s="172" t="s">
        <v>506</v>
      </c>
      <c r="C76" s="172"/>
      <c r="D76" s="172"/>
      <c r="E76" s="172"/>
      <c r="F76" s="172"/>
      <c r="G76" s="172"/>
      <c r="H76" s="172"/>
      <c r="I76" s="172"/>
      <c r="J76" s="172"/>
      <c r="K76" s="172"/>
      <c r="L76" s="28"/>
      <c r="M76" s="28"/>
      <c r="N76" s="28"/>
    </row>
    <row r="77" spans="1:14" ht="27" customHeight="1">
      <c r="A77" s="28"/>
      <c r="B77" s="172" t="s">
        <v>507</v>
      </c>
      <c r="C77" s="172"/>
      <c r="D77" s="172"/>
      <c r="E77" s="172"/>
      <c r="F77" s="172"/>
      <c r="G77" s="172"/>
      <c r="H77" s="172"/>
      <c r="I77" s="172"/>
      <c r="J77" s="172"/>
      <c r="K77" s="172"/>
      <c r="L77" s="28"/>
      <c r="M77" s="28"/>
      <c r="N77" s="28"/>
    </row>
    <row r="78" spans="1:14">
      <c r="A78" s="28"/>
      <c r="B78" s="28"/>
      <c r="C78" s="28"/>
      <c r="D78" s="28"/>
      <c r="E78" s="28"/>
      <c r="F78" s="28"/>
      <c r="G78" s="28"/>
      <c r="H78" s="28"/>
      <c r="I78" s="28"/>
      <c r="J78" s="28"/>
      <c r="K78" s="28"/>
      <c r="L78" s="28"/>
      <c r="M78" s="28"/>
      <c r="N78" s="28"/>
    </row>
    <row r="79" spans="1:14">
      <c r="A79" s="28"/>
      <c r="B79" s="31" t="s">
        <v>463</v>
      </c>
      <c r="C79" s="44"/>
      <c r="D79" s="45">
        <v>42475</v>
      </c>
      <c r="E79" s="28"/>
      <c r="F79" s="28"/>
      <c r="G79" s="28"/>
      <c r="H79" s="28"/>
      <c r="I79" s="28"/>
      <c r="J79" s="28"/>
      <c r="K79" s="28"/>
      <c r="L79" s="28"/>
      <c r="M79" s="28"/>
      <c r="N79" s="28"/>
    </row>
    <row r="80" spans="1:14" ht="27" customHeight="1">
      <c r="A80" s="28"/>
      <c r="B80" s="172" t="s">
        <v>505</v>
      </c>
      <c r="C80" s="172"/>
      <c r="D80" s="172"/>
      <c r="E80" s="172"/>
      <c r="F80" s="172"/>
      <c r="G80" s="172"/>
      <c r="H80" s="172"/>
      <c r="I80" s="172"/>
      <c r="J80" s="172"/>
      <c r="K80" s="172"/>
      <c r="L80" s="28"/>
      <c r="M80" s="28"/>
      <c r="N80" s="28"/>
    </row>
    <row r="81" spans="1:14" ht="27" customHeight="1">
      <c r="A81" s="28"/>
      <c r="B81" s="172" t="s">
        <v>506</v>
      </c>
      <c r="C81" s="172"/>
      <c r="D81" s="172"/>
      <c r="E81" s="172"/>
      <c r="F81" s="172"/>
      <c r="G81" s="172"/>
      <c r="H81" s="172"/>
      <c r="I81" s="172"/>
      <c r="J81" s="172"/>
      <c r="K81" s="172"/>
      <c r="L81" s="28"/>
      <c r="M81" s="28"/>
      <c r="N81" s="28"/>
    </row>
    <row r="82" spans="1:14" ht="27" customHeight="1">
      <c r="A82" s="28"/>
      <c r="B82" s="172" t="s">
        <v>507</v>
      </c>
      <c r="C82" s="172"/>
      <c r="D82" s="172"/>
      <c r="E82" s="172"/>
      <c r="F82" s="172"/>
      <c r="G82" s="172"/>
      <c r="H82" s="172"/>
      <c r="I82" s="172"/>
      <c r="J82" s="172"/>
      <c r="K82" s="172"/>
      <c r="L82" s="28"/>
      <c r="M82" s="28"/>
      <c r="N82" s="28"/>
    </row>
    <row r="83" spans="1:14">
      <c r="A83" s="28"/>
      <c r="B83" s="28"/>
      <c r="C83" s="28"/>
      <c r="D83" s="28"/>
      <c r="E83" s="28"/>
      <c r="F83" s="28"/>
      <c r="G83" s="28"/>
      <c r="H83" s="28"/>
      <c r="I83" s="28"/>
      <c r="J83" s="28"/>
      <c r="K83" s="28"/>
      <c r="L83" s="28"/>
      <c r="M83" s="28"/>
      <c r="N83" s="28"/>
    </row>
    <row r="84" spans="1:14">
      <c r="A84" s="28"/>
      <c r="B84" s="31" t="s">
        <v>463</v>
      </c>
      <c r="C84" s="44"/>
      <c r="D84" s="45">
        <v>42593</v>
      </c>
      <c r="E84" s="28"/>
      <c r="F84" s="28"/>
      <c r="G84" s="28"/>
      <c r="H84" s="28"/>
      <c r="I84" s="28"/>
      <c r="J84" s="28"/>
      <c r="K84" s="28"/>
      <c r="L84" s="28"/>
      <c r="M84" s="28"/>
      <c r="N84" s="28"/>
    </row>
    <row r="85" spans="1:14" ht="24.75" customHeight="1">
      <c r="A85" s="28"/>
      <c r="B85" s="172" t="s">
        <v>508</v>
      </c>
      <c r="C85" s="172"/>
      <c r="D85" s="172"/>
      <c r="E85" s="172"/>
      <c r="F85" s="172"/>
      <c r="G85" s="172"/>
      <c r="H85" s="172"/>
      <c r="I85" s="172"/>
      <c r="J85" s="172"/>
      <c r="K85" s="172"/>
      <c r="L85" s="28"/>
      <c r="M85" s="28"/>
      <c r="N85" s="28"/>
    </row>
    <row r="86" spans="1:14" ht="18" customHeight="1">
      <c r="A86" s="28"/>
      <c r="B86" s="172" t="s">
        <v>509</v>
      </c>
      <c r="C86" s="172"/>
      <c r="D86" s="172"/>
      <c r="E86" s="172"/>
      <c r="F86" s="172"/>
      <c r="G86" s="172"/>
      <c r="H86" s="172"/>
      <c r="I86" s="172"/>
      <c r="J86" s="172"/>
      <c r="K86" s="172"/>
      <c r="L86" s="28"/>
      <c r="M86" s="28"/>
      <c r="N86" s="28"/>
    </row>
    <row r="87" spans="1:14" ht="24.75" customHeight="1">
      <c r="A87" s="28"/>
      <c r="B87" s="173" t="s">
        <v>510</v>
      </c>
      <c r="C87" s="173"/>
      <c r="D87" s="173"/>
      <c r="E87" s="173"/>
      <c r="F87" s="173"/>
      <c r="G87" s="173"/>
      <c r="H87" s="173"/>
      <c r="I87" s="173"/>
      <c r="J87" s="173"/>
      <c r="K87" s="173"/>
      <c r="L87" s="28"/>
      <c r="M87" s="28"/>
      <c r="N87" s="28"/>
    </row>
    <row r="88" spans="1:14" ht="23.25" customHeight="1">
      <c r="A88" s="28"/>
      <c r="B88" s="173" t="s">
        <v>511</v>
      </c>
      <c r="C88" s="173"/>
      <c r="D88" s="173"/>
      <c r="E88" s="173"/>
      <c r="F88" s="173"/>
      <c r="G88" s="173"/>
      <c r="H88" s="173"/>
      <c r="I88" s="173"/>
      <c r="J88" s="173"/>
      <c r="K88" s="173"/>
      <c r="L88" s="28"/>
      <c r="M88" s="28"/>
      <c r="N88" s="28"/>
    </row>
    <row r="89" spans="1:14" ht="30" customHeight="1">
      <c r="A89" s="28"/>
      <c r="B89" s="172" t="s">
        <v>728</v>
      </c>
      <c r="C89" s="172"/>
      <c r="D89" s="172"/>
      <c r="E89" s="172"/>
      <c r="F89" s="172"/>
      <c r="G89" s="172"/>
      <c r="H89" s="172"/>
      <c r="I89" s="172"/>
      <c r="J89" s="172"/>
      <c r="K89" s="172"/>
      <c r="L89" s="28"/>
      <c r="M89" s="28"/>
      <c r="N89" s="28"/>
    </row>
    <row r="90" spans="1:14">
      <c r="A90" s="28"/>
      <c r="B90" s="172"/>
      <c r="C90" s="172"/>
      <c r="D90" s="172"/>
      <c r="E90" s="172"/>
      <c r="F90" s="172"/>
      <c r="G90" s="172"/>
      <c r="H90" s="172"/>
      <c r="I90" s="172"/>
      <c r="J90" s="172"/>
      <c r="K90" s="172"/>
      <c r="L90" s="28"/>
      <c r="M90" s="28"/>
      <c r="N90" s="28"/>
    </row>
    <row r="91" spans="1:14">
      <c r="A91" s="28"/>
      <c r="B91" s="31" t="s">
        <v>463</v>
      </c>
      <c r="C91" s="44"/>
      <c r="D91" s="45">
        <v>42692</v>
      </c>
      <c r="E91" s="28"/>
      <c r="F91" s="28"/>
      <c r="G91" s="28"/>
      <c r="H91" s="28"/>
      <c r="I91" s="28"/>
      <c r="J91" s="28"/>
      <c r="K91" s="28"/>
      <c r="L91" s="28"/>
      <c r="M91" s="28"/>
      <c r="N91" s="28"/>
    </row>
    <row r="92" spans="1:14" ht="41.25" customHeight="1">
      <c r="A92" s="28"/>
      <c r="B92" s="171" t="s">
        <v>512</v>
      </c>
      <c r="C92" s="171"/>
      <c r="D92" s="171"/>
      <c r="E92" s="171"/>
      <c r="F92" s="171"/>
      <c r="G92" s="171"/>
      <c r="H92" s="171"/>
      <c r="I92" s="171"/>
      <c r="J92" s="171"/>
      <c r="K92" s="171"/>
      <c r="L92" s="28"/>
      <c r="M92" s="28"/>
      <c r="N92" s="28"/>
    </row>
    <row r="93" spans="1:14">
      <c r="A93" s="28"/>
      <c r="B93" s="28"/>
      <c r="C93" s="28"/>
      <c r="D93" s="28"/>
      <c r="E93" s="28"/>
      <c r="F93" s="28"/>
      <c r="G93" s="28"/>
      <c r="H93" s="28"/>
      <c r="I93" s="28"/>
      <c r="J93" s="28"/>
      <c r="K93" s="28"/>
      <c r="L93" s="28"/>
      <c r="M93" s="28"/>
      <c r="N93" s="28"/>
    </row>
    <row r="94" spans="1:14">
      <c r="A94" s="28"/>
      <c r="B94" s="31" t="s">
        <v>463</v>
      </c>
      <c r="C94" s="44"/>
      <c r="D94" s="45">
        <v>42793</v>
      </c>
      <c r="E94" s="28"/>
      <c r="F94" s="28"/>
      <c r="G94" s="28"/>
      <c r="H94" s="28"/>
      <c r="I94" s="28"/>
      <c r="J94" s="28"/>
      <c r="K94" s="28"/>
      <c r="L94" s="28"/>
      <c r="M94" s="28"/>
      <c r="N94" s="28"/>
    </row>
    <row r="95" spans="1:14" ht="15" customHeight="1">
      <c r="A95" s="28"/>
      <c r="B95" s="171" t="s">
        <v>513</v>
      </c>
      <c r="C95" s="171"/>
      <c r="D95" s="171"/>
      <c r="E95" s="171"/>
      <c r="F95" s="171"/>
      <c r="G95" s="171"/>
      <c r="H95" s="171"/>
      <c r="I95" s="171"/>
      <c r="J95" s="171"/>
      <c r="K95" s="171"/>
      <c r="L95" s="28"/>
      <c r="M95" s="28"/>
      <c r="N95" s="28"/>
    </row>
    <row r="96" spans="1:14" ht="15" customHeight="1">
      <c r="A96" s="28"/>
      <c r="B96" s="171" t="s">
        <v>514</v>
      </c>
      <c r="C96" s="171"/>
      <c r="D96" s="171"/>
      <c r="E96" s="171"/>
      <c r="F96" s="171"/>
      <c r="G96" s="171"/>
      <c r="H96" s="171"/>
      <c r="I96" s="171"/>
      <c r="J96" s="171"/>
      <c r="K96" s="171"/>
      <c r="L96" s="28"/>
      <c r="M96" s="28"/>
      <c r="N96" s="28"/>
    </row>
    <row r="97" spans="1:14" ht="23.25" customHeight="1">
      <c r="A97" s="28"/>
      <c r="B97" s="172" t="s">
        <v>515</v>
      </c>
      <c r="C97" s="172"/>
      <c r="D97" s="172"/>
      <c r="E97" s="172"/>
      <c r="F97" s="172"/>
      <c r="G97" s="172"/>
      <c r="H97" s="172"/>
      <c r="I97" s="172"/>
      <c r="J97" s="172"/>
      <c r="K97" s="172"/>
      <c r="L97" s="28"/>
      <c r="M97" s="28"/>
      <c r="N97" s="28"/>
    </row>
    <row r="98" spans="1:14" ht="24.75" customHeight="1">
      <c r="A98" s="28"/>
      <c r="B98" s="176" t="s">
        <v>516</v>
      </c>
      <c r="C98" s="176"/>
      <c r="D98" s="176"/>
      <c r="E98" s="176"/>
      <c r="F98" s="176"/>
      <c r="G98" s="176"/>
      <c r="H98" s="176"/>
      <c r="I98" s="176"/>
      <c r="J98" s="176"/>
      <c r="K98" s="176"/>
      <c r="L98" s="28"/>
      <c r="M98" s="28"/>
      <c r="N98" s="28"/>
    </row>
    <row r="99" spans="1:14">
      <c r="A99" s="28"/>
      <c r="B99" s="28"/>
      <c r="C99" s="28"/>
      <c r="D99" s="28"/>
      <c r="E99" s="28"/>
      <c r="F99" s="28"/>
      <c r="G99" s="28"/>
      <c r="H99" s="28"/>
      <c r="I99" s="28"/>
      <c r="J99" s="28"/>
      <c r="K99" s="28"/>
      <c r="L99" s="28"/>
      <c r="M99" s="28"/>
      <c r="N99" s="28"/>
    </row>
    <row r="100" spans="1:14">
      <c r="A100" s="28"/>
      <c r="B100" s="31" t="s">
        <v>463</v>
      </c>
      <c r="C100" s="44"/>
      <c r="D100" s="45">
        <v>42891</v>
      </c>
      <c r="E100" s="28"/>
      <c r="F100" s="28"/>
      <c r="G100" s="28"/>
      <c r="H100" s="28"/>
      <c r="I100" s="28"/>
      <c r="J100" s="28"/>
      <c r="K100" s="28"/>
      <c r="L100" s="28"/>
      <c r="M100" s="28"/>
      <c r="N100" s="28"/>
    </row>
    <row r="101" spans="1:14" ht="29.25" customHeight="1">
      <c r="A101" s="28"/>
      <c r="B101" s="171" t="s">
        <v>517</v>
      </c>
      <c r="C101" s="171"/>
      <c r="D101" s="171"/>
      <c r="E101" s="171"/>
      <c r="F101" s="171"/>
      <c r="G101" s="171"/>
      <c r="H101" s="171"/>
      <c r="I101" s="171"/>
      <c r="J101" s="171"/>
      <c r="K101" s="171"/>
      <c r="L101" s="28"/>
      <c r="M101" s="28"/>
      <c r="N101" s="28"/>
    </row>
    <row r="102" spans="1:14" ht="29.25" customHeight="1">
      <c r="A102" s="28"/>
      <c r="B102" s="171" t="s">
        <v>518</v>
      </c>
      <c r="C102" s="171"/>
      <c r="D102" s="171"/>
      <c r="E102" s="171"/>
      <c r="F102" s="171"/>
      <c r="G102" s="171"/>
      <c r="H102" s="171"/>
      <c r="I102" s="171"/>
      <c r="J102" s="171"/>
      <c r="K102" s="171"/>
      <c r="L102" s="28"/>
      <c r="M102" s="28"/>
      <c r="N102" s="28"/>
    </row>
    <row r="103" spans="1:14" ht="24" customHeight="1">
      <c r="A103" s="28"/>
      <c r="B103" s="172" t="s">
        <v>519</v>
      </c>
      <c r="C103" s="172"/>
      <c r="D103" s="172"/>
      <c r="E103" s="172"/>
      <c r="F103" s="172"/>
      <c r="G103" s="172"/>
      <c r="H103" s="172"/>
      <c r="I103" s="172"/>
      <c r="J103" s="172"/>
      <c r="K103" s="172"/>
      <c r="L103" s="28"/>
      <c r="M103" s="28"/>
      <c r="N103" s="28"/>
    </row>
    <row r="104" spans="1:14">
      <c r="A104" s="28"/>
      <c r="B104" s="28"/>
      <c r="C104" s="28"/>
      <c r="D104" s="28"/>
      <c r="E104" s="28"/>
      <c r="F104" s="28"/>
      <c r="G104" s="28"/>
      <c r="H104" s="28"/>
      <c r="I104" s="28"/>
      <c r="J104" s="28"/>
      <c r="K104" s="28"/>
      <c r="L104" s="28"/>
      <c r="M104" s="28"/>
      <c r="N104" s="28"/>
    </row>
    <row r="105" spans="1:14">
      <c r="A105" s="28"/>
      <c r="B105" s="31" t="s">
        <v>463</v>
      </c>
      <c r="C105" s="44"/>
      <c r="D105" s="45">
        <v>43091</v>
      </c>
      <c r="E105" s="28"/>
      <c r="F105" s="28"/>
      <c r="G105" s="28"/>
      <c r="H105" s="28"/>
      <c r="I105" s="28"/>
      <c r="J105" s="28"/>
      <c r="K105" s="28"/>
      <c r="L105" s="28"/>
      <c r="M105" s="28"/>
      <c r="N105" s="28"/>
    </row>
    <row r="106" spans="1:14" ht="40.5" customHeight="1">
      <c r="A106" s="28"/>
      <c r="B106" s="176" t="s">
        <v>520</v>
      </c>
      <c r="C106" s="176"/>
      <c r="D106" s="176"/>
      <c r="E106" s="176"/>
      <c r="F106" s="176"/>
      <c r="G106" s="176"/>
      <c r="H106" s="176"/>
      <c r="I106" s="176"/>
      <c r="J106" s="176"/>
      <c r="K106" s="176"/>
      <c r="L106" s="28"/>
      <c r="M106" s="28"/>
      <c r="N106" s="28"/>
    </row>
    <row r="107" spans="1:14" ht="26.25" customHeight="1">
      <c r="A107" s="28"/>
      <c r="B107" s="176" t="s">
        <v>521</v>
      </c>
      <c r="C107" s="176"/>
      <c r="D107" s="176"/>
      <c r="E107" s="176"/>
      <c r="F107" s="176"/>
      <c r="G107" s="176"/>
      <c r="H107" s="176"/>
      <c r="I107" s="176"/>
      <c r="J107" s="176"/>
      <c r="K107" s="176"/>
      <c r="L107" s="28"/>
      <c r="M107" s="28"/>
      <c r="N107" s="28"/>
    </row>
    <row r="108" spans="1:14" ht="26.25" customHeight="1">
      <c r="A108" s="28"/>
      <c r="B108" s="177" t="s">
        <v>522</v>
      </c>
      <c r="C108" s="177"/>
      <c r="D108" s="177"/>
      <c r="E108" s="177"/>
      <c r="F108" s="177"/>
      <c r="G108" s="177"/>
      <c r="H108" s="177"/>
      <c r="I108" s="177"/>
      <c r="J108" s="177"/>
      <c r="K108" s="177"/>
      <c r="L108" s="28"/>
      <c r="M108" s="28"/>
      <c r="N108" s="28"/>
    </row>
    <row r="109" spans="1:14" ht="26.25" customHeight="1">
      <c r="A109" s="28"/>
      <c r="B109" s="176" t="s">
        <v>523</v>
      </c>
      <c r="C109" s="176"/>
      <c r="D109" s="176"/>
      <c r="E109" s="176"/>
      <c r="F109" s="176"/>
      <c r="G109" s="176"/>
      <c r="H109" s="176"/>
      <c r="I109" s="176"/>
      <c r="J109" s="176"/>
      <c r="K109" s="176"/>
      <c r="L109" s="28"/>
      <c r="M109" s="28"/>
      <c r="N109" s="28"/>
    </row>
    <row r="110" spans="1:14" ht="26.25" customHeight="1">
      <c r="A110" s="28"/>
      <c r="B110" s="176" t="s">
        <v>524</v>
      </c>
      <c r="C110" s="176"/>
      <c r="D110" s="176"/>
      <c r="E110" s="176"/>
      <c r="F110" s="176"/>
      <c r="G110" s="176"/>
      <c r="H110" s="176"/>
      <c r="I110" s="176"/>
      <c r="J110" s="176"/>
      <c r="K110" s="33"/>
      <c r="L110" s="28"/>
      <c r="M110" s="28"/>
      <c r="N110" s="28"/>
    </row>
    <row r="111" spans="1:14" ht="26.25" customHeight="1">
      <c r="A111" s="28"/>
      <c r="B111" s="176" t="s">
        <v>525</v>
      </c>
      <c r="C111" s="176"/>
      <c r="D111" s="176"/>
      <c r="E111" s="176"/>
      <c r="F111" s="176"/>
      <c r="G111" s="176"/>
      <c r="H111" s="176"/>
      <c r="I111" s="176"/>
      <c r="J111" s="176"/>
      <c r="K111" s="176"/>
      <c r="L111" s="28"/>
      <c r="M111" s="28"/>
      <c r="N111" s="28"/>
    </row>
    <row r="112" spans="1:14" ht="26.25" customHeight="1">
      <c r="A112" s="28"/>
      <c r="B112" s="177" t="s">
        <v>526</v>
      </c>
      <c r="C112" s="176"/>
      <c r="D112" s="176"/>
      <c r="E112" s="176"/>
      <c r="F112" s="176"/>
      <c r="G112" s="176"/>
      <c r="H112" s="176"/>
      <c r="I112" s="176"/>
      <c r="J112" s="176"/>
      <c r="K112" s="176"/>
      <c r="L112" s="28"/>
      <c r="M112" s="28"/>
      <c r="N112" s="28"/>
    </row>
    <row r="113" spans="1:14" ht="26.25" customHeight="1">
      <c r="A113" s="28"/>
      <c r="B113" s="177" t="s">
        <v>527</v>
      </c>
      <c r="C113" s="177"/>
      <c r="D113" s="177"/>
      <c r="E113" s="177"/>
      <c r="F113" s="177"/>
      <c r="G113" s="177"/>
      <c r="H113" s="177"/>
      <c r="I113" s="177"/>
      <c r="J113" s="177"/>
      <c r="K113" s="177"/>
      <c r="L113" s="28"/>
      <c r="M113" s="28"/>
      <c r="N113" s="28"/>
    </row>
    <row r="114" spans="1:14">
      <c r="A114" s="28"/>
      <c r="B114" s="28"/>
      <c r="C114" s="28"/>
      <c r="D114" s="28"/>
      <c r="E114" s="28"/>
      <c r="F114" s="28"/>
      <c r="G114" s="28"/>
      <c r="H114" s="28"/>
      <c r="I114" s="28"/>
      <c r="J114" s="28"/>
      <c r="K114" s="28"/>
      <c r="L114" s="28"/>
      <c r="M114" s="28"/>
      <c r="N114" s="28"/>
    </row>
    <row r="115" spans="1:14" s="69" customFormat="1">
      <c r="A115" s="70"/>
      <c r="B115" s="72" t="s">
        <v>463</v>
      </c>
      <c r="C115" s="73"/>
      <c r="D115" s="74">
        <v>42810</v>
      </c>
      <c r="E115" s="71"/>
      <c r="F115" s="71"/>
      <c r="G115" s="71"/>
      <c r="H115" s="71"/>
      <c r="I115" s="71"/>
      <c r="J115" s="71"/>
      <c r="K115" s="71"/>
      <c r="L115" s="70"/>
      <c r="M115" s="70"/>
      <c r="N115" s="70"/>
    </row>
    <row r="116" spans="1:14" s="69" customFormat="1">
      <c r="A116" s="70"/>
      <c r="B116" s="171" t="s">
        <v>453</v>
      </c>
      <c r="C116" s="171"/>
      <c r="D116" s="171"/>
      <c r="E116" s="171"/>
      <c r="F116" s="171"/>
      <c r="G116" s="171"/>
      <c r="H116" s="171"/>
      <c r="I116" s="171"/>
      <c r="J116" s="171"/>
      <c r="K116" s="171"/>
      <c r="L116" s="70"/>
      <c r="M116" s="70"/>
      <c r="N116" s="70"/>
    </row>
    <row r="117" spans="1:14" s="69" customFormat="1">
      <c r="A117" s="70"/>
      <c r="B117" s="70"/>
      <c r="C117" s="70"/>
      <c r="D117" s="70"/>
      <c r="E117" s="70"/>
      <c r="F117" s="70"/>
      <c r="G117" s="70"/>
      <c r="H117" s="70"/>
      <c r="I117" s="70"/>
      <c r="J117" s="70"/>
      <c r="K117" s="70"/>
      <c r="L117" s="70"/>
      <c r="M117" s="70"/>
      <c r="N117" s="70"/>
    </row>
    <row r="118" spans="1:14">
      <c r="A118" s="28"/>
      <c r="B118" s="31" t="s">
        <v>463</v>
      </c>
      <c r="C118" s="44"/>
      <c r="D118" s="45">
        <v>43312</v>
      </c>
      <c r="E118" s="28"/>
      <c r="F118" s="28"/>
      <c r="G118" s="28"/>
      <c r="H118" s="28"/>
      <c r="I118" s="28"/>
      <c r="J118" s="28"/>
      <c r="K118" s="28"/>
      <c r="L118" s="28"/>
      <c r="M118" s="28"/>
      <c r="N118" s="28"/>
    </row>
    <row r="119" spans="1:14" ht="26.25" customHeight="1">
      <c r="A119" s="28"/>
      <c r="B119" s="169" t="s">
        <v>559</v>
      </c>
      <c r="C119" s="169"/>
      <c r="D119" s="169"/>
      <c r="E119" s="169"/>
      <c r="F119" s="169"/>
      <c r="G119" s="169"/>
      <c r="H119" s="169"/>
      <c r="I119" s="169"/>
      <c r="J119" s="169"/>
      <c r="K119" s="169"/>
      <c r="L119" s="28"/>
      <c r="M119" s="28"/>
      <c r="N119" s="28"/>
    </row>
    <row r="120" spans="1:14" ht="26.25" customHeight="1">
      <c r="B120" s="174" t="s">
        <v>560</v>
      </c>
      <c r="C120" s="174"/>
      <c r="D120" s="174"/>
      <c r="E120" s="174"/>
      <c r="F120" s="174"/>
      <c r="G120" s="174"/>
      <c r="H120" s="174"/>
      <c r="I120" s="174"/>
      <c r="J120" s="174"/>
      <c r="K120" s="174"/>
    </row>
    <row r="121" spans="1:14" ht="26.25" customHeight="1">
      <c r="B121" s="174" t="s">
        <v>561</v>
      </c>
      <c r="C121" s="174"/>
      <c r="D121" s="174"/>
      <c r="E121" s="174"/>
      <c r="F121" s="174"/>
      <c r="G121" s="174"/>
      <c r="H121" s="174"/>
      <c r="I121" s="174"/>
      <c r="J121" s="174"/>
      <c r="K121" s="174"/>
    </row>
    <row r="122" spans="1:14" s="131" customFormat="1" ht="16.5" customHeight="1">
      <c r="B122" s="84"/>
      <c r="C122" s="133"/>
      <c r="D122" s="133"/>
      <c r="E122" s="133"/>
      <c r="F122" s="133"/>
      <c r="G122" s="133"/>
      <c r="H122" s="133"/>
      <c r="I122" s="133"/>
      <c r="J122" s="133"/>
      <c r="K122" s="133"/>
    </row>
    <row r="123" spans="1:14" s="131" customFormat="1">
      <c r="A123" s="84"/>
      <c r="B123" s="132" t="s">
        <v>463</v>
      </c>
      <c r="C123" s="73"/>
      <c r="D123" s="74">
        <v>43404</v>
      </c>
      <c r="E123" s="84"/>
      <c r="F123" s="84"/>
      <c r="G123" s="84"/>
      <c r="H123" s="84"/>
      <c r="I123" s="84"/>
      <c r="J123" s="84"/>
      <c r="K123" s="84"/>
      <c r="L123" s="84"/>
      <c r="M123" s="84"/>
      <c r="N123" s="84"/>
    </row>
    <row r="124" spans="1:14" s="131" customFormat="1" ht="26.25" customHeight="1">
      <c r="A124" s="84"/>
      <c r="B124" s="168" t="s">
        <v>737</v>
      </c>
      <c r="C124" s="169"/>
      <c r="D124" s="169"/>
      <c r="E124" s="169"/>
      <c r="F124" s="169"/>
      <c r="G124" s="169"/>
      <c r="H124" s="169"/>
      <c r="I124" s="169"/>
      <c r="J124" s="169"/>
      <c r="K124" s="169"/>
      <c r="L124" s="84"/>
      <c r="M124" s="84"/>
      <c r="N124" s="84"/>
    </row>
    <row r="125" spans="1:14" ht="26.25" customHeight="1">
      <c r="B125" s="168" t="s">
        <v>752</v>
      </c>
      <c r="C125" s="169"/>
      <c r="D125" s="169"/>
      <c r="E125" s="169"/>
      <c r="F125" s="169"/>
      <c r="G125" s="169"/>
      <c r="H125" s="169"/>
      <c r="I125" s="169"/>
      <c r="J125" s="169"/>
      <c r="K125" s="169"/>
    </row>
    <row r="126" spans="1:14" s="135" customFormat="1" ht="26.25" customHeight="1">
      <c r="B126" s="138" t="s">
        <v>754</v>
      </c>
      <c r="C126" s="136"/>
      <c r="D126" s="136"/>
      <c r="E126" s="136"/>
      <c r="F126" s="136"/>
      <c r="G126" s="136"/>
      <c r="H126" s="136"/>
      <c r="I126" s="136"/>
      <c r="J126" s="136"/>
      <c r="K126" s="136"/>
    </row>
    <row r="127" spans="1:14" s="139" customFormat="1" ht="22.5" customHeight="1">
      <c r="B127" s="138" t="s">
        <v>770</v>
      </c>
      <c r="C127" s="140"/>
      <c r="D127" s="140"/>
      <c r="E127" s="140"/>
      <c r="F127" s="140"/>
      <c r="G127" s="140"/>
      <c r="H127" s="140"/>
      <c r="I127" s="140"/>
      <c r="J127" s="140"/>
      <c r="K127" s="140"/>
    </row>
    <row r="128" spans="1:14" s="135" customFormat="1" ht="20.25" customHeight="1">
      <c r="B128" s="138" t="s">
        <v>771</v>
      </c>
      <c r="C128" s="136"/>
      <c r="D128" s="136"/>
      <c r="E128" s="136"/>
      <c r="F128" s="136"/>
      <c r="G128" s="136"/>
      <c r="H128" s="136"/>
      <c r="I128" s="136"/>
      <c r="J128" s="136"/>
      <c r="K128" s="136"/>
    </row>
    <row r="129" spans="2:11" s="143" customFormat="1" ht="14.25" customHeight="1">
      <c r="B129" s="138"/>
      <c r="C129" s="144"/>
      <c r="D129" s="144"/>
      <c r="E129" s="144"/>
      <c r="F129" s="144"/>
      <c r="G129" s="144"/>
      <c r="H129" s="144"/>
      <c r="I129" s="144"/>
      <c r="J129" s="144"/>
      <c r="K129" s="144"/>
    </row>
    <row r="130" spans="2:11" s="143" customFormat="1" ht="19.5" customHeight="1">
      <c r="B130" s="145" t="s">
        <v>463</v>
      </c>
      <c r="C130" s="73"/>
      <c r="D130" s="74">
        <v>43486</v>
      </c>
      <c r="E130" s="144"/>
      <c r="F130" s="144"/>
      <c r="G130" s="144"/>
      <c r="H130" s="144"/>
      <c r="I130" s="144"/>
      <c r="J130" s="144"/>
      <c r="K130" s="144"/>
    </row>
    <row r="131" spans="2:11" s="143" customFormat="1" ht="18" customHeight="1">
      <c r="B131" s="138" t="s">
        <v>785</v>
      </c>
      <c r="C131" s="148"/>
      <c r="D131" s="148"/>
      <c r="E131" s="148"/>
      <c r="F131" s="148"/>
      <c r="G131" s="148"/>
      <c r="H131" s="148"/>
      <c r="I131" s="148"/>
      <c r="J131" s="148"/>
      <c r="K131" s="148"/>
    </row>
    <row r="132" spans="2:11" s="139" customFormat="1" ht="20.25" customHeight="1">
      <c r="B132" s="152" t="s">
        <v>790</v>
      </c>
      <c r="C132" s="148"/>
      <c r="D132" s="148"/>
      <c r="E132" s="148"/>
      <c r="F132" s="148"/>
      <c r="G132" s="148"/>
      <c r="H132" s="148"/>
      <c r="I132" s="148"/>
      <c r="J132" s="148"/>
      <c r="K132" s="148"/>
    </row>
    <row r="133" spans="2:11" s="149" customFormat="1" ht="20.25" customHeight="1">
      <c r="B133" s="168" t="s">
        <v>796</v>
      </c>
      <c r="C133" s="169"/>
      <c r="D133" s="169"/>
      <c r="E133" s="169"/>
      <c r="F133" s="169"/>
      <c r="G133" s="169"/>
      <c r="H133" s="169"/>
      <c r="I133" s="169"/>
      <c r="J133" s="169"/>
      <c r="K133" s="169"/>
    </row>
    <row r="134" spans="2:11" s="154" customFormat="1" ht="20.25" customHeight="1">
      <c r="B134" s="164" t="s">
        <v>814</v>
      </c>
      <c r="C134" s="155"/>
      <c r="D134" s="155"/>
      <c r="E134" s="155"/>
      <c r="F134" s="155"/>
      <c r="G134" s="155"/>
      <c r="H134" s="155"/>
      <c r="I134" s="155"/>
      <c r="J134" s="155"/>
      <c r="K134" s="155"/>
    </row>
    <row r="135" spans="2:11" s="162" customFormat="1" ht="20.25" customHeight="1">
      <c r="B135" s="164"/>
      <c r="C135" s="163"/>
      <c r="D135" s="163"/>
      <c r="E135" s="163"/>
      <c r="F135" s="163"/>
      <c r="G135" s="163"/>
      <c r="H135" s="163"/>
      <c r="I135" s="163"/>
      <c r="J135" s="163"/>
      <c r="K135" s="163"/>
    </row>
    <row r="136" spans="2:11">
      <c r="B136" s="134" t="s">
        <v>736</v>
      </c>
    </row>
  </sheetData>
  <mergeCells count="78">
    <mergeCell ref="B133:K133"/>
    <mergeCell ref="B125:K125"/>
    <mergeCell ref="B119:K119"/>
    <mergeCell ref="B101:K101"/>
    <mergeCell ref="B102:K102"/>
    <mergeCell ref="B103:K103"/>
    <mergeCell ref="B106:K106"/>
    <mergeCell ref="B107:K107"/>
    <mergeCell ref="B108:K108"/>
    <mergeCell ref="B109:K109"/>
    <mergeCell ref="B110:J110"/>
    <mergeCell ref="B111:K111"/>
    <mergeCell ref="B112:K112"/>
    <mergeCell ref="B113:K113"/>
    <mergeCell ref="B116:K116"/>
    <mergeCell ref="B124:K124"/>
    <mergeCell ref="B120:K120"/>
    <mergeCell ref="B98:K98"/>
    <mergeCell ref="B82:K82"/>
    <mergeCell ref="B85:K85"/>
    <mergeCell ref="B86:K86"/>
    <mergeCell ref="B87:K87"/>
    <mergeCell ref="B88:K88"/>
    <mergeCell ref="B89:K89"/>
    <mergeCell ref="B90:K90"/>
    <mergeCell ref="B92:K92"/>
    <mergeCell ref="B95:K95"/>
    <mergeCell ref="B96:K96"/>
    <mergeCell ref="B97:K97"/>
    <mergeCell ref="B81:K81"/>
    <mergeCell ref="B64:K64"/>
    <mergeCell ref="B65:K65"/>
    <mergeCell ref="B66:K66"/>
    <mergeCell ref="B67:K67"/>
    <mergeCell ref="B68:K68"/>
    <mergeCell ref="B69:K69"/>
    <mergeCell ref="B72:K72"/>
    <mergeCell ref="B75:K75"/>
    <mergeCell ref="B76:K76"/>
    <mergeCell ref="B77:K77"/>
    <mergeCell ref="B80:K80"/>
    <mergeCell ref="B39:K39"/>
    <mergeCell ref="B42:K42"/>
    <mergeCell ref="B43:K43"/>
    <mergeCell ref="B46:K46"/>
    <mergeCell ref="B61:K61"/>
    <mergeCell ref="B48:K48"/>
    <mergeCell ref="B49:K49"/>
    <mergeCell ref="B50:K50"/>
    <mergeCell ref="B51:K51"/>
    <mergeCell ref="B52:K52"/>
    <mergeCell ref="B53:K53"/>
    <mergeCell ref="B56:K56"/>
    <mergeCell ref="B57:K57"/>
    <mergeCell ref="B58:K58"/>
    <mergeCell ref="B59:K59"/>
    <mergeCell ref="B60:K60"/>
    <mergeCell ref="B32:K32"/>
    <mergeCell ref="B33:K33"/>
    <mergeCell ref="B36:M36"/>
    <mergeCell ref="B37:M37"/>
    <mergeCell ref="B38:K38"/>
    <mergeCell ref="B121:K121"/>
    <mergeCell ref="B27:K27"/>
    <mergeCell ref="B8:M8"/>
    <mergeCell ref="B9:M9"/>
    <mergeCell ref="B12:M12"/>
    <mergeCell ref="B13:M13"/>
    <mergeCell ref="B14:M14"/>
    <mergeCell ref="B15:K15"/>
    <mergeCell ref="B19:K19"/>
    <mergeCell ref="B20:K20"/>
    <mergeCell ref="B24:K24"/>
    <mergeCell ref="B25:K25"/>
    <mergeCell ref="B26:K26"/>
    <mergeCell ref="B47:K47"/>
    <mergeCell ref="B28:K28"/>
    <mergeCell ref="B31:K31"/>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U38"/>
  <sheetViews>
    <sheetView workbookViewId="0"/>
  </sheetViews>
  <sheetFormatPr defaultColWidth="9.140625" defaultRowHeight="15"/>
  <cols>
    <col min="1" max="1" width="23.7109375" style="28" bestFit="1" customWidth="1"/>
    <col min="2" max="2" width="47.42578125" style="28" bestFit="1" customWidth="1"/>
    <col min="3" max="3" width="35" style="28" bestFit="1" customWidth="1"/>
    <col min="4" max="4" width="21" style="28" bestFit="1" customWidth="1"/>
    <col min="5" max="5" width="14.5703125" style="28" bestFit="1" customWidth="1"/>
    <col min="6" max="6" width="14.85546875" style="28" bestFit="1" customWidth="1"/>
    <col min="7" max="7" width="12" style="28" bestFit="1" customWidth="1"/>
    <col min="8" max="8" width="17.5703125" style="28" bestFit="1" customWidth="1"/>
    <col min="9" max="9" width="11.140625" style="84" bestFit="1" customWidth="1"/>
    <col min="10" max="10" width="11" style="28" hidden="1" customWidth="1"/>
    <col min="11" max="11" width="26.85546875" style="28" hidden="1" customWidth="1"/>
    <col min="12" max="12" width="10" style="84" hidden="1" customWidth="1"/>
    <col min="13" max="13" width="19.5703125" style="84" customWidth="1"/>
    <col min="14" max="14" width="19.5703125" style="28" customWidth="1"/>
    <col min="15" max="16384" width="9.140625" style="28"/>
  </cols>
  <sheetData>
    <row r="1" spans="1:13" ht="20.25" thickBot="1">
      <c r="A1" s="47" t="s">
        <v>0</v>
      </c>
    </row>
    <row r="2" spans="1:13" ht="23.25" thickBot="1">
      <c r="A2" s="62" t="s">
        <v>1</v>
      </c>
      <c r="B2" s="62" t="s">
        <v>2</v>
      </c>
      <c r="C2" s="62" t="s">
        <v>730</v>
      </c>
      <c r="D2" s="62" t="s">
        <v>121</v>
      </c>
      <c r="E2" s="62" t="s">
        <v>3</v>
      </c>
      <c r="F2" s="62" t="s">
        <v>4</v>
      </c>
      <c r="G2" s="62" t="s">
        <v>5</v>
      </c>
      <c r="H2" s="62" t="s">
        <v>6</v>
      </c>
      <c r="I2" s="62" t="s">
        <v>795</v>
      </c>
      <c r="J2" s="2" t="s">
        <v>7</v>
      </c>
      <c r="K2" s="2" t="s">
        <v>245</v>
      </c>
      <c r="L2" s="2" t="s">
        <v>249</v>
      </c>
      <c r="M2" s="28"/>
    </row>
    <row r="3" spans="1:13" ht="15.75" thickBot="1">
      <c r="A3" s="75" t="s">
        <v>19</v>
      </c>
      <c r="B3" s="76" t="s">
        <v>20</v>
      </c>
      <c r="C3" s="77" t="s">
        <v>21</v>
      </c>
      <c r="D3" s="76">
        <v>2640</v>
      </c>
      <c r="E3" s="77" t="s">
        <v>22</v>
      </c>
      <c r="F3" s="76" t="s">
        <v>23</v>
      </c>
      <c r="G3" s="77" t="s">
        <v>10</v>
      </c>
      <c r="H3" s="76" t="s">
        <v>11</v>
      </c>
      <c r="I3" s="76" t="s">
        <v>225</v>
      </c>
      <c r="J3" s="21" t="s">
        <v>24</v>
      </c>
      <c r="K3" s="15" t="s">
        <v>240</v>
      </c>
      <c r="L3" s="21" t="s">
        <v>235</v>
      </c>
      <c r="M3" s="28"/>
    </row>
    <row r="4" spans="1:13" ht="15.75" thickBot="1">
      <c r="A4" s="78" t="s">
        <v>25</v>
      </c>
      <c r="B4" s="79" t="s">
        <v>26</v>
      </c>
      <c r="C4" s="77" t="s">
        <v>27</v>
      </c>
      <c r="D4" s="79">
        <v>80</v>
      </c>
      <c r="E4" s="80" t="s">
        <v>18</v>
      </c>
      <c r="F4" s="79" t="s">
        <v>17</v>
      </c>
      <c r="G4" s="80" t="s">
        <v>10</v>
      </c>
      <c r="H4" s="79" t="s">
        <v>11</v>
      </c>
      <c r="I4" s="76" t="s">
        <v>225</v>
      </c>
      <c r="J4" s="20" t="s">
        <v>24</v>
      </c>
      <c r="K4" s="14" t="s">
        <v>240</v>
      </c>
      <c r="L4" s="20" t="s">
        <v>17</v>
      </c>
      <c r="M4" s="28"/>
    </row>
    <row r="5" spans="1:13" ht="23.25" thickBot="1">
      <c r="A5" s="78" t="s">
        <v>28</v>
      </c>
      <c r="B5" s="79" t="s">
        <v>29</v>
      </c>
      <c r="C5" s="77" t="s">
        <v>30</v>
      </c>
      <c r="D5" s="79">
        <v>113</v>
      </c>
      <c r="E5" s="80" t="s">
        <v>12</v>
      </c>
      <c r="F5" s="79" t="s">
        <v>13</v>
      </c>
      <c r="G5" s="80" t="s">
        <v>14</v>
      </c>
      <c r="H5" s="79" t="s">
        <v>11</v>
      </c>
      <c r="I5" s="76" t="s">
        <v>225</v>
      </c>
      <c r="J5" s="20" t="s">
        <v>24</v>
      </c>
      <c r="K5" s="14" t="s">
        <v>240</v>
      </c>
      <c r="L5" s="20" t="s">
        <v>13</v>
      </c>
      <c r="M5" s="28"/>
    </row>
    <row r="6" spans="1:13" ht="15.75" thickBot="1">
      <c r="A6" s="78" t="s">
        <v>33</v>
      </c>
      <c r="B6" s="79" t="s">
        <v>34</v>
      </c>
      <c r="C6" s="77" t="s">
        <v>35</v>
      </c>
      <c r="D6" s="79">
        <v>53</v>
      </c>
      <c r="E6" s="80" t="s">
        <v>36</v>
      </c>
      <c r="F6" s="79" t="s">
        <v>37</v>
      </c>
      <c r="G6" s="80" t="s">
        <v>14</v>
      </c>
      <c r="H6" s="79" t="s">
        <v>11</v>
      </c>
      <c r="I6" s="76" t="s">
        <v>225</v>
      </c>
      <c r="J6" s="20" t="s">
        <v>24</v>
      </c>
      <c r="K6" s="14" t="s">
        <v>240</v>
      </c>
      <c r="L6" s="20" t="s">
        <v>37</v>
      </c>
      <c r="M6" s="28"/>
    </row>
    <row r="7" spans="1:13" ht="15.75" thickBot="1">
      <c r="A7" s="78" t="s">
        <v>108</v>
      </c>
      <c r="B7" s="79" t="s">
        <v>295</v>
      </c>
      <c r="C7" s="77" t="s">
        <v>757</v>
      </c>
      <c r="D7" s="79">
        <v>180</v>
      </c>
      <c r="E7" s="80" t="s">
        <v>36</v>
      </c>
      <c r="F7" s="79" t="s">
        <v>37</v>
      </c>
      <c r="G7" s="80" t="s">
        <v>14</v>
      </c>
      <c r="H7" s="79" t="s">
        <v>760</v>
      </c>
      <c r="I7" s="76" t="s">
        <v>225</v>
      </c>
      <c r="J7" s="20" t="s">
        <v>24</v>
      </c>
      <c r="K7" s="14" t="s">
        <v>240</v>
      </c>
      <c r="L7" s="20" t="s">
        <v>37</v>
      </c>
      <c r="M7" s="28"/>
    </row>
    <row r="8" spans="1:13" ht="15.75" thickBot="1">
      <c r="A8" s="78" t="s">
        <v>39</v>
      </c>
      <c r="B8" s="79" t="s">
        <v>26</v>
      </c>
      <c r="C8" s="77" t="s">
        <v>40</v>
      </c>
      <c r="D8" s="79">
        <v>724</v>
      </c>
      <c r="E8" s="80" t="s">
        <v>15</v>
      </c>
      <c r="F8" s="79" t="s">
        <v>16</v>
      </c>
      <c r="G8" s="80" t="s">
        <v>10</v>
      </c>
      <c r="H8" s="79" t="s">
        <v>11</v>
      </c>
      <c r="I8" s="76" t="s">
        <v>225</v>
      </c>
      <c r="J8" s="20" t="s">
        <v>24</v>
      </c>
      <c r="K8" s="14" t="s">
        <v>240</v>
      </c>
      <c r="L8" s="20" t="s">
        <v>15</v>
      </c>
      <c r="M8" s="28"/>
    </row>
    <row r="9" spans="1:13" ht="15.75" thickBot="1">
      <c r="A9" s="78" t="s">
        <v>42</v>
      </c>
      <c r="B9" s="79" t="s">
        <v>43</v>
      </c>
      <c r="C9" s="77" t="s">
        <v>44</v>
      </c>
      <c r="D9" s="79">
        <v>2880</v>
      </c>
      <c r="E9" s="80" t="s">
        <v>22</v>
      </c>
      <c r="F9" s="79" t="s">
        <v>23</v>
      </c>
      <c r="G9" s="80" t="s">
        <v>10</v>
      </c>
      <c r="H9" s="79" t="s">
        <v>11</v>
      </c>
      <c r="I9" s="76" t="s">
        <v>225</v>
      </c>
      <c r="J9" s="20" t="s">
        <v>24</v>
      </c>
      <c r="K9" s="14" t="s">
        <v>240</v>
      </c>
      <c r="L9" s="20" t="s">
        <v>235</v>
      </c>
      <c r="M9" s="28"/>
    </row>
    <row r="10" spans="1:13" ht="15.75" thickBot="1">
      <c r="A10" s="78" t="s">
        <v>45</v>
      </c>
      <c r="B10" s="79" t="s">
        <v>46</v>
      </c>
      <c r="C10" s="77" t="s">
        <v>47</v>
      </c>
      <c r="D10" s="79">
        <v>10</v>
      </c>
      <c r="E10" s="80" t="s">
        <v>36</v>
      </c>
      <c r="F10" s="79" t="s">
        <v>37</v>
      </c>
      <c r="G10" s="80" t="s">
        <v>14</v>
      </c>
      <c r="H10" s="79" t="s">
        <v>11</v>
      </c>
      <c r="I10" s="76" t="s">
        <v>225</v>
      </c>
      <c r="J10" s="20" t="s">
        <v>24</v>
      </c>
      <c r="K10" s="14" t="s">
        <v>240</v>
      </c>
      <c r="L10" s="20" t="s">
        <v>37</v>
      </c>
      <c r="M10" s="28"/>
    </row>
    <row r="11" spans="1:13" ht="23.25" thickBot="1">
      <c r="A11" s="78" t="s">
        <v>594</v>
      </c>
      <c r="B11" s="79" t="s">
        <v>46</v>
      </c>
      <c r="C11" s="77" t="s">
        <v>734</v>
      </c>
      <c r="D11" s="79">
        <v>165.5</v>
      </c>
      <c r="E11" s="80" t="s">
        <v>12</v>
      </c>
      <c r="F11" s="79" t="s">
        <v>13</v>
      </c>
      <c r="G11" s="80" t="s">
        <v>14</v>
      </c>
      <c r="H11" s="79" t="s">
        <v>11</v>
      </c>
      <c r="I11" s="76" t="s">
        <v>225</v>
      </c>
      <c r="J11" s="20" t="s">
        <v>24</v>
      </c>
      <c r="K11" s="14" t="s">
        <v>240</v>
      </c>
      <c r="L11" s="20" t="s">
        <v>13</v>
      </c>
      <c r="M11" s="28"/>
    </row>
    <row r="12" spans="1:13" ht="15.75" thickBot="1">
      <c r="A12" s="78" t="s">
        <v>731</v>
      </c>
      <c r="B12" s="79" t="s">
        <v>48</v>
      </c>
      <c r="C12" s="77" t="s">
        <v>49</v>
      </c>
      <c r="D12" s="79">
        <v>46.5</v>
      </c>
      <c r="E12" s="80" t="s">
        <v>12</v>
      </c>
      <c r="F12" s="79" t="s">
        <v>13</v>
      </c>
      <c r="G12" s="80" t="s">
        <v>14</v>
      </c>
      <c r="H12" s="79" t="s">
        <v>11</v>
      </c>
      <c r="I12" s="76" t="s">
        <v>225</v>
      </c>
      <c r="J12" s="20" t="s">
        <v>24</v>
      </c>
      <c r="K12" s="14" t="s">
        <v>240</v>
      </c>
      <c r="L12" s="20" t="s">
        <v>13</v>
      </c>
      <c r="M12" s="28"/>
    </row>
    <row r="13" spans="1:13" ht="15.75" thickBot="1">
      <c r="A13" s="78" t="s">
        <v>50</v>
      </c>
      <c r="B13" s="79" t="s">
        <v>26</v>
      </c>
      <c r="C13" s="77" t="s">
        <v>51</v>
      </c>
      <c r="D13" s="79">
        <v>60</v>
      </c>
      <c r="E13" s="80" t="s">
        <v>18</v>
      </c>
      <c r="F13" s="79" t="s">
        <v>17</v>
      </c>
      <c r="G13" s="80" t="s">
        <v>10</v>
      </c>
      <c r="H13" s="79" t="s">
        <v>11</v>
      </c>
      <c r="I13" s="76" t="s">
        <v>225</v>
      </c>
      <c r="J13" s="20" t="s">
        <v>24</v>
      </c>
      <c r="K13" s="14" t="s">
        <v>240</v>
      </c>
      <c r="L13" s="20" t="s">
        <v>17</v>
      </c>
      <c r="M13" s="28"/>
    </row>
    <row r="14" spans="1:13" ht="15.75" thickBot="1">
      <c r="A14" s="78" t="s">
        <v>53</v>
      </c>
      <c r="B14" s="79" t="s">
        <v>54</v>
      </c>
      <c r="C14" s="77" t="s">
        <v>55</v>
      </c>
      <c r="D14" s="79">
        <v>29</v>
      </c>
      <c r="E14" s="80" t="s">
        <v>18</v>
      </c>
      <c r="F14" s="79" t="s">
        <v>17</v>
      </c>
      <c r="G14" s="80" t="s">
        <v>10</v>
      </c>
      <c r="H14" s="79" t="s">
        <v>11</v>
      </c>
      <c r="I14" s="76" t="s">
        <v>225</v>
      </c>
      <c r="J14" s="20" t="s">
        <v>24</v>
      </c>
      <c r="K14" s="14" t="s">
        <v>240</v>
      </c>
      <c r="L14" s="20" t="s">
        <v>17</v>
      </c>
      <c r="M14" s="28"/>
    </row>
    <row r="15" spans="1:13" ht="15.75" thickBot="1">
      <c r="A15" s="78" t="s">
        <v>56</v>
      </c>
      <c r="B15" s="79" t="s">
        <v>20</v>
      </c>
      <c r="C15" s="77" t="s">
        <v>57</v>
      </c>
      <c r="D15" s="79">
        <v>50</v>
      </c>
      <c r="E15" s="80" t="s">
        <v>15</v>
      </c>
      <c r="F15" s="79" t="s">
        <v>9</v>
      </c>
      <c r="G15" s="80" t="s">
        <v>10</v>
      </c>
      <c r="H15" s="79" t="s">
        <v>11</v>
      </c>
      <c r="I15" s="76" t="s">
        <v>225</v>
      </c>
      <c r="J15" s="20" t="s">
        <v>24</v>
      </c>
      <c r="K15" s="14" t="s">
        <v>240</v>
      </c>
      <c r="L15" s="20" t="s">
        <v>15</v>
      </c>
      <c r="M15" s="28"/>
    </row>
    <row r="16" spans="1:13" ht="15.75" thickBot="1">
      <c r="A16" s="78" t="s">
        <v>58</v>
      </c>
      <c r="B16" s="79" t="s">
        <v>20</v>
      </c>
      <c r="C16" s="77" t="s">
        <v>59</v>
      </c>
      <c r="D16" s="79">
        <v>2000</v>
      </c>
      <c r="E16" s="80" t="s">
        <v>22</v>
      </c>
      <c r="F16" s="79" t="s">
        <v>23</v>
      </c>
      <c r="G16" s="80" t="s">
        <v>10</v>
      </c>
      <c r="H16" s="79" t="s">
        <v>60</v>
      </c>
      <c r="I16" s="76" t="s">
        <v>225</v>
      </c>
      <c r="J16" s="20" t="s">
        <v>24</v>
      </c>
      <c r="K16" s="14" t="s">
        <v>60</v>
      </c>
      <c r="L16" s="20" t="s">
        <v>235</v>
      </c>
      <c r="M16" s="28"/>
    </row>
    <row r="17" spans="1:13" ht="15.75" thickBot="1">
      <c r="A17" s="78" t="s">
        <v>61</v>
      </c>
      <c r="B17" s="79" t="s">
        <v>62</v>
      </c>
      <c r="C17" s="77" t="s">
        <v>63</v>
      </c>
      <c r="D17" s="79">
        <v>50</v>
      </c>
      <c r="E17" s="80" t="s">
        <v>36</v>
      </c>
      <c r="F17" s="79" t="s">
        <v>37</v>
      </c>
      <c r="G17" s="80" t="s">
        <v>14</v>
      </c>
      <c r="H17" s="79" t="s">
        <v>11</v>
      </c>
      <c r="I17" s="76" t="s">
        <v>225</v>
      </c>
      <c r="J17" s="20" t="s">
        <v>24</v>
      </c>
      <c r="K17" s="14" t="s">
        <v>240</v>
      </c>
      <c r="L17" s="20" t="s">
        <v>37</v>
      </c>
      <c r="M17" s="28"/>
    </row>
    <row r="18" spans="1:13" ht="15.75" thickBot="1">
      <c r="A18" s="78" t="s">
        <v>64</v>
      </c>
      <c r="B18" s="79" t="s">
        <v>65</v>
      </c>
      <c r="C18" s="77" t="s">
        <v>66</v>
      </c>
      <c r="D18" s="79">
        <v>56</v>
      </c>
      <c r="E18" s="80" t="s">
        <v>36</v>
      </c>
      <c r="F18" s="79" t="s">
        <v>37</v>
      </c>
      <c r="G18" s="80" t="s">
        <v>14</v>
      </c>
      <c r="H18" s="79" t="s">
        <v>11</v>
      </c>
      <c r="I18" s="76" t="s">
        <v>225</v>
      </c>
      <c r="J18" s="20" t="s">
        <v>24</v>
      </c>
      <c r="K18" s="14" t="s">
        <v>240</v>
      </c>
      <c r="L18" s="20" t="s">
        <v>37</v>
      </c>
      <c r="M18" s="28"/>
    </row>
    <row r="19" spans="1:13" ht="15.75" thickBot="1">
      <c r="A19" s="78" t="s">
        <v>67</v>
      </c>
      <c r="B19" s="79" t="s">
        <v>52</v>
      </c>
      <c r="C19" s="77" t="s">
        <v>68</v>
      </c>
      <c r="D19" s="79">
        <v>1320</v>
      </c>
      <c r="E19" s="80" t="s">
        <v>22</v>
      </c>
      <c r="F19" s="79" t="s">
        <v>23</v>
      </c>
      <c r="G19" s="80" t="s">
        <v>10</v>
      </c>
      <c r="H19" s="79" t="s">
        <v>11</v>
      </c>
      <c r="I19" s="76" t="s">
        <v>225</v>
      </c>
      <c r="J19" s="20" t="s">
        <v>24</v>
      </c>
      <c r="K19" s="14" t="s">
        <v>240</v>
      </c>
      <c r="L19" s="20" t="s">
        <v>235</v>
      </c>
      <c r="M19" s="28"/>
    </row>
    <row r="20" spans="1:13" ht="15.75" thickBot="1">
      <c r="A20" s="78" t="s">
        <v>732</v>
      </c>
      <c r="B20" s="79" t="s">
        <v>34</v>
      </c>
      <c r="C20" s="77" t="s">
        <v>69</v>
      </c>
      <c r="D20" s="79">
        <v>102</v>
      </c>
      <c r="E20" s="80" t="s">
        <v>36</v>
      </c>
      <c r="F20" s="79" t="s">
        <v>37</v>
      </c>
      <c r="G20" s="80" t="s">
        <v>14</v>
      </c>
      <c r="H20" s="79" t="s">
        <v>11</v>
      </c>
      <c r="I20" s="76" t="s">
        <v>225</v>
      </c>
      <c r="J20" s="20" t="s">
        <v>24</v>
      </c>
      <c r="K20" s="14" t="s">
        <v>240</v>
      </c>
      <c r="L20" s="20" t="s">
        <v>37</v>
      </c>
      <c r="M20" s="28"/>
    </row>
    <row r="21" spans="1:13" ht="15.75" thickBot="1">
      <c r="A21" s="78" t="s">
        <v>70</v>
      </c>
      <c r="B21" s="79" t="s">
        <v>71</v>
      </c>
      <c r="C21" s="77" t="s">
        <v>729</v>
      </c>
      <c r="D21" s="79">
        <v>50.5</v>
      </c>
      <c r="E21" s="80" t="s">
        <v>36</v>
      </c>
      <c r="F21" s="79" t="s">
        <v>37</v>
      </c>
      <c r="G21" s="80" t="s">
        <v>14</v>
      </c>
      <c r="H21" s="79" t="s">
        <v>11</v>
      </c>
      <c r="I21" s="76" t="s">
        <v>225</v>
      </c>
      <c r="J21" s="20" t="s">
        <v>24</v>
      </c>
      <c r="K21" s="14" t="s">
        <v>240</v>
      </c>
      <c r="L21" s="20" t="s">
        <v>37</v>
      </c>
      <c r="M21" s="28"/>
    </row>
    <row r="22" spans="1:13" ht="15.75" thickBot="1">
      <c r="A22" s="78" t="s">
        <v>72</v>
      </c>
      <c r="B22" s="79" t="s">
        <v>73</v>
      </c>
      <c r="C22" s="77" t="s">
        <v>74</v>
      </c>
      <c r="D22" s="79">
        <v>270</v>
      </c>
      <c r="E22" s="80" t="s">
        <v>12</v>
      </c>
      <c r="F22" s="79" t="s">
        <v>13</v>
      </c>
      <c r="G22" s="80" t="s">
        <v>14</v>
      </c>
      <c r="H22" s="79" t="s">
        <v>11</v>
      </c>
      <c r="I22" s="76" t="s">
        <v>225</v>
      </c>
      <c r="J22" s="20" t="s">
        <v>24</v>
      </c>
      <c r="K22" s="14" t="s">
        <v>240</v>
      </c>
      <c r="L22" s="20" t="s">
        <v>13</v>
      </c>
      <c r="M22" s="28"/>
    </row>
    <row r="23" spans="1:13" ht="23.25" thickBot="1">
      <c r="A23" s="78" t="s">
        <v>75</v>
      </c>
      <c r="B23" s="79" t="s">
        <v>43</v>
      </c>
      <c r="C23" s="77" t="s">
        <v>76</v>
      </c>
      <c r="D23" s="79">
        <v>240</v>
      </c>
      <c r="E23" s="80" t="s">
        <v>775</v>
      </c>
      <c r="F23" s="79" t="s">
        <v>17</v>
      </c>
      <c r="G23" s="80" t="s">
        <v>10</v>
      </c>
      <c r="H23" s="79" t="s">
        <v>11</v>
      </c>
      <c r="I23" s="76" t="s">
        <v>225</v>
      </c>
      <c r="J23" s="20" t="s">
        <v>24</v>
      </c>
      <c r="K23" s="14" t="s">
        <v>240</v>
      </c>
      <c r="L23" s="20" t="s">
        <v>17</v>
      </c>
      <c r="M23" s="28"/>
    </row>
    <row r="24" spans="1:13" ht="15.75" thickBot="1">
      <c r="A24" s="78" t="s">
        <v>77</v>
      </c>
      <c r="B24" s="79" t="s">
        <v>78</v>
      </c>
      <c r="C24" s="77" t="s">
        <v>79</v>
      </c>
      <c r="D24" s="79">
        <v>199</v>
      </c>
      <c r="E24" s="80" t="s">
        <v>12</v>
      </c>
      <c r="F24" s="79" t="s">
        <v>13</v>
      </c>
      <c r="G24" s="80" t="s">
        <v>14</v>
      </c>
      <c r="H24" s="79" t="s">
        <v>11</v>
      </c>
      <c r="I24" s="76" t="s">
        <v>225</v>
      </c>
      <c r="J24" s="20" t="s">
        <v>24</v>
      </c>
      <c r="K24" s="14" t="s">
        <v>240</v>
      </c>
      <c r="L24" s="20" t="s">
        <v>13</v>
      </c>
      <c r="M24" s="28"/>
    </row>
    <row r="25" spans="1:13" ht="23.25" thickBot="1">
      <c r="A25" s="78" t="s">
        <v>80</v>
      </c>
      <c r="B25" s="79" t="s">
        <v>81</v>
      </c>
      <c r="C25" s="77" t="s">
        <v>82</v>
      </c>
      <c r="D25" s="79">
        <v>170.9</v>
      </c>
      <c r="E25" s="80" t="s">
        <v>41</v>
      </c>
      <c r="F25" s="79" t="s">
        <v>16</v>
      </c>
      <c r="G25" s="80" t="s">
        <v>10</v>
      </c>
      <c r="H25" s="79" t="s">
        <v>11</v>
      </c>
      <c r="I25" s="76" t="s">
        <v>225</v>
      </c>
      <c r="J25" s="20" t="s">
        <v>24</v>
      </c>
      <c r="K25" s="14" t="s">
        <v>240</v>
      </c>
      <c r="L25" s="20" t="s">
        <v>41</v>
      </c>
      <c r="M25" s="28"/>
    </row>
    <row r="26" spans="1:13" ht="15.75" thickBot="1">
      <c r="A26" s="78" t="s">
        <v>83</v>
      </c>
      <c r="B26" s="79" t="s">
        <v>52</v>
      </c>
      <c r="C26" s="137" t="s">
        <v>84</v>
      </c>
      <c r="D26" s="79">
        <v>435</v>
      </c>
      <c r="E26" s="80" t="s">
        <v>41</v>
      </c>
      <c r="F26" s="79" t="s">
        <v>16</v>
      </c>
      <c r="G26" s="80" t="s">
        <v>10</v>
      </c>
      <c r="H26" s="79" t="s">
        <v>11</v>
      </c>
      <c r="I26" s="76" t="s">
        <v>225</v>
      </c>
      <c r="J26" s="20" t="s">
        <v>24</v>
      </c>
      <c r="K26" s="14" t="s">
        <v>240</v>
      </c>
      <c r="L26" s="20" t="s">
        <v>41</v>
      </c>
      <c r="M26" s="28"/>
    </row>
    <row r="27" spans="1:13" ht="34.5" thickBot="1">
      <c r="A27" s="78" t="s">
        <v>733</v>
      </c>
      <c r="B27" s="79" t="s">
        <v>85</v>
      </c>
      <c r="C27" s="137" t="s">
        <v>86</v>
      </c>
      <c r="D27" s="79">
        <v>106.8</v>
      </c>
      <c r="E27" s="80" t="s">
        <v>12</v>
      </c>
      <c r="F27" s="79" t="s">
        <v>13</v>
      </c>
      <c r="G27" s="80" t="s">
        <v>14</v>
      </c>
      <c r="H27" s="79" t="s">
        <v>11</v>
      </c>
      <c r="I27" s="76" t="s">
        <v>225</v>
      </c>
      <c r="J27" s="20" t="s">
        <v>24</v>
      </c>
      <c r="K27" s="14" t="s">
        <v>240</v>
      </c>
      <c r="L27" s="20" t="s">
        <v>13</v>
      </c>
      <c r="M27" s="28"/>
    </row>
    <row r="28" spans="1:13" ht="15.75" thickBot="1">
      <c r="A28" s="78" t="s">
        <v>88</v>
      </c>
      <c r="B28" s="79" t="s">
        <v>26</v>
      </c>
      <c r="C28" s="137" t="s">
        <v>89</v>
      </c>
      <c r="D28" s="79">
        <v>1500</v>
      </c>
      <c r="E28" s="80" t="s">
        <v>18</v>
      </c>
      <c r="F28" s="79" t="s">
        <v>17</v>
      </c>
      <c r="G28" s="80" t="s">
        <v>10</v>
      </c>
      <c r="H28" s="79" t="s">
        <v>11</v>
      </c>
      <c r="I28" s="76" t="s">
        <v>225</v>
      </c>
      <c r="J28" s="20" t="s">
        <v>24</v>
      </c>
      <c r="K28" s="14" t="s">
        <v>240</v>
      </c>
      <c r="L28" s="20" t="s">
        <v>17</v>
      </c>
      <c r="M28" s="28"/>
    </row>
    <row r="29" spans="1:13" ht="23.25" thickBot="1">
      <c r="A29" s="78" t="s">
        <v>90</v>
      </c>
      <c r="B29" s="79" t="s">
        <v>26</v>
      </c>
      <c r="C29" s="137" t="s">
        <v>91</v>
      </c>
      <c r="D29" s="79">
        <v>616</v>
      </c>
      <c r="E29" s="80" t="s">
        <v>18</v>
      </c>
      <c r="F29" s="79" t="s">
        <v>17</v>
      </c>
      <c r="G29" s="80" t="s">
        <v>10</v>
      </c>
      <c r="H29" s="79" t="s">
        <v>11</v>
      </c>
      <c r="I29" s="76" t="s">
        <v>225</v>
      </c>
      <c r="J29" s="20" t="s">
        <v>24</v>
      </c>
      <c r="K29" s="14" t="s">
        <v>240</v>
      </c>
      <c r="L29" s="20" t="s">
        <v>17</v>
      </c>
      <c r="M29" s="28"/>
    </row>
    <row r="30" spans="1:13" ht="15.75" thickBot="1">
      <c r="A30" s="78" t="s">
        <v>92</v>
      </c>
      <c r="B30" s="79" t="s">
        <v>93</v>
      </c>
      <c r="C30" s="137" t="s">
        <v>94</v>
      </c>
      <c r="D30" s="79">
        <v>664</v>
      </c>
      <c r="E30" s="80" t="s">
        <v>15</v>
      </c>
      <c r="F30" s="79" t="s">
        <v>16</v>
      </c>
      <c r="G30" s="80" t="s">
        <v>10</v>
      </c>
      <c r="H30" s="79" t="s">
        <v>11</v>
      </c>
      <c r="I30" s="76" t="s">
        <v>225</v>
      </c>
      <c r="J30" s="20" t="s">
        <v>24</v>
      </c>
      <c r="K30" s="14" t="s">
        <v>240</v>
      </c>
      <c r="L30" s="20" t="s">
        <v>15</v>
      </c>
      <c r="M30" s="28"/>
    </row>
    <row r="31" spans="1:13" ht="15.75" thickBot="1">
      <c r="A31" s="78" t="s">
        <v>95</v>
      </c>
      <c r="B31" s="79" t="s">
        <v>96</v>
      </c>
      <c r="C31" s="137" t="s">
        <v>68</v>
      </c>
      <c r="D31" s="79">
        <v>1320</v>
      </c>
      <c r="E31" s="80" t="s">
        <v>22</v>
      </c>
      <c r="F31" s="79" t="s">
        <v>23</v>
      </c>
      <c r="G31" s="80" t="s">
        <v>10</v>
      </c>
      <c r="H31" s="79" t="s">
        <v>11</v>
      </c>
      <c r="I31" s="76" t="s">
        <v>225</v>
      </c>
      <c r="J31" s="20" t="s">
        <v>24</v>
      </c>
      <c r="K31" s="14" t="s">
        <v>240</v>
      </c>
      <c r="L31" s="20" t="s">
        <v>235</v>
      </c>
      <c r="M31" s="28"/>
    </row>
    <row r="32" spans="1:13" ht="15.75" thickBot="1">
      <c r="A32" s="78" t="s">
        <v>643</v>
      </c>
      <c r="B32" s="79" t="s">
        <v>97</v>
      </c>
      <c r="C32" s="137" t="s">
        <v>646</v>
      </c>
      <c r="D32" s="79">
        <v>20</v>
      </c>
      <c r="E32" s="80" t="s">
        <v>36</v>
      </c>
      <c r="F32" s="79" t="s">
        <v>37</v>
      </c>
      <c r="G32" s="80" t="s">
        <v>14</v>
      </c>
      <c r="H32" s="79" t="s">
        <v>11</v>
      </c>
      <c r="I32" s="76" t="s">
        <v>225</v>
      </c>
      <c r="J32" s="20" t="s">
        <v>24</v>
      </c>
      <c r="K32" s="14" t="s">
        <v>240</v>
      </c>
      <c r="L32" s="20" t="s">
        <v>37</v>
      </c>
      <c r="M32" s="28"/>
    </row>
    <row r="33" spans="1:21" ht="15.75" thickBot="1">
      <c r="A33" s="78" t="s">
        <v>644</v>
      </c>
      <c r="B33" s="79" t="s">
        <v>97</v>
      </c>
      <c r="C33" s="137" t="s">
        <v>647</v>
      </c>
      <c r="D33" s="79">
        <v>172.5</v>
      </c>
      <c r="E33" s="80" t="s">
        <v>12</v>
      </c>
      <c r="F33" s="79" t="s">
        <v>13</v>
      </c>
      <c r="G33" s="80" t="s">
        <v>14</v>
      </c>
      <c r="H33" s="79" t="s">
        <v>11</v>
      </c>
      <c r="I33" s="76" t="s">
        <v>225</v>
      </c>
      <c r="J33" s="20" t="s">
        <v>24</v>
      </c>
      <c r="K33" s="14" t="s">
        <v>240</v>
      </c>
      <c r="L33" s="20" t="s">
        <v>13</v>
      </c>
      <c r="M33" s="28"/>
    </row>
    <row r="34" spans="1:21" ht="15.75" thickBot="1">
      <c r="A34" s="81" t="s">
        <v>98</v>
      </c>
      <c r="B34" s="82" t="s">
        <v>99</v>
      </c>
      <c r="C34" s="137" t="s">
        <v>100</v>
      </c>
      <c r="D34" s="82">
        <v>48.3</v>
      </c>
      <c r="E34" s="83" t="s">
        <v>12</v>
      </c>
      <c r="F34" s="82" t="s">
        <v>13</v>
      </c>
      <c r="G34" s="83" t="s">
        <v>14</v>
      </c>
      <c r="H34" s="82" t="s">
        <v>11</v>
      </c>
      <c r="I34" s="76" t="s">
        <v>225</v>
      </c>
      <c r="J34" s="22" t="s">
        <v>24</v>
      </c>
      <c r="K34" s="16" t="s">
        <v>240</v>
      </c>
      <c r="L34" s="22" t="s">
        <v>13</v>
      </c>
    </row>
    <row r="35" spans="1:21" ht="15.75" thickBot="1">
      <c r="A35" s="84"/>
      <c r="B35" s="84"/>
      <c r="C35" s="84"/>
      <c r="D35" s="84"/>
      <c r="E35" s="84"/>
      <c r="F35" s="84"/>
      <c r="G35" s="84"/>
      <c r="H35" s="84"/>
      <c r="J35" s="84"/>
      <c r="K35" s="84"/>
    </row>
    <row r="36" spans="1:21" ht="15.75" thickBot="1">
      <c r="A36" s="50" t="s">
        <v>101</v>
      </c>
      <c r="B36" s="109"/>
      <c r="C36" s="110"/>
      <c r="D36" s="51">
        <f>SUM(existingstable[Nameplate Capacity (MW)])</f>
        <v>16371.999999999998</v>
      </c>
      <c r="E36" s="110"/>
      <c r="F36" s="109"/>
      <c r="G36" s="110"/>
      <c r="H36" s="109"/>
      <c r="I36" s="156"/>
    </row>
    <row r="38" spans="1:21">
      <c r="A38" s="178" t="s">
        <v>776</v>
      </c>
      <c r="B38" s="178"/>
      <c r="C38" s="178"/>
      <c r="D38" s="178"/>
      <c r="E38" s="178"/>
      <c r="F38" s="178"/>
      <c r="G38" s="178"/>
      <c r="H38" s="178"/>
      <c r="I38" s="153"/>
      <c r="J38" s="142"/>
      <c r="K38" s="142"/>
      <c r="L38" s="141"/>
      <c r="M38" s="142"/>
      <c r="N38" s="142"/>
      <c r="O38" s="142"/>
      <c r="P38" s="142"/>
      <c r="Q38" s="142"/>
      <c r="R38" s="142"/>
      <c r="S38" s="142"/>
      <c r="T38" s="142"/>
      <c r="U38" s="142"/>
    </row>
  </sheetData>
  <mergeCells count="1">
    <mergeCell ref="A38:H38"/>
  </mergeCells>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110"/>
  <sheetViews>
    <sheetView zoomScale="130" zoomScaleNormal="130" workbookViewId="0"/>
  </sheetViews>
  <sheetFormatPr defaultColWidth="9.140625" defaultRowHeight="15"/>
  <cols>
    <col min="1" max="1" width="18.42578125" style="28" bestFit="1" customWidth="1"/>
    <col min="2" max="11" width="10.7109375" style="28" bestFit="1" customWidth="1"/>
    <col min="12" max="12" width="16.140625" style="28" bestFit="1" customWidth="1"/>
    <col min="13" max="13" width="12.7109375" style="28" hidden="1" customWidth="1"/>
    <col min="14" max="14" width="11" style="28" hidden="1" customWidth="1"/>
    <col min="15" max="15" width="11.42578125" style="28" hidden="1" customWidth="1"/>
    <col min="16" max="16384" width="9.140625" style="28"/>
  </cols>
  <sheetData>
    <row r="1" spans="1:15" ht="20.25" thickBot="1">
      <c r="A1" s="47" t="s">
        <v>586</v>
      </c>
    </row>
    <row r="2" spans="1:15" ht="15.75" thickBot="1">
      <c r="A2" s="130" t="s">
        <v>587</v>
      </c>
      <c r="B2" s="130" t="s">
        <v>738</v>
      </c>
      <c r="C2" s="130" t="s">
        <v>739</v>
      </c>
      <c r="D2" s="130" t="s">
        <v>740</v>
      </c>
      <c r="E2" s="130" t="s">
        <v>741</v>
      </c>
      <c r="F2" s="130" t="s">
        <v>742</v>
      </c>
      <c r="G2" s="130" t="s">
        <v>743</v>
      </c>
      <c r="H2" s="130" t="s">
        <v>744</v>
      </c>
      <c r="I2" s="130" t="s">
        <v>745</v>
      </c>
      <c r="J2" s="130" t="s">
        <v>746</v>
      </c>
      <c r="K2" s="130" t="s">
        <v>747</v>
      </c>
      <c r="L2" s="130" t="s">
        <v>588</v>
      </c>
      <c r="M2" s="62" t="s">
        <v>589</v>
      </c>
      <c r="N2" s="62" t="s">
        <v>7</v>
      </c>
      <c r="O2" s="62" t="s">
        <v>590</v>
      </c>
    </row>
    <row r="3" spans="1:15" ht="15.75" thickBot="1">
      <c r="A3" s="18" t="s">
        <v>19</v>
      </c>
      <c r="B3" s="87">
        <v>2520</v>
      </c>
      <c r="C3" s="88">
        <v>2545</v>
      </c>
      <c r="D3" s="87">
        <v>2570</v>
      </c>
      <c r="E3" s="88">
        <v>2595</v>
      </c>
      <c r="F3" s="87">
        <v>2620</v>
      </c>
      <c r="G3" s="88">
        <v>2620</v>
      </c>
      <c r="H3" s="87">
        <v>2620</v>
      </c>
      <c r="I3" s="88">
        <v>2620</v>
      </c>
      <c r="J3" s="87">
        <v>2620</v>
      </c>
      <c r="K3" s="88">
        <v>2620</v>
      </c>
      <c r="L3" s="67" t="s">
        <v>10</v>
      </c>
      <c r="M3" s="24" t="s">
        <v>591</v>
      </c>
      <c r="N3" s="67" t="s">
        <v>24</v>
      </c>
      <c r="O3" s="24" t="s">
        <v>592</v>
      </c>
    </row>
    <row r="4" spans="1:15" ht="15.75" thickBot="1">
      <c r="A4" s="17" t="s">
        <v>104</v>
      </c>
      <c r="B4" s="89">
        <v>0</v>
      </c>
      <c r="C4" s="90">
        <v>87</v>
      </c>
      <c r="D4" s="89">
        <v>87</v>
      </c>
      <c r="E4" s="90">
        <v>87</v>
      </c>
      <c r="F4" s="89">
        <v>87</v>
      </c>
      <c r="G4" s="90">
        <v>87</v>
      </c>
      <c r="H4" s="89">
        <v>87</v>
      </c>
      <c r="I4" s="90">
        <v>87</v>
      </c>
      <c r="J4" s="89">
        <v>87</v>
      </c>
      <c r="K4" s="90">
        <v>87</v>
      </c>
      <c r="L4" s="66" t="s">
        <v>14</v>
      </c>
      <c r="M4" s="23" t="s">
        <v>37</v>
      </c>
      <c r="N4" s="66" t="s">
        <v>24</v>
      </c>
      <c r="O4" s="23" t="s">
        <v>592</v>
      </c>
    </row>
    <row r="5" spans="1:15" ht="15.75" thickBot="1">
      <c r="A5" s="17" t="s">
        <v>25</v>
      </c>
      <c r="B5" s="89">
        <v>80</v>
      </c>
      <c r="C5" s="90">
        <v>80</v>
      </c>
      <c r="D5" s="89">
        <v>80</v>
      </c>
      <c r="E5" s="90">
        <v>80</v>
      </c>
      <c r="F5" s="89">
        <v>80</v>
      </c>
      <c r="G5" s="90">
        <v>80</v>
      </c>
      <c r="H5" s="89">
        <v>80</v>
      </c>
      <c r="I5" s="90">
        <v>80</v>
      </c>
      <c r="J5" s="89">
        <v>80</v>
      </c>
      <c r="K5" s="90">
        <v>80</v>
      </c>
      <c r="L5" s="66" t="s">
        <v>10</v>
      </c>
      <c r="M5" s="23" t="s">
        <v>593</v>
      </c>
      <c r="N5" s="66" t="s">
        <v>24</v>
      </c>
      <c r="O5" s="23" t="s">
        <v>592</v>
      </c>
    </row>
    <row r="6" spans="1:15" ht="15.75" thickBot="1">
      <c r="A6" s="17" t="s">
        <v>28</v>
      </c>
      <c r="B6" s="89">
        <v>104.09</v>
      </c>
      <c r="C6" s="90">
        <v>104.09</v>
      </c>
      <c r="D6" s="89">
        <v>104.09</v>
      </c>
      <c r="E6" s="90">
        <v>104.09</v>
      </c>
      <c r="F6" s="89">
        <v>104.09</v>
      </c>
      <c r="G6" s="90">
        <v>104.09</v>
      </c>
      <c r="H6" s="89">
        <v>104.09</v>
      </c>
      <c r="I6" s="90">
        <v>104.09</v>
      </c>
      <c r="J6" s="89">
        <v>104.09</v>
      </c>
      <c r="K6" s="90">
        <v>104.09</v>
      </c>
      <c r="L6" s="66" t="s">
        <v>14</v>
      </c>
      <c r="M6" s="23" t="s">
        <v>13</v>
      </c>
      <c r="N6" s="66" t="s">
        <v>24</v>
      </c>
      <c r="O6" s="23" t="s">
        <v>592</v>
      </c>
    </row>
    <row r="7" spans="1:15" ht="15.75" thickBot="1">
      <c r="A7" s="17" t="s">
        <v>106</v>
      </c>
      <c r="B7" s="89">
        <v>113.19</v>
      </c>
      <c r="C7" s="90">
        <v>113.19</v>
      </c>
      <c r="D7" s="89">
        <v>113.19</v>
      </c>
      <c r="E7" s="90">
        <v>113.19</v>
      </c>
      <c r="F7" s="89">
        <v>113.19</v>
      </c>
      <c r="G7" s="90">
        <v>113.19</v>
      </c>
      <c r="H7" s="89">
        <v>113.19</v>
      </c>
      <c r="I7" s="90">
        <v>113.19</v>
      </c>
      <c r="J7" s="89">
        <v>113.19</v>
      </c>
      <c r="K7" s="90">
        <v>113.19</v>
      </c>
      <c r="L7" s="66" t="s">
        <v>14</v>
      </c>
      <c r="M7" s="23" t="s">
        <v>13</v>
      </c>
      <c r="N7" s="66" t="s">
        <v>24</v>
      </c>
      <c r="O7" s="23" t="s">
        <v>592</v>
      </c>
    </row>
    <row r="8" spans="1:15" ht="15.75" thickBot="1">
      <c r="A8" s="17" t="s">
        <v>269</v>
      </c>
      <c r="B8" s="89">
        <v>0</v>
      </c>
      <c r="C8" s="90">
        <v>100</v>
      </c>
      <c r="D8" s="89">
        <v>100</v>
      </c>
      <c r="E8" s="90">
        <v>100</v>
      </c>
      <c r="F8" s="89">
        <v>100</v>
      </c>
      <c r="G8" s="90">
        <v>100</v>
      </c>
      <c r="H8" s="89">
        <v>100</v>
      </c>
      <c r="I8" s="90">
        <v>100</v>
      </c>
      <c r="J8" s="89">
        <v>100</v>
      </c>
      <c r="K8" s="90">
        <v>100</v>
      </c>
      <c r="L8" s="66" t="s">
        <v>14</v>
      </c>
      <c r="M8" s="23" t="s">
        <v>37</v>
      </c>
      <c r="N8" s="66" t="s">
        <v>24</v>
      </c>
      <c r="O8" s="23" t="s">
        <v>592</v>
      </c>
    </row>
    <row r="9" spans="1:15" ht="15.75" thickBot="1">
      <c r="A9" s="17" t="s">
        <v>33</v>
      </c>
      <c r="B9" s="89">
        <v>53</v>
      </c>
      <c r="C9" s="90">
        <v>53</v>
      </c>
      <c r="D9" s="89">
        <v>53</v>
      </c>
      <c r="E9" s="90">
        <v>53</v>
      </c>
      <c r="F9" s="89">
        <v>53</v>
      </c>
      <c r="G9" s="90">
        <v>53</v>
      </c>
      <c r="H9" s="89">
        <v>53</v>
      </c>
      <c r="I9" s="90">
        <v>53</v>
      </c>
      <c r="J9" s="89">
        <v>53</v>
      </c>
      <c r="K9" s="90">
        <v>53</v>
      </c>
      <c r="L9" s="66" t="s">
        <v>14</v>
      </c>
      <c r="M9" s="23" t="s">
        <v>37</v>
      </c>
      <c r="N9" s="66" t="s">
        <v>24</v>
      </c>
      <c r="O9" s="23" t="s">
        <v>592</v>
      </c>
    </row>
    <row r="10" spans="1:15" ht="15.75" thickBot="1">
      <c r="A10" s="17" t="s">
        <v>108</v>
      </c>
      <c r="B10" s="89">
        <v>150</v>
      </c>
      <c r="C10" s="90">
        <v>150</v>
      </c>
      <c r="D10" s="89">
        <v>150</v>
      </c>
      <c r="E10" s="90">
        <v>150</v>
      </c>
      <c r="F10" s="89">
        <v>150</v>
      </c>
      <c r="G10" s="90">
        <v>150</v>
      </c>
      <c r="H10" s="89">
        <v>150</v>
      </c>
      <c r="I10" s="90">
        <v>150</v>
      </c>
      <c r="J10" s="89">
        <v>150</v>
      </c>
      <c r="K10" s="90">
        <v>150</v>
      </c>
      <c r="L10" s="66" t="s">
        <v>14</v>
      </c>
      <c r="M10" s="23" t="s">
        <v>37</v>
      </c>
      <c r="N10" s="66" t="s">
        <v>24</v>
      </c>
      <c r="O10" s="23" t="s">
        <v>592</v>
      </c>
    </row>
    <row r="11" spans="1:15" ht="15.75" thickBot="1">
      <c r="A11" s="17" t="s">
        <v>39</v>
      </c>
      <c r="B11" s="89">
        <v>648</v>
      </c>
      <c r="C11" s="90">
        <v>648</v>
      </c>
      <c r="D11" s="89">
        <v>648</v>
      </c>
      <c r="E11" s="90">
        <v>648</v>
      </c>
      <c r="F11" s="89">
        <v>648</v>
      </c>
      <c r="G11" s="90">
        <v>648</v>
      </c>
      <c r="H11" s="89">
        <v>648</v>
      </c>
      <c r="I11" s="90">
        <v>648</v>
      </c>
      <c r="J11" s="89">
        <v>648</v>
      </c>
      <c r="K11" s="90">
        <v>648</v>
      </c>
      <c r="L11" s="66" t="s">
        <v>10</v>
      </c>
      <c r="M11" s="23" t="s">
        <v>591</v>
      </c>
      <c r="N11" s="66" t="s">
        <v>24</v>
      </c>
      <c r="O11" s="23" t="s">
        <v>592</v>
      </c>
    </row>
    <row r="12" spans="1:15" ht="15.75" thickBot="1">
      <c r="A12" s="17" t="s">
        <v>109</v>
      </c>
      <c r="B12" s="89">
        <v>91</v>
      </c>
      <c r="C12" s="90">
        <v>91</v>
      </c>
      <c r="D12" s="89">
        <v>91</v>
      </c>
      <c r="E12" s="90">
        <v>91</v>
      </c>
      <c r="F12" s="89">
        <v>91</v>
      </c>
      <c r="G12" s="90">
        <v>91</v>
      </c>
      <c r="H12" s="89">
        <v>91</v>
      </c>
      <c r="I12" s="90">
        <v>91</v>
      </c>
      <c r="J12" s="89">
        <v>91</v>
      </c>
      <c r="K12" s="90">
        <v>91</v>
      </c>
      <c r="L12" s="66" t="s">
        <v>14</v>
      </c>
      <c r="M12" s="23" t="s">
        <v>13</v>
      </c>
      <c r="N12" s="66" t="s">
        <v>24</v>
      </c>
      <c r="O12" s="23" t="s">
        <v>592</v>
      </c>
    </row>
    <row r="13" spans="1:15" ht="23.25" thickBot="1">
      <c r="A13" s="17" t="s">
        <v>307</v>
      </c>
      <c r="B13" s="89">
        <v>0</v>
      </c>
      <c r="C13" s="90">
        <v>135</v>
      </c>
      <c r="D13" s="89">
        <v>135</v>
      </c>
      <c r="E13" s="90">
        <v>135</v>
      </c>
      <c r="F13" s="89">
        <v>135</v>
      </c>
      <c r="G13" s="90">
        <v>135</v>
      </c>
      <c r="H13" s="89">
        <v>135</v>
      </c>
      <c r="I13" s="90">
        <v>135</v>
      </c>
      <c r="J13" s="89">
        <v>135</v>
      </c>
      <c r="K13" s="90">
        <v>135</v>
      </c>
      <c r="L13" s="66" t="s">
        <v>14</v>
      </c>
      <c r="M13" s="23" t="s">
        <v>13</v>
      </c>
      <c r="N13" s="66" t="s">
        <v>24</v>
      </c>
      <c r="O13" s="23" t="s">
        <v>592</v>
      </c>
    </row>
    <row r="14" spans="1:15" ht="23.25" thickBot="1">
      <c r="A14" s="17" t="s">
        <v>313</v>
      </c>
      <c r="B14" s="89">
        <v>0</v>
      </c>
      <c r="C14" s="90">
        <v>263.33300000000003</v>
      </c>
      <c r="D14" s="89">
        <v>263.33300000000003</v>
      </c>
      <c r="E14" s="90">
        <v>263.33300000000003</v>
      </c>
      <c r="F14" s="89">
        <v>263.33300000000003</v>
      </c>
      <c r="G14" s="90">
        <v>263.33300000000003</v>
      </c>
      <c r="H14" s="89">
        <v>263.33300000000003</v>
      </c>
      <c r="I14" s="90">
        <v>263.33300000000003</v>
      </c>
      <c r="J14" s="89">
        <v>263.33300000000003</v>
      </c>
      <c r="K14" s="90">
        <v>263.33300000000003</v>
      </c>
      <c r="L14" s="66" t="s">
        <v>14</v>
      </c>
      <c r="M14" s="23" t="s">
        <v>37</v>
      </c>
      <c r="N14" s="66" t="s">
        <v>24</v>
      </c>
      <c r="O14" s="23" t="s">
        <v>592</v>
      </c>
    </row>
    <row r="15" spans="1:15" ht="15.75" thickBot="1">
      <c r="A15" s="17" t="s">
        <v>42</v>
      </c>
      <c r="B15" s="89">
        <v>2720</v>
      </c>
      <c r="C15" s="90">
        <v>2720</v>
      </c>
      <c r="D15" s="89">
        <v>2720</v>
      </c>
      <c r="E15" s="90">
        <v>2720</v>
      </c>
      <c r="F15" s="89">
        <v>2720</v>
      </c>
      <c r="G15" s="90">
        <v>2720</v>
      </c>
      <c r="H15" s="89">
        <v>2720</v>
      </c>
      <c r="I15" s="90">
        <v>2720</v>
      </c>
      <c r="J15" s="89">
        <v>2720</v>
      </c>
      <c r="K15" s="90">
        <v>2720</v>
      </c>
      <c r="L15" s="66" t="s">
        <v>10</v>
      </c>
      <c r="M15" s="23" t="s">
        <v>591</v>
      </c>
      <c r="N15" s="66" t="s">
        <v>24</v>
      </c>
      <c r="O15" s="23" t="s">
        <v>592</v>
      </c>
    </row>
    <row r="16" spans="1:15" ht="15.75" thickBot="1">
      <c r="A16" s="17" t="s">
        <v>777</v>
      </c>
      <c r="B16" s="89">
        <v>0</v>
      </c>
      <c r="C16" s="90">
        <v>133</v>
      </c>
      <c r="D16" s="89">
        <v>133</v>
      </c>
      <c r="E16" s="90">
        <v>133</v>
      </c>
      <c r="F16" s="89">
        <v>133</v>
      </c>
      <c r="G16" s="90">
        <v>133</v>
      </c>
      <c r="H16" s="89">
        <v>133</v>
      </c>
      <c r="I16" s="90">
        <v>133</v>
      </c>
      <c r="J16" s="89">
        <v>133</v>
      </c>
      <c r="K16" s="90">
        <v>133</v>
      </c>
      <c r="L16" s="66" t="s">
        <v>14</v>
      </c>
      <c r="M16" s="23" t="s">
        <v>37</v>
      </c>
      <c r="N16" s="66" t="s">
        <v>24</v>
      </c>
      <c r="O16" s="23" t="s">
        <v>592</v>
      </c>
    </row>
    <row r="17" spans="1:15" ht="15.75" thickBot="1">
      <c r="A17" s="17" t="s">
        <v>45</v>
      </c>
      <c r="B17" s="89">
        <v>10</v>
      </c>
      <c r="C17" s="90">
        <v>10</v>
      </c>
      <c r="D17" s="89">
        <v>10</v>
      </c>
      <c r="E17" s="90">
        <v>10</v>
      </c>
      <c r="F17" s="89">
        <v>10</v>
      </c>
      <c r="G17" s="90">
        <v>10</v>
      </c>
      <c r="H17" s="89">
        <v>10</v>
      </c>
      <c r="I17" s="90">
        <v>10</v>
      </c>
      <c r="J17" s="89">
        <v>10</v>
      </c>
      <c r="K17" s="90">
        <v>10</v>
      </c>
      <c r="L17" s="66" t="s">
        <v>14</v>
      </c>
      <c r="M17" s="23" t="s">
        <v>37</v>
      </c>
      <c r="N17" s="66" t="s">
        <v>24</v>
      </c>
      <c r="O17" s="23" t="s">
        <v>592</v>
      </c>
    </row>
    <row r="18" spans="1:15" ht="15.75" thickBot="1">
      <c r="A18" s="17" t="s">
        <v>594</v>
      </c>
      <c r="B18" s="89">
        <v>165.5</v>
      </c>
      <c r="C18" s="90">
        <v>165.5</v>
      </c>
      <c r="D18" s="89">
        <v>165.5</v>
      </c>
      <c r="E18" s="90">
        <v>165.5</v>
      </c>
      <c r="F18" s="89">
        <v>165.5</v>
      </c>
      <c r="G18" s="90">
        <v>165.5</v>
      </c>
      <c r="H18" s="89">
        <v>165.5</v>
      </c>
      <c r="I18" s="90">
        <v>165.5</v>
      </c>
      <c r="J18" s="89">
        <v>165.5</v>
      </c>
      <c r="K18" s="90">
        <v>165.5</v>
      </c>
      <c r="L18" s="66" t="s">
        <v>14</v>
      </c>
      <c r="M18" s="23" t="s">
        <v>13</v>
      </c>
      <c r="N18" s="66" t="s">
        <v>24</v>
      </c>
      <c r="O18" s="23" t="s">
        <v>592</v>
      </c>
    </row>
    <row r="19" spans="1:15" ht="15.75" thickBot="1">
      <c r="A19" s="17" t="s">
        <v>731</v>
      </c>
      <c r="B19" s="89">
        <v>46.5</v>
      </c>
      <c r="C19" s="90">
        <v>46.5</v>
      </c>
      <c r="D19" s="89">
        <v>46.5</v>
      </c>
      <c r="E19" s="90">
        <v>46.5</v>
      </c>
      <c r="F19" s="89">
        <v>46.5</v>
      </c>
      <c r="G19" s="90">
        <v>46.5</v>
      </c>
      <c r="H19" s="89">
        <v>46.5</v>
      </c>
      <c r="I19" s="90">
        <v>46.5</v>
      </c>
      <c r="J19" s="89">
        <v>46.5</v>
      </c>
      <c r="K19" s="90">
        <v>46.5</v>
      </c>
      <c r="L19" s="66" t="s">
        <v>14</v>
      </c>
      <c r="M19" s="23" t="s">
        <v>13</v>
      </c>
      <c r="N19" s="66" t="s">
        <v>24</v>
      </c>
      <c r="O19" s="23" t="s">
        <v>592</v>
      </c>
    </row>
    <row r="20" spans="1:15" ht="15.75" thickBot="1">
      <c r="A20" s="17" t="s">
        <v>50</v>
      </c>
      <c r="B20" s="89">
        <v>34</v>
      </c>
      <c r="C20" s="90">
        <v>68</v>
      </c>
      <c r="D20" s="89">
        <v>68</v>
      </c>
      <c r="E20" s="90">
        <v>68</v>
      </c>
      <c r="F20" s="89">
        <v>68</v>
      </c>
      <c r="G20" s="90">
        <v>68</v>
      </c>
      <c r="H20" s="89">
        <v>68</v>
      </c>
      <c r="I20" s="90">
        <v>68</v>
      </c>
      <c r="J20" s="89">
        <v>68</v>
      </c>
      <c r="K20" s="90">
        <v>68</v>
      </c>
      <c r="L20" s="66" t="s">
        <v>10</v>
      </c>
      <c r="M20" s="23" t="s">
        <v>593</v>
      </c>
      <c r="N20" s="66" t="s">
        <v>24</v>
      </c>
      <c r="O20" s="23" t="s">
        <v>592</v>
      </c>
    </row>
    <row r="21" spans="1:15" ht="15.75" thickBot="1">
      <c r="A21" s="17" t="s">
        <v>53</v>
      </c>
      <c r="B21" s="89">
        <v>29</v>
      </c>
      <c r="C21" s="90">
        <v>29</v>
      </c>
      <c r="D21" s="89">
        <v>29</v>
      </c>
      <c r="E21" s="90">
        <v>29</v>
      </c>
      <c r="F21" s="89">
        <v>29</v>
      </c>
      <c r="G21" s="90">
        <v>29</v>
      </c>
      <c r="H21" s="89">
        <v>29</v>
      </c>
      <c r="I21" s="90">
        <v>29</v>
      </c>
      <c r="J21" s="89">
        <v>29</v>
      </c>
      <c r="K21" s="90">
        <v>29</v>
      </c>
      <c r="L21" s="66" t="s">
        <v>10</v>
      </c>
      <c r="M21" s="23" t="s">
        <v>593</v>
      </c>
      <c r="N21" s="66" t="s">
        <v>24</v>
      </c>
      <c r="O21" s="23" t="s">
        <v>592</v>
      </c>
    </row>
    <row r="22" spans="1:15" ht="15.75" thickBot="1">
      <c r="A22" s="17" t="s">
        <v>56</v>
      </c>
      <c r="B22" s="89">
        <v>30</v>
      </c>
      <c r="C22" s="90">
        <v>30</v>
      </c>
      <c r="D22" s="89">
        <v>30</v>
      </c>
      <c r="E22" s="90">
        <v>30</v>
      </c>
      <c r="F22" s="89">
        <v>30</v>
      </c>
      <c r="G22" s="90">
        <v>30</v>
      </c>
      <c r="H22" s="89">
        <v>30</v>
      </c>
      <c r="I22" s="90">
        <v>30</v>
      </c>
      <c r="J22" s="89">
        <v>30</v>
      </c>
      <c r="K22" s="90">
        <v>30</v>
      </c>
      <c r="L22" s="66" t="s">
        <v>10</v>
      </c>
      <c r="M22" s="23" t="s">
        <v>591</v>
      </c>
      <c r="N22" s="66" t="s">
        <v>24</v>
      </c>
      <c r="O22" s="23" t="s">
        <v>592</v>
      </c>
    </row>
    <row r="23" spans="1:15" ht="15.75" thickBot="1">
      <c r="A23" s="17" t="s">
        <v>58</v>
      </c>
      <c r="B23" s="89">
        <v>1800</v>
      </c>
      <c r="C23" s="90">
        <v>1800</v>
      </c>
      <c r="D23" s="89">
        <v>1800</v>
      </c>
      <c r="E23" s="90">
        <v>1800</v>
      </c>
      <c r="F23" s="89">
        <v>0</v>
      </c>
      <c r="G23" s="90">
        <v>0</v>
      </c>
      <c r="H23" s="89">
        <v>0</v>
      </c>
      <c r="I23" s="90">
        <v>0</v>
      </c>
      <c r="J23" s="89">
        <v>0</v>
      </c>
      <c r="K23" s="90">
        <v>0</v>
      </c>
      <c r="L23" s="66" t="s">
        <v>10</v>
      </c>
      <c r="M23" s="23" t="s">
        <v>591</v>
      </c>
      <c r="N23" s="66" t="s">
        <v>24</v>
      </c>
      <c r="O23" s="23" t="s">
        <v>592</v>
      </c>
    </row>
    <row r="24" spans="1:15" ht="15.75" thickBot="1">
      <c r="A24" s="17" t="s">
        <v>758</v>
      </c>
      <c r="B24" s="89">
        <v>0</v>
      </c>
      <c r="C24" s="90">
        <v>0</v>
      </c>
      <c r="D24" s="89">
        <v>220</v>
      </c>
      <c r="E24" s="90">
        <v>220</v>
      </c>
      <c r="F24" s="89">
        <v>220</v>
      </c>
      <c r="G24" s="90">
        <v>220</v>
      </c>
      <c r="H24" s="89">
        <v>220</v>
      </c>
      <c r="I24" s="90">
        <v>220</v>
      </c>
      <c r="J24" s="89">
        <v>220</v>
      </c>
      <c r="K24" s="90">
        <v>220</v>
      </c>
      <c r="L24" s="66" t="s">
        <v>14</v>
      </c>
      <c r="M24" s="23" t="s">
        <v>37</v>
      </c>
      <c r="N24" s="66" t="s">
        <v>24</v>
      </c>
      <c r="O24" s="23" t="s">
        <v>592</v>
      </c>
    </row>
    <row r="25" spans="1:15" ht="15.75" thickBot="1">
      <c r="A25" s="17" t="s">
        <v>759</v>
      </c>
      <c r="B25" s="89">
        <v>0</v>
      </c>
      <c r="C25" s="90">
        <v>29</v>
      </c>
      <c r="D25" s="89">
        <v>29</v>
      </c>
      <c r="E25" s="90">
        <v>29</v>
      </c>
      <c r="F25" s="89">
        <v>29</v>
      </c>
      <c r="G25" s="90">
        <v>29</v>
      </c>
      <c r="H25" s="89">
        <v>29</v>
      </c>
      <c r="I25" s="90">
        <v>29</v>
      </c>
      <c r="J25" s="89">
        <v>29</v>
      </c>
      <c r="K25" s="90">
        <v>29</v>
      </c>
      <c r="L25" s="66" t="s">
        <v>14</v>
      </c>
      <c r="M25" s="23" t="s">
        <v>37</v>
      </c>
      <c r="N25" s="66" t="s">
        <v>24</v>
      </c>
      <c r="O25" s="23" t="s">
        <v>592</v>
      </c>
    </row>
    <row r="26" spans="1:15" ht="23.25" thickBot="1">
      <c r="A26" s="17" t="s">
        <v>61</v>
      </c>
      <c r="B26" s="89">
        <v>46.7</v>
      </c>
      <c r="C26" s="90">
        <v>46.7</v>
      </c>
      <c r="D26" s="89">
        <v>46.7</v>
      </c>
      <c r="E26" s="90">
        <v>46.7</v>
      </c>
      <c r="F26" s="89">
        <v>46.7</v>
      </c>
      <c r="G26" s="90">
        <v>46.7</v>
      </c>
      <c r="H26" s="89">
        <v>46.7</v>
      </c>
      <c r="I26" s="90">
        <v>46.7</v>
      </c>
      <c r="J26" s="89">
        <v>46.7</v>
      </c>
      <c r="K26" s="90">
        <v>46.7</v>
      </c>
      <c r="L26" s="66" t="s">
        <v>14</v>
      </c>
      <c r="M26" s="23" t="s">
        <v>37</v>
      </c>
      <c r="N26" s="66" t="s">
        <v>24</v>
      </c>
      <c r="O26" s="23" t="s">
        <v>592</v>
      </c>
    </row>
    <row r="27" spans="1:15" ht="15.75" thickBot="1">
      <c r="A27" s="17" t="s">
        <v>64</v>
      </c>
      <c r="B27" s="89">
        <v>55.6</v>
      </c>
      <c r="C27" s="90">
        <v>55.2</v>
      </c>
      <c r="D27" s="89">
        <v>54.8</v>
      </c>
      <c r="E27" s="90">
        <v>54.4</v>
      </c>
      <c r="F27" s="89">
        <v>54.1</v>
      </c>
      <c r="G27" s="90">
        <v>53.7</v>
      </c>
      <c r="H27" s="89">
        <v>53.3</v>
      </c>
      <c r="I27" s="90">
        <v>52.9</v>
      </c>
      <c r="J27" s="89">
        <v>52.6</v>
      </c>
      <c r="K27" s="90">
        <v>52.2</v>
      </c>
      <c r="L27" s="66" t="s">
        <v>14</v>
      </c>
      <c r="M27" s="23" t="s">
        <v>37</v>
      </c>
      <c r="N27" s="66" t="s">
        <v>24</v>
      </c>
      <c r="O27" s="23" t="s">
        <v>592</v>
      </c>
    </row>
    <row r="28" spans="1:15" ht="15.75" thickBot="1">
      <c r="A28" s="17" t="s">
        <v>67</v>
      </c>
      <c r="B28" s="89">
        <v>1300</v>
      </c>
      <c r="C28" s="90">
        <v>1300</v>
      </c>
      <c r="D28" s="89">
        <v>1300</v>
      </c>
      <c r="E28" s="90">
        <v>1300</v>
      </c>
      <c r="F28" s="89">
        <v>1300</v>
      </c>
      <c r="G28" s="90">
        <v>1300</v>
      </c>
      <c r="H28" s="89">
        <v>1300</v>
      </c>
      <c r="I28" s="90">
        <v>1300</v>
      </c>
      <c r="J28" s="89">
        <v>1300</v>
      </c>
      <c r="K28" s="90">
        <v>1300</v>
      </c>
      <c r="L28" s="66" t="s">
        <v>10</v>
      </c>
      <c r="M28" s="23" t="s">
        <v>591</v>
      </c>
      <c r="N28" s="66" t="s">
        <v>24</v>
      </c>
      <c r="O28" s="23" t="s">
        <v>592</v>
      </c>
    </row>
    <row r="29" spans="1:15" ht="15.75" thickBot="1">
      <c r="A29" s="17" t="s">
        <v>639</v>
      </c>
      <c r="B29" s="89">
        <v>0</v>
      </c>
      <c r="C29" s="90">
        <v>105</v>
      </c>
      <c r="D29" s="89">
        <v>105</v>
      </c>
      <c r="E29" s="90">
        <v>105</v>
      </c>
      <c r="F29" s="89">
        <v>105</v>
      </c>
      <c r="G29" s="90">
        <v>105</v>
      </c>
      <c r="H29" s="89">
        <v>105</v>
      </c>
      <c r="I29" s="90">
        <v>105</v>
      </c>
      <c r="J29" s="89">
        <v>105</v>
      </c>
      <c r="K29" s="90">
        <v>105</v>
      </c>
      <c r="L29" s="66" t="s">
        <v>14</v>
      </c>
      <c r="M29" s="23" t="s">
        <v>37</v>
      </c>
      <c r="N29" s="66" t="s">
        <v>24</v>
      </c>
      <c r="O29" s="23" t="s">
        <v>592</v>
      </c>
    </row>
    <row r="30" spans="1:15" ht="15.75" thickBot="1">
      <c r="A30" s="17" t="s">
        <v>732</v>
      </c>
      <c r="B30" s="89">
        <v>102</v>
      </c>
      <c r="C30" s="90">
        <v>102</v>
      </c>
      <c r="D30" s="89">
        <v>102</v>
      </c>
      <c r="E30" s="90">
        <v>102</v>
      </c>
      <c r="F30" s="89">
        <v>102</v>
      </c>
      <c r="G30" s="90">
        <v>102</v>
      </c>
      <c r="H30" s="89">
        <v>102</v>
      </c>
      <c r="I30" s="90">
        <v>102</v>
      </c>
      <c r="J30" s="89">
        <v>102</v>
      </c>
      <c r="K30" s="90">
        <v>102</v>
      </c>
      <c r="L30" s="66" t="s">
        <v>14</v>
      </c>
      <c r="M30" s="23" t="s">
        <v>37</v>
      </c>
      <c r="N30" s="66" t="s">
        <v>24</v>
      </c>
      <c r="O30" s="23" t="s">
        <v>592</v>
      </c>
    </row>
    <row r="31" spans="1:15" ht="15.75" thickBot="1">
      <c r="A31" s="17" t="s">
        <v>70</v>
      </c>
      <c r="B31" s="89">
        <v>50.5</v>
      </c>
      <c r="C31" s="90">
        <v>55</v>
      </c>
      <c r="D31" s="89">
        <v>55</v>
      </c>
      <c r="E31" s="90">
        <v>55</v>
      </c>
      <c r="F31" s="89">
        <v>55</v>
      </c>
      <c r="G31" s="90">
        <v>55</v>
      </c>
      <c r="H31" s="89">
        <v>55</v>
      </c>
      <c r="I31" s="90">
        <v>55</v>
      </c>
      <c r="J31" s="89">
        <v>55</v>
      </c>
      <c r="K31" s="90">
        <v>55</v>
      </c>
      <c r="L31" s="66" t="s">
        <v>14</v>
      </c>
      <c r="M31" s="23" t="s">
        <v>37</v>
      </c>
      <c r="N31" s="66" t="s">
        <v>24</v>
      </c>
      <c r="O31" s="23" t="s">
        <v>592</v>
      </c>
    </row>
    <row r="32" spans="1:15" ht="15.75" thickBot="1">
      <c r="A32" s="17" t="s">
        <v>72</v>
      </c>
      <c r="B32" s="89">
        <v>187</v>
      </c>
      <c r="C32" s="90">
        <v>187</v>
      </c>
      <c r="D32" s="89">
        <v>187</v>
      </c>
      <c r="E32" s="90">
        <v>187</v>
      </c>
      <c r="F32" s="89">
        <v>187</v>
      </c>
      <c r="G32" s="90">
        <v>187</v>
      </c>
      <c r="H32" s="89">
        <v>187</v>
      </c>
      <c r="I32" s="90">
        <v>187</v>
      </c>
      <c r="J32" s="89">
        <v>187</v>
      </c>
      <c r="K32" s="90">
        <v>187</v>
      </c>
      <c r="L32" s="66" t="s">
        <v>14</v>
      </c>
      <c r="M32" s="23" t="s">
        <v>13</v>
      </c>
      <c r="N32" s="66" t="s">
        <v>24</v>
      </c>
      <c r="O32" s="23" t="s">
        <v>592</v>
      </c>
    </row>
    <row r="33" spans="1:15" ht="15.75" thickBot="1">
      <c r="A33" s="17" t="s">
        <v>75</v>
      </c>
      <c r="B33" s="89">
        <v>240</v>
      </c>
      <c r="C33" s="90">
        <v>240</v>
      </c>
      <c r="D33" s="89">
        <v>240</v>
      </c>
      <c r="E33" s="90">
        <v>240</v>
      </c>
      <c r="F33" s="89">
        <v>240</v>
      </c>
      <c r="G33" s="90">
        <v>240</v>
      </c>
      <c r="H33" s="89">
        <v>240</v>
      </c>
      <c r="I33" s="90">
        <v>240</v>
      </c>
      <c r="J33" s="89">
        <v>240</v>
      </c>
      <c r="K33" s="90">
        <v>240</v>
      </c>
      <c r="L33" s="66" t="s">
        <v>10</v>
      </c>
      <c r="M33" s="23" t="s">
        <v>17</v>
      </c>
      <c r="N33" s="66" t="s">
        <v>24</v>
      </c>
      <c r="O33" s="23" t="s">
        <v>592</v>
      </c>
    </row>
    <row r="34" spans="1:15" ht="15.75" thickBot="1">
      <c r="A34" s="17" t="s">
        <v>595</v>
      </c>
      <c r="B34" s="89">
        <v>0</v>
      </c>
      <c r="C34" s="90">
        <v>0</v>
      </c>
      <c r="D34" s="89">
        <v>0</v>
      </c>
      <c r="E34" s="90">
        <v>0</v>
      </c>
      <c r="F34" s="89">
        <v>0</v>
      </c>
      <c r="G34" s="90">
        <v>0</v>
      </c>
      <c r="H34" s="89">
        <v>0</v>
      </c>
      <c r="I34" s="90">
        <v>0</v>
      </c>
      <c r="J34" s="89">
        <v>0</v>
      </c>
      <c r="K34" s="90">
        <v>0</v>
      </c>
      <c r="L34" s="66" t="s">
        <v>10</v>
      </c>
      <c r="M34" s="23" t="s">
        <v>593</v>
      </c>
      <c r="N34" s="66" t="s">
        <v>24</v>
      </c>
      <c r="O34" s="23" t="s">
        <v>592</v>
      </c>
    </row>
    <row r="35" spans="1:15" ht="15.75" thickBot="1">
      <c r="A35" s="17" t="s">
        <v>77</v>
      </c>
      <c r="B35" s="89">
        <v>198</v>
      </c>
      <c r="C35" s="90">
        <v>198</v>
      </c>
      <c r="D35" s="89">
        <v>198</v>
      </c>
      <c r="E35" s="90">
        <v>198</v>
      </c>
      <c r="F35" s="89">
        <v>198</v>
      </c>
      <c r="G35" s="90">
        <v>198</v>
      </c>
      <c r="H35" s="89">
        <v>198</v>
      </c>
      <c r="I35" s="90">
        <v>198</v>
      </c>
      <c r="J35" s="89">
        <v>198</v>
      </c>
      <c r="K35" s="90">
        <v>198</v>
      </c>
      <c r="L35" s="66" t="s">
        <v>14</v>
      </c>
      <c r="M35" s="23" t="s">
        <v>13</v>
      </c>
      <c r="N35" s="66" t="s">
        <v>24</v>
      </c>
      <c r="O35" s="23" t="s">
        <v>592</v>
      </c>
    </row>
    <row r="36" spans="1:15" ht="15.75" thickBot="1">
      <c r="A36" s="17" t="s">
        <v>80</v>
      </c>
      <c r="B36" s="89">
        <v>108.999</v>
      </c>
      <c r="C36" s="90">
        <v>108.999</v>
      </c>
      <c r="D36" s="89">
        <v>108.999</v>
      </c>
      <c r="E36" s="90">
        <v>108.999</v>
      </c>
      <c r="F36" s="89">
        <v>108.999</v>
      </c>
      <c r="G36" s="90">
        <v>108.999</v>
      </c>
      <c r="H36" s="89">
        <v>108.999</v>
      </c>
      <c r="I36" s="90">
        <v>108.999</v>
      </c>
      <c r="J36" s="89">
        <v>108.999</v>
      </c>
      <c r="K36" s="90">
        <v>108.999</v>
      </c>
      <c r="L36" s="66" t="s">
        <v>10</v>
      </c>
      <c r="M36" s="23" t="s">
        <v>591</v>
      </c>
      <c r="N36" s="66" t="s">
        <v>24</v>
      </c>
      <c r="O36" s="23" t="s">
        <v>592</v>
      </c>
    </row>
    <row r="37" spans="1:15" ht="23.25" thickBot="1">
      <c r="A37" s="17" t="s">
        <v>753</v>
      </c>
      <c r="B37" s="89">
        <v>0</v>
      </c>
      <c r="C37" s="90">
        <v>200</v>
      </c>
      <c r="D37" s="89">
        <v>200</v>
      </c>
      <c r="E37" s="90">
        <v>200</v>
      </c>
      <c r="F37" s="89">
        <v>200</v>
      </c>
      <c r="G37" s="90">
        <v>200</v>
      </c>
      <c r="H37" s="89">
        <v>200</v>
      </c>
      <c r="I37" s="90">
        <v>200</v>
      </c>
      <c r="J37" s="89">
        <v>200</v>
      </c>
      <c r="K37" s="90">
        <v>200</v>
      </c>
      <c r="L37" s="66" t="s">
        <v>14</v>
      </c>
      <c r="M37" s="23" t="s">
        <v>37</v>
      </c>
      <c r="N37" s="66" t="s">
        <v>24</v>
      </c>
      <c r="O37" s="23" t="s">
        <v>592</v>
      </c>
    </row>
    <row r="38" spans="1:15" ht="15.75" thickBot="1">
      <c r="A38" s="17" t="s">
        <v>83</v>
      </c>
      <c r="B38" s="89">
        <v>378</v>
      </c>
      <c r="C38" s="90">
        <v>378</v>
      </c>
      <c r="D38" s="89">
        <v>378</v>
      </c>
      <c r="E38" s="90">
        <v>378</v>
      </c>
      <c r="F38" s="89">
        <v>378</v>
      </c>
      <c r="G38" s="90">
        <v>378</v>
      </c>
      <c r="H38" s="89">
        <v>378</v>
      </c>
      <c r="I38" s="90">
        <v>378</v>
      </c>
      <c r="J38" s="89">
        <v>378</v>
      </c>
      <c r="K38" s="90">
        <v>378</v>
      </c>
      <c r="L38" s="66" t="s">
        <v>10</v>
      </c>
      <c r="M38" s="23" t="s">
        <v>591</v>
      </c>
      <c r="N38" s="66" t="s">
        <v>24</v>
      </c>
      <c r="O38" s="23" t="s">
        <v>592</v>
      </c>
    </row>
    <row r="39" spans="1:15" ht="15.75" thickBot="1">
      <c r="A39" s="17" t="s">
        <v>733</v>
      </c>
      <c r="B39" s="89">
        <v>106.8</v>
      </c>
      <c r="C39" s="90">
        <v>106.8</v>
      </c>
      <c r="D39" s="89">
        <v>106.8</v>
      </c>
      <c r="E39" s="90">
        <v>106.8</v>
      </c>
      <c r="F39" s="89">
        <v>106.8</v>
      </c>
      <c r="G39" s="90">
        <v>106.8</v>
      </c>
      <c r="H39" s="89">
        <v>106.8</v>
      </c>
      <c r="I39" s="90">
        <v>106.8</v>
      </c>
      <c r="J39" s="89">
        <v>106.8</v>
      </c>
      <c r="K39" s="90">
        <v>106.8</v>
      </c>
      <c r="L39" s="66" t="s">
        <v>14</v>
      </c>
      <c r="M39" s="23" t="s">
        <v>13</v>
      </c>
      <c r="N39" s="66" t="s">
        <v>24</v>
      </c>
      <c r="O39" s="23" t="s">
        <v>592</v>
      </c>
    </row>
    <row r="40" spans="1:15" ht="15.75" thickBot="1">
      <c r="A40" s="17" t="s">
        <v>88</v>
      </c>
      <c r="B40" s="89">
        <v>1800</v>
      </c>
      <c r="C40" s="90">
        <v>1800</v>
      </c>
      <c r="D40" s="89">
        <v>1800</v>
      </c>
      <c r="E40" s="90">
        <v>1800</v>
      </c>
      <c r="F40" s="89">
        <v>1800</v>
      </c>
      <c r="G40" s="90">
        <v>1800</v>
      </c>
      <c r="H40" s="89">
        <v>1800</v>
      </c>
      <c r="I40" s="90">
        <v>1800</v>
      </c>
      <c r="J40" s="89">
        <v>1800</v>
      </c>
      <c r="K40" s="90">
        <v>1800</v>
      </c>
      <c r="L40" s="66" t="s">
        <v>10</v>
      </c>
      <c r="M40" s="23" t="s">
        <v>593</v>
      </c>
      <c r="N40" s="66" t="s">
        <v>24</v>
      </c>
      <c r="O40" s="23" t="s">
        <v>592</v>
      </c>
    </row>
    <row r="41" spans="1:15" ht="15.75" thickBot="1">
      <c r="A41" s="17" t="s">
        <v>90</v>
      </c>
      <c r="B41" s="89">
        <v>616</v>
      </c>
      <c r="C41" s="90">
        <v>544</v>
      </c>
      <c r="D41" s="89">
        <v>616</v>
      </c>
      <c r="E41" s="90">
        <v>616</v>
      </c>
      <c r="F41" s="89">
        <v>616</v>
      </c>
      <c r="G41" s="90">
        <v>616</v>
      </c>
      <c r="H41" s="89">
        <v>616</v>
      </c>
      <c r="I41" s="90">
        <v>616</v>
      </c>
      <c r="J41" s="89">
        <v>616</v>
      </c>
      <c r="K41" s="90">
        <v>616</v>
      </c>
      <c r="L41" s="66" t="s">
        <v>10</v>
      </c>
      <c r="M41" s="23" t="s">
        <v>593</v>
      </c>
      <c r="N41" s="66" t="s">
        <v>24</v>
      </c>
      <c r="O41" s="23" t="s">
        <v>592</v>
      </c>
    </row>
    <row r="42" spans="1:15" ht="15.75" thickBot="1">
      <c r="A42" s="17" t="s">
        <v>92</v>
      </c>
      <c r="B42" s="89">
        <v>640</v>
      </c>
      <c r="C42" s="90">
        <v>640</v>
      </c>
      <c r="D42" s="89">
        <v>640</v>
      </c>
      <c r="E42" s="90">
        <v>640</v>
      </c>
      <c r="F42" s="89">
        <v>640</v>
      </c>
      <c r="G42" s="90">
        <v>640</v>
      </c>
      <c r="H42" s="89">
        <v>640</v>
      </c>
      <c r="I42" s="90">
        <v>640</v>
      </c>
      <c r="J42" s="89">
        <v>640</v>
      </c>
      <c r="K42" s="90">
        <v>640</v>
      </c>
      <c r="L42" s="66" t="s">
        <v>10</v>
      </c>
      <c r="M42" s="23" t="s">
        <v>591</v>
      </c>
      <c r="N42" s="66" t="s">
        <v>24</v>
      </c>
      <c r="O42" s="23" t="s">
        <v>592</v>
      </c>
    </row>
    <row r="43" spans="1:15" ht="15.75" thickBot="1">
      <c r="A43" s="17" t="s">
        <v>95</v>
      </c>
      <c r="B43" s="89">
        <v>1320</v>
      </c>
      <c r="C43" s="90">
        <v>1320</v>
      </c>
      <c r="D43" s="89">
        <v>1320</v>
      </c>
      <c r="E43" s="90">
        <v>1320</v>
      </c>
      <c r="F43" s="89">
        <v>1320</v>
      </c>
      <c r="G43" s="90">
        <v>1320</v>
      </c>
      <c r="H43" s="89">
        <v>1320</v>
      </c>
      <c r="I43" s="90">
        <v>1320</v>
      </c>
      <c r="J43" s="89">
        <v>1320</v>
      </c>
      <c r="K43" s="90">
        <v>1320</v>
      </c>
      <c r="L43" s="66" t="s">
        <v>10</v>
      </c>
      <c r="M43" s="23" t="s">
        <v>591</v>
      </c>
      <c r="N43" s="66" t="s">
        <v>24</v>
      </c>
      <c r="O43" s="23" t="s">
        <v>592</v>
      </c>
    </row>
    <row r="44" spans="1:15" ht="15.75" thickBot="1">
      <c r="A44" s="17" t="s">
        <v>643</v>
      </c>
      <c r="B44" s="89">
        <v>0</v>
      </c>
      <c r="C44" s="90">
        <v>0</v>
      </c>
      <c r="D44" s="89">
        <v>0</v>
      </c>
      <c r="E44" s="90">
        <v>0</v>
      </c>
      <c r="F44" s="89">
        <v>0</v>
      </c>
      <c r="G44" s="90">
        <v>0</v>
      </c>
      <c r="H44" s="89">
        <v>0</v>
      </c>
      <c r="I44" s="90">
        <v>0</v>
      </c>
      <c r="J44" s="89">
        <v>0</v>
      </c>
      <c r="K44" s="90">
        <v>0</v>
      </c>
      <c r="L44" s="66" t="s">
        <v>14</v>
      </c>
      <c r="M44" s="23" t="s">
        <v>37</v>
      </c>
      <c r="N44" s="66" t="s">
        <v>24</v>
      </c>
      <c r="O44" s="23" t="s">
        <v>592</v>
      </c>
    </row>
    <row r="45" spans="1:15" ht="23.25" thickBot="1">
      <c r="A45" s="17" t="s">
        <v>644</v>
      </c>
      <c r="B45" s="89">
        <v>172.5</v>
      </c>
      <c r="C45" s="90">
        <v>172.5</v>
      </c>
      <c r="D45" s="89">
        <v>172.5</v>
      </c>
      <c r="E45" s="90">
        <v>172.5</v>
      </c>
      <c r="F45" s="89">
        <v>172.5</v>
      </c>
      <c r="G45" s="90">
        <v>172.5</v>
      </c>
      <c r="H45" s="89">
        <v>172.5</v>
      </c>
      <c r="I45" s="90">
        <v>172.5</v>
      </c>
      <c r="J45" s="89">
        <v>172.5</v>
      </c>
      <c r="K45" s="90">
        <v>172.5</v>
      </c>
      <c r="L45" s="66" t="s">
        <v>14</v>
      </c>
      <c r="M45" s="23" t="s">
        <v>13</v>
      </c>
      <c r="N45" s="66" t="s">
        <v>24</v>
      </c>
      <c r="O45" s="23" t="s">
        <v>592</v>
      </c>
    </row>
    <row r="46" spans="1:15">
      <c r="A46" s="19" t="s">
        <v>98</v>
      </c>
      <c r="B46" s="91">
        <v>48.3</v>
      </c>
      <c r="C46" s="92">
        <v>48.3</v>
      </c>
      <c r="D46" s="91">
        <v>48.3</v>
      </c>
      <c r="E46" s="92">
        <v>48.3</v>
      </c>
      <c r="F46" s="91">
        <v>48.3</v>
      </c>
      <c r="G46" s="92">
        <v>48.3</v>
      </c>
      <c r="H46" s="91">
        <v>48.3</v>
      </c>
      <c r="I46" s="92">
        <v>48.3</v>
      </c>
      <c r="J46" s="91">
        <v>48.3</v>
      </c>
      <c r="K46" s="92">
        <v>48.3</v>
      </c>
      <c r="L46" s="68" t="s">
        <v>14</v>
      </c>
      <c r="M46" s="25" t="s">
        <v>13</v>
      </c>
      <c r="N46" s="68" t="s">
        <v>24</v>
      </c>
      <c r="O46" s="25" t="s">
        <v>592</v>
      </c>
    </row>
    <row r="47" spans="1:15" ht="15.75" thickBot="1">
      <c r="A47" s="84"/>
      <c r="B47" s="84"/>
      <c r="C47" s="84"/>
      <c r="D47" s="84"/>
      <c r="E47" s="84"/>
      <c r="F47" s="84"/>
      <c r="G47" s="84"/>
      <c r="H47" s="84"/>
      <c r="I47" s="84"/>
      <c r="J47" s="84"/>
      <c r="K47" s="84"/>
      <c r="L47" s="84"/>
      <c r="M47" s="84"/>
      <c r="N47" s="84"/>
      <c r="O47" s="84"/>
    </row>
    <row r="48" spans="1:15" ht="15.75" thickBot="1">
      <c r="A48" s="50" t="s">
        <v>101</v>
      </c>
      <c r="B48" s="93">
        <f>SUM(sumcapsalltable[201819])</f>
        <v>15964.679</v>
      </c>
      <c r="C48" s="93">
        <f>SUM(sumcapsalltable[201920])</f>
        <v>17008.112000000001</v>
      </c>
      <c r="D48" s="93">
        <f>SUM(sumcapsalltable[202021])</f>
        <v>17324.712</v>
      </c>
      <c r="E48" s="93">
        <f>SUM(sumcapsalltable[202122])</f>
        <v>17349.312000000002</v>
      </c>
      <c r="F48" s="93">
        <f>SUM(sumcapsalltable[202223])</f>
        <v>15574.011999999999</v>
      </c>
      <c r="G48" s="93">
        <f>SUM(sumcapsalltable[202324])</f>
        <v>15573.611999999997</v>
      </c>
      <c r="H48" s="93">
        <f>SUM(sumcapsalltable[202425])</f>
        <v>15573.212</v>
      </c>
      <c r="I48" s="93">
        <f>SUM(sumcapsalltable[202526])</f>
        <v>15572.811999999998</v>
      </c>
      <c r="J48" s="93">
        <f>SUM(sumcapsalltable[202627])</f>
        <v>15572.511999999999</v>
      </c>
      <c r="K48" s="93">
        <f>SUM(sumcapsalltable[202728])</f>
        <v>15572.111999999997</v>
      </c>
    </row>
    <row r="50" spans="1:15">
      <c r="A50" s="179" t="s">
        <v>596</v>
      </c>
      <c r="B50" s="180"/>
      <c r="C50" s="180"/>
      <c r="D50" s="180"/>
      <c r="E50" s="180"/>
      <c r="F50" s="180"/>
      <c r="G50" s="180"/>
      <c r="H50" s="180"/>
      <c r="I50" s="180"/>
      <c r="J50" s="180"/>
      <c r="K50" s="180"/>
      <c r="L50" s="180"/>
    </row>
    <row r="51" spans="1:15">
      <c r="A51" s="179" t="s">
        <v>597</v>
      </c>
      <c r="B51" s="180"/>
      <c r="C51" s="180"/>
      <c r="D51" s="180"/>
      <c r="E51" s="180"/>
      <c r="F51" s="180"/>
      <c r="G51" s="180"/>
      <c r="H51" s="180"/>
      <c r="I51" s="180"/>
      <c r="J51" s="180"/>
      <c r="K51" s="180"/>
      <c r="L51" s="180"/>
    </row>
    <row r="52" spans="1:15">
      <c r="A52" s="179" t="s">
        <v>598</v>
      </c>
      <c r="B52" s="180"/>
      <c r="C52" s="180"/>
      <c r="D52" s="180"/>
      <c r="E52" s="180"/>
      <c r="F52" s="180"/>
      <c r="G52" s="180"/>
      <c r="H52" s="180"/>
      <c r="I52" s="180"/>
      <c r="J52" s="180"/>
      <c r="K52" s="180"/>
      <c r="L52" s="180"/>
    </row>
    <row r="53" spans="1:15">
      <c r="A53" s="179" t="s">
        <v>599</v>
      </c>
      <c r="B53" s="180"/>
      <c r="C53" s="180"/>
      <c r="D53" s="180"/>
      <c r="E53" s="180"/>
      <c r="F53" s="180"/>
      <c r="G53" s="180"/>
      <c r="H53" s="180"/>
      <c r="I53" s="180"/>
      <c r="J53" s="180"/>
      <c r="K53" s="180"/>
      <c r="L53" s="180"/>
    </row>
    <row r="54" spans="1:15" ht="15.75" thickBot="1">
      <c r="A54" s="85"/>
      <c r="B54" s="85"/>
      <c r="C54" s="85"/>
      <c r="D54" s="85"/>
      <c r="E54" s="85"/>
      <c r="F54" s="85"/>
      <c r="G54" s="85"/>
      <c r="H54" s="85"/>
      <c r="I54" s="85"/>
      <c r="J54" s="85"/>
      <c r="K54" s="85"/>
      <c r="L54" s="85"/>
    </row>
    <row r="55" spans="1:15" ht="20.25" thickBot="1">
      <c r="A55" s="47" t="s">
        <v>600</v>
      </c>
    </row>
    <row r="56" spans="1:15" ht="15.75" thickBot="1">
      <c r="A56" s="130" t="s">
        <v>587</v>
      </c>
      <c r="B56" s="130" t="s">
        <v>738</v>
      </c>
      <c r="C56" s="130" t="s">
        <v>739</v>
      </c>
      <c r="D56" s="130" t="s">
        <v>740</v>
      </c>
      <c r="E56" s="130" t="s">
        <v>741</v>
      </c>
      <c r="F56" s="130" t="s">
        <v>742</v>
      </c>
      <c r="G56" s="130" t="s">
        <v>743</v>
      </c>
      <c r="H56" s="130" t="s">
        <v>744</v>
      </c>
      <c r="I56" s="130" t="s">
        <v>745</v>
      </c>
      <c r="J56" s="130" t="s">
        <v>746</v>
      </c>
      <c r="K56" s="130" t="s">
        <v>747</v>
      </c>
      <c r="L56" s="130" t="s">
        <v>588</v>
      </c>
      <c r="M56" s="62" t="s">
        <v>589</v>
      </c>
      <c r="N56" s="62" t="s">
        <v>7</v>
      </c>
      <c r="O56" s="62" t="s">
        <v>590</v>
      </c>
    </row>
    <row r="57" spans="1:15" ht="15.75" thickBot="1">
      <c r="A57" s="18" t="s">
        <v>19</v>
      </c>
      <c r="B57" s="87">
        <v>2520</v>
      </c>
      <c r="C57" s="88">
        <v>2545</v>
      </c>
      <c r="D57" s="87">
        <v>2570</v>
      </c>
      <c r="E57" s="88">
        <v>2595</v>
      </c>
      <c r="F57" s="87">
        <v>2620</v>
      </c>
      <c r="G57" s="88">
        <v>2620</v>
      </c>
      <c r="H57" s="87">
        <v>2620</v>
      </c>
      <c r="I57" s="88">
        <v>2620</v>
      </c>
      <c r="J57" s="87">
        <v>2620</v>
      </c>
      <c r="K57" s="88">
        <v>2620</v>
      </c>
      <c r="L57" s="67" t="s">
        <v>10</v>
      </c>
      <c r="M57" s="24" t="s">
        <v>591</v>
      </c>
      <c r="N57" s="67" t="s">
        <v>24</v>
      </c>
      <c r="O57" s="24" t="s">
        <v>592</v>
      </c>
    </row>
    <row r="58" spans="1:15" ht="15.75" thickBot="1">
      <c r="A58" s="17" t="s">
        <v>25</v>
      </c>
      <c r="B58" s="89">
        <v>80</v>
      </c>
      <c r="C58" s="90">
        <v>80</v>
      </c>
      <c r="D58" s="89">
        <v>80</v>
      </c>
      <c r="E58" s="90">
        <v>80</v>
      </c>
      <c r="F58" s="89">
        <v>80</v>
      </c>
      <c r="G58" s="90">
        <v>80</v>
      </c>
      <c r="H58" s="89">
        <v>80</v>
      </c>
      <c r="I58" s="90">
        <v>80</v>
      </c>
      <c r="J58" s="89">
        <v>80</v>
      </c>
      <c r="K58" s="90">
        <v>80</v>
      </c>
      <c r="L58" s="66" t="s">
        <v>10</v>
      </c>
      <c r="M58" s="23" t="s">
        <v>593</v>
      </c>
      <c r="N58" s="66" t="s">
        <v>24</v>
      </c>
      <c r="O58" s="23" t="s">
        <v>592</v>
      </c>
    </row>
    <row r="59" spans="1:15" ht="15.75" thickBot="1">
      <c r="A59" s="17" t="s">
        <v>39</v>
      </c>
      <c r="B59" s="89">
        <v>648</v>
      </c>
      <c r="C59" s="90">
        <v>648</v>
      </c>
      <c r="D59" s="89">
        <v>648</v>
      </c>
      <c r="E59" s="90">
        <v>648</v>
      </c>
      <c r="F59" s="89">
        <v>648</v>
      </c>
      <c r="G59" s="90">
        <v>648</v>
      </c>
      <c r="H59" s="89">
        <v>648</v>
      </c>
      <c r="I59" s="90">
        <v>648</v>
      </c>
      <c r="J59" s="89">
        <v>648</v>
      </c>
      <c r="K59" s="90">
        <v>648</v>
      </c>
      <c r="L59" s="66" t="s">
        <v>10</v>
      </c>
      <c r="M59" s="23" t="s">
        <v>591</v>
      </c>
      <c r="N59" s="66" t="s">
        <v>24</v>
      </c>
      <c r="O59" s="23" t="s">
        <v>592</v>
      </c>
    </row>
    <row r="60" spans="1:15" ht="15.75" thickBot="1">
      <c r="A60" s="17" t="s">
        <v>42</v>
      </c>
      <c r="B60" s="89">
        <v>2720</v>
      </c>
      <c r="C60" s="90">
        <v>2720</v>
      </c>
      <c r="D60" s="89">
        <v>2720</v>
      </c>
      <c r="E60" s="90">
        <v>2720</v>
      </c>
      <c r="F60" s="89">
        <v>2720</v>
      </c>
      <c r="G60" s="90">
        <v>2720</v>
      </c>
      <c r="H60" s="89">
        <v>2720</v>
      </c>
      <c r="I60" s="90">
        <v>2720</v>
      </c>
      <c r="J60" s="89">
        <v>2720</v>
      </c>
      <c r="K60" s="90">
        <v>2720</v>
      </c>
      <c r="L60" s="66" t="s">
        <v>10</v>
      </c>
      <c r="M60" s="23" t="s">
        <v>591</v>
      </c>
      <c r="N60" s="66" t="s">
        <v>24</v>
      </c>
      <c r="O60" s="23" t="s">
        <v>592</v>
      </c>
    </row>
    <row r="61" spans="1:15" ht="15.75" thickBot="1">
      <c r="A61" s="17" t="s">
        <v>50</v>
      </c>
      <c r="B61" s="89">
        <v>34</v>
      </c>
      <c r="C61" s="90">
        <v>68</v>
      </c>
      <c r="D61" s="89">
        <v>68</v>
      </c>
      <c r="E61" s="90">
        <v>68</v>
      </c>
      <c r="F61" s="89">
        <v>68</v>
      </c>
      <c r="G61" s="90">
        <v>68</v>
      </c>
      <c r="H61" s="89">
        <v>68</v>
      </c>
      <c r="I61" s="90">
        <v>68</v>
      </c>
      <c r="J61" s="89">
        <v>68</v>
      </c>
      <c r="K61" s="90">
        <v>68</v>
      </c>
      <c r="L61" s="66" t="s">
        <v>10</v>
      </c>
      <c r="M61" s="23" t="s">
        <v>593</v>
      </c>
      <c r="N61" s="66" t="s">
        <v>24</v>
      </c>
      <c r="O61" s="23" t="s">
        <v>592</v>
      </c>
    </row>
    <row r="62" spans="1:15" ht="15.75" thickBot="1">
      <c r="A62" s="17" t="s">
        <v>53</v>
      </c>
      <c r="B62" s="89">
        <v>29</v>
      </c>
      <c r="C62" s="90">
        <v>29</v>
      </c>
      <c r="D62" s="89">
        <v>29</v>
      </c>
      <c r="E62" s="90">
        <v>29</v>
      </c>
      <c r="F62" s="89">
        <v>29</v>
      </c>
      <c r="G62" s="90">
        <v>29</v>
      </c>
      <c r="H62" s="89">
        <v>29</v>
      </c>
      <c r="I62" s="90">
        <v>29</v>
      </c>
      <c r="J62" s="89">
        <v>29</v>
      </c>
      <c r="K62" s="90">
        <v>29</v>
      </c>
      <c r="L62" s="66" t="s">
        <v>10</v>
      </c>
      <c r="M62" s="23" t="s">
        <v>593</v>
      </c>
      <c r="N62" s="66" t="s">
        <v>24</v>
      </c>
      <c r="O62" s="23" t="s">
        <v>592</v>
      </c>
    </row>
    <row r="63" spans="1:15" ht="15.75" thickBot="1">
      <c r="A63" s="17" t="s">
        <v>56</v>
      </c>
      <c r="B63" s="89">
        <v>30</v>
      </c>
      <c r="C63" s="90">
        <v>30</v>
      </c>
      <c r="D63" s="89">
        <v>30</v>
      </c>
      <c r="E63" s="90">
        <v>30</v>
      </c>
      <c r="F63" s="89">
        <v>30</v>
      </c>
      <c r="G63" s="90">
        <v>30</v>
      </c>
      <c r="H63" s="89">
        <v>30</v>
      </c>
      <c r="I63" s="90">
        <v>30</v>
      </c>
      <c r="J63" s="89">
        <v>30</v>
      </c>
      <c r="K63" s="90">
        <v>30</v>
      </c>
      <c r="L63" s="66" t="s">
        <v>10</v>
      </c>
      <c r="M63" s="23" t="s">
        <v>591</v>
      </c>
      <c r="N63" s="66" t="s">
        <v>24</v>
      </c>
      <c r="O63" s="23" t="s">
        <v>592</v>
      </c>
    </row>
    <row r="64" spans="1:15" ht="15.75" thickBot="1">
      <c r="A64" s="17" t="s">
        <v>58</v>
      </c>
      <c r="B64" s="89">
        <v>1800</v>
      </c>
      <c r="C64" s="90">
        <v>1800</v>
      </c>
      <c r="D64" s="89">
        <v>1800</v>
      </c>
      <c r="E64" s="90">
        <v>1800</v>
      </c>
      <c r="F64" s="89">
        <v>0</v>
      </c>
      <c r="G64" s="90">
        <v>0</v>
      </c>
      <c r="H64" s="89">
        <v>0</v>
      </c>
      <c r="I64" s="90">
        <v>0</v>
      </c>
      <c r="J64" s="89">
        <v>0</v>
      </c>
      <c r="K64" s="90">
        <v>0</v>
      </c>
      <c r="L64" s="66" t="s">
        <v>10</v>
      </c>
      <c r="M64" s="23" t="s">
        <v>591</v>
      </c>
      <c r="N64" s="66" t="s">
        <v>24</v>
      </c>
      <c r="O64" s="23" t="s">
        <v>592</v>
      </c>
    </row>
    <row r="65" spans="1:15" ht="15.75" thickBot="1">
      <c r="A65" s="17" t="s">
        <v>67</v>
      </c>
      <c r="B65" s="89">
        <v>1300</v>
      </c>
      <c r="C65" s="90">
        <v>1300</v>
      </c>
      <c r="D65" s="89">
        <v>1300</v>
      </c>
      <c r="E65" s="90">
        <v>1300</v>
      </c>
      <c r="F65" s="89">
        <v>1300</v>
      </c>
      <c r="G65" s="90">
        <v>1300</v>
      </c>
      <c r="H65" s="89">
        <v>1300</v>
      </c>
      <c r="I65" s="90">
        <v>1300</v>
      </c>
      <c r="J65" s="89">
        <v>1300</v>
      </c>
      <c r="K65" s="90">
        <v>1300</v>
      </c>
      <c r="L65" s="66" t="s">
        <v>10</v>
      </c>
      <c r="M65" s="23" t="s">
        <v>591</v>
      </c>
      <c r="N65" s="66" t="s">
        <v>24</v>
      </c>
      <c r="O65" s="23" t="s">
        <v>592</v>
      </c>
    </row>
    <row r="66" spans="1:15" ht="15.75" thickBot="1">
      <c r="A66" s="17" t="s">
        <v>75</v>
      </c>
      <c r="B66" s="89">
        <v>240</v>
      </c>
      <c r="C66" s="90">
        <v>240</v>
      </c>
      <c r="D66" s="89">
        <v>240</v>
      </c>
      <c r="E66" s="90">
        <v>240</v>
      </c>
      <c r="F66" s="89">
        <v>240</v>
      </c>
      <c r="G66" s="90">
        <v>240</v>
      </c>
      <c r="H66" s="89">
        <v>240</v>
      </c>
      <c r="I66" s="90">
        <v>240</v>
      </c>
      <c r="J66" s="89">
        <v>240</v>
      </c>
      <c r="K66" s="90">
        <v>240</v>
      </c>
      <c r="L66" s="66" t="s">
        <v>10</v>
      </c>
      <c r="M66" s="23" t="s">
        <v>17</v>
      </c>
      <c r="N66" s="66" t="s">
        <v>24</v>
      </c>
      <c r="O66" s="23" t="s">
        <v>592</v>
      </c>
    </row>
    <row r="67" spans="1:15" ht="15.75" thickBot="1">
      <c r="A67" s="17" t="s">
        <v>595</v>
      </c>
      <c r="B67" s="89">
        <v>0</v>
      </c>
      <c r="C67" s="90">
        <v>0</v>
      </c>
      <c r="D67" s="89">
        <v>0</v>
      </c>
      <c r="E67" s="90">
        <v>0</v>
      </c>
      <c r="F67" s="89">
        <v>0</v>
      </c>
      <c r="G67" s="90">
        <v>0</v>
      </c>
      <c r="H67" s="89">
        <v>0</v>
      </c>
      <c r="I67" s="90">
        <v>0</v>
      </c>
      <c r="J67" s="89">
        <v>0</v>
      </c>
      <c r="K67" s="90">
        <v>0</v>
      </c>
      <c r="L67" s="66" t="s">
        <v>10</v>
      </c>
      <c r="M67" s="23" t="s">
        <v>593</v>
      </c>
      <c r="N67" s="66" t="s">
        <v>24</v>
      </c>
      <c r="O67" s="23" t="s">
        <v>592</v>
      </c>
    </row>
    <row r="68" spans="1:15" ht="15.75" thickBot="1">
      <c r="A68" s="17" t="s">
        <v>80</v>
      </c>
      <c r="B68" s="89">
        <v>108.999</v>
      </c>
      <c r="C68" s="90">
        <v>108.999</v>
      </c>
      <c r="D68" s="89">
        <v>108.999</v>
      </c>
      <c r="E68" s="90">
        <v>108.999</v>
      </c>
      <c r="F68" s="89">
        <v>108.999</v>
      </c>
      <c r="G68" s="90">
        <v>108.999</v>
      </c>
      <c r="H68" s="89">
        <v>108.999</v>
      </c>
      <c r="I68" s="90">
        <v>108.999</v>
      </c>
      <c r="J68" s="89">
        <v>108.999</v>
      </c>
      <c r="K68" s="90">
        <v>108.999</v>
      </c>
      <c r="L68" s="66" t="s">
        <v>10</v>
      </c>
      <c r="M68" s="23" t="s">
        <v>591</v>
      </c>
      <c r="N68" s="66" t="s">
        <v>24</v>
      </c>
      <c r="O68" s="23" t="s">
        <v>592</v>
      </c>
    </row>
    <row r="69" spans="1:15" ht="15.75" thickBot="1">
      <c r="A69" s="17" t="s">
        <v>83</v>
      </c>
      <c r="B69" s="89">
        <v>378</v>
      </c>
      <c r="C69" s="90">
        <v>378</v>
      </c>
      <c r="D69" s="89">
        <v>378</v>
      </c>
      <c r="E69" s="90">
        <v>378</v>
      </c>
      <c r="F69" s="89">
        <v>378</v>
      </c>
      <c r="G69" s="90">
        <v>378</v>
      </c>
      <c r="H69" s="89">
        <v>378</v>
      </c>
      <c r="I69" s="90">
        <v>378</v>
      </c>
      <c r="J69" s="89">
        <v>378</v>
      </c>
      <c r="K69" s="90">
        <v>378</v>
      </c>
      <c r="L69" s="66" t="s">
        <v>10</v>
      </c>
      <c r="M69" s="23" t="s">
        <v>591</v>
      </c>
      <c r="N69" s="66" t="s">
        <v>24</v>
      </c>
      <c r="O69" s="23" t="s">
        <v>592</v>
      </c>
    </row>
    <row r="70" spans="1:15" ht="15.75" thickBot="1">
      <c r="A70" s="17" t="s">
        <v>88</v>
      </c>
      <c r="B70" s="89">
        <v>1800</v>
      </c>
      <c r="C70" s="90">
        <v>1800</v>
      </c>
      <c r="D70" s="89">
        <v>1800</v>
      </c>
      <c r="E70" s="90">
        <v>1800</v>
      </c>
      <c r="F70" s="89">
        <v>1800</v>
      </c>
      <c r="G70" s="90">
        <v>1800</v>
      </c>
      <c r="H70" s="89">
        <v>1800</v>
      </c>
      <c r="I70" s="90">
        <v>1800</v>
      </c>
      <c r="J70" s="89">
        <v>1800</v>
      </c>
      <c r="K70" s="90">
        <v>1800</v>
      </c>
      <c r="L70" s="66" t="s">
        <v>10</v>
      </c>
      <c r="M70" s="23" t="s">
        <v>593</v>
      </c>
      <c r="N70" s="66" t="s">
        <v>24</v>
      </c>
      <c r="O70" s="23" t="s">
        <v>592</v>
      </c>
    </row>
    <row r="71" spans="1:15" ht="15.75" thickBot="1">
      <c r="A71" s="17" t="s">
        <v>90</v>
      </c>
      <c r="B71" s="89">
        <v>616</v>
      </c>
      <c r="C71" s="90">
        <v>544</v>
      </c>
      <c r="D71" s="89">
        <v>616</v>
      </c>
      <c r="E71" s="90">
        <v>616</v>
      </c>
      <c r="F71" s="89">
        <v>616</v>
      </c>
      <c r="G71" s="90">
        <v>616</v>
      </c>
      <c r="H71" s="89">
        <v>616</v>
      </c>
      <c r="I71" s="90">
        <v>616</v>
      </c>
      <c r="J71" s="89">
        <v>616</v>
      </c>
      <c r="K71" s="90">
        <v>616</v>
      </c>
      <c r="L71" s="66" t="s">
        <v>10</v>
      </c>
      <c r="M71" s="23" t="s">
        <v>593</v>
      </c>
      <c r="N71" s="66" t="s">
        <v>24</v>
      </c>
      <c r="O71" s="23" t="s">
        <v>592</v>
      </c>
    </row>
    <row r="72" spans="1:15" ht="15.75" thickBot="1">
      <c r="A72" s="17" t="s">
        <v>92</v>
      </c>
      <c r="B72" s="89">
        <v>640</v>
      </c>
      <c r="C72" s="90">
        <v>640</v>
      </c>
      <c r="D72" s="89">
        <v>640</v>
      </c>
      <c r="E72" s="90">
        <v>640</v>
      </c>
      <c r="F72" s="89">
        <v>640</v>
      </c>
      <c r="G72" s="90">
        <v>640</v>
      </c>
      <c r="H72" s="89">
        <v>640</v>
      </c>
      <c r="I72" s="90">
        <v>640</v>
      </c>
      <c r="J72" s="89">
        <v>640</v>
      </c>
      <c r="K72" s="90">
        <v>640</v>
      </c>
      <c r="L72" s="66" t="s">
        <v>10</v>
      </c>
      <c r="M72" s="23" t="s">
        <v>591</v>
      </c>
      <c r="N72" s="66" t="s">
        <v>24</v>
      </c>
      <c r="O72" s="23" t="s">
        <v>592</v>
      </c>
    </row>
    <row r="73" spans="1:15">
      <c r="A73" s="19" t="s">
        <v>95</v>
      </c>
      <c r="B73" s="91">
        <v>1320</v>
      </c>
      <c r="C73" s="92">
        <v>1320</v>
      </c>
      <c r="D73" s="91">
        <v>1320</v>
      </c>
      <c r="E73" s="92">
        <v>1320</v>
      </c>
      <c r="F73" s="91">
        <v>1320</v>
      </c>
      <c r="G73" s="92">
        <v>1320</v>
      </c>
      <c r="H73" s="91">
        <v>1320</v>
      </c>
      <c r="I73" s="92">
        <v>1320</v>
      </c>
      <c r="J73" s="91">
        <v>1320</v>
      </c>
      <c r="K73" s="92">
        <v>1320</v>
      </c>
      <c r="L73" s="68" t="s">
        <v>10</v>
      </c>
      <c r="M73" s="25" t="s">
        <v>591</v>
      </c>
      <c r="N73" s="68" t="s">
        <v>24</v>
      </c>
      <c r="O73" s="25" t="s">
        <v>592</v>
      </c>
    </row>
    <row r="74" spans="1:15" ht="15.75" thickBot="1">
      <c r="A74" s="84"/>
      <c r="B74" s="84"/>
      <c r="C74" s="84"/>
      <c r="D74" s="84"/>
      <c r="E74" s="84"/>
      <c r="F74" s="84"/>
      <c r="G74" s="84"/>
      <c r="H74" s="84"/>
      <c r="I74" s="84"/>
      <c r="J74" s="84"/>
      <c r="K74" s="84"/>
      <c r="L74" s="84"/>
      <c r="M74" s="84"/>
      <c r="N74" s="84"/>
      <c r="O74" s="84"/>
    </row>
    <row r="75" spans="1:15" ht="15.75" thickBot="1">
      <c r="A75" s="3" t="s">
        <v>601</v>
      </c>
      <c r="B75" s="94">
        <f>SUMIF(sumcapssstable[FuelType],"Wind",sumcapssstable[201819]) * 0.067</f>
        <v>82.602959999999996</v>
      </c>
      <c r="C75" s="95">
        <f>SUMIF(sumcapssstable[FuelType],"Wind",sumcapssstable[201920])* 0.067</f>
        <v>91.647959999999998</v>
      </c>
      <c r="D75" s="94">
        <f>SUMIF(sumcapssstable[FuelType],"Wind",sumcapssstable[202021])* 0.067</f>
        <v>91.647959999999998</v>
      </c>
      <c r="E75" s="95">
        <f>SUMIF(sumcapssstable[FuelType],"Wind",sumcapssstable[202122])* 0.067</f>
        <v>91.647959999999998</v>
      </c>
      <c r="F75" s="94">
        <f>SUMIF(sumcapssstable[FuelType],"Wind",sumcapssstable[202223])* 0.067</f>
        <v>91.647959999999998</v>
      </c>
      <c r="G75" s="95">
        <f>SUMIF(sumcapssstable[FuelType],"Wind",sumcapssstable[202324])* 0.067</f>
        <v>91.647959999999998</v>
      </c>
      <c r="H75" s="94">
        <f>SUMIF(sumcapssstable[FuelType],"Wind",sumcapssstable[202425])* 0.067</f>
        <v>91.647959999999998</v>
      </c>
      <c r="I75" s="95">
        <f>SUMIF(sumcapssstable[FuelType],"Wind",sumcapssstable[202526])* 0.067</f>
        <v>91.647959999999998</v>
      </c>
      <c r="J75" s="94">
        <f>SUMIF(sumcapssstable[FuelType],"Wind",sumcapssstable[202627])* 0.067</f>
        <v>91.647959999999998</v>
      </c>
      <c r="K75" s="95">
        <f>SUMIF(sumcapssstable[FuelType],"Wind",sumcapssstable[202728])* 0.067</f>
        <v>91.647959999999998</v>
      </c>
    </row>
    <row r="76" spans="1:15" ht="15.75" thickBot="1">
      <c r="A76" s="3" t="s">
        <v>602</v>
      </c>
      <c r="B76" s="48" t="s">
        <v>604</v>
      </c>
      <c r="C76" s="49" t="s">
        <v>604</v>
      </c>
      <c r="D76" s="48" t="s">
        <v>604</v>
      </c>
      <c r="E76" s="49" t="s">
        <v>604</v>
      </c>
      <c r="F76" s="48" t="s">
        <v>604</v>
      </c>
      <c r="G76" s="49" t="s">
        <v>604</v>
      </c>
      <c r="H76" s="48" t="s">
        <v>604</v>
      </c>
      <c r="I76" s="49" t="s">
        <v>604</v>
      </c>
      <c r="J76" s="48" t="s">
        <v>604</v>
      </c>
      <c r="K76" s="49" t="s">
        <v>604</v>
      </c>
    </row>
    <row r="77" spans="1:15" ht="15.75" thickBot="1">
      <c r="A77" s="50" t="s">
        <v>101</v>
      </c>
      <c r="B77" s="93">
        <f>SUM(sumcapsstable[201819])+B75</f>
        <v>14346.60196</v>
      </c>
      <c r="C77" s="96">
        <f>SUM(sumcapsstable[201920])+C75</f>
        <v>14342.64696</v>
      </c>
      <c r="D77" s="93">
        <f>SUM(sumcapsstable[202021])+D75</f>
        <v>14439.64696</v>
      </c>
      <c r="E77" s="96">
        <f>SUM(sumcapsstable[202122])+E75</f>
        <v>14464.64696</v>
      </c>
      <c r="F77" s="93">
        <f>SUM(sumcapsstable[202223])+F75</f>
        <v>12689.64696</v>
      </c>
      <c r="G77" s="96">
        <f>SUM(sumcapsstable[202324])+G75</f>
        <v>12689.64696</v>
      </c>
      <c r="H77" s="93">
        <f>SUM(sumcapsstable[202425])+H75</f>
        <v>12689.64696</v>
      </c>
      <c r="I77" s="96">
        <f>SUM(sumcapsstable[202526])+I75</f>
        <v>12689.64696</v>
      </c>
      <c r="J77" s="93">
        <f>SUM(sumcapsstable[202627])+J75</f>
        <v>12689.64696</v>
      </c>
      <c r="K77" s="96">
        <f>SUM(sumcapsstable[202728])+K75</f>
        <v>12689.64696</v>
      </c>
    </row>
    <row r="78" spans="1:15" ht="15.75" thickBot="1"/>
    <row r="79" spans="1:15" ht="20.25" thickBot="1">
      <c r="A79" s="47" t="s">
        <v>603</v>
      </c>
    </row>
    <row r="80" spans="1:15" ht="15.75" thickBot="1">
      <c r="A80" s="130" t="s">
        <v>587</v>
      </c>
      <c r="B80" s="130" t="s">
        <v>738</v>
      </c>
      <c r="C80" s="130" t="s">
        <v>739</v>
      </c>
      <c r="D80" s="130" t="s">
        <v>740</v>
      </c>
      <c r="E80" s="130" t="s">
        <v>741</v>
      </c>
      <c r="F80" s="130" t="s">
        <v>742</v>
      </c>
      <c r="G80" s="130" t="s">
        <v>743</v>
      </c>
      <c r="H80" s="130" t="s">
        <v>744</v>
      </c>
      <c r="I80" s="130" t="s">
        <v>745</v>
      </c>
      <c r="J80" s="130" t="s">
        <v>746</v>
      </c>
      <c r="K80" s="130" t="s">
        <v>747</v>
      </c>
      <c r="L80" s="130" t="s">
        <v>588</v>
      </c>
      <c r="M80" s="62" t="s">
        <v>589</v>
      </c>
      <c r="N80" s="62" t="s">
        <v>7</v>
      </c>
      <c r="O80" s="62" t="s">
        <v>590</v>
      </c>
    </row>
    <row r="81" spans="1:15" ht="15.75" thickBot="1">
      <c r="A81" s="18" t="s">
        <v>104</v>
      </c>
      <c r="B81" s="87">
        <v>0</v>
      </c>
      <c r="C81" s="88">
        <v>87</v>
      </c>
      <c r="D81" s="87">
        <v>87</v>
      </c>
      <c r="E81" s="88">
        <v>87</v>
      </c>
      <c r="F81" s="87">
        <v>87</v>
      </c>
      <c r="G81" s="88">
        <v>87</v>
      </c>
      <c r="H81" s="87">
        <v>87</v>
      </c>
      <c r="I81" s="88">
        <v>87</v>
      </c>
      <c r="J81" s="87">
        <v>87</v>
      </c>
      <c r="K81" s="88">
        <v>87</v>
      </c>
      <c r="L81" s="67" t="s">
        <v>14</v>
      </c>
      <c r="M81" s="24" t="s">
        <v>37</v>
      </c>
      <c r="N81" s="67" t="s">
        <v>24</v>
      </c>
      <c r="O81" s="24" t="s">
        <v>592</v>
      </c>
    </row>
    <row r="82" spans="1:15" ht="15.75" thickBot="1">
      <c r="A82" s="17" t="s">
        <v>28</v>
      </c>
      <c r="B82" s="89">
        <v>104.09</v>
      </c>
      <c r="C82" s="90">
        <v>104.09</v>
      </c>
      <c r="D82" s="89">
        <v>104.09</v>
      </c>
      <c r="E82" s="90">
        <v>104.09</v>
      </c>
      <c r="F82" s="89">
        <v>104.09</v>
      </c>
      <c r="G82" s="90">
        <v>104.09</v>
      </c>
      <c r="H82" s="89">
        <v>104.09</v>
      </c>
      <c r="I82" s="90">
        <v>104.09</v>
      </c>
      <c r="J82" s="89">
        <v>104.09</v>
      </c>
      <c r="K82" s="90">
        <v>104.09</v>
      </c>
      <c r="L82" s="66" t="s">
        <v>14</v>
      </c>
      <c r="M82" s="23" t="s">
        <v>13</v>
      </c>
      <c r="N82" s="66" t="s">
        <v>24</v>
      </c>
      <c r="O82" s="23" t="s">
        <v>592</v>
      </c>
    </row>
    <row r="83" spans="1:15" ht="15.75" thickBot="1">
      <c r="A83" s="17" t="s">
        <v>106</v>
      </c>
      <c r="B83" s="89">
        <v>113.19</v>
      </c>
      <c r="C83" s="90">
        <v>113.19</v>
      </c>
      <c r="D83" s="89">
        <v>113.19</v>
      </c>
      <c r="E83" s="90">
        <v>113.19</v>
      </c>
      <c r="F83" s="89">
        <v>113.19</v>
      </c>
      <c r="G83" s="90">
        <v>113.19</v>
      </c>
      <c r="H83" s="89">
        <v>113.19</v>
      </c>
      <c r="I83" s="90">
        <v>113.19</v>
      </c>
      <c r="J83" s="89">
        <v>113.19</v>
      </c>
      <c r="K83" s="90">
        <v>113.19</v>
      </c>
      <c r="L83" s="66" t="s">
        <v>14</v>
      </c>
      <c r="M83" s="23" t="s">
        <v>13</v>
      </c>
      <c r="N83" s="66" t="s">
        <v>24</v>
      </c>
      <c r="O83" s="23" t="s">
        <v>592</v>
      </c>
    </row>
    <row r="84" spans="1:15" ht="15.75" thickBot="1">
      <c r="A84" s="17" t="s">
        <v>269</v>
      </c>
      <c r="B84" s="89">
        <v>0</v>
      </c>
      <c r="C84" s="90">
        <v>100</v>
      </c>
      <c r="D84" s="89">
        <v>100</v>
      </c>
      <c r="E84" s="90">
        <v>100</v>
      </c>
      <c r="F84" s="89">
        <v>100</v>
      </c>
      <c r="G84" s="90">
        <v>100</v>
      </c>
      <c r="H84" s="89">
        <v>100</v>
      </c>
      <c r="I84" s="90">
        <v>100</v>
      </c>
      <c r="J84" s="89">
        <v>100</v>
      </c>
      <c r="K84" s="90">
        <v>100</v>
      </c>
      <c r="L84" s="66" t="s">
        <v>14</v>
      </c>
      <c r="M84" s="23" t="s">
        <v>37</v>
      </c>
      <c r="N84" s="66" t="s">
        <v>24</v>
      </c>
      <c r="O84" s="23" t="s">
        <v>592</v>
      </c>
    </row>
    <row r="85" spans="1:15" ht="15.75" thickBot="1">
      <c r="A85" s="17" t="s">
        <v>33</v>
      </c>
      <c r="B85" s="89">
        <v>53</v>
      </c>
      <c r="C85" s="90">
        <v>53</v>
      </c>
      <c r="D85" s="89">
        <v>53</v>
      </c>
      <c r="E85" s="90">
        <v>53</v>
      </c>
      <c r="F85" s="89">
        <v>53</v>
      </c>
      <c r="G85" s="90">
        <v>53</v>
      </c>
      <c r="H85" s="89">
        <v>53</v>
      </c>
      <c r="I85" s="90">
        <v>53</v>
      </c>
      <c r="J85" s="89">
        <v>53</v>
      </c>
      <c r="K85" s="90">
        <v>53</v>
      </c>
      <c r="L85" s="66" t="s">
        <v>14</v>
      </c>
      <c r="M85" s="23" t="s">
        <v>37</v>
      </c>
      <c r="N85" s="66" t="s">
        <v>24</v>
      </c>
      <c r="O85" s="23" t="s">
        <v>592</v>
      </c>
    </row>
    <row r="86" spans="1:15" ht="15.75" thickBot="1">
      <c r="A86" s="17" t="s">
        <v>108</v>
      </c>
      <c r="B86" s="89">
        <v>150</v>
      </c>
      <c r="C86" s="90">
        <v>150</v>
      </c>
      <c r="D86" s="89">
        <v>150</v>
      </c>
      <c r="E86" s="90">
        <v>150</v>
      </c>
      <c r="F86" s="89">
        <v>150</v>
      </c>
      <c r="G86" s="90">
        <v>150</v>
      </c>
      <c r="H86" s="89">
        <v>150</v>
      </c>
      <c r="I86" s="90">
        <v>150</v>
      </c>
      <c r="J86" s="89">
        <v>150</v>
      </c>
      <c r="K86" s="90">
        <v>150</v>
      </c>
      <c r="L86" s="66" t="s">
        <v>14</v>
      </c>
      <c r="M86" s="23" t="s">
        <v>37</v>
      </c>
      <c r="N86" s="66" t="s">
        <v>24</v>
      </c>
      <c r="O86" s="23" t="s">
        <v>592</v>
      </c>
    </row>
    <row r="87" spans="1:15" ht="15.75" thickBot="1">
      <c r="A87" s="17" t="s">
        <v>109</v>
      </c>
      <c r="B87" s="89">
        <v>91</v>
      </c>
      <c r="C87" s="90">
        <v>91</v>
      </c>
      <c r="D87" s="89">
        <v>91</v>
      </c>
      <c r="E87" s="90">
        <v>91</v>
      </c>
      <c r="F87" s="89">
        <v>91</v>
      </c>
      <c r="G87" s="90">
        <v>91</v>
      </c>
      <c r="H87" s="89">
        <v>91</v>
      </c>
      <c r="I87" s="90">
        <v>91</v>
      </c>
      <c r="J87" s="89">
        <v>91</v>
      </c>
      <c r="K87" s="90">
        <v>91</v>
      </c>
      <c r="L87" s="66" t="s">
        <v>14</v>
      </c>
      <c r="M87" s="23" t="s">
        <v>13</v>
      </c>
      <c r="N87" s="66" t="s">
        <v>24</v>
      </c>
      <c r="O87" s="23" t="s">
        <v>592</v>
      </c>
    </row>
    <row r="88" spans="1:15" ht="23.25" thickBot="1">
      <c r="A88" s="17" t="s">
        <v>307</v>
      </c>
      <c r="B88" s="89">
        <v>0</v>
      </c>
      <c r="C88" s="90">
        <v>135</v>
      </c>
      <c r="D88" s="89">
        <v>135</v>
      </c>
      <c r="E88" s="90">
        <v>135</v>
      </c>
      <c r="F88" s="89">
        <v>135</v>
      </c>
      <c r="G88" s="90">
        <v>135</v>
      </c>
      <c r="H88" s="89">
        <v>135</v>
      </c>
      <c r="I88" s="90">
        <v>135</v>
      </c>
      <c r="J88" s="89">
        <v>135</v>
      </c>
      <c r="K88" s="90">
        <v>135</v>
      </c>
      <c r="L88" s="66" t="s">
        <v>14</v>
      </c>
      <c r="M88" s="23" t="s">
        <v>13</v>
      </c>
      <c r="N88" s="66" t="s">
        <v>24</v>
      </c>
      <c r="O88" s="23" t="s">
        <v>592</v>
      </c>
    </row>
    <row r="89" spans="1:15" ht="23.25" thickBot="1">
      <c r="A89" s="17" t="s">
        <v>313</v>
      </c>
      <c r="B89" s="89">
        <v>0</v>
      </c>
      <c r="C89" s="90">
        <v>263.33300000000003</v>
      </c>
      <c r="D89" s="89">
        <v>263.33300000000003</v>
      </c>
      <c r="E89" s="90">
        <v>263.33300000000003</v>
      </c>
      <c r="F89" s="89">
        <v>263.33300000000003</v>
      </c>
      <c r="G89" s="90">
        <v>263.33300000000003</v>
      </c>
      <c r="H89" s="89">
        <v>263.33300000000003</v>
      </c>
      <c r="I89" s="90">
        <v>263.33300000000003</v>
      </c>
      <c r="J89" s="89">
        <v>263.33300000000003</v>
      </c>
      <c r="K89" s="90">
        <v>263.33300000000003</v>
      </c>
      <c r="L89" s="66" t="s">
        <v>14</v>
      </c>
      <c r="M89" s="23" t="s">
        <v>37</v>
      </c>
      <c r="N89" s="66" t="s">
        <v>24</v>
      </c>
      <c r="O89" s="23" t="s">
        <v>592</v>
      </c>
    </row>
    <row r="90" spans="1:15" ht="15.75" thickBot="1">
      <c r="A90" s="17" t="s">
        <v>777</v>
      </c>
      <c r="B90" s="89">
        <v>0</v>
      </c>
      <c r="C90" s="90">
        <v>133</v>
      </c>
      <c r="D90" s="89">
        <v>133</v>
      </c>
      <c r="E90" s="90">
        <v>133</v>
      </c>
      <c r="F90" s="89">
        <v>133</v>
      </c>
      <c r="G90" s="90">
        <v>133</v>
      </c>
      <c r="H90" s="89">
        <v>133</v>
      </c>
      <c r="I90" s="90">
        <v>133</v>
      </c>
      <c r="J90" s="89">
        <v>133</v>
      </c>
      <c r="K90" s="90">
        <v>133</v>
      </c>
      <c r="L90" s="66" t="s">
        <v>14</v>
      </c>
      <c r="M90" s="23" t="s">
        <v>37</v>
      </c>
      <c r="N90" s="66" t="s">
        <v>24</v>
      </c>
      <c r="O90" s="23" t="s">
        <v>592</v>
      </c>
    </row>
    <row r="91" spans="1:15" ht="15.75" thickBot="1">
      <c r="A91" s="17" t="s">
        <v>45</v>
      </c>
      <c r="B91" s="89">
        <v>10</v>
      </c>
      <c r="C91" s="90">
        <v>10</v>
      </c>
      <c r="D91" s="89">
        <v>10</v>
      </c>
      <c r="E91" s="90">
        <v>10</v>
      </c>
      <c r="F91" s="89">
        <v>10</v>
      </c>
      <c r="G91" s="90">
        <v>10</v>
      </c>
      <c r="H91" s="89">
        <v>10</v>
      </c>
      <c r="I91" s="90">
        <v>10</v>
      </c>
      <c r="J91" s="89">
        <v>10</v>
      </c>
      <c r="K91" s="90">
        <v>10</v>
      </c>
      <c r="L91" s="66" t="s">
        <v>14</v>
      </c>
      <c r="M91" s="23" t="s">
        <v>37</v>
      </c>
      <c r="N91" s="66" t="s">
        <v>24</v>
      </c>
      <c r="O91" s="23" t="s">
        <v>592</v>
      </c>
    </row>
    <row r="92" spans="1:15" ht="15.75" thickBot="1">
      <c r="A92" s="17" t="s">
        <v>594</v>
      </c>
      <c r="B92" s="89">
        <v>165.5</v>
      </c>
      <c r="C92" s="90">
        <v>165.5</v>
      </c>
      <c r="D92" s="89">
        <v>165.5</v>
      </c>
      <c r="E92" s="90">
        <v>165.5</v>
      </c>
      <c r="F92" s="89">
        <v>165.5</v>
      </c>
      <c r="G92" s="90">
        <v>165.5</v>
      </c>
      <c r="H92" s="89">
        <v>165.5</v>
      </c>
      <c r="I92" s="90">
        <v>165.5</v>
      </c>
      <c r="J92" s="89">
        <v>165.5</v>
      </c>
      <c r="K92" s="90">
        <v>165.5</v>
      </c>
      <c r="L92" s="66" t="s">
        <v>14</v>
      </c>
      <c r="M92" s="23" t="s">
        <v>13</v>
      </c>
      <c r="N92" s="66" t="s">
        <v>24</v>
      </c>
      <c r="O92" s="23" t="s">
        <v>592</v>
      </c>
    </row>
    <row r="93" spans="1:15" ht="15.75" thickBot="1">
      <c r="A93" s="17" t="s">
        <v>731</v>
      </c>
      <c r="B93" s="89">
        <v>46.5</v>
      </c>
      <c r="C93" s="90">
        <v>46.5</v>
      </c>
      <c r="D93" s="89">
        <v>46.5</v>
      </c>
      <c r="E93" s="90">
        <v>46.5</v>
      </c>
      <c r="F93" s="89">
        <v>46.5</v>
      </c>
      <c r="G93" s="90">
        <v>46.5</v>
      </c>
      <c r="H93" s="89">
        <v>46.5</v>
      </c>
      <c r="I93" s="90">
        <v>46.5</v>
      </c>
      <c r="J93" s="89">
        <v>46.5</v>
      </c>
      <c r="K93" s="90">
        <v>46.5</v>
      </c>
      <c r="L93" s="66" t="s">
        <v>14</v>
      </c>
      <c r="M93" s="23" t="s">
        <v>13</v>
      </c>
      <c r="N93" s="66" t="s">
        <v>24</v>
      </c>
      <c r="O93" s="23" t="s">
        <v>592</v>
      </c>
    </row>
    <row r="94" spans="1:15" ht="15.75" thickBot="1">
      <c r="A94" s="17" t="s">
        <v>758</v>
      </c>
      <c r="B94" s="89">
        <v>0</v>
      </c>
      <c r="C94" s="90">
        <v>0</v>
      </c>
      <c r="D94" s="89">
        <v>220</v>
      </c>
      <c r="E94" s="90">
        <v>220</v>
      </c>
      <c r="F94" s="89">
        <v>220</v>
      </c>
      <c r="G94" s="90">
        <v>220</v>
      </c>
      <c r="H94" s="89">
        <v>220</v>
      </c>
      <c r="I94" s="90">
        <v>220</v>
      </c>
      <c r="J94" s="89">
        <v>220</v>
      </c>
      <c r="K94" s="90">
        <v>220</v>
      </c>
      <c r="L94" s="66" t="s">
        <v>14</v>
      </c>
      <c r="M94" s="23" t="s">
        <v>37</v>
      </c>
      <c r="N94" s="66" t="s">
        <v>24</v>
      </c>
      <c r="O94" s="23" t="s">
        <v>592</v>
      </c>
    </row>
    <row r="95" spans="1:15" ht="15.75" thickBot="1">
      <c r="A95" s="17" t="s">
        <v>759</v>
      </c>
      <c r="B95" s="89">
        <v>0</v>
      </c>
      <c r="C95" s="90">
        <v>29</v>
      </c>
      <c r="D95" s="89">
        <v>29</v>
      </c>
      <c r="E95" s="90">
        <v>29</v>
      </c>
      <c r="F95" s="89">
        <v>29</v>
      </c>
      <c r="G95" s="90">
        <v>29</v>
      </c>
      <c r="H95" s="89">
        <v>29</v>
      </c>
      <c r="I95" s="90">
        <v>29</v>
      </c>
      <c r="J95" s="89">
        <v>29</v>
      </c>
      <c r="K95" s="90">
        <v>29</v>
      </c>
      <c r="L95" s="66" t="s">
        <v>14</v>
      </c>
      <c r="M95" s="23" t="s">
        <v>37</v>
      </c>
      <c r="N95" s="66" t="s">
        <v>24</v>
      </c>
      <c r="O95" s="23" t="s">
        <v>592</v>
      </c>
    </row>
    <row r="96" spans="1:15" ht="23.25" thickBot="1">
      <c r="A96" s="17" t="s">
        <v>61</v>
      </c>
      <c r="B96" s="89">
        <v>46.7</v>
      </c>
      <c r="C96" s="90">
        <v>46.7</v>
      </c>
      <c r="D96" s="89">
        <v>46.7</v>
      </c>
      <c r="E96" s="90">
        <v>46.7</v>
      </c>
      <c r="F96" s="89">
        <v>46.7</v>
      </c>
      <c r="G96" s="90">
        <v>46.7</v>
      </c>
      <c r="H96" s="89">
        <v>46.7</v>
      </c>
      <c r="I96" s="90">
        <v>46.7</v>
      </c>
      <c r="J96" s="89">
        <v>46.7</v>
      </c>
      <c r="K96" s="90">
        <v>46.7</v>
      </c>
      <c r="L96" s="66" t="s">
        <v>14</v>
      </c>
      <c r="M96" s="23" t="s">
        <v>37</v>
      </c>
      <c r="N96" s="66" t="s">
        <v>24</v>
      </c>
      <c r="O96" s="23" t="s">
        <v>592</v>
      </c>
    </row>
    <row r="97" spans="1:15" ht="15.75" thickBot="1">
      <c r="A97" s="17" t="s">
        <v>64</v>
      </c>
      <c r="B97" s="89">
        <v>55.6</v>
      </c>
      <c r="C97" s="90">
        <v>55.2</v>
      </c>
      <c r="D97" s="89">
        <v>54.8</v>
      </c>
      <c r="E97" s="90">
        <v>54.4</v>
      </c>
      <c r="F97" s="89">
        <v>54.1</v>
      </c>
      <c r="G97" s="90">
        <v>53.7</v>
      </c>
      <c r="H97" s="89">
        <v>53.3</v>
      </c>
      <c r="I97" s="90">
        <v>52.9</v>
      </c>
      <c r="J97" s="89">
        <v>52.6</v>
      </c>
      <c r="K97" s="90">
        <v>52.2</v>
      </c>
      <c r="L97" s="66" t="s">
        <v>14</v>
      </c>
      <c r="M97" s="23" t="s">
        <v>37</v>
      </c>
      <c r="N97" s="66" t="s">
        <v>24</v>
      </c>
      <c r="O97" s="23" t="s">
        <v>592</v>
      </c>
    </row>
    <row r="98" spans="1:15" ht="15.75" thickBot="1">
      <c r="A98" s="17" t="s">
        <v>639</v>
      </c>
      <c r="B98" s="89">
        <v>0</v>
      </c>
      <c r="C98" s="90">
        <v>105</v>
      </c>
      <c r="D98" s="89">
        <v>105</v>
      </c>
      <c r="E98" s="90">
        <v>105</v>
      </c>
      <c r="F98" s="89">
        <v>105</v>
      </c>
      <c r="G98" s="90">
        <v>105</v>
      </c>
      <c r="H98" s="89">
        <v>105</v>
      </c>
      <c r="I98" s="90">
        <v>105</v>
      </c>
      <c r="J98" s="89">
        <v>105</v>
      </c>
      <c r="K98" s="90">
        <v>105</v>
      </c>
      <c r="L98" s="66" t="s">
        <v>14</v>
      </c>
      <c r="M98" s="23" t="s">
        <v>37</v>
      </c>
      <c r="N98" s="66" t="s">
        <v>24</v>
      </c>
      <c r="O98" s="23" t="s">
        <v>592</v>
      </c>
    </row>
    <row r="99" spans="1:15" ht="15.75" thickBot="1">
      <c r="A99" s="17" t="s">
        <v>732</v>
      </c>
      <c r="B99" s="89">
        <v>102</v>
      </c>
      <c r="C99" s="90">
        <v>102</v>
      </c>
      <c r="D99" s="89">
        <v>102</v>
      </c>
      <c r="E99" s="90">
        <v>102</v>
      </c>
      <c r="F99" s="89">
        <v>102</v>
      </c>
      <c r="G99" s="90">
        <v>102</v>
      </c>
      <c r="H99" s="89">
        <v>102</v>
      </c>
      <c r="I99" s="90">
        <v>102</v>
      </c>
      <c r="J99" s="89">
        <v>102</v>
      </c>
      <c r="K99" s="90">
        <v>102</v>
      </c>
      <c r="L99" s="66" t="s">
        <v>14</v>
      </c>
      <c r="M99" s="23" t="s">
        <v>37</v>
      </c>
      <c r="N99" s="66" t="s">
        <v>24</v>
      </c>
      <c r="O99" s="23" t="s">
        <v>592</v>
      </c>
    </row>
    <row r="100" spans="1:15" ht="15.75" thickBot="1">
      <c r="A100" s="17" t="s">
        <v>70</v>
      </c>
      <c r="B100" s="89">
        <v>50.5</v>
      </c>
      <c r="C100" s="90">
        <v>55</v>
      </c>
      <c r="D100" s="89">
        <v>55</v>
      </c>
      <c r="E100" s="90">
        <v>55</v>
      </c>
      <c r="F100" s="89">
        <v>55</v>
      </c>
      <c r="G100" s="90">
        <v>55</v>
      </c>
      <c r="H100" s="89">
        <v>55</v>
      </c>
      <c r="I100" s="90">
        <v>55</v>
      </c>
      <c r="J100" s="89">
        <v>55</v>
      </c>
      <c r="K100" s="90">
        <v>55</v>
      </c>
      <c r="L100" s="66" t="s">
        <v>14</v>
      </c>
      <c r="M100" s="23" t="s">
        <v>37</v>
      </c>
      <c r="N100" s="66" t="s">
        <v>24</v>
      </c>
      <c r="O100" s="23" t="s">
        <v>592</v>
      </c>
    </row>
    <row r="101" spans="1:15" ht="15.75" thickBot="1">
      <c r="A101" s="17" t="s">
        <v>72</v>
      </c>
      <c r="B101" s="89">
        <v>187</v>
      </c>
      <c r="C101" s="90">
        <v>187</v>
      </c>
      <c r="D101" s="89">
        <v>187</v>
      </c>
      <c r="E101" s="90">
        <v>187</v>
      </c>
      <c r="F101" s="89">
        <v>187</v>
      </c>
      <c r="G101" s="90">
        <v>187</v>
      </c>
      <c r="H101" s="89">
        <v>187</v>
      </c>
      <c r="I101" s="90">
        <v>187</v>
      </c>
      <c r="J101" s="89">
        <v>187</v>
      </c>
      <c r="K101" s="90">
        <v>187</v>
      </c>
      <c r="L101" s="66" t="s">
        <v>14</v>
      </c>
      <c r="M101" s="23" t="s">
        <v>13</v>
      </c>
      <c r="N101" s="66" t="s">
        <v>24</v>
      </c>
      <c r="O101" s="23" t="s">
        <v>592</v>
      </c>
    </row>
    <row r="102" spans="1:15" ht="15.75" thickBot="1">
      <c r="A102" s="17" t="s">
        <v>77</v>
      </c>
      <c r="B102" s="89">
        <v>198</v>
      </c>
      <c r="C102" s="90">
        <v>198</v>
      </c>
      <c r="D102" s="89">
        <v>198</v>
      </c>
      <c r="E102" s="90">
        <v>198</v>
      </c>
      <c r="F102" s="89">
        <v>198</v>
      </c>
      <c r="G102" s="90">
        <v>198</v>
      </c>
      <c r="H102" s="89">
        <v>198</v>
      </c>
      <c r="I102" s="90">
        <v>198</v>
      </c>
      <c r="J102" s="89">
        <v>198</v>
      </c>
      <c r="K102" s="90">
        <v>198</v>
      </c>
      <c r="L102" s="66" t="s">
        <v>14</v>
      </c>
      <c r="M102" s="23" t="s">
        <v>13</v>
      </c>
      <c r="N102" s="66" t="s">
        <v>24</v>
      </c>
      <c r="O102" s="23" t="s">
        <v>592</v>
      </c>
    </row>
    <row r="103" spans="1:15" ht="23.25" thickBot="1">
      <c r="A103" s="17" t="s">
        <v>753</v>
      </c>
      <c r="B103" s="89">
        <v>0</v>
      </c>
      <c r="C103" s="90">
        <v>200</v>
      </c>
      <c r="D103" s="89">
        <v>200</v>
      </c>
      <c r="E103" s="90">
        <v>200</v>
      </c>
      <c r="F103" s="89">
        <v>200</v>
      </c>
      <c r="G103" s="90">
        <v>200</v>
      </c>
      <c r="H103" s="89">
        <v>200</v>
      </c>
      <c r="I103" s="90">
        <v>200</v>
      </c>
      <c r="J103" s="89">
        <v>200</v>
      </c>
      <c r="K103" s="90">
        <v>200</v>
      </c>
      <c r="L103" s="66" t="s">
        <v>14</v>
      </c>
      <c r="M103" s="23" t="s">
        <v>37</v>
      </c>
      <c r="N103" s="66" t="s">
        <v>24</v>
      </c>
      <c r="O103" s="23" t="s">
        <v>592</v>
      </c>
    </row>
    <row r="104" spans="1:15" ht="15.75" thickBot="1">
      <c r="A104" s="17" t="s">
        <v>733</v>
      </c>
      <c r="B104" s="89">
        <v>106.8</v>
      </c>
      <c r="C104" s="90">
        <v>106.8</v>
      </c>
      <c r="D104" s="89">
        <v>106.8</v>
      </c>
      <c r="E104" s="90">
        <v>106.8</v>
      </c>
      <c r="F104" s="89">
        <v>106.8</v>
      </c>
      <c r="G104" s="90">
        <v>106.8</v>
      </c>
      <c r="H104" s="89">
        <v>106.8</v>
      </c>
      <c r="I104" s="90">
        <v>106.8</v>
      </c>
      <c r="J104" s="89">
        <v>106.8</v>
      </c>
      <c r="K104" s="90">
        <v>106.8</v>
      </c>
      <c r="L104" s="66" t="s">
        <v>14</v>
      </c>
      <c r="M104" s="23" t="s">
        <v>13</v>
      </c>
      <c r="N104" s="66" t="s">
        <v>24</v>
      </c>
      <c r="O104" s="23" t="s">
        <v>592</v>
      </c>
    </row>
    <row r="105" spans="1:15" ht="15.75" thickBot="1">
      <c r="A105" s="17" t="s">
        <v>643</v>
      </c>
      <c r="B105" s="89">
        <v>0</v>
      </c>
      <c r="C105" s="90">
        <v>0</v>
      </c>
      <c r="D105" s="89">
        <v>0</v>
      </c>
      <c r="E105" s="90">
        <v>0</v>
      </c>
      <c r="F105" s="89">
        <v>0</v>
      </c>
      <c r="G105" s="90">
        <v>0</v>
      </c>
      <c r="H105" s="89">
        <v>0</v>
      </c>
      <c r="I105" s="90">
        <v>0</v>
      </c>
      <c r="J105" s="89">
        <v>0</v>
      </c>
      <c r="K105" s="90">
        <v>0</v>
      </c>
      <c r="L105" s="66" t="s">
        <v>14</v>
      </c>
      <c r="M105" s="23" t="s">
        <v>37</v>
      </c>
      <c r="N105" s="66" t="s">
        <v>24</v>
      </c>
      <c r="O105" s="23" t="s">
        <v>592</v>
      </c>
    </row>
    <row r="106" spans="1:15" ht="23.25" thickBot="1">
      <c r="A106" s="17" t="s">
        <v>644</v>
      </c>
      <c r="B106" s="89">
        <v>172.5</v>
      </c>
      <c r="C106" s="90">
        <v>172.5</v>
      </c>
      <c r="D106" s="89">
        <v>172.5</v>
      </c>
      <c r="E106" s="90">
        <v>172.5</v>
      </c>
      <c r="F106" s="89">
        <v>172.5</v>
      </c>
      <c r="G106" s="90">
        <v>172.5</v>
      </c>
      <c r="H106" s="89">
        <v>172.5</v>
      </c>
      <c r="I106" s="90">
        <v>172.5</v>
      </c>
      <c r="J106" s="89">
        <v>172.5</v>
      </c>
      <c r="K106" s="90">
        <v>172.5</v>
      </c>
      <c r="L106" s="66" t="s">
        <v>14</v>
      </c>
      <c r="M106" s="23" t="s">
        <v>13</v>
      </c>
      <c r="N106" s="66" t="s">
        <v>24</v>
      </c>
      <c r="O106" s="23" t="s">
        <v>592</v>
      </c>
    </row>
    <row r="107" spans="1:15">
      <c r="A107" s="19" t="s">
        <v>98</v>
      </c>
      <c r="B107" s="91">
        <v>48.3</v>
      </c>
      <c r="C107" s="92">
        <v>48.3</v>
      </c>
      <c r="D107" s="91">
        <v>48.3</v>
      </c>
      <c r="E107" s="92">
        <v>48.3</v>
      </c>
      <c r="F107" s="91">
        <v>48.3</v>
      </c>
      <c r="G107" s="92">
        <v>48.3</v>
      </c>
      <c r="H107" s="91">
        <v>48.3</v>
      </c>
      <c r="I107" s="92">
        <v>48.3</v>
      </c>
      <c r="J107" s="91">
        <v>48.3</v>
      </c>
      <c r="K107" s="92">
        <v>48.3</v>
      </c>
      <c r="L107" s="68" t="s">
        <v>14</v>
      </c>
      <c r="M107" s="25" t="s">
        <v>13</v>
      </c>
      <c r="N107" s="68" t="s">
        <v>24</v>
      </c>
      <c r="O107" s="25" t="s">
        <v>592</v>
      </c>
    </row>
    <row r="108" spans="1:15" ht="15.75" thickBot="1">
      <c r="A108" s="84"/>
      <c r="B108" s="84"/>
      <c r="C108" s="84"/>
      <c r="D108" s="84"/>
      <c r="E108" s="84"/>
      <c r="F108" s="84"/>
      <c r="G108" s="84"/>
      <c r="H108" s="84"/>
      <c r="I108" s="84"/>
      <c r="J108" s="84"/>
      <c r="K108" s="84"/>
      <c r="L108" s="84"/>
      <c r="M108" s="84"/>
      <c r="N108" s="84"/>
      <c r="O108" s="84"/>
    </row>
    <row r="109" spans="1:15" ht="15.75" thickBot="1">
      <c r="A109" s="50" t="s">
        <v>622</v>
      </c>
      <c r="B109" s="93">
        <f>SUMIF(sumcapssstable[FuelType],"Wind",sumcapssstable[201819])</f>
        <v>1232.8799999999999</v>
      </c>
      <c r="C109" s="96">
        <f>SUMIF(sumcapssstable[FuelType],"Wind",sumcapssstable[201920])</f>
        <v>1367.8799999999999</v>
      </c>
      <c r="D109" s="93">
        <f>SUMIF(sumcapssstable[FuelType],"Wind",sumcapssstable[202021])</f>
        <v>1367.8799999999999</v>
      </c>
      <c r="E109" s="96">
        <f>SUMIF(sumcapssstable[FuelType],"Wind",sumcapssstable[202122])</f>
        <v>1367.8799999999999</v>
      </c>
      <c r="F109" s="93">
        <f>SUMIF(sumcapssstable[FuelType],"Wind",sumcapssstable[202223])</f>
        <v>1367.8799999999999</v>
      </c>
      <c r="G109" s="96">
        <f>SUMIF(sumcapssstable[FuelType],"Wind",sumcapssstable[202324])</f>
        <v>1367.8799999999999</v>
      </c>
      <c r="H109" s="93">
        <f>SUMIF(sumcapssstable[FuelType],"Wind",sumcapssstable[202425])</f>
        <v>1367.8799999999999</v>
      </c>
      <c r="I109" s="96">
        <f>SUMIF(sumcapssstable[FuelType],"Wind",sumcapssstable[202526])</f>
        <v>1367.8799999999999</v>
      </c>
      <c r="J109" s="93">
        <f>SUMIF(sumcapssstable[FuelType],"Wind",sumcapssstable[202627])</f>
        <v>1367.8799999999999</v>
      </c>
      <c r="K109" s="96">
        <f>SUMIF(sumcapssstable[FuelType],"Wind",sumcapssstable[202728])</f>
        <v>1367.8799999999999</v>
      </c>
    </row>
    <row r="110" spans="1:15" ht="15.75" thickBot="1">
      <c r="A110" s="50" t="s">
        <v>623</v>
      </c>
      <c r="B110" s="93">
        <f>SUMIF(sumcapssstable[FuelType],"Solar",sumcapssstable[201819])</f>
        <v>467.8</v>
      </c>
      <c r="C110" s="96">
        <f>SUMIF(sumcapssstable[FuelType],"Solar",sumcapssstable[201920])</f>
        <v>1389.2330000000002</v>
      </c>
      <c r="D110" s="93">
        <f>SUMIF(sumcapssstable[FuelType],"Solar",sumcapssstable[202021])</f>
        <v>1608.8330000000001</v>
      </c>
      <c r="E110" s="96">
        <f>SUMIF(sumcapssstable[FuelType],"Solar",sumcapssstable[202122])</f>
        <v>1608.4330000000002</v>
      </c>
      <c r="F110" s="93">
        <f>SUMIF(sumcapssstable[FuelType],"Solar",sumcapssstable[202223])</f>
        <v>1608.133</v>
      </c>
      <c r="G110" s="96">
        <f>SUMIF(sumcapssstable[FuelType],"Solar",sumcapssstable[202324])</f>
        <v>1607.7330000000002</v>
      </c>
      <c r="H110" s="93">
        <f>SUMIF(sumcapssstable[FuelType],"Solar",sumcapssstable[202425])</f>
        <v>1607.3330000000001</v>
      </c>
      <c r="I110" s="96">
        <f>SUMIF(sumcapssstable[FuelType],"Solar",sumcapssstable[202526])</f>
        <v>1606.9330000000002</v>
      </c>
      <c r="J110" s="93">
        <f>SUMIF(sumcapssstable[FuelType],"Solar",sumcapssstable[202627])</f>
        <v>1606.633</v>
      </c>
      <c r="K110" s="96">
        <f>SUMIF(sumcapssstable[FuelType],"Solar",sumcapssstable[202728])</f>
        <v>1606.2330000000002</v>
      </c>
    </row>
  </sheetData>
  <mergeCells count="4">
    <mergeCell ref="A50:L50"/>
    <mergeCell ref="A51:L51"/>
    <mergeCell ref="A52:L52"/>
    <mergeCell ref="A53:L53"/>
  </mergeCells>
  <pageMargins left="0.7" right="0.7" top="0.75" bottom="0.75" header="0.3" footer="0.3"/>
  <pageSetup paperSize="9" orientation="portrait" verticalDpi="0"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W110"/>
  <sheetViews>
    <sheetView workbookViewId="0"/>
  </sheetViews>
  <sheetFormatPr defaultColWidth="9.140625" defaultRowHeight="15"/>
  <cols>
    <col min="1" max="1" width="23.85546875" style="28" bestFit="1" customWidth="1"/>
    <col min="2" max="11" width="9" style="28" bestFit="1" customWidth="1"/>
    <col min="12" max="12" width="16.140625" style="28" bestFit="1" customWidth="1"/>
    <col min="13" max="13" width="12.7109375" style="28" hidden="1" customWidth="1"/>
    <col min="14" max="14" width="11" style="28" hidden="1" customWidth="1"/>
    <col min="15" max="15" width="11.42578125" style="28" hidden="1" customWidth="1"/>
    <col min="16" max="16384" width="9.140625" style="28"/>
  </cols>
  <sheetData>
    <row r="1" spans="1:15" ht="20.25" thickBot="1">
      <c r="A1" s="47" t="s">
        <v>605</v>
      </c>
    </row>
    <row r="2" spans="1:15" ht="15.75" thickBot="1">
      <c r="A2" s="62" t="s">
        <v>587</v>
      </c>
      <c r="B2" s="62" t="s">
        <v>606</v>
      </c>
      <c r="C2" s="62" t="s">
        <v>607</v>
      </c>
      <c r="D2" s="62" t="s">
        <v>608</v>
      </c>
      <c r="E2" s="62" t="s">
        <v>609</v>
      </c>
      <c r="F2" s="62" t="s">
        <v>610</v>
      </c>
      <c r="G2" s="62" t="s">
        <v>611</v>
      </c>
      <c r="H2" s="62" t="s">
        <v>612</v>
      </c>
      <c r="I2" s="62" t="s">
        <v>613</v>
      </c>
      <c r="J2" s="62" t="s">
        <v>614</v>
      </c>
      <c r="K2" s="62" t="s">
        <v>615</v>
      </c>
      <c r="L2" s="62" t="s">
        <v>588</v>
      </c>
      <c r="M2" s="62" t="s">
        <v>589</v>
      </c>
      <c r="N2" s="62" t="s">
        <v>7</v>
      </c>
      <c r="O2" s="62" t="s">
        <v>590</v>
      </c>
    </row>
    <row r="3" spans="1:15" ht="15.75" thickBot="1">
      <c r="A3" s="18" t="s">
        <v>19</v>
      </c>
      <c r="B3" s="87">
        <v>2640</v>
      </c>
      <c r="C3" s="88">
        <v>2665</v>
      </c>
      <c r="D3" s="87">
        <v>2690</v>
      </c>
      <c r="E3" s="88">
        <v>2715</v>
      </c>
      <c r="F3" s="87">
        <v>2740</v>
      </c>
      <c r="G3" s="88">
        <v>2740</v>
      </c>
      <c r="H3" s="87">
        <v>2740</v>
      </c>
      <c r="I3" s="88">
        <v>2740</v>
      </c>
      <c r="J3" s="87">
        <v>2740</v>
      </c>
      <c r="K3" s="88">
        <v>2740</v>
      </c>
      <c r="L3" s="67" t="s">
        <v>10</v>
      </c>
      <c r="M3" s="24" t="s">
        <v>591</v>
      </c>
      <c r="N3" s="67" t="s">
        <v>24</v>
      </c>
      <c r="O3" s="24" t="s">
        <v>616</v>
      </c>
    </row>
    <row r="4" spans="1:15" ht="15.75" thickBot="1">
      <c r="A4" s="17" t="s">
        <v>104</v>
      </c>
      <c r="B4" s="89">
        <v>0</v>
      </c>
      <c r="C4" s="90">
        <v>83</v>
      </c>
      <c r="D4" s="89">
        <v>83</v>
      </c>
      <c r="E4" s="90">
        <v>83</v>
      </c>
      <c r="F4" s="89">
        <v>83</v>
      </c>
      <c r="G4" s="90">
        <v>83</v>
      </c>
      <c r="H4" s="89">
        <v>83</v>
      </c>
      <c r="I4" s="90">
        <v>83</v>
      </c>
      <c r="J4" s="89">
        <v>83</v>
      </c>
      <c r="K4" s="90">
        <v>83</v>
      </c>
      <c r="L4" s="66" t="s">
        <v>14</v>
      </c>
      <c r="M4" s="23" t="s">
        <v>37</v>
      </c>
      <c r="N4" s="66" t="s">
        <v>24</v>
      </c>
      <c r="O4" s="23" t="s">
        <v>616</v>
      </c>
    </row>
    <row r="5" spans="1:15" ht="15.75" thickBot="1">
      <c r="A5" s="17" t="s">
        <v>25</v>
      </c>
      <c r="B5" s="89">
        <v>80</v>
      </c>
      <c r="C5" s="90">
        <v>80</v>
      </c>
      <c r="D5" s="89">
        <v>80</v>
      </c>
      <c r="E5" s="90">
        <v>80</v>
      </c>
      <c r="F5" s="89">
        <v>80</v>
      </c>
      <c r="G5" s="90">
        <v>80</v>
      </c>
      <c r="H5" s="89">
        <v>80</v>
      </c>
      <c r="I5" s="90">
        <v>80</v>
      </c>
      <c r="J5" s="89">
        <v>80</v>
      </c>
      <c r="K5" s="90">
        <v>80</v>
      </c>
      <c r="L5" s="66" t="s">
        <v>10</v>
      </c>
      <c r="M5" s="23" t="s">
        <v>593</v>
      </c>
      <c r="N5" s="66" t="s">
        <v>24</v>
      </c>
      <c r="O5" s="23" t="s">
        <v>616</v>
      </c>
    </row>
    <row r="6" spans="1:15" ht="15.75" thickBot="1">
      <c r="A6" s="17" t="s">
        <v>28</v>
      </c>
      <c r="B6" s="89">
        <v>113.17999999999999</v>
      </c>
      <c r="C6" s="90">
        <v>113.17999999999999</v>
      </c>
      <c r="D6" s="89">
        <v>113.17999999999999</v>
      </c>
      <c r="E6" s="90">
        <v>113.17999999999999</v>
      </c>
      <c r="F6" s="89">
        <v>113.17999999999999</v>
      </c>
      <c r="G6" s="90">
        <v>113.17999999999999</v>
      </c>
      <c r="H6" s="89">
        <v>113.17999999999999</v>
      </c>
      <c r="I6" s="90">
        <v>113.17999999999999</v>
      </c>
      <c r="J6" s="89">
        <v>113.17999999999999</v>
      </c>
      <c r="K6" s="90">
        <v>113.17999999999999</v>
      </c>
      <c r="L6" s="66" t="s">
        <v>14</v>
      </c>
      <c r="M6" s="23" t="s">
        <v>13</v>
      </c>
      <c r="N6" s="66" t="s">
        <v>24</v>
      </c>
      <c r="O6" s="23" t="s">
        <v>616</v>
      </c>
    </row>
    <row r="7" spans="1:15" ht="15.75" thickBot="1">
      <c r="A7" s="17" t="s">
        <v>106</v>
      </c>
      <c r="B7" s="89">
        <v>113.19</v>
      </c>
      <c r="C7" s="90">
        <v>113.19</v>
      </c>
      <c r="D7" s="89">
        <v>113.19</v>
      </c>
      <c r="E7" s="90">
        <v>113.19</v>
      </c>
      <c r="F7" s="89">
        <v>113.19</v>
      </c>
      <c r="G7" s="90">
        <v>113.19</v>
      </c>
      <c r="H7" s="89">
        <v>113.19</v>
      </c>
      <c r="I7" s="90">
        <v>113.19</v>
      </c>
      <c r="J7" s="89">
        <v>113.19</v>
      </c>
      <c r="K7" s="90">
        <v>113.19</v>
      </c>
      <c r="L7" s="66" t="s">
        <v>14</v>
      </c>
      <c r="M7" s="23" t="s">
        <v>13</v>
      </c>
      <c r="N7" s="66" t="s">
        <v>24</v>
      </c>
      <c r="O7" s="23" t="s">
        <v>616</v>
      </c>
    </row>
    <row r="8" spans="1:15" ht="15.75" thickBot="1">
      <c r="A8" s="17" t="s">
        <v>269</v>
      </c>
      <c r="B8" s="89">
        <v>0</v>
      </c>
      <c r="C8" s="90">
        <v>100</v>
      </c>
      <c r="D8" s="89">
        <v>100</v>
      </c>
      <c r="E8" s="90">
        <v>100</v>
      </c>
      <c r="F8" s="89">
        <v>100</v>
      </c>
      <c r="G8" s="90">
        <v>100</v>
      </c>
      <c r="H8" s="89">
        <v>100</v>
      </c>
      <c r="I8" s="90">
        <v>100</v>
      </c>
      <c r="J8" s="89">
        <v>100</v>
      </c>
      <c r="K8" s="90">
        <v>100</v>
      </c>
      <c r="L8" s="66" t="s">
        <v>14</v>
      </c>
      <c r="M8" s="23" t="s">
        <v>37</v>
      </c>
      <c r="N8" s="66" t="s">
        <v>24</v>
      </c>
      <c r="O8" s="23" t="s">
        <v>616</v>
      </c>
    </row>
    <row r="9" spans="1:15" ht="15.75" thickBot="1">
      <c r="A9" s="17" t="s">
        <v>33</v>
      </c>
      <c r="B9" s="89">
        <v>53</v>
      </c>
      <c r="C9" s="90">
        <v>53</v>
      </c>
      <c r="D9" s="89">
        <v>53</v>
      </c>
      <c r="E9" s="90">
        <v>53</v>
      </c>
      <c r="F9" s="89">
        <v>53</v>
      </c>
      <c r="G9" s="90">
        <v>53</v>
      </c>
      <c r="H9" s="89">
        <v>53</v>
      </c>
      <c r="I9" s="90">
        <v>53</v>
      </c>
      <c r="J9" s="89">
        <v>53</v>
      </c>
      <c r="K9" s="90">
        <v>53</v>
      </c>
      <c r="L9" s="66" t="s">
        <v>14</v>
      </c>
      <c r="M9" s="23" t="s">
        <v>37</v>
      </c>
      <c r="N9" s="66" t="s">
        <v>24</v>
      </c>
      <c r="O9" s="23" t="s">
        <v>616</v>
      </c>
    </row>
    <row r="10" spans="1:15" ht="15.75" thickBot="1">
      <c r="A10" s="17" t="s">
        <v>108</v>
      </c>
      <c r="B10" s="89">
        <v>130</v>
      </c>
      <c r="C10" s="90">
        <v>130</v>
      </c>
      <c r="D10" s="89">
        <v>130</v>
      </c>
      <c r="E10" s="90">
        <v>130</v>
      </c>
      <c r="F10" s="89">
        <v>130</v>
      </c>
      <c r="G10" s="90">
        <v>130</v>
      </c>
      <c r="H10" s="89">
        <v>130</v>
      </c>
      <c r="I10" s="90">
        <v>130</v>
      </c>
      <c r="J10" s="89">
        <v>130</v>
      </c>
      <c r="K10" s="90">
        <v>130</v>
      </c>
      <c r="L10" s="66" t="s">
        <v>14</v>
      </c>
      <c r="M10" s="23" t="s">
        <v>37</v>
      </c>
      <c r="N10" s="66" t="s">
        <v>24</v>
      </c>
      <c r="O10" s="23" t="s">
        <v>616</v>
      </c>
    </row>
    <row r="11" spans="1:15" ht="15.75" thickBot="1">
      <c r="A11" s="17" t="s">
        <v>39</v>
      </c>
      <c r="B11" s="89">
        <v>724</v>
      </c>
      <c r="C11" s="90">
        <v>724</v>
      </c>
      <c r="D11" s="89">
        <v>724</v>
      </c>
      <c r="E11" s="90">
        <v>724</v>
      </c>
      <c r="F11" s="89">
        <v>724</v>
      </c>
      <c r="G11" s="90">
        <v>724</v>
      </c>
      <c r="H11" s="89">
        <v>724</v>
      </c>
      <c r="I11" s="90">
        <v>724</v>
      </c>
      <c r="J11" s="89">
        <v>724</v>
      </c>
      <c r="K11" s="90">
        <v>724</v>
      </c>
      <c r="L11" s="66" t="s">
        <v>10</v>
      </c>
      <c r="M11" s="23" t="s">
        <v>591</v>
      </c>
      <c r="N11" s="66" t="s">
        <v>24</v>
      </c>
      <c r="O11" s="23" t="s">
        <v>616</v>
      </c>
    </row>
    <row r="12" spans="1:15" ht="15.75" thickBot="1">
      <c r="A12" s="17" t="s">
        <v>109</v>
      </c>
      <c r="B12" s="89">
        <v>91</v>
      </c>
      <c r="C12" s="90">
        <v>91</v>
      </c>
      <c r="D12" s="89">
        <v>91</v>
      </c>
      <c r="E12" s="90">
        <v>91</v>
      </c>
      <c r="F12" s="89">
        <v>91</v>
      </c>
      <c r="G12" s="90">
        <v>91</v>
      </c>
      <c r="H12" s="89">
        <v>91</v>
      </c>
      <c r="I12" s="90">
        <v>91</v>
      </c>
      <c r="J12" s="89">
        <v>91</v>
      </c>
      <c r="K12" s="90">
        <v>91</v>
      </c>
      <c r="L12" s="66" t="s">
        <v>14</v>
      </c>
      <c r="M12" s="23" t="s">
        <v>13</v>
      </c>
      <c r="N12" s="66" t="s">
        <v>24</v>
      </c>
      <c r="O12" s="23" t="s">
        <v>616</v>
      </c>
    </row>
    <row r="13" spans="1:15" ht="23.25" thickBot="1">
      <c r="A13" s="17" t="s">
        <v>673</v>
      </c>
      <c r="B13" s="89">
        <v>0</v>
      </c>
      <c r="C13" s="90">
        <v>135</v>
      </c>
      <c r="D13" s="89">
        <v>135</v>
      </c>
      <c r="E13" s="90">
        <v>135</v>
      </c>
      <c r="F13" s="89">
        <v>135</v>
      </c>
      <c r="G13" s="90">
        <v>135</v>
      </c>
      <c r="H13" s="89">
        <v>135</v>
      </c>
      <c r="I13" s="90">
        <v>135</v>
      </c>
      <c r="J13" s="89">
        <v>135</v>
      </c>
      <c r="K13" s="90">
        <v>135</v>
      </c>
      <c r="L13" s="66" t="s">
        <v>14</v>
      </c>
      <c r="M13" s="23" t="s">
        <v>13</v>
      </c>
      <c r="N13" s="66" t="s">
        <v>24</v>
      </c>
      <c r="O13" s="23" t="s">
        <v>616</v>
      </c>
    </row>
    <row r="14" spans="1:15" ht="15.75" thickBot="1">
      <c r="A14" s="17" t="s">
        <v>313</v>
      </c>
      <c r="B14" s="89">
        <v>0</v>
      </c>
      <c r="C14" s="90">
        <v>275</v>
      </c>
      <c r="D14" s="89">
        <v>275</v>
      </c>
      <c r="E14" s="90">
        <v>275</v>
      </c>
      <c r="F14" s="89">
        <v>275</v>
      </c>
      <c r="G14" s="90">
        <v>275</v>
      </c>
      <c r="H14" s="89">
        <v>275</v>
      </c>
      <c r="I14" s="90">
        <v>275</v>
      </c>
      <c r="J14" s="89">
        <v>275</v>
      </c>
      <c r="K14" s="90">
        <v>275</v>
      </c>
      <c r="L14" s="66" t="s">
        <v>14</v>
      </c>
      <c r="M14" s="23" t="s">
        <v>37</v>
      </c>
      <c r="N14" s="66" t="s">
        <v>24</v>
      </c>
      <c r="O14" s="23" t="s">
        <v>616</v>
      </c>
    </row>
    <row r="15" spans="1:15" ht="15.75" thickBot="1">
      <c r="A15" s="17" t="s">
        <v>42</v>
      </c>
      <c r="B15" s="89">
        <v>2880</v>
      </c>
      <c r="C15" s="90">
        <v>2880</v>
      </c>
      <c r="D15" s="89">
        <v>2880</v>
      </c>
      <c r="E15" s="90">
        <v>2880</v>
      </c>
      <c r="F15" s="89">
        <v>2880</v>
      </c>
      <c r="G15" s="90">
        <v>2880</v>
      </c>
      <c r="H15" s="89">
        <v>2880</v>
      </c>
      <c r="I15" s="90">
        <v>2880</v>
      </c>
      <c r="J15" s="89">
        <v>2880</v>
      </c>
      <c r="K15" s="90">
        <v>2880</v>
      </c>
      <c r="L15" s="66" t="s">
        <v>10</v>
      </c>
      <c r="M15" s="23" t="s">
        <v>591</v>
      </c>
      <c r="N15" s="66" t="s">
        <v>24</v>
      </c>
      <c r="O15" s="23" t="s">
        <v>616</v>
      </c>
    </row>
    <row r="16" spans="1:15" ht="15.75" thickBot="1">
      <c r="A16" s="17" t="s">
        <v>777</v>
      </c>
      <c r="B16" s="89">
        <v>0</v>
      </c>
      <c r="C16" s="90">
        <v>133</v>
      </c>
      <c r="D16" s="89">
        <v>133</v>
      </c>
      <c r="E16" s="90">
        <v>133</v>
      </c>
      <c r="F16" s="89">
        <v>133</v>
      </c>
      <c r="G16" s="90">
        <v>133</v>
      </c>
      <c r="H16" s="89">
        <v>133</v>
      </c>
      <c r="I16" s="90">
        <v>133</v>
      </c>
      <c r="J16" s="89">
        <v>133</v>
      </c>
      <c r="K16" s="90">
        <v>133</v>
      </c>
      <c r="L16" s="66" t="s">
        <v>14</v>
      </c>
      <c r="M16" s="23" t="s">
        <v>37</v>
      </c>
      <c r="N16" s="66" t="s">
        <v>24</v>
      </c>
      <c r="O16" s="23" t="s">
        <v>616</v>
      </c>
    </row>
    <row r="17" spans="1:15" ht="15.75" thickBot="1">
      <c r="A17" s="17" t="s">
        <v>45</v>
      </c>
      <c r="B17" s="89">
        <v>10</v>
      </c>
      <c r="C17" s="90">
        <v>10</v>
      </c>
      <c r="D17" s="89">
        <v>10</v>
      </c>
      <c r="E17" s="90">
        <v>10</v>
      </c>
      <c r="F17" s="89">
        <v>10</v>
      </c>
      <c r="G17" s="90">
        <v>10</v>
      </c>
      <c r="H17" s="89">
        <v>10</v>
      </c>
      <c r="I17" s="90">
        <v>10</v>
      </c>
      <c r="J17" s="89">
        <v>10</v>
      </c>
      <c r="K17" s="90">
        <v>10</v>
      </c>
      <c r="L17" s="66" t="s">
        <v>14</v>
      </c>
      <c r="M17" s="23" t="s">
        <v>37</v>
      </c>
      <c r="N17" s="66" t="s">
        <v>24</v>
      </c>
      <c r="O17" s="23" t="s">
        <v>616</v>
      </c>
    </row>
    <row r="18" spans="1:15" ht="15.75" thickBot="1">
      <c r="A18" s="17" t="s">
        <v>594</v>
      </c>
      <c r="B18" s="89">
        <v>165.5</v>
      </c>
      <c r="C18" s="90">
        <v>165.5</v>
      </c>
      <c r="D18" s="89">
        <v>165.5</v>
      </c>
      <c r="E18" s="90">
        <v>165.5</v>
      </c>
      <c r="F18" s="89">
        <v>165.5</v>
      </c>
      <c r="G18" s="90">
        <v>165.5</v>
      </c>
      <c r="H18" s="89">
        <v>165.5</v>
      </c>
      <c r="I18" s="90">
        <v>165.5</v>
      </c>
      <c r="J18" s="89">
        <v>165.5</v>
      </c>
      <c r="K18" s="90">
        <v>165.5</v>
      </c>
      <c r="L18" s="66" t="s">
        <v>14</v>
      </c>
      <c r="M18" s="23" t="s">
        <v>13</v>
      </c>
      <c r="N18" s="66" t="s">
        <v>24</v>
      </c>
      <c r="O18" s="23" t="s">
        <v>616</v>
      </c>
    </row>
    <row r="19" spans="1:15" ht="15.75" thickBot="1">
      <c r="A19" s="17" t="s">
        <v>731</v>
      </c>
      <c r="B19" s="89">
        <v>46.5</v>
      </c>
      <c r="C19" s="90">
        <v>46.5</v>
      </c>
      <c r="D19" s="89">
        <v>46.5</v>
      </c>
      <c r="E19" s="90">
        <v>46.5</v>
      </c>
      <c r="F19" s="89">
        <v>46.5</v>
      </c>
      <c r="G19" s="90">
        <v>46.5</v>
      </c>
      <c r="H19" s="89">
        <v>46.5</v>
      </c>
      <c r="I19" s="90">
        <v>46.5</v>
      </c>
      <c r="J19" s="89">
        <v>46.5</v>
      </c>
      <c r="K19" s="90">
        <v>46.5</v>
      </c>
      <c r="L19" s="66" t="s">
        <v>14</v>
      </c>
      <c r="M19" s="23" t="s">
        <v>13</v>
      </c>
      <c r="N19" s="66" t="s">
        <v>24</v>
      </c>
      <c r="O19" s="23" t="s">
        <v>616</v>
      </c>
    </row>
    <row r="20" spans="1:15" ht="15.75" thickBot="1">
      <c r="A20" s="17" t="s">
        <v>50</v>
      </c>
      <c r="B20" s="89">
        <v>34</v>
      </c>
      <c r="C20" s="90">
        <v>68</v>
      </c>
      <c r="D20" s="89">
        <v>68</v>
      </c>
      <c r="E20" s="90">
        <v>68</v>
      </c>
      <c r="F20" s="89">
        <v>68</v>
      </c>
      <c r="G20" s="90">
        <v>68</v>
      </c>
      <c r="H20" s="89">
        <v>68</v>
      </c>
      <c r="I20" s="90">
        <v>68</v>
      </c>
      <c r="J20" s="89">
        <v>68</v>
      </c>
      <c r="K20" s="90">
        <v>68</v>
      </c>
      <c r="L20" s="66" t="s">
        <v>10</v>
      </c>
      <c r="M20" s="23" t="s">
        <v>593</v>
      </c>
      <c r="N20" s="66" t="s">
        <v>24</v>
      </c>
      <c r="O20" s="23" t="s">
        <v>616</v>
      </c>
    </row>
    <row r="21" spans="1:15" ht="15.75" thickBot="1">
      <c r="A21" s="17" t="s">
        <v>53</v>
      </c>
      <c r="B21" s="89">
        <v>0</v>
      </c>
      <c r="C21" s="90">
        <v>0</v>
      </c>
      <c r="D21" s="89">
        <v>0</v>
      </c>
      <c r="E21" s="90">
        <v>0</v>
      </c>
      <c r="F21" s="89">
        <v>0</v>
      </c>
      <c r="G21" s="90">
        <v>0</v>
      </c>
      <c r="H21" s="89">
        <v>0</v>
      </c>
      <c r="I21" s="90">
        <v>0</v>
      </c>
      <c r="J21" s="89">
        <v>0</v>
      </c>
      <c r="K21" s="90">
        <v>0</v>
      </c>
      <c r="L21" s="66" t="s">
        <v>10</v>
      </c>
      <c r="M21" s="23" t="s">
        <v>593</v>
      </c>
      <c r="N21" s="66" t="s">
        <v>24</v>
      </c>
      <c r="O21" s="23" t="s">
        <v>616</v>
      </c>
    </row>
    <row r="22" spans="1:15" ht="15.75" thickBot="1">
      <c r="A22" s="17" t="s">
        <v>56</v>
      </c>
      <c r="B22" s="89">
        <v>40</v>
      </c>
      <c r="C22" s="90">
        <v>40</v>
      </c>
      <c r="D22" s="89">
        <v>40</v>
      </c>
      <c r="E22" s="90">
        <v>40</v>
      </c>
      <c r="F22" s="89">
        <v>40</v>
      </c>
      <c r="G22" s="90">
        <v>40</v>
      </c>
      <c r="H22" s="89">
        <v>40</v>
      </c>
      <c r="I22" s="90">
        <v>40</v>
      </c>
      <c r="J22" s="89">
        <v>40</v>
      </c>
      <c r="K22" s="90">
        <v>40</v>
      </c>
      <c r="L22" s="66" t="s">
        <v>10</v>
      </c>
      <c r="M22" s="23" t="s">
        <v>591</v>
      </c>
      <c r="N22" s="66" t="s">
        <v>24</v>
      </c>
      <c r="O22" s="23" t="s">
        <v>616</v>
      </c>
    </row>
    <row r="23" spans="1:15" ht="15.75" thickBot="1">
      <c r="A23" s="17" t="s">
        <v>58</v>
      </c>
      <c r="B23" s="89">
        <v>1800</v>
      </c>
      <c r="C23" s="90">
        <v>1800</v>
      </c>
      <c r="D23" s="89">
        <v>1800</v>
      </c>
      <c r="E23" s="90">
        <v>1800</v>
      </c>
      <c r="F23" s="89">
        <v>0</v>
      </c>
      <c r="G23" s="90">
        <v>0</v>
      </c>
      <c r="H23" s="89">
        <v>0</v>
      </c>
      <c r="I23" s="90">
        <v>0</v>
      </c>
      <c r="J23" s="89">
        <v>0</v>
      </c>
      <c r="K23" s="90">
        <v>0</v>
      </c>
      <c r="L23" s="66" t="s">
        <v>10</v>
      </c>
      <c r="M23" s="23" t="s">
        <v>591</v>
      </c>
      <c r="N23" s="66" t="s">
        <v>24</v>
      </c>
      <c r="O23" s="23" t="s">
        <v>616</v>
      </c>
    </row>
    <row r="24" spans="1:15" ht="15.75" thickBot="1">
      <c r="A24" s="17" t="s">
        <v>758</v>
      </c>
      <c r="B24" s="89">
        <v>0</v>
      </c>
      <c r="C24" s="90">
        <v>220</v>
      </c>
      <c r="D24" s="89">
        <v>220</v>
      </c>
      <c r="E24" s="90">
        <v>220</v>
      </c>
      <c r="F24" s="89">
        <v>220</v>
      </c>
      <c r="G24" s="90">
        <v>220</v>
      </c>
      <c r="H24" s="89">
        <v>220</v>
      </c>
      <c r="I24" s="90">
        <v>220</v>
      </c>
      <c r="J24" s="89">
        <v>220</v>
      </c>
      <c r="K24" s="90">
        <v>220</v>
      </c>
      <c r="L24" s="66" t="s">
        <v>14</v>
      </c>
      <c r="M24" s="23" t="s">
        <v>37</v>
      </c>
      <c r="N24" s="66" t="s">
        <v>24</v>
      </c>
      <c r="O24" s="23" t="s">
        <v>616</v>
      </c>
    </row>
    <row r="25" spans="1:15" ht="15.75" thickBot="1">
      <c r="A25" s="17" t="s">
        <v>759</v>
      </c>
      <c r="B25" s="89">
        <v>29</v>
      </c>
      <c r="C25" s="90">
        <v>29</v>
      </c>
      <c r="D25" s="89">
        <v>29</v>
      </c>
      <c r="E25" s="90">
        <v>29</v>
      </c>
      <c r="F25" s="89">
        <v>29</v>
      </c>
      <c r="G25" s="90">
        <v>29</v>
      </c>
      <c r="H25" s="89">
        <v>29</v>
      </c>
      <c r="I25" s="90">
        <v>29</v>
      </c>
      <c r="J25" s="89">
        <v>29</v>
      </c>
      <c r="K25" s="90">
        <v>29</v>
      </c>
      <c r="L25" s="66" t="s">
        <v>14</v>
      </c>
      <c r="M25" s="23" t="s">
        <v>37</v>
      </c>
      <c r="N25" s="66" t="s">
        <v>24</v>
      </c>
      <c r="O25" s="23" t="s">
        <v>616</v>
      </c>
    </row>
    <row r="26" spans="1:15" ht="15.75" thickBot="1">
      <c r="A26" s="17" t="s">
        <v>61</v>
      </c>
      <c r="B26" s="89">
        <v>45</v>
      </c>
      <c r="C26" s="90">
        <v>45</v>
      </c>
      <c r="D26" s="89">
        <v>45</v>
      </c>
      <c r="E26" s="90">
        <v>45</v>
      </c>
      <c r="F26" s="89">
        <v>45</v>
      </c>
      <c r="G26" s="90">
        <v>45</v>
      </c>
      <c r="H26" s="89">
        <v>45</v>
      </c>
      <c r="I26" s="90">
        <v>45</v>
      </c>
      <c r="J26" s="89">
        <v>45</v>
      </c>
      <c r="K26" s="90">
        <v>45</v>
      </c>
      <c r="L26" s="66" t="s">
        <v>14</v>
      </c>
      <c r="M26" s="23" t="s">
        <v>37</v>
      </c>
      <c r="N26" s="66" t="s">
        <v>24</v>
      </c>
      <c r="O26" s="23" t="s">
        <v>616</v>
      </c>
    </row>
    <row r="27" spans="1:15" ht="15.75" thickBot="1">
      <c r="A27" s="17" t="s">
        <v>64</v>
      </c>
      <c r="B27" s="89">
        <v>44.7</v>
      </c>
      <c r="C27" s="90">
        <v>44.4</v>
      </c>
      <c r="D27" s="89">
        <v>44.1</v>
      </c>
      <c r="E27" s="90">
        <v>43.8</v>
      </c>
      <c r="F27" s="89">
        <v>43.4</v>
      </c>
      <c r="G27" s="90">
        <v>43.1</v>
      </c>
      <c r="H27" s="89">
        <v>42.8</v>
      </c>
      <c r="I27" s="90">
        <v>42.5</v>
      </c>
      <c r="J27" s="89">
        <v>42.2</v>
      </c>
      <c r="K27" s="90">
        <v>41.9</v>
      </c>
      <c r="L27" s="66" t="s">
        <v>14</v>
      </c>
      <c r="M27" s="23" t="s">
        <v>37</v>
      </c>
      <c r="N27" s="66" t="s">
        <v>24</v>
      </c>
      <c r="O27" s="23" t="s">
        <v>616</v>
      </c>
    </row>
    <row r="28" spans="1:15" ht="15.75" thickBot="1">
      <c r="A28" s="17" t="s">
        <v>67</v>
      </c>
      <c r="B28" s="89">
        <v>1400</v>
      </c>
      <c r="C28" s="90">
        <v>1400</v>
      </c>
      <c r="D28" s="89">
        <v>1400</v>
      </c>
      <c r="E28" s="90">
        <v>1400</v>
      </c>
      <c r="F28" s="89">
        <v>1400</v>
      </c>
      <c r="G28" s="90">
        <v>1400</v>
      </c>
      <c r="H28" s="89">
        <v>1400</v>
      </c>
      <c r="I28" s="90">
        <v>1400</v>
      </c>
      <c r="J28" s="89">
        <v>1400</v>
      </c>
      <c r="K28" s="90">
        <v>1400</v>
      </c>
      <c r="L28" s="66" t="s">
        <v>10</v>
      </c>
      <c r="M28" s="23" t="s">
        <v>591</v>
      </c>
      <c r="N28" s="66" t="s">
        <v>24</v>
      </c>
      <c r="O28" s="23" t="s">
        <v>616</v>
      </c>
    </row>
    <row r="29" spans="1:15" ht="15.75" thickBot="1">
      <c r="A29" s="17" t="s">
        <v>639</v>
      </c>
      <c r="B29" s="89">
        <v>105</v>
      </c>
      <c r="C29" s="90">
        <v>105</v>
      </c>
      <c r="D29" s="89">
        <v>105</v>
      </c>
      <c r="E29" s="90">
        <v>105</v>
      </c>
      <c r="F29" s="89">
        <v>105</v>
      </c>
      <c r="G29" s="90">
        <v>105</v>
      </c>
      <c r="H29" s="89">
        <v>105</v>
      </c>
      <c r="I29" s="90">
        <v>105</v>
      </c>
      <c r="J29" s="89">
        <v>105</v>
      </c>
      <c r="K29" s="90">
        <v>105</v>
      </c>
      <c r="L29" s="66" t="s">
        <v>14</v>
      </c>
      <c r="M29" s="23" t="s">
        <v>37</v>
      </c>
      <c r="N29" s="66" t="s">
        <v>24</v>
      </c>
      <c r="O29" s="23" t="s">
        <v>616</v>
      </c>
    </row>
    <row r="30" spans="1:15" ht="15.75" thickBot="1">
      <c r="A30" s="17" t="s">
        <v>732</v>
      </c>
      <c r="B30" s="89">
        <v>102</v>
      </c>
      <c r="C30" s="90">
        <v>102</v>
      </c>
      <c r="D30" s="89">
        <v>102</v>
      </c>
      <c r="E30" s="90">
        <v>102</v>
      </c>
      <c r="F30" s="89">
        <v>102</v>
      </c>
      <c r="G30" s="90">
        <v>102</v>
      </c>
      <c r="H30" s="89">
        <v>102</v>
      </c>
      <c r="I30" s="90">
        <v>102</v>
      </c>
      <c r="J30" s="89">
        <v>102</v>
      </c>
      <c r="K30" s="90">
        <v>102</v>
      </c>
      <c r="L30" s="66" t="s">
        <v>14</v>
      </c>
      <c r="M30" s="23" t="s">
        <v>37</v>
      </c>
      <c r="N30" s="66" t="s">
        <v>24</v>
      </c>
      <c r="O30" s="23" t="s">
        <v>616</v>
      </c>
    </row>
    <row r="31" spans="1:15" ht="15.75" thickBot="1">
      <c r="A31" s="17" t="s">
        <v>70</v>
      </c>
      <c r="B31" s="89">
        <v>50.5</v>
      </c>
      <c r="C31" s="90">
        <v>53.5</v>
      </c>
      <c r="D31" s="89">
        <v>53.2</v>
      </c>
      <c r="E31" s="90">
        <v>52.9</v>
      </c>
      <c r="F31" s="89">
        <v>52.7</v>
      </c>
      <c r="G31" s="90">
        <v>52.5</v>
      </c>
      <c r="H31" s="89">
        <v>52.3</v>
      </c>
      <c r="I31" s="90">
        <v>52.1</v>
      </c>
      <c r="J31" s="89">
        <v>51.9</v>
      </c>
      <c r="K31" s="90">
        <v>51.8</v>
      </c>
      <c r="L31" s="66" t="s">
        <v>14</v>
      </c>
      <c r="M31" s="23" t="s">
        <v>37</v>
      </c>
      <c r="N31" s="66" t="s">
        <v>24</v>
      </c>
      <c r="O31" s="23" t="s">
        <v>616</v>
      </c>
    </row>
    <row r="32" spans="1:15" ht="15.75" thickBot="1">
      <c r="A32" s="17" t="s">
        <v>72</v>
      </c>
      <c r="B32" s="89">
        <v>270</v>
      </c>
      <c r="C32" s="90">
        <v>270</v>
      </c>
      <c r="D32" s="89">
        <v>270</v>
      </c>
      <c r="E32" s="90">
        <v>270</v>
      </c>
      <c r="F32" s="89">
        <v>270</v>
      </c>
      <c r="G32" s="90">
        <v>270</v>
      </c>
      <c r="H32" s="89">
        <v>270</v>
      </c>
      <c r="I32" s="90">
        <v>270</v>
      </c>
      <c r="J32" s="89">
        <v>270</v>
      </c>
      <c r="K32" s="90">
        <v>270</v>
      </c>
      <c r="L32" s="66" t="s">
        <v>14</v>
      </c>
      <c r="M32" s="23" t="s">
        <v>13</v>
      </c>
      <c r="N32" s="66" t="s">
        <v>24</v>
      </c>
      <c r="O32" s="23" t="s">
        <v>616</v>
      </c>
    </row>
    <row r="33" spans="1:23" ht="15.75" thickBot="1">
      <c r="A33" s="17" t="s">
        <v>75</v>
      </c>
      <c r="B33" s="89">
        <v>240</v>
      </c>
      <c r="C33" s="90">
        <v>240</v>
      </c>
      <c r="D33" s="89">
        <v>240</v>
      </c>
      <c r="E33" s="90">
        <v>240</v>
      </c>
      <c r="F33" s="89">
        <v>240</v>
      </c>
      <c r="G33" s="90">
        <v>240</v>
      </c>
      <c r="H33" s="89">
        <v>240</v>
      </c>
      <c r="I33" s="90">
        <v>240</v>
      </c>
      <c r="J33" s="89">
        <v>240</v>
      </c>
      <c r="K33" s="90">
        <v>240</v>
      </c>
      <c r="L33" s="66" t="s">
        <v>10</v>
      </c>
      <c r="M33" s="23" t="s">
        <v>17</v>
      </c>
      <c r="N33" s="66" t="s">
        <v>24</v>
      </c>
      <c r="O33" s="23" t="s">
        <v>616</v>
      </c>
    </row>
    <row r="34" spans="1:23" ht="15.75" thickBot="1">
      <c r="A34" s="17" t="s">
        <v>595</v>
      </c>
      <c r="B34" s="89">
        <v>0</v>
      </c>
      <c r="C34" s="90">
        <v>0</v>
      </c>
      <c r="D34" s="89">
        <v>0</v>
      </c>
      <c r="E34" s="90">
        <v>0</v>
      </c>
      <c r="F34" s="89">
        <v>0</v>
      </c>
      <c r="G34" s="90">
        <v>0</v>
      </c>
      <c r="H34" s="89">
        <v>0</v>
      </c>
      <c r="I34" s="90">
        <v>0</v>
      </c>
      <c r="J34" s="89">
        <v>0</v>
      </c>
      <c r="K34" s="90">
        <v>0</v>
      </c>
      <c r="L34" s="66" t="s">
        <v>10</v>
      </c>
      <c r="M34" s="23" t="s">
        <v>593</v>
      </c>
      <c r="N34" s="66" t="s">
        <v>24</v>
      </c>
      <c r="O34" s="23" t="s">
        <v>616</v>
      </c>
    </row>
    <row r="35" spans="1:23" ht="15.75" thickBot="1">
      <c r="A35" s="17" t="s">
        <v>77</v>
      </c>
      <c r="B35" s="89">
        <v>198</v>
      </c>
      <c r="C35" s="90">
        <v>198</v>
      </c>
      <c r="D35" s="89">
        <v>198</v>
      </c>
      <c r="E35" s="90">
        <v>198</v>
      </c>
      <c r="F35" s="89">
        <v>198</v>
      </c>
      <c r="G35" s="90">
        <v>198</v>
      </c>
      <c r="H35" s="89">
        <v>198</v>
      </c>
      <c r="I35" s="90">
        <v>198</v>
      </c>
      <c r="J35" s="89">
        <v>198</v>
      </c>
      <c r="K35" s="90">
        <v>198</v>
      </c>
      <c r="L35" s="66" t="s">
        <v>14</v>
      </c>
      <c r="M35" s="23" t="s">
        <v>13</v>
      </c>
      <c r="N35" s="66" t="s">
        <v>24</v>
      </c>
      <c r="O35" s="23" t="s">
        <v>616</v>
      </c>
    </row>
    <row r="36" spans="1:23" ht="15.75" thickBot="1">
      <c r="A36" s="17" t="s">
        <v>80</v>
      </c>
      <c r="B36" s="89">
        <v>108.999</v>
      </c>
      <c r="C36" s="90">
        <v>108.999</v>
      </c>
      <c r="D36" s="89">
        <v>108.999</v>
      </c>
      <c r="E36" s="90">
        <v>108.999</v>
      </c>
      <c r="F36" s="89">
        <v>108.999</v>
      </c>
      <c r="G36" s="90">
        <v>108.999</v>
      </c>
      <c r="H36" s="89">
        <v>108.999</v>
      </c>
      <c r="I36" s="90">
        <v>108.999</v>
      </c>
      <c r="J36" s="89">
        <v>108.999</v>
      </c>
      <c r="K36" s="90">
        <v>108.999</v>
      </c>
      <c r="L36" s="66" t="s">
        <v>10</v>
      </c>
      <c r="M36" s="23" t="s">
        <v>591</v>
      </c>
      <c r="N36" s="66" t="s">
        <v>24</v>
      </c>
      <c r="O36" s="23" t="s">
        <v>616</v>
      </c>
    </row>
    <row r="37" spans="1:23" ht="15.75" thickBot="1">
      <c r="A37" s="17" t="s">
        <v>396</v>
      </c>
      <c r="B37" s="89">
        <v>0</v>
      </c>
      <c r="C37" s="90">
        <v>200</v>
      </c>
      <c r="D37" s="89">
        <v>200</v>
      </c>
      <c r="E37" s="90">
        <v>200</v>
      </c>
      <c r="F37" s="89">
        <v>200</v>
      </c>
      <c r="G37" s="90">
        <v>200</v>
      </c>
      <c r="H37" s="89">
        <v>200</v>
      </c>
      <c r="I37" s="90">
        <v>200</v>
      </c>
      <c r="J37" s="89">
        <v>200</v>
      </c>
      <c r="K37" s="90">
        <v>200</v>
      </c>
      <c r="L37" s="66" t="s">
        <v>14</v>
      </c>
      <c r="M37" s="23" t="s">
        <v>37</v>
      </c>
      <c r="N37" s="66" t="s">
        <v>24</v>
      </c>
      <c r="O37" s="23" t="s">
        <v>616</v>
      </c>
    </row>
    <row r="38" spans="1:23" ht="15.75" thickBot="1">
      <c r="A38" s="17" t="s">
        <v>83</v>
      </c>
      <c r="B38" s="89">
        <v>440</v>
      </c>
      <c r="C38" s="90">
        <v>440</v>
      </c>
      <c r="D38" s="89">
        <v>440</v>
      </c>
      <c r="E38" s="90">
        <v>440</v>
      </c>
      <c r="F38" s="89">
        <v>440</v>
      </c>
      <c r="G38" s="90">
        <v>440</v>
      </c>
      <c r="H38" s="89">
        <v>440</v>
      </c>
      <c r="I38" s="90">
        <v>440</v>
      </c>
      <c r="J38" s="89">
        <v>440</v>
      </c>
      <c r="K38" s="90">
        <v>440</v>
      </c>
      <c r="L38" s="66" t="s">
        <v>10</v>
      </c>
      <c r="M38" s="23" t="s">
        <v>591</v>
      </c>
      <c r="N38" s="66" t="s">
        <v>24</v>
      </c>
      <c r="O38" s="23" t="s">
        <v>616</v>
      </c>
    </row>
    <row r="39" spans="1:23" ht="15.75" thickBot="1">
      <c r="A39" s="17" t="s">
        <v>733</v>
      </c>
      <c r="B39" s="89">
        <v>106.8</v>
      </c>
      <c r="C39" s="90">
        <v>106.8</v>
      </c>
      <c r="D39" s="89">
        <v>106.8</v>
      </c>
      <c r="E39" s="90">
        <v>106.8</v>
      </c>
      <c r="F39" s="89">
        <v>106.8</v>
      </c>
      <c r="G39" s="90">
        <v>106.8</v>
      </c>
      <c r="H39" s="89">
        <v>106.8</v>
      </c>
      <c r="I39" s="90">
        <v>106.8</v>
      </c>
      <c r="J39" s="89">
        <v>106.8</v>
      </c>
      <c r="K39" s="90">
        <v>106.8</v>
      </c>
      <c r="L39" s="66" t="s">
        <v>14</v>
      </c>
      <c r="M39" s="23" t="s">
        <v>13</v>
      </c>
      <c r="N39" s="66" t="s">
        <v>24</v>
      </c>
      <c r="O39" s="23" t="s">
        <v>616</v>
      </c>
    </row>
    <row r="40" spans="1:23" ht="15.75" thickBot="1">
      <c r="A40" s="17" t="s">
        <v>88</v>
      </c>
      <c r="B40" s="89">
        <v>1800</v>
      </c>
      <c r="C40" s="90">
        <v>1800</v>
      </c>
      <c r="D40" s="89">
        <v>1800</v>
      </c>
      <c r="E40" s="90">
        <v>1800</v>
      </c>
      <c r="F40" s="89">
        <v>1800</v>
      </c>
      <c r="G40" s="90">
        <v>1800</v>
      </c>
      <c r="H40" s="89">
        <v>1800</v>
      </c>
      <c r="I40" s="90">
        <v>1800</v>
      </c>
      <c r="J40" s="89">
        <v>1800</v>
      </c>
      <c r="K40" s="90">
        <v>1800</v>
      </c>
      <c r="L40" s="66" t="s">
        <v>10</v>
      </c>
      <c r="M40" s="23" t="s">
        <v>593</v>
      </c>
      <c r="N40" s="66" t="s">
        <v>24</v>
      </c>
      <c r="O40" s="23" t="s">
        <v>616</v>
      </c>
    </row>
    <row r="41" spans="1:23" ht="15.75" thickBot="1">
      <c r="A41" s="17" t="s">
        <v>90</v>
      </c>
      <c r="B41" s="89">
        <v>616</v>
      </c>
      <c r="C41" s="90">
        <v>616</v>
      </c>
      <c r="D41" s="89">
        <v>616</v>
      </c>
      <c r="E41" s="90">
        <v>616</v>
      </c>
      <c r="F41" s="89">
        <v>544</v>
      </c>
      <c r="G41" s="90">
        <v>544</v>
      </c>
      <c r="H41" s="89">
        <v>616</v>
      </c>
      <c r="I41" s="90">
        <v>616</v>
      </c>
      <c r="J41" s="89">
        <v>616</v>
      </c>
      <c r="K41" s="90">
        <v>616</v>
      </c>
      <c r="L41" s="66" t="s">
        <v>10</v>
      </c>
      <c r="M41" s="23" t="s">
        <v>593</v>
      </c>
      <c r="N41" s="66" t="s">
        <v>24</v>
      </c>
      <c r="O41" s="23" t="s">
        <v>616</v>
      </c>
      <c r="P41" s="52"/>
      <c r="Q41" s="52"/>
      <c r="R41" s="52"/>
      <c r="S41" s="52"/>
      <c r="T41" s="52"/>
      <c r="U41" s="52"/>
      <c r="V41" s="52"/>
      <c r="W41" s="52"/>
    </row>
    <row r="42" spans="1:23" ht="15.75" thickBot="1">
      <c r="A42" s="17" t="s">
        <v>92</v>
      </c>
      <c r="B42" s="89">
        <v>664</v>
      </c>
      <c r="C42" s="90">
        <v>664</v>
      </c>
      <c r="D42" s="89">
        <v>664</v>
      </c>
      <c r="E42" s="90">
        <v>664</v>
      </c>
      <c r="F42" s="89">
        <v>664</v>
      </c>
      <c r="G42" s="90">
        <v>664</v>
      </c>
      <c r="H42" s="89">
        <v>664</v>
      </c>
      <c r="I42" s="90">
        <v>664</v>
      </c>
      <c r="J42" s="89">
        <v>664</v>
      </c>
      <c r="K42" s="90">
        <v>664</v>
      </c>
      <c r="L42" s="66" t="s">
        <v>10</v>
      </c>
      <c r="M42" s="23" t="s">
        <v>591</v>
      </c>
      <c r="N42" s="66" t="s">
        <v>24</v>
      </c>
      <c r="O42" s="23" t="s">
        <v>616</v>
      </c>
      <c r="P42" s="86"/>
      <c r="Q42" s="86"/>
      <c r="R42" s="86"/>
      <c r="S42" s="86"/>
      <c r="T42" s="86"/>
      <c r="U42" s="86"/>
      <c r="V42" s="86"/>
      <c r="W42" s="86"/>
    </row>
    <row r="43" spans="1:23" s="84" customFormat="1" ht="15.75" thickBot="1">
      <c r="A43" s="17" t="s">
        <v>95</v>
      </c>
      <c r="B43" s="89">
        <v>1320</v>
      </c>
      <c r="C43" s="90">
        <v>1320</v>
      </c>
      <c r="D43" s="89">
        <v>1320</v>
      </c>
      <c r="E43" s="90">
        <v>1320</v>
      </c>
      <c r="F43" s="89">
        <v>1320</v>
      </c>
      <c r="G43" s="90">
        <v>1320</v>
      </c>
      <c r="H43" s="89">
        <v>1320</v>
      </c>
      <c r="I43" s="90">
        <v>1320</v>
      </c>
      <c r="J43" s="89">
        <v>1320</v>
      </c>
      <c r="K43" s="90">
        <v>1320</v>
      </c>
      <c r="L43" s="66" t="s">
        <v>10</v>
      </c>
      <c r="M43" s="23" t="s">
        <v>591</v>
      </c>
      <c r="N43" s="66" t="s">
        <v>24</v>
      </c>
      <c r="O43" s="23" t="s">
        <v>616</v>
      </c>
      <c r="P43" s="86"/>
      <c r="Q43" s="86"/>
      <c r="R43" s="86"/>
      <c r="S43" s="86"/>
      <c r="T43" s="86"/>
      <c r="U43" s="86"/>
      <c r="V43" s="86"/>
      <c r="W43" s="86"/>
    </row>
    <row r="44" spans="1:23" ht="15.75" thickBot="1">
      <c r="A44" s="17" t="s">
        <v>643</v>
      </c>
      <c r="B44" s="89">
        <v>0</v>
      </c>
      <c r="C44" s="90">
        <v>0</v>
      </c>
      <c r="D44" s="89">
        <v>0</v>
      </c>
      <c r="E44" s="90">
        <v>0</v>
      </c>
      <c r="F44" s="89">
        <v>0</v>
      </c>
      <c r="G44" s="90">
        <v>0</v>
      </c>
      <c r="H44" s="89">
        <v>0</v>
      </c>
      <c r="I44" s="90">
        <v>0</v>
      </c>
      <c r="J44" s="89">
        <v>0</v>
      </c>
      <c r="K44" s="90">
        <v>0</v>
      </c>
      <c r="L44" s="66" t="s">
        <v>14</v>
      </c>
      <c r="M44" s="23" t="s">
        <v>37</v>
      </c>
      <c r="N44" s="66" t="s">
        <v>24</v>
      </c>
      <c r="O44" s="23" t="s">
        <v>616</v>
      </c>
      <c r="P44" s="86"/>
      <c r="Q44" s="86"/>
      <c r="R44" s="86"/>
      <c r="S44" s="86"/>
      <c r="T44" s="86"/>
      <c r="U44" s="86"/>
      <c r="V44" s="86"/>
      <c r="W44" s="86"/>
    </row>
    <row r="45" spans="1:23" ht="15.75" thickBot="1">
      <c r="A45" s="17" t="s">
        <v>644</v>
      </c>
      <c r="B45" s="89">
        <v>172.5</v>
      </c>
      <c r="C45" s="90">
        <v>172.5</v>
      </c>
      <c r="D45" s="89">
        <v>172.5</v>
      </c>
      <c r="E45" s="90">
        <v>172.5</v>
      </c>
      <c r="F45" s="89">
        <v>172.5</v>
      </c>
      <c r="G45" s="90">
        <v>172.5</v>
      </c>
      <c r="H45" s="89">
        <v>172.5</v>
      </c>
      <c r="I45" s="90">
        <v>172.5</v>
      </c>
      <c r="J45" s="89">
        <v>172.5</v>
      </c>
      <c r="K45" s="90">
        <v>172.5</v>
      </c>
      <c r="L45" s="66" t="s">
        <v>14</v>
      </c>
      <c r="M45" s="23" t="s">
        <v>13</v>
      </c>
      <c r="N45" s="66" t="s">
        <v>24</v>
      </c>
      <c r="O45" s="23" t="s">
        <v>616</v>
      </c>
    </row>
    <row r="46" spans="1:23">
      <c r="A46" s="19" t="s">
        <v>98</v>
      </c>
      <c r="B46" s="91">
        <v>48.3</v>
      </c>
      <c r="C46" s="92">
        <v>48.3</v>
      </c>
      <c r="D46" s="91">
        <v>48.3</v>
      </c>
      <c r="E46" s="92">
        <v>48.3</v>
      </c>
      <c r="F46" s="91">
        <v>48.3</v>
      </c>
      <c r="G46" s="92">
        <v>48.3</v>
      </c>
      <c r="H46" s="91">
        <v>48.3</v>
      </c>
      <c r="I46" s="92">
        <v>48.3</v>
      </c>
      <c r="J46" s="91">
        <v>48.3</v>
      </c>
      <c r="K46" s="92">
        <v>48.3</v>
      </c>
      <c r="L46" s="68" t="s">
        <v>14</v>
      </c>
      <c r="M46" s="25" t="s">
        <v>13</v>
      </c>
      <c r="N46" s="68" t="s">
        <v>24</v>
      </c>
      <c r="O46" s="25" t="s">
        <v>616</v>
      </c>
    </row>
    <row r="47" spans="1:23" ht="15.75" thickBot="1">
      <c r="A47" s="84"/>
      <c r="B47" s="84"/>
      <c r="C47" s="84"/>
      <c r="D47" s="84"/>
      <c r="E47" s="84"/>
      <c r="F47" s="84"/>
      <c r="G47" s="84"/>
      <c r="H47" s="84"/>
      <c r="I47" s="84"/>
      <c r="J47" s="84"/>
      <c r="K47" s="84"/>
      <c r="L47" s="84"/>
      <c r="M47" s="84"/>
      <c r="N47" s="84"/>
      <c r="O47" s="84"/>
    </row>
    <row r="48" spans="1:23" ht="15.75" thickBot="1">
      <c r="A48" s="50" t="s">
        <v>101</v>
      </c>
      <c r="B48" s="93">
        <f>SUM(wincapsalltable[2019])</f>
        <v>16681.168999999998</v>
      </c>
      <c r="C48" s="93">
        <f>SUM(wincapsalltable[2020])</f>
        <v>17888.868999999995</v>
      </c>
      <c r="D48" s="93">
        <f>SUM(wincapsalltable[2021])</f>
        <v>17913.268999999997</v>
      </c>
      <c r="E48" s="93">
        <f>SUM(wincapsalltable[2022])</f>
        <v>17937.668999999998</v>
      </c>
      <c r="F48" s="93">
        <f>SUM(wincapsalltable[2023])</f>
        <v>16090.068999999998</v>
      </c>
      <c r="G48" s="93">
        <f>SUM(wincapsalltable[2024])</f>
        <v>16089.568999999998</v>
      </c>
      <c r="H48" s="93">
        <f>SUM(wincapsalltable[2025])</f>
        <v>16161.068999999996</v>
      </c>
      <c r="I48" s="93">
        <f>SUM(wincapsalltable[2026])</f>
        <v>16160.568999999998</v>
      </c>
      <c r="J48" s="93">
        <f>SUM(wincapsalltable[2027])</f>
        <v>16160.068999999998</v>
      </c>
      <c r="K48" s="93">
        <f>SUM(wincapsalltable[2028])</f>
        <v>16159.668999999996</v>
      </c>
      <c r="L48" s="51"/>
    </row>
    <row r="49" spans="1:15">
      <c r="A49" s="179"/>
      <c r="B49" s="180"/>
      <c r="C49" s="180"/>
      <c r="D49" s="180"/>
      <c r="E49" s="180"/>
      <c r="F49" s="180"/>
      <c r="G49" s="180"/>
      <c r="H49" s="180"/>
      <c r="I49" s="180"/>
      <c r="J49" s="180"/>
      <c r="K49" s="180"/>
      <c r="L49" s="180"/>
      <c r="M49" s="84"/>
      <c r="N49" s="84"/>
      <c r="O49" s="84"/>
    </row>
    <row r="50" spans="1:15">
      <c r="A50" s="179" t="s">
        <v>617</v>
      </c>
      <c r="B50" s="180"/>
      <c r="C50" s="180"/>
      <c r="D50" s="180"/>
      <c r="E50" s="180"/>
      <c r="F50" s="180"/>
      <c r="G50" s="180"/>
      <c r="H50" s="180"/>
      <c r="I50" s="180"/>
      <c r="J50" s="180"/>
      <c r="K50" s="180"/>
      <c r="L50" s="180"/>
    </row>
    <row r="51" spans="1:15">
      <c r="A51" s="179" t="s">
        <v>597</v>
      </c>
      <c r="B51" s="180"/>
      <c r="C51" s="180"/>
      <c r="D51" s="180"/>
      <c r="E51" s="180"/>
      <c r="F51" s="180"/>
      <c r="G51" s="180"/>
      <c r="H51" s="180"/>
      <c r="I51" s="180"/>
      <c r="J51" s="180"/>
      <c r="K51" s="180"/>
      <c r="L51" s="180"/>
    </row>
    <row r="52" spans="1:15">
      <c r="A52" s="179" t="s">
        <v>618</v>
      </c>
      <c r="B52" s="180"/>
      <c r="C52" s="180"/>
      <c r="D52" s="180"/>
      <c r="E52" s="180"/>
      <c r="F52" s="180"/>
      <c r="G52" s="180"/>
      <c r="H52" s="180"/>
      <c r="I52" s="180"/>
      <c r="J52" s="180"/>
      <c r="K52" s="180"/>
      <c r="L52" s="180"/>
    </row>
    <row r="53" spans="1:15">
      <c r="A53" s="179" t="s">
        <v>619</v>
      </c>
      <c r="B53" s="180"/>
      <c r="C53" s="180"/>
      <c r="D53" s="180"/>
      <c r="E53" s="180"/>
      <c r="F53" s="180"/>
      <c r="G53" s="180"/>
      <c r="H53" s="180"/>
      <c r="I53" s="180"/>
      <c r="J53" s="180"/>
      <c r="K53" s="180"/>
      <c r="L53" s="180"/>
    </row>
    <row r="54" spans="1:15" ht="15.75" thickBot="1"/>
    <row r="55" spans="1:15" ht="20.25" thickBot="1">
      <c r="A55" s="47" t="s">
        <v>620</v>
      </c>
    </row>
    <row r="56" spans="1:15" ht="15.75" thickBot="1">
      <c r="A56" s="62" t="s">
        <v>587</v>
      </c>
      <c r="B56" s="62" t="s">
        <v>606</v>
      </c>
      <c r="C56" s="62" t="s">
        <v>607</v>
      </c>
      <c r="D56" s="62" t="s">
        <v>608</v>
      </c>
      <c r="E56" s="62" t="s">
        <v>609</v>
      </c>
      <c r="F56" s="62" t="s">
        <v>610</v>
      </c>
      <c r="G56" s="62" t="s">
        <v>611</v>
      </c>
      <c r="H56" s="62" t="s">
        <v>612</v>
      </c>
      <c r="I56" s="62" t="s">
        <v>613</v>
      </c>
      <c r="J56" s="62" t="s">
        <v>614</v>
      </c>
      <c r="K56" s="62" t="s">
        <v>615</v>
      </c>
      <c r="L56" s="62" t="s">
        <v>588</v>
      </c>
      <c r="M56" s="62" t="s">
        <v>589</v>
      </c>
      <c r="N56" s="62" t="s">
        <v>7</v>
      </c>
      <c r="O56" s="62" t="s">
        <v>590</v>
      </c>
    </row>
    <row r="57" spans="1:15" ht="15.75" thickBot="1">
      <c r="A57" s="18" t="s">
        <v>19</v>
      </c>
      <c r="B57" s="87">
        <v>2640</v>
      </c>
      <c r="C57" s="88">
        <v>2665</v>
      </c>
      <c r="D57" s="87">
        <v>2690</v>
      </c>
      <c r="E57" s="88">
        <v>2715</v>
      </c>
      <c r="F57" s="87">
        <v>2740</v>
      </c>
      <c r="G57" s="88">
        <v>2740</v>
      </c>
      <c r="H57" s="87">
        <v>2740</v>
      </c>
      <c r="I57" s="88">
        <v>2740</v>
      </c>
      <c r="J57" s="87">
        <v>2740</v>
      </c>
      <c r="K57" s="88">
        <v>2740</v>
      </c>
      <c r="L57" s="67" t="s">
        <v>10</v>
      </c>
      <c r="M57" s="24" t="s">
        <v>591</v>
      </c>
      <c r="N57" s="67" t="s">
        <v>24</v>
      </c>
      <c r="O57" s="24" t="s">
        <v>616</v>
      </c>
    </row>
    <row r="58" spans="1:15" ht="15.75" thickBot="1">
      <c r="A58" s="17" t="s">
        <v>25</v>
      </c>
      <c r="B58" s="89">
        <v>80</v>
      </c>
      <c r="C58" s="90">
        <v>80</v>
      </c>
      <c r="D58" s="89">
        <v>80</v>
      </c>
      <c r="E58" s="90">
        <v>80</v>
      </c>
      <c r="F58" s="89">
        <v>80</v>
      </c>
      <c r="G58" s="90">
        <v>80</v>
      </c>
      <c r="H58" s="89">
        <v>80</v>
      </c>
      <c r="I58" s="90">
        <v>80</v>
      </c>
      <c r="J58" s="89">
        <v>80</v>
      </c>
      <c r="K58" s="90">
        <v>80</v>
      </c>
      <c r="L58" s="66" t="s">
        <v>10</v>
      </c>
      <c r="M58" s="23" t="s">
        <v>593</v>
      </c>
      <c r="N58" s="66" t="s">
        <v>24</v>
      </c>
      <c r="O58" s="23" t="s">
        <v>616</v>
      </c>
    </row>
    <row r="59" spans="1:15" ht="15.75" thickBot="1">
      <c r="A59" s="17" t="s">
        <v>39</v>
      </c>
      <c r="B59" s="89">
        <v>724</v>
      </c>
      <c r="C59" s="90">
        <v>724</v>
      </c>
      <c r="D59" s="89">
        <v>724</v>
      </c>
      <c r="E59" s="90">
        <v>724</v>
      </c>
      <c r="F59" s="89">
        <v>724</v>
      </c>
      <c r="G59" s="90">
        <v>724</v>
      </c>
      <c r="H59" s="89">
        <v>724</v>
      </c>
      <c r="I59" s="90">
        <v>724</v>
      </c>
      <c r="J59" s="89">
        <v>724</v>
      </c>
      <c r="K59" s="90">
        <v>724</v>
      </c>
      <c r="L59" s="66" t="s">
        <v>10</v>
      </c>
      <c r="M59" s="23" t="s">
        <v>591</v>
      </c>
      <c r="N59" s="66" t="s">
        <v>24</v>
      </c>
      <c r="O59" s="23" t="s">
        <v>616</v>
      </c>
    </row>
    <row r="60" spans="1:15" ht="15.75" thickBot="1">
      <c r="A60" s="17" t="s">
        <v>42</v>
      </c>
      <c r="B60" s="89">
        <v>2880</v>
      </c>
      <c r="C60" s="90">
        <v>2880</v>
      </c>
      <c r="D60" s="89">
        <v>2880</v>
      </c>
      <c r="E60" s="90">
        <v>2880</v>
      </c>
      <c r="F60" s="89">
        <v>2880</v>
      </c>
      <c r="G60" s="90">
        <v>2880</v>
      </c>
      <c r="H60" s="89">
        <v>2880</v>
      </c>
      <c r="I60" s="90">
        <v>2880</v>
      </c>
      <c r="J60" s="89">
        <v>2880</v>
      </c>
      <c r="K60" s="90">
        <v>2880</v>
      </c>
      <c r="L60" s="66" t="s">
        <v>10</v>
      </c>
      <c r="M60" s="23" t="s">
        <v>591</v>
      </c>
      <c r="N60" s="66" t="s">
        <v>24</v>
      </c>
      <c r="O60" s="23" t="s">
        <v>616</v>
      </c>
    </row>
    <row r="61" spans="1:15" ht="15.75" thickBot="1">
      <c r="A61" s="17" t="s">
        <v>50</v>
      </c>
      <c r="B61" s="89">
        <v>34</v>
      </c>
      <c r="C61" s="90">
        <v>68</v>
      </c>
      <c r="D61" s="89">
        <v>68</v>
      </c>
      <c r="E61" s="90">
        <v>68</v>
      </c>
      <c r="F61" s="89">
        <v>68</v>
      </c>
      <c r="G61" s="90">
        <v>68</v>
      </c>
      <c r="H61" s="89">
        <v>68</v>
      </c>
      <c r="I61" s="90">
        <v>68</v>
      </c>
      <c r="J61" s="89">
        <v>68</v>
      </c>
      <c r="K61" s="90">
        <v>68</v>
      </c>
      <c r="L61" s="66" t="s">
        <v>10</v>
      </c>
      <c r="M61" s="23" t="s">
        <v>593</v>
      </c>
      <c r="N61" s="66" t="s">
        <v>24</v>
      </c>
      <c r="O61" s="23" t="s">
        <v>616</v>
      </c>
    </row>
    <row r="62" spans="1:15" ht="15.75" thickBot="1">
      <c r="A62" s="17" t="s">
        <v>53</v>
      </c>
      <c r="B62" s="89">
        <v>0</v>
      </c>
      <c r="C62" s="90">
        <v>0</v>
      </c>
      <c r="D62" s="89">
        <v>0</v>
      </c>
      <c r="E62" s="90">
        <v>0</v>
      </c>
      <c r="F62" s="89">
        <v>0</v>
      </c>
      <c r="G62" s="90">
        <v>0</v>
      </c>
      <c r="H62" s="89">
        <v>0</v>
      </c>
      <c r="I62" s="90">
        <v>0</v>
      </c>
      <c r="J62" s="89">
        <v>0</v>
      </c>
      <c r="K62" s="90">
        <v>0</v>
      </c>
      <c r="L62" s="66" t="s">
        <v>10</v>
      </c>
      <c r="M62" s="23" t="s">
        <v>593</v>
      </c>
      <c r="N62" s="66" t="s">
        <v>24</v>
      </c>
      <c r="O62" s="23" t="s">
        <v>616</v>
      </c>
    </row>
    <row r="63" spans="1:15" ht="15.75" thickBot="1">
      <c r="A63" s="17" t="s">
        <v>56</v>
      </c>
      <c r="B63" s="89">
        <v>40</v>
      </c>
      <c r="C63" s="90">
        <v>40</v>
      </c>
      <c r="D63" s="89">
        <v>40</v>
      </c>
      <c r="E63" s="90">
        <v>40</v>
      </c>
      <c r="F63" s="89">
        <v>40</v>
      </c>
      <c r="G63" s="90">
        <v>40</v>
      </c>
      <c r="H63" s="89">
        <v>40</v>
      </c>
      <c r="I63" s="90">
        <v>40</v>
      </c>
      <c r="J63" s="89">
        <v>40</v>
      </c>
      <c r="K63" s="90">
        <v>40</v>
      </c>
      <c r="L63" s="66" t="s">
        <v>10</v>
      </c>
      <c r="M63" s="23" t="s">
        <v>591</v>
      </c>
      <c r="N63" s="66" t="s">
        <v>24</v>
      </c>
      <c r="O63" s="23" t="s">
        <v>616</v>
      </c>
    </row>
    <row r="64" spans="1:15" ht="15.75" thickBot="1">
      <c r="A64" s="17" t="s">
        <v>58</v>
      </c>
      <c r="B64" s="89">
        <v>1800</v>
      </c>
      <c r="C64" s="90">
        <v>1800</v>
      </c>
      <c r="D64" s="89">
        <v>1800</v>
      </c>
      <c r="E64" s="90">
        <v>1800</v>
      </c>
      <c r="F64" s="89">
        <v>0</v>
      </c>
      <c r="G64" s="90">
        <v>0</v>
      </c>
      <c r="H64" s="89">
        <v>0</v>
      </c>
      <c r="I64" s="90">
        <v>0</v>
      </c>
      <c r="J64" s="89">
        <v>0</v>
      </c>
      <c r="K64" s="90">
        <v>0</v>
      </c>
      <c r="L64" s="66" t="s">
        <v>10</v>
      </c>
      <c r="M64" s="23" t="s">
        <v>591</v>
      </c>
      <c r="N64" s="66" t="s">
        <v>24</v>
      </c>
      <c r="O64" s="23" t="s">
        <v>616</v>
      </c>
    </row>
    <row r="65" spans="1:15" ht="15.75" thickBot="1">
      <c r="A65" s="17" t="s">
        <v>67</v>
      </c>
      <c r="B65" s="89">
        <v>1400</v>
      </c>
      <c r="C65" s="90">
        <v>1400</v>
      </c>
      <c r="D65" s="89">
        <v>1400</v>
      </c>
      <c r="E65" s="90">
        <v>1400</v>
      </c>
      <c r="F65" s="89">
        <v>1400</v>
      </c>
      <c r="G65" s="90">
        <v>1400</v>
      </c>
      <c r="H65" s="89">
        <v>1400</v>
      </c>
      <c r="I65" s="90">
        <v>1400</v>
      </c>
      <c r="J65" s="89">
        <v>1400</v>
      </c>
      <c r="K65" s="90">
        <v>1400</v>
      </c>
      <c r="L65" s="66" t="s">
        <v>10</v>
      </c>
      <c r="M65" s="23" t="s">
        <v>591</v>
      </c>
      <c r="N65" s="66" t="s">
        <v>24</v>
      </c>
      <c r="O65" s="23" t="s">
        <v>616</v>
      </c>
    </row>
    <row r="66" spans="1:15" ht="15.75" thickBot="1">
      <c r="A66" s="17" t="s">
        <v>75</v>
      </c>
      <c r="B66" s="89">
        <v>240</v>
      </c>
      <c r="C66" s="90">
        <v>240</v>
      </c>
      <c r="D66" s="89">
        <v>240</v>
      </c>
      <c r="E66" s="90">
        <v>240</v>
      </c>
      <c r="F66" s="89">
        <v>240</v>
      </c>
      <c r="G66" s="90">
        <v>240</v>
      </c>
      <c r="H66" s="89">
        <v>240</v>
      </c>
      <c r="I66" s="90">
        <v>240</v>
      </c>
      <c r="J66" s="89">
        <v>240</v>
      </c>
      <c r="K66" s="90">
        <v>240</v>
      </c>
      <c r="L66" s="66" t="s">
        <v>10</v>
      </c>
      <c r="M66" s="23" t="s">
        <v>17</v>
      </c>
      <c r="N66" s="66" t="s">
        <v>24</v>
      </c>
      <c r="O66" s="23" t="s">
        <v>616</v>
      </c>
    </row>
    <row r="67" spans="1:15" ht="15.75" thickBot="1">
      <c r="A67" s="17" t="s">
        <v>595</v>
      </c>
      <c r="B67" s="89">
        <v>0</v>
      </c>
      <c r="C67" s="90">
        <v>0</v>
      </c>
      <c r="D67" s="89">
        <v>0</v>
      </c>
      <c r="E67" s="90">
        <v>0</v>
      </c>
      <c r="F67" s="89">
        <v>0</v>
      </c>
      <c r="G67" s="90">
        <v>0</v>
      </c>
      <c r="H67" s="89">
        <v>0</v>
      </c>
      <c r="I67" s="90">
        <v>0</v>
      </c>
      <c r="J67" s="89">
        <v>0</v>
      </c>
      <c r="K67" s="90">
        <v>0</v>
      </c>
      <c r="L67" s="66" t="s">
        <v>10</v>
      </c>
      <c r="M67" s="23" t="s">
        <v>593</v>
      </c>
      <c r="N67" s="66" t="s">
        <v>24</v>
      </c>
      <c r="O67" s="23" t="s">
        <v>616</v>
      </c>
    </row>
    <row r="68" spans="1:15" ht="15.75" thickBot="1">
      <c r="A68" s="17" t="s">
        <v>80</v>
      </c>
      <c r="B68" s="89">
        <v>108.999</v>
      </c>
      <c r="C68" s="90">
        <v>108.999</v>
      </c>
      <c r="D68" s="89">
        <v>108.999</v>
      </c>
      <c r="E68" s="90">
        <v>108.999</v>
      </c>
      <c r="F68" s="89">
        <v>108.999</v>
      </c>
      <c r="G68" s="90">
        <v>108.999</v>
      </c>
      <c r="H68" s="89">
        <v>108.999</v>
      </c>
      <c r="I68" s="90">
        <v>108.999</v>
      </c>
      <c r="J68" s="89">
        <v>108.999</v>
      </c>
      <c r="K68" s="90">
        <v>108.999</v>
      </c>
      <c r="L68" s="66" t="s">
        <v>10</v>
      </c>
      <c r="M68" s="23" t="s">
        <v>591</v>
      </c>
      <c r="N68" s="66" t="s">
        <v>24</v>
      </c>
      <c r="O68" s="23" t="s">
        <v>616</v>
      </c>
    </row>
    <row r="69" spans="1:15" ht="15.75" thickBot="1">
      <c r="A69" s="17" t="s">
        <v>83</v>
      </c>
      <c r="B69" s="89">
        <v>440</v>
      </c>
      <c r="C69" s="90">
        <v>440</v>
      </c>
      <c r="D69" s="89">
        <v>440</v>
      </c>
      <c r="E69" s="90">
        <v>440</v>
      </c>
      <c r="F69" s="89">
        <v>440</v>
      </c>
      <c r="G69" s="90">
        <v>440</v>
      </c>
      <c r="H69" s="89">
        <v>440</v>
      </c>
      <c r="I69" s="90">
        <v>440</v>
      </c>
      <c r="J69" s="89">
        <v>440</v>
      </c>
      <c r="K69" s="90">
        <v>440</v>
      </c>
      <c r="L69" s="66" t="s">
        <v>10</v>
      </c>
      <c r="M69" s="23" t="s">
        <v>591</v>
      </c>
      <c r="N69" s="66" t="s">
        <v>24</v>
      </c>
      <c r="O69" s="23" t="s">
        <v>616</v>
      </c>
    </row>
    <row r="70" spans="1:15" ht="15.75" thickBot="1">
      <c r="A70" s="17" t="s">
        <v>88</v>
      </c>
      <c r="B70" s="89">
        <v>1800</v>
      </c>
      <c r="C70" s="90">
        <v>1800</v>
      </c>
      <c r="D70" s="89">
        <v>1800</v>
      </c>
      <c r="E70" s="90">
        <v>1800</v>
      </c>
      <c r="F70" s="89">
        <v>1800</v>
      </c>
      <c r="G70" s="90">
        <v>1800</v>
      </c>
      <c r="H70" s="89">
        <v>1800</v>
      </c>
      <c r="I70" s="90">
        <v>1800</v>
      </c>
      <c r="J70" s="89">
        <v>1800</v>
      </c>
      <c r="K70" s="90">
        <v>1800</v>
      </c>
      <c r="L70" s="66" t="s">
        <v>10</v>
      </c>
      <c r="M70" s="23" t="s">
        <v>593</v>
      </c>
      <c r="N70" s="66" t="s">
        <v>24</v>
      </c>
      <c r="O70" s="23" t="s">
        <v>616</v>
      </c>
    </row>
    <row r="71" spans="1:15" ht="15.75" thickBot="1">
      <c r="A71" s="17" t="s">
        <v>90</v>
      </c>
      <c r="B71" s="89">
        <v>616</v>
      </c>
      <c r="C71" s="90">
        <v>616</v>
      </c>
      <c r="D71" s="89">
        <v>616</v>
      </c>
      <c r="E71" s="90">
        <v>616</v>
      </c>
      <c r="F71" s="89">
        <v>544</v>
      </c>
      <c r="G71" s="90">
        <v>544</v>
      </c>
      <c r="H71" s="89">
        <v>616</v>
      </c>
      <c r="I71" s="90">
        <v>616</v>
      </c>
      <c r="J71" s="89">
        <v>616</v>
      </c>
      <c r="K71" s="90">
        <v>616</v>
      </c>
      <c r="L71" s="66" t="s">
        <v>10</v>
      </c>
      <c r="M71" s="23" t="s">
        <v>593</v>
      </c>
      <c r="N71" s="66" t="s">
        <v>24</v>
      </c>
      <c r="O71" s="23" t="s">
        <v>616</v>
      </c>
    </row>
    <row r="72" spans="1:15" ht="15.75" thickBot="1">
      <c r="A72" s="17" t="s">
        <v>92</v>
      </c>
      <c r="B72" s="89">
        <v>664</v>
      </c>
      <c r="C72" s="90">
        <v>664</v>
      </c>
      <c r="D72" s="89">
        <v>664</v>
      </c>
      <c r="E72" s="90">
        <v>664</v>
      </c>
      <c r="F72" s="89">
        <v>664</v>
      </c>
      <c r="G72" s="90">
        <v>664</v>
      </c>
      <c r="H72" s="89">
        <v>664</v>
      </c>
      <c r="I72" s="90">
        <v>664</v>
      </c>
      <c r="J72" s="89">
        <v>664</v>
      </c>
      <c r="K72" s="90">
        <v>664</v>
      </c>
      <c r="L72" s="66" t="s">
        <v>10</v>
      </c>
      <c r="M72" s="23" t="s">
        <v>591</v>
      </c>
      <c r="N72" s="66" t="s">
        <v>24</v>
      </c>
      <c r="O72" s="23" t="s">
        <v>616</v>
      </c>
    </row>
    <row r="73" spans="1:15">
      <c r="A73" s="19" t="s">
        <v>95</v>
      </c>
      <c r="B73" s="91">
        <v>1320</v>
      </c>
      <c r="C73" s="92">
        <v>1320</v>
      </c>
      <c r="D73" s="91">
        <v>1320</v>
      </c>
      <c r="E73" s="92">
        <v>1320</v>
      </c>
      <c r="F73" s="91">
        <v>1320</v>
      </c>
      <c r="G73" s="92">
        <v>1320</v>
      </c>
      <c r="H73" s="91">
        <v>1320</v>
      </c>
      <c r="I73" s="92">
        <v>1320</v>
      </c>
      <c r="J73" s="91">
        <v>1320</v>
      </c>
      <c r="K73" s="92">
        <v>1320</v>
      </c>
      <c r="L73" s="68" t="s">
        <v>10</v>
      </c>
      <c r="M73" s="25" t="s">
        <v>591</v>
      </c>
      <c r="N73" s="68" t="s">
        <v>24</v>
      </c>
      <c r="O73" s="25" t="s">
        <v>616</v>
      </c>
    </row>
    <row r="74" spans="1:15" ht="15.75" thickBot="1">
      <c r="A74" s="84"/>
      <c r="B74" s="84"/>
      <c r="C74" s="84"/>
      <c r="D74" s="84"/>
      <c r="E74" s="84"/>
      <c r="F74" s="84"/>
      <c r="G74" s="84"/>
      <c r="H74" s="84"/>
      <c r="I74" s="84"/>
      <c r="J74" s="84"/>
      <c r="K74" s="84"/>
      <c r="L74" s="84"/>
      <c r="M74" s="84"/>
      <c r="N74" s="84"/>
      <c r="O74" s="84"/>
    </row>
    <row r="75" spans="1:15" ht="15.75" thickBot="1">
      <c r="A75" s="3" t="s">
        <v>601</v>
      </c>
      <c r="B75" s="94">
        <f>SUMIF(wincapssstable[[FuelType]:[FuelType]],"Wind",wincapssstable[2019])*0.037</f>
        <v>49.023890000000002</v>
      </c>
      <c r="C75" s="95">
        <f>SUMIF(wincapssstable[[FuelType]:[FuelType]],"Wind",wincapssstable[2020])*0.037</f>
        <v>54.018889999999992</v>
      </c>
      <c r="D75" s="94">
        <f>SUMIF(wincapssstable[[FuelType]:[FuelType]],"Wind",wincapssstable[2021])*0.037</f>
        <v>54.018889999999992</v>
      </c>
      <c r="E75" s="95">
        <f>SUMIF(wincapssstable[[FuelType]:[FuelType]],"Wind",wincapssstable[2022])*0.037</f>
        <v>54.018889999999992</v>
      </c>
      <c r="F75" s="94">
        <f>SUMIF(wincapssstable[[FuelType]:[FuelType]],"Wind",wincapssstable[2023])*0.037</f>
        <v>54.018889999999992</v>
      </c>
      <c r="G75" s="95">
        <f>SUMIF(wincapssstable[[FuelType]:[FuelType]],"Wind",wincapssstable[2024])*0.037</f>
        <v>54.018889999999992</v>
      </c>
      <c r="H75" s="94">
        <f>SUMIF(wincapssstable[[FuelType]:[FuelType]],"Wind",wincapssstable[2025])*0.037</f>
        <v>54.018889999999992</v>
      </c>
      <c r="I75" s="95">
        <f>SUMIF(wincapssstable[[FuelType]:[FuelType]],"Wind",wincapssstable[2026])*0.037</f>
        <v>54.018889999999992</v>
      </c>
      <c r="J75" s="94">
        <f>SUMIF(wincapssstable[[FuelType]:[FuelType]],"Wind",wincapssstable[2027])*0.037</f>
        <v>54.018889999999992</v>
      </c>
      <c r="K75" s="95">
        <f>SUMIF(wincapssstable[[FuelType]:[FuelType]],"Wind",wincapssstable[2028])*0.037</f>
        <v>54.018889999999992</v>
      </c>
    </row>
    <row r="76" spans="1:15" ht="15.75" thickBot="1">
      <c r="A76" s="3" t="s">
        <v>602</v>
      </c>
      <c r="B76" s="48" t="s">
        <v>604</v>
      </c>
      <c r="C76" s="49" t="s">
        <v>604</v>
      </c>
      <c r="D76" s="48" t="s">
        <v>604</v>
      </c>
      <c r="E76" s="49" t="s">
        <v>604</v>
      </c>
      <c r="F76" s="48" t="s">
        <v>604</v>
      </c>
      <c r="G76" s="49" t="s">
        <v>604</v>
      </c>
      <c r="H76" s="48" t="s">
        <v>604</v>
      </c>
      <c r="I76" s="49" t="s">
        <v>604</v>
      </c>
      <c r="J76" s="48" t="s">
        <v>604</v>
      </c>
      <c r="K76" s="49" t="s">
        <v>604</v>
      </c>
    </row>
    <row r="77" spans="1:15" ht="15.75" thickBot="1">
      <c r="A77" s="50" t="s">
        <v>101</v>
      </c>
      <c r="B77" s="93">
        <f>SUM(wincapsstable[2019]) +B75</f>
        <v>14836.02289</v>
      </c>
      <c r="C77" s="96">
        <f>SUM(wincapsstable[2020]) +C75</f>
        <v>14900.017889999999</v>
      </c>
      <c r="D77" s="93">
        <f>SUM(wincapsstable[2021]) +D75</f>
        <v>14925.017889999999</v>
      </c>
      <c r="E77" s="96">
        <f>SUM(wincapsstable[2022]) +E75</f>
        <v>14950.017889999999</v>
      </c>
      <c r="F77" s="93">
        <f>SUM(wincapsstable[2023]) +F75</f>
        <v>13103.017889999999</v>
      </c>
      <c r="G77" s="96">
        <f>SUM(wincapsstable[2024]) +G75</f>
        <v>13103.017889999999</v>
      </c>
      <c r="H77" s="93">
        <f>SUM(wincapsstable[2025]) +H75</f>
        <v>13175.017889999999</v>
      </c>
      <c r="I77" s="96">
        <f>SUM(wincapsstable[2026]) +I75</f>
        <v>13175.017889999999</v>
      </c>
      <c r="J77" s="93">
        <f>SUM(wincapsstable[2027]) +J75</f>
        <v>13175.017889999999</v>
      </c>
      <c r="K77" s="96">
        <f>SUM(wincapsstable[2028]) +K75</f>
        <v>13175.017889999999</v>
      </c>
    </row>
    <row r="78" spans="1:15" ht="15.75" thickBot="1"/>
    <row r="79" spans="1:15" ht="20.25" thickBot="1">
      <c r="A79" s="47" t="s">
        <v>621</v>
      </c>
    </row>
    <row r="80" spans="1:15" ht="15.75" thickBot="1">
      <c r="A80" s="62" t="s">
        <v>587</v>
      </c>
      <c r="B80" s="62" t="s">
        <v>606</v>
      </c>
      <c r="C80" s="62" t="s">
        <v>607</v>
      </c>
      <c r="D80" s="62" t="s">
        <v>608</v>
      </c>
      <c r="E80" s="62" t="s">
        <v>609</v>
      </c>
      <c r="F80" s="62" t="s">
        <v>610</v>
      </c>
      <c r="G80" s="62" t="s">
        <v>611</v>
      </c>
      <c r="H80" s="62" t="s">
        <v>612</v>
      </c>
      <c r="I80" s="62" t="s">
        <v>613</v>
      </c>
      <c r="J80" s="62" t="s">
        <v>614</v>
      </c>
      <c r="K80" s="62" t="s">
        <v>615</v>
      </c>
      <c r="L80" s="62" t="s">
        <v>588</v>
      </c>
      <c r="M80" s="62" t="s">
        <v>589</v>
      </c>
      <c r="N80" s="62" t="s">
        <v>7</v>
      </c>
      <c r="O80" s="62" t="s">
        <v>590</v>
      </c>
    </row>
    <row r="81" spans="1:15" ht="15.75" thickBot="1">
      <c r="A81" s="18" t="s">
        <v>104</v>
      </c>
      <c r="B81" s="87">
        <v>0</v>
      </c>
      <c r="C81" s="88">
        <v>83</v>
      </c>
      <c r="D81" s="87">
        <v>83</v>
      </c>
      <c r="E81" s="88">
        <v>83</v>
      </c>
      <c r="F81" s="87">
        <v>83</v>
      </c>
      <c r="G81" s="88">
        <v>83</v>
      </c>
      <c r="H81" s="87">
        <v>83</v>
      </c>
      <c r="I81" s="88">
        <v>83</v>
      </c>
      <c r="J81" s="87">
        <v>83</v>
      </c>
      <c r="K81" s="88">
        <v>83</v>
      </c>
      <c r="L81" s="67" t="s">
        <v>14</v>
      </c>
      <c r="M81" s="24" t="s">
        <v>37</v>
      </c>
      <c r="N81" s="67" t="s">
        <v>24</v>
      </c>
      <c r="O81" s="24" t="s">
        <v>616</v>
      </c>
    </row>
    <row r="82" spans="1:15" ht="15.75" thickBot="1">
      <c r="A82" s="17" t="s">
        <v>28</v>
      </c>
      <c r="B82" s="89">
        <v>113.17999999999999</v>
      </c>
      <c r="C82" s="90">
        <v>113.17999999999999</v>
      </c>
      <c r="D82" s="89">
        <v>113.17999999999999</v>
      </c>
      <c r="E82" s="90">
        <v>113.17999999999999</v>
      </c>
      <c r="F82" s="89">
        <v>113.17999999999999</v>
      </c>
      <c r="G82" s="90">
        <v>113.17999999999999</v>
      </c>
      <c r="H82" s="89">
        <v>113.17999999999999</v>
      </c>
      <c r="I82" s="90">
        <v>113.17999999999999</v>
      </c>
      <c r="J82" s="89">
        <v>113.17999999999999</v>
      </c>
      <c r="K82" s="90">
        <v>113.17999999999999</v>
      </c>
      <c r="L82" s="66" t="s">
        <v>14</v>
      </c>
      <c r="M82" s="23" t="s">
        <v>13</v>
      </c>
      <c r="N82" s="66" t="s">
        <v>24</v>
      </c>
      <c r="O82" s="23" t="s">
        <v>616</v>
      </c>
    </row>
    <row r="83" spans="1:15" ht="15.75" thickBot="1">
      <c r="A83" s="17" t="s">
        <v>106</v>
      </c>
      <c r="B83" s="89">
        <v>113.19</v>
      </c>
      <c r="C83" s="90">
        <v>113.19</v>
      </c>
      <c r="D83" s="89">
        <v>113.19</v>
      </c>
      <c r="E83" s="90">
        <v>113.19</v>
      </c>
      <c r="F83" s="89">
        <v>113.19</v>
      </c>
      <c r="G83" s="90">
        <v>113.19</v>
      </c>
      <c r="H83" s="89">
        <v>113.19</v>
      </c>
      <c r="I83" s="90">
        <v>113.19</v>
      </c>
      <c r="J83" s="89">
        <v>113.19</v>
      </c>
      <c r="K83" s="90">
        <v>113.19</v>
      </c>
      <c r="L83" s="66" t="s">
        <v>14</v>
      </c>
      <c r="M83" s="23" t="s">
        <v>13</v>
      </c>
      <c r="N83" s="66" t="s">
        <v>24</v>
      </c>
      <c r="O83" s="23" t="s">
        <v>616</v>
      </c>
    </row>
    <row r="84" spans="1:15" ht="15.75" thickBot="1">
      <c r="A84" s="17" t="s">
        <v>269</v>
      </c>
      <c r="B84" s="89">
        <v>0</v>
      </c>
      <c r="C84" s="90">
        <v>100</v>
      </c>
      <c r="D84" s="89">
        <v>100</v>
      </c>
      <c r="E84" s="90">
        <v>100</v>
      </c>
      <c r="F84" s="89">
        <v>100</v>
      </c>
      <c r="G84" s="90">
        <v>100</v>
      </c>
      <c r="H84" s="89">
        <v>100</v>
      </c>
      <c r="I84" s="90">
        <v>100</v>
      </c>
      <c r="J84" s="89">
        <v>100</v>
      </c>
      <c r="K84" s="90">
        <v>100</v>
      </c>
      <c r="L84" s="66" t="s">
        <v>14</v>
      </c>
      <c r="M84" s="23" t="s">
        <v>37</v>
      </c>
      <c r="N84" s="66" t="s">
        <v>24</v>
      </c>
      <c r="O84" s="23" t="s">
        <v>616</v>
      </c>
    </row>
    <row r="85" spans="1:15" ht="15.75" thickBot="1">
      <c r="A85" s="17" t="s">
        <v>33</v>
      </c>
      <c r="B85" s="89">
        <v>53</v>
      </c>
      <c r="C85" s="90">
        <v>53</v>
      </c>
      <c r="D85" s="89">
        <v>53</v>
      </c>
      <c r="E85" s="90">
        <v>53</v>
      </c>
      <c r="F85" s="89">
        <v>53</v>
      </c>
      <c r="G85" s="90">
        <v>53</v>
      </c>
      <c r="H85" s="89">
        <v>53</v>
      </c>
      <c r="I85" s="90">
        <v>53</v>
      </c>
      <c r="J85" s="89">
        <v>53</v>
      </c>
      <c r="K85" s="90">
        <v>53</v>
      </c>
      <c r="L85" s="66" t="s">
        <v>14</v>
      </c>
      <c r="M85" s="23" t="s">
        <v>37</v>
      </c>
      <c r="N85" s="66" t="s">
        <v>24</v>
      </c>
      <c r="O85" s="23" t="s">
        <v>616</v>
      </c>
    </row>
    <row r="86" spans="1:15" ht="15.75" thickBot="1">
      <c r="A86" s="17" t="s">
        <v>108</v>
      </c>
      <c r="B86" s="89">
        <v>130</v>
      </c>
      <c r="C86" s="90">
        <v>130</v>
      </c>
      <c r="D86" s="89">
        <v>130</v>
      </c>
      <c r="E86" s="90">
        <v>130</v>
      </c>
      <c r="F86" s="89">
        <v>130</v>
      </c>
      <c r="G86" s="90">
        <v>130</v>
      </c>
      <c r="H86" s="89">
        <v>130</v>
      </c>
      <c r="I86" s="90">
        <v>130</v>
      </c>
      <c r="J86" s="89">
        <v>130</v>
      </c>
      <c r="K86" s="90">
        <v>130</v>
      </c>
      <c r="L86" s="66" t="s">
        <v>14</v>
      </c>
      <c r="M86" s="23" t="s">
        <v>37</v>
      </c>
      <c r="N86" s="66" t="s">
        <v>24</v>
      </c>
      <c r="O86" s="23" t="s">
        <v>616</v>
      </c>
    </row>
    <row r="87" spans="1:15" ht="15.75" thickBot="1">
      <c r="A87" s="17" t="s">
        <v>109</v>
      </c>
      <c r="B87" s="89">
        <v>91</v>
      </c>
      <c r="C87" s="90">
        <v>91</v>
      </c>
      <c r="D87" s="89">
        <v>91</v>
      </c>
      <c r="E87" s="90">
        <v>91</v>
      </c>
      <c r="F87" s="89">
        <v>91</v>
      </c>
      <c r="G87" s="90">
        <v>91</v>
      </c>
      <c r="H87" s="89">
        <v>91</v>
      </c>
      <c r="I87" s="90">
        <v>91</v>
      </c>
      <c r="J87" s="89">
        <v>91</v>
      </c>
      <c r="K87" s="90">
        <v>91</v>
      </c>
      <c r="L87" s="66" t="s">
        <v>14</v>
      </c>
      <c r="M87" s="23" t="s">
        <v>13</v>
      </c>
      <c r="N87" s="66" t="s">
        <v>24</v>
      </c>
      <c r="O87" s="23" t="s">
        <v>616</v>
      </c>
    </row>
    <row r="88" spans="1:15" ht="23.25" thickBot="1">
      <c r="A88" s="17" t="s">
        <v>673</v>
      </c>
      <c r="B88" s="89">
        <v>0</v>
      </c>
      <c r="C88" s="90">
        <v>135</v>
      </c>
      <c r="D88" s="89">
        <v>135</v>
      </c>
      <c r="E88" s="90">
        <v>135</v>
      </c>
      <c r="F88" s="89">
        <v>135</v>
      </c>
      <c r="G88" s="90">
        <v>135</v>
      </c>
      <c r="H88" s="89">
        <v>135</v>
      </c>
      <c r="I88" s="90">
        <v>135</v>
      </c>
      <c r="J88" s="89">
        <v>135</v>
      </c>
      <c r="K88" s="90">
        <v>135</v>
      </c>
      <c r="L88" s="66" t="s">
        <v>14</v>
      </c>
      <c r="M88" s="23" t="s">
        <v>13</v>
      </c>
      <c r="N88" s="66" t="s">
        <v>24</v>
      </c>
      <c r="O88" s="23" t="s">
        <v>616</v>
      </c>
    </row>
    <row r="89" spans="1:15" ht="15.75" thickBot="1">
      <c r="A89" s="17" t="s">
        <v>313</v>
      </c>
      <c r="B89" s="89">
        <v>0</v>
      </c>
      <c r="C89" s="90">
        <v>275</v>
      </c>
      <c r="D89" s="89">
        <v>275</v>
      </c>
      <c r="E89" s="90">
        <v>275</v>
      </c>
      <c r="F89" s="89">
        <v>275</v>
      </c>
      <c r="G89" s="90">
        <v>275</v>
      </c>
      <c r="H89" s="89">
        <v>275</v>
      </c>
      <c r="I89" s="90">
        <v>275</v>
      </c>
      <c r="J89" s="89">
        <v>275</v>
      </c>
      <c r="K89" s="90">
        <v>275</v>
      </c>
      <c r="L89" s="66" t="s">
        <v>14</v>
      </c>
      <c r="M89" s="23" t="s">
        <v>37</v>
      </c>
      <c r="N89" s="66" t="s">
        <v>24</v>
      </c>
      <c r="O89" s="23" t="s">
        <v>616</v>
      </c>
    </row>
    <row r="90" spans="1:15" ht="15.75" thickBot="1">
      <c r="A90" s="17" t="s">
        <v>777</v>
      </c>
      <c r="B90" s="89">
        <v>0</v>
      </c>
      <c r="C90" s="90">
        <v>133</v>
      </c>
      <c r="D90" s="89">
        <v>133</v>
      </c>
      <c r="E90" s="90">
        <v>133</v>
      </c>
      <c r="F90" s="89">
        <v>133</v>
      </c>
      <c r="G90" s="90">
        <v>133</v>
      </c>
      <c r="H90" s="89">
        <v>133</v>
      </c>
      <c r="I90" s="90">
        <v>133</v>
      </c>
      <c r="J90" s="89">
        <v>133</v>
      </c>
      <c r="K90" s="90">
        <v>133</v>
      </c>
      <c r="L90" s="66" t="s">
        <v>14</v>
      </c>
      <c r="M90" s="23" t="s">
        <v>37</v>
      </c>
      <c r="N90" s="66" t="s">
        <v>24</v>
      </c>
      <c r="O90" s="23" t="s">
        <v>616</v>
      </c>
    </row>
    <row r="91" spans="1:15" ht="15.75" thickBot="1">
      <c r="A91" s="17" t="s">
        <v>45</v>
      </c>
      <c r="B91" s="89">
        <v>10</v>
      </c>
      <c r="C91" s="90">
        <v>10</v>
      </c>
      <c r="D91" s="89">
        <v>10</v>
      </c>
      <c r="E91" s="90">
        <v>10</v>
      </c>
      <c r="F91" s="89">
        <v>10</v>
      </c>
      <c r="G91" s="90">
        <v>10</v>
      </c>
      <c r="H91" s="89">
        <v>10</v>
      </c>
      <c r="I91" s="90">
        <v>10</v>
      </c>
      <c r="J91" s="89">
        <v>10</v>
      </c>
      <c r="K91" s="90">
        <v>10</v>
      </c>
      <c r="L91" s="66" t="s">
        <v>14</v>
      </c>
      <c r="M91" s="23" t="s">
        <v>37</v>
      </c>
      <c r="N91" s="66" t="s">
        <v>24</v>
      </c>
      <c r="O91" s="23" t="s">
        <v>616</v>
      </c>
    </row>
    <row r="92" spans="1:15" ht="15.75" thickBot="1">
      <c r="A92" s="17" t="s">
        <v>594</v>
      </c>
      <c r="B92" s="89">
        <v>165.5</v>
      </c>
      <c r="C92" s="90">
        <v>165.5</v>
      </c>
      <c r="D92" s="89">
        <v>165.5</v>
      </c>
      <c r="E92" s="90">
        <v>165.5</v>
      </c>
      <c r="F92" s="89">
        <v>165.5</v>
      </c>
      <c r="G92" s="90">
        <v>165.5</v>
      </c>
      <c r="H92" s="89">
        <v>165.5</v>
      </c>
      <c r="I92" s="90">
        <v>165.5</v>
      </c>
      <c r="J92" s="89">
        <v>165.5</v>
      </c>
      <c r="K92" s="90">
        <v>165.5</v>
      </c>
      <c r="L92" s="66" t="s">
        <v>14</v>
      </c>
      <c r="M92" s="23" t="s">
        <v>13</v>
      </c>
      <c r="N92" s="66" t="s">
        <v>24</v>
      </c>
      <c r="O92" s="23" t="s">
        <v>616</v>
      </c>
    </row>
    <row r="93" spans="1:15" ht="15.75" thickBot="1">
      <c r="A93" s="17" t="s">
        <v>731</v>
      </c>
      <c r="B93" s="89">
        <v>46.5</v>
      </c>
      <c r="C93" s="90">
        <v>46.5</v>
      </c>
      <c r="D93" s="89">
        <v>46.5</v>
      </c>
      <c r="E93" s="90">
        <v>46.5</v>
      </c>
      <c r="F93" s="89">
        <v>46.5</v>
      </c>
      <c r="G93" s="90">
        <v>46.5</v>
      </c>
      <c r="H93" s="89">
        <v>46.5</v>
      </c>
      <c r="I93" s="90">
        <v>46.5</v>
      </c>
      <c r="J93" s="89">
        <v>46.5</v>
      </c>
      <c r="K93" s="90">
        <v>46.5</v>
      </c>
      <c r="L93" s="66" t="s">
        <v>14</v>
      </c>
      <c r="M93" s="23" t="s">
        <v>13</v>
      </c>
      <c r="N93" s="66" t="s">
        <v>24</v>
      </c>
      <c r="O93" s="23" t="s">
        <v>616</v>
      </c>
    </row>
    <row r="94" spans="1:15" ht="15.75" thickBot="1">
      <c r="A94" s="17" t="s">
        <v>758</v>
      </c>
      <c r="B94" s="89">
        <v>0</v>
      </c>
      <c r="C94" s="90">
        <v>220</v>
      </c>
      <c r="D94" s="89">
        <v>220</v>
      </c>
      <c r="E94" s="90">
        <v>220</v>
      </c>
      <c r="F94" s="89">
        <v>220</v>
      </c>
      <c r="G94" s="90">
        <v>220</v>
      </c>
      <c r="H94" s="89">
        <v>220</v>
      </c>
      <c r="I94" s="90">
        <v>220</v>
      </c>
      <c r="J94" s="89">
        <v>220</v>
      </c>
      <c r="K94" s="90">
        <v>220</v>
      </c>
      <c r="L94" s="66" t="s">
        <v>14</v>
      </c>
      <c r="M94" s="23" t="s">
        <v>37</v>
      </c>
      <c r="N94" s="66" t="s">
        <v>24</v>
      </c>
      <c r="O94" s="23" t="s">
        <v>616</v>
      </c>
    </row>
    <row r="95" spans="1:15" ht="15.75" thickBot="1">
      <c r="A95" s="17" t="s">
        <v>759</v>
      </c>
      <c r="B95" s="89">
        <v>29</v>
      </c>
      <c r="C95" s="90">
        <v>29</v>
      </c>
      <c r="D95" s="89">
        <v>29</v>
      </c>
      <c r="E95" s="90">
        <v>29</v>
      </c>
      <c r="F95" s="89">
        <v>29</v>
      </c>
      <c r="G95" s="90">
        <v>29</v>
      </c>
      <c r="H95" s="89">
        <v>29</v>
      </c>
      <c r="I95" s="90">
        <v>29</v>
      </c>
      <c r="J95" s="89">
        <v>29</v>
      </c>
      <c r="K95" s="90">
        <v>29</v>
      </c>
      <c r="L95" s="66" t="s">
        <v>14</v>
      </c>
      <c r="M95" s="23" t="s">
        <v>37</v>
      </c>
      <c r="N95" s="66" t="s">
        <v>24</v>
      </c>
      <c r="O95" s="23" t="s">
        <v>616</v>
      </c>
    </row>
    <row r="96" spans="1:15" ht="15.75" thickBot="1">
      <c r="A96" s="17" t="s">
        <v>61</v>
      </c>
      <c r="B96" s="89">
        <v>45</v>
      </c>
      <c r="C96" s="90">
        <v>45</v>
      </c>
      <c r="D96" s="89">
        <v>45</v>
      </c>
      <c r="E96" s="90">
        <v>45</v>
      </c>
      <c r="F96" s="89">
        <v>45</v>
      </c>
      <c r="G96" s="90">
        <v>45</v>
      </c>
      <c r="H96" s="89">
        <v>45</v>
      </c>
      <c r="I96" s="90">
        <v>45</v>
      </c>
      <c r="J96" s="89">
        <v>45</v>
      </c>
      <c r="K96" s="90">
        <v>45</v>
      </c>
      <c r="L96" s="66" t="s">
        <v>14</v>
      </c>
      <c r="M96" s="23" t="s">
        <v>37</v>
      </c>
      <c r="N96" s="66" t="s">
        <v>24</v>
      </c>
      <c r="O96" s="23" t="s">
        <v>616</v>
      </c>
    </row>
    <row r="97" spans="1:15" ht="15.75" thickBot="1">
      <c r="A97" s="17" t="s">
        <v>64</v>
      </c>
      <c r="B97" s="89">
        <v>44.7</v>
      </c>
      <c r="C97" s="90">
        <v>44.4</v>
      </c>
      <c r="D97" s="89">
        <v>44.1</v>
      </c>
      <c r="E97" s="90">
        <v>43.8</v>
      </c>
      <c r="F97" s="89">
        <v>43.4</v>
      </c>
      <c r="G97" s="90">
        <v>43.1</v>
      </c>
      <c r="H97" s="89">
        <v>42.8</v>
      </c>
      <c r="I97" s="90">
        <v>42.5</v>
      </c>
      <c r="J97" s="89">
        <v>42.2</v>
      </c>
      <c r="K97" s="90">
        <v>41.9</v>
      </c>
      <c r="L97" s="66" t="s">
        <v>14</v>
      </c>
      <c r="M97" s="23" t="s">
        <v>37</v>
      </c>
      <c r="N97" s="66" t="s">
        <v>24</v>
      </c>
      <c r="O97" s="23" t="s">
        <v>616</v>
      </c>
    </row>
    <row r="98" spans="1:15" ht="15.75" thickBot="1">
      <c r="A98" s="17" t="s">
        <v>639</v>
      </c>
      <c r="B98" s="89">
        <v>105</v>
      </c>
      <c r="C98" s="90">
        <v>105</v>
      </c>
      <c r="D98" s="89">
        <v>105</v>
      </c>
      <c r="E98" s="90">
        <v>105</v>
      </c>
      <c r="F98" s="89">
        <v>105</v>
      </c>
      <c r="G98" s="90">
        <v>105</v>
      </c>
      <c r="H98" s="89">
        <v>105</v>
      </c>
      <c r="I98" s="90">
        <v>105</v>
      </c>
      <c r="J98" s="89">
        <v>105</v>
      </c>
      <c r="K98" s="90">
        <v>105</v>
      </c>
      <c r="L98" s="66" t="s">
        <v>14</v>
      </c>
      <c r="M98" s="23" t="s">
        <v>37</v>
      </c>
      <c r="N98" s="66" t="s">
        <v>24</v>
      </c>
      <c r="O98" s="23" t="s">
        <v>616</v>
      </c>
    </row>
    <row r="99" spans="1:15" ht="15.75" thickBot="1">
      <c r="A99" s="17" t="s">
        <v>732</v>
      </c>
      <c r="B99" s="89">
        <v>102</v>
      </c>
      <c r="C99" s="90">
        <v>102</v>
      </c>
      <c r="D99" s="89">
        <v>102</v>
      </c>
      <c r="E99" s="90">
        <v>102</v>
      </c>
      <c r="F99" s="89">
        <v>102</v>
      </c>
      <c r="G99" s="90">
        <v>102</v>
      </c>
      <c r="H99" s="89">
        <v>102</v>
      </c>
      <c r="I99" s="90">
        <v>102</v>
      </c>
      <c r="J99" s="89">
        <v>102</v>
      </c>
      <c r="K99" s="90">
        <v>102</v>
      </c>
      <c r="L99" s="66" t="s">
        <v>14</v>
      </c>
      <c r="M99" s="23" t="s">
        <v>37</v>
      </c>
      <c r="N99" s="66" t="s">
        <v>24</v>
      </c>
      <c r="O99" s="23" t="s">
        <v>616</v>
      </c>
    </row>
    <row r="100" spans="1:15" ht="15.75" thickBot="1">
      <c r="A100" s="17" t="s">
        <v>70</v>
      </c>
      <c r="B100" s="89">
        <v>50.5</v>
      </c>
      <c r="C100" s="90">
        <v>53.5</v>
      </c>
      <c r="D100" s="89">
        <v>53.2</v>
      </c>
      <c r="E100" s="90">
        <v>52.9</v>
      </c>
      <c r="F100" s="89">
        <v>52.7</v>
      </c>
      <c r="G100" s="90">
        <v>52.5</v>
      </c>
      <c r="H100" s="89">
        <v>52.3</v>
      </c>
      <c r="I100" s="90">
        <v>52.1</v>
      </c>
      <c r="J100" s="89">
        <v>51.9</v>
      </c>
      <c r="K100" s="90">
        <v>51.8</v>
      </c>
      <c r="L100" s="66" t="s">
        <v>14</v>
      </c>
      <c r="M100" s="23" t="s">
        <v>37</v>
      </c>
      <c r="N100" s="66" t="s">
        <v>24</v>
      </c>
      <c r="O100" s="23" t="s">
        <v>616</v>
      </c>
    </row>
    <row r="101" spans="1:15" ht="15.75" thickBot="1">
      <c r="A101" s="17" t="s">
        <v>72</v>
      </c>
      <c r="B101" s="89">
        <v>270</v>
      </c>
      <c r="C101" s="90">
        <v>270</v>
      </c>
      <c r="D101" s="89">
        <v>270</v>
      </c>
      <c r="E101" s="90">
        <v>270</v>
      </c>
      <c r="F101" s="89">
        <v>270</v>
      </c>
      <c r="G101" s="90">
        <v>270</v>
      </c>
      <c r="H101" s="89">
        <v>270</v>
      </c>
      <c r="I101" s="90">
        <v>270</v>
      </c>
      <c r="J101" s="89">
        <v>270</v>
      </c>
      <c r="K101" s="90">
        <v>270</v>
      </c>
      <c r="L101" s="66" t="s">
        <v>14</v>
      </c>
      <c r="M101" s="23" t="s">
        <v>13</v>
      </c>
      <c r="N101" s="66" t="s">
        <v>24</v>
      </c>
      <c r="O101" s="23" t="s">
        <v>616</v>
      </c>
    </row>
    <row r="102" spans="1:15" ht="15.75" thickBot="1">
      <c r="A102" s="17" t="s">
        <v>77</v>
      </c>
      <c r="B102" s="89">
        <v>198</v>
      </c>
      <c r="C102" s="90">
        <v>198</v>
      </c>
      <c r="D102" s="89">
        <v>198</v>
      </c>
      <c r="E102" s="90">
        <v>198</v>
      </c>
      <c r="F102" s="89">
        <v>198</v>
      </c>
      <c r="G102" s="90">
        <v>198</v>
      </c>
      <c r="H102" s="89">
        <v>198</v>
      </c>
      <c r="I102" s="90">
        <v>198</v>
      </c>
      <c r="J102" s="89">
        <v>198</v>
      </c>
      <c r="K102" s="90">
        <v>198</v>
      </c>
      <c r="L102" s="66" t="s">
        <v>14</v>
      </c>
      <c r="M102" s="23" t="s">
        <v>13</v>
      </c>
      <c r="N102" s="66" t="s">
        <v>24</v>
      </c>
      <c r="O102" s="23" t="s">
        <v>616</v>
      </c>
    </row>
    <row r="103" spans="1:15" ht="15.75" thickBot="1">
      <c r="A103" s="17" t="s">
        <v>396</v>
      </c>
      <c r="B103" s="89">
        <v>0</v>
      </c>
      <c r="C103" s="90">
        <v>200</v>
      </c>
      <c r="D103" s="89">
        <v>200</v>
      </c>
      <c r="E103" s="90">
        <v>200</v>
      </c>
      <c r="F103" s="89">
        <v>200</v>
      </c>
      <c r="G103" s="90">
        <v>200</v>
      </c>
      <c r="H103" s="89">
        <v>200</v>
      </c>
      <c r="I103" s="90">
        <v>200</v>
      </c>
      <c r="J103" s="89">
        <v>200</v>
      </c>
      <c r="K103" s="90">
        <v>200</v>
      </c>
      <c r="L103" s="66" t="s">
        <v>14</v>
      </c>
      <c r="M103" s="23" t="s">
        <v>37</v>
      </c>
      <c r="N103" s="66" t="s">
        <v>24</v>
      </c>
      <c r="O103" s="23" t="s">
        <v>616</v>
      </c>
    </row>
    <row r="104" spans="1:15" ht="15.75" thickBot="1">
      <c r="A104" s="17" t="s">
        <v>733</v>
      </c>
      <c r="B104" s="89">
        <v>106.8</v>
      </c>
      <c r="C104" s="90">
        <v>106.8</v>
      </c>
      <c r="D104" s="89">
        <v>106.8</v>
      </c>
      <c r="E104" s="90">
        <v>106.8</v>
      </c>
      <c r="F104" s="89">
        <v>106.8</v>
      </c>
      <c r="G104" s="90">
        <v>106.8</v>
      </c>
      <c r="H104" s="89">
        <v>106.8</v>
      </c>
      <c r="I104" s="90">
        <v>106.8</v>
      </c>
      <c r="J104" s="89">
        <v>106.8</v>
      </c>
      <c r="K104" s="90">
        <v>106.8</v>
      </c>
      <c r="L104" s="66" t="s">
        <v>14</v>
      </c>
      <c r="M104" s="23" t="s">
        <v>13</v>
      </c>
      <c r="N104" s="66" t="s">
        <v>24</v>
      </c>
      <c r="O104" s="23" t="s">
        <v>616</v>
      </c>
    </row>
    <row r="105" spans="1:15" ht="15.75" thickBot="1">
      <c r="A105" s="17" t="s">
        <v>643</v>
      </c>
      <c r="B105" s="89">
        <v>0</v>
      </c>
      <c r="C105" s="90">
        <v>0</v>
      </c>
      <c r="D105" s="89">
        <v>0</v>
      </c>
      <c r="E105" s="90">
        <v>0</v>
      </c>
      <c r="F105" s="89">
        <v>0</v>
      </c>
      <c r="G105" s="90">
        <v>0</v>
      </c>
      <c r="H105" s="89">
        <v>0</v>
      </c>
      <c r="I105" s="90">
        <v>0</v>
      </c>
      <c r="J105" s="89">
        <v>0</v>
      </c>
      <c r="K105" s="90">
        <v>0</v>
      </c>
      <c r="L105" s="66" t="s">
        <v>14</v>
      </c>
      <c r="M105" s="23" t="s">
        <v>37</v>
      </c>
      <c r="N105" s="66" t="s">
        <v>24</v>
      </c>
      <c r="O105" s="23" t="s">
        <v>616</v>
      </c>
    </row>
    <row r="106" spans="1:15" ht="15.75" thickBot="1">
      <c r="A106" s="17" t="s">
        <v>644</v>
      </c>
      <c r="B106" s="89">
        <v>172.5</v>
      </c>
      <c r="C106" s="90">
        <v>172.5</v>
      </c>
      <c r="D106" s="89">
        <v>172.5</v>
      </c>
      <c r="E106" s="90">
        <v>172.5</v>
      </c>
      <c r="F106" s="89">
        <v>172.5</v>
      </c>
      <c r="G106" s="90">
        <v>172.5</v>
      </c>
      <c r="H106" s="89">
        <v>172.5</v>
      </c>
      <c r="I106" s="90">
        <v>172.5</v>
      </c>
      <c r="J106" s="89">
        <v>172.5</v>
      </c>
      <c r="K106" s="90">
        <v>172.5</v>
      </c>
      <c r="L106" s="66" t="s">
        <v>14</v>
      </c>
      <c r="M106" s="23" t="s">
        <v>13</v>
      </c>
      <c r="N106" s="66" t="s">
        <v>24</v>
      </c>
      <c r="O106" s="23" t="s">
        <v>616</v>
      </c>
    </row>
    <row r="107" spans="1:15">
      <c r="A107" s="19" t="s">
        <v>98</v>
      </c>
      <c r="B107" s="91">
        <v>48.3</v>
      </c>
      <c r="C107" s="92">
        <v>48.3</v>
      </c>
      <c r="D107" s="91">
        <v>48.3</v>
      </c>
      <c r="E107" s="92">
        <v>48.3</v>
      </c>
      <c r="F107" s="91">
        <v>48.3</v>
      </c>
      <c r="G107" s="92">
        <v>48.3</v>
      </c>
      <c r="H107" s="91">
        <v>48.3</v>
      </c>
      <c r="I107" s="92">
        <v>48.3</v>
      </c>
      <c r="J107" s="91">
        <v>48.3</v>
      </c>
      <c r="K107" s="92">
        <v>48.3</v>
      </c>
      <c r="L107" s="68" t="s">
        <v>14</v>
      </c>
      <c r="M107" s="25" t="s">
        <v>13</v>
      </c>
      <c r="N107" s="68" t="s">
        <v>24</v>
      </c>
      <c r="O107" s="25" t="s">
        <v>616</v>
      </c>
    </row>
    <row r="108" spans="1:15" ht="15.75" thickBot="1">
      <c r="A108" s="84"/>
      <c r="B108" s="97"/>
      <c r="C108" s="97"/>
      <c r="D108" s="97"/>
      <c r="E108" s="97"/>
      <c r="F108" s="97"/>
      <c r="G108" s="97"/>
      <c r="H108" s="97"/>
      <c r="I108" s="97"/>
      <c r="J108" s="97"/>
      <c r="K108" s="97"/>
      <c r="L108" s="84"/>
      <c r="M108" s="84"/>
      <c r="N108" s="84"/>
      <c r="O108" s="84"/>
    </row>
    <row r="109" spans="1:15" ht="15.75" thickBot="1">
      <c r="A109" s="50" t="s">
        <v>622</v>
      </c>
      <c r="B109" s="93">
        <f>SUMIF(wincapssstable[[FuelType]:[FuelType]],"Wind",wincapssstable[2019])</f>
        <v>1324.97</v>
      </c>
      <c r="C109" s="93">
        <f>SUMIF(wincapssstable[[FuelType]:[FuelType]],"Wind",wincapssstable[2020])</f>
        <v>1459.9699999999998</v>
      </c>
      <c r="D109" s="93">
        <f>SUMIF(wincapssstable[[FuelType]:[FuelType]],"Wind",wincapssstable[2021])</f>
        <v>1459.9699999999998</v>
      </c>
      <c r="E109" s="93">
        <f>SUMIF(wincapssstable[[FuelType]:[FuelType]],"Wind",wincapssstable[2022])</f>
        <v>1459.9699999999998</v>
      </c>
      <c r="F109" s="93">
        <f>SUMIF(wincapssstable[[FuelType]:[FuelType]],"Wind",wincapssstable[2023])</f>
        <v>1459.9699999999998</v>
      </c>
      <c r="G109" s="93">
        <f>SUMIF(wincapssstable[[FuelType]:[FuelType]],"Wind",wincapssstable[2024])</f>
        <v>1459.9699999999998</v>
      </c>
      <c r="H109" s="93">
        <f>SUMIF(wincapssstable[[FuelType]:[FuelType]],"Wind",wincapssstable[2025])</f>
        <v>1459.9699999999998</v>
      </c>
      <c r="I109" s="93">
        <f>SUMIF(wincapssstable[[FuelType]:[FuelType]],"Wind",wincapssstable[2026])</f>
        <v>1459.9699999999998</v>
      </c>
      <c r="J109" s="93">
        <f>SUMIF(wincapssstable[[FuelType]:[FuelType]],"Wind",wincapssstable[2027])</f>
        <v>1459.9699999999998</v>
      </c>
      <c r="K109" s="93">
        <f>SUMIF(wincapssstable[[FuelType]:[FuelType]],"Wind",wincapssstable[2028])</f>
        <v>1459.9699999999998</v>
      </c>
    </row>
    <row r="110" spans="1:15" ht="15.75" thickBot="1">
      <c r="A110" s="50" t="s">
        <v>623</v>
      </c>
      <c r="B110" s="93">
        <f>SUMIF(wincapssstable[[FuelType]:[FuelType]],"Solar",wincapssstable[2019])</f>
        <v>569.20000000000005</v>
      </c>
      <c r="C110" s="93">
        <f>SUMIF(wincapssstable[[FuelType]:[FuelType]],"Solar",wincapssstable[2020])</f>
        <v>1582.9</v>
      </c>
      <c r="D110" s="93">
        <f>SUMIF(wincapssstable[[FuelType]:[FuelType]],"Solar",wincapssstable[2021])</f>
        <v>1582.3</v>
      </c>
      <c r="E110" s="93">
        <f>SUMIF(wincapssstable[[FuelType]:[FuelType]],"Solar",wincapssstable[2022])</f>
        <v>1581.7</v>
      </c>
      <c r="F110" s="93">
        <f>SUMIF(wincapssstable[[FuelType]:[FuelType]],"Solar",wincapssstable[2023])</f>
        <v>1581.1000000000001</v>
      </c>
      <c r="G110" s="93">
        <f>SUMIF(wincapssstable[[FuelType]:[FuelType]],"Solar",wincapssstable[2024])</f>
        <v>1580.6</v>
      </c>
      <c r="H110" s="93">
        <f>SUMIF(wincapssstable[[FuelType]:[FuelType]],"Solar",wincapssstable[2025])</f>
        <v>1580.1</v>
      </c>
      <c r="I110" s="93">
        <f>SUMIF(wincapssstable[[FuelType]:[FuelType]],"Solar",wincapssstable[2026])</f>
        <v>1579.6</v>
      </c>
      <c r="J110" s="93">
        <f>SUMIF(wincapssstable[[FuelType]:[FuelType]],"Solar",wincapssstable[2027])</f>
        <v>1579.1000000000001</v>
      </c>
      <c r="K110" s="93">
        <f>SUMIF(wincapssstable[[FuelType]:[FuelType]],"Solar",wincapssstable[2028])</f>
        <v>1578.7</v>
      </c>
    </row>
  </sheetData>
  <mergeCells count="5">
    <mergeCell ref="A50:L50"/>
    <mergeCell ref="A51:L51"/>
    <mergeCell ref="A52:L52"/>
    <mergeCell ref="A53:L53"/>
    <mergeCell ref="A49:L49"/>
  </mergeCells>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91"/>
  <sheetViews>
    <sheetView workbookViewId="0"/>
  </sheetViews>
  <sheetFormatPr defaultColWidth="9.140625" defaultRowHeight="15"/>
  <cols>
    <col min="1" max="1" width="37.28515625" style="28" bestFit="1" customWidth="1"/>
    <col min="2" max="2" width="33.85546875" style="28" bestFit="1" customWidth="1"/>
    <col min="3" max="3" width="21" style="28" bestFit="1" customWidth="1"/>
    <col min="4" max="4" width="26" style="28" bestFit="1" customWidth="1"/>
    <col min="5" max="5" width="39.7109375" style="28" bestFit="1" customWidth="1"/>
    <col min="6" max="6" width="12.28515625" style="28" bestFit="1" customWidth="1"/>
    <col min="7" max="7" width="11" hidden="1" customWidth="1"/>
    <col min="8" max="8" width="19.5703125" hidden="1" customWidth="1"/>
    <col min="9" max="9" width="18" style="129" hidden="1" customWidth="1"/>
    <col min="10" max="10" width="26.85546875" customWidth="1"/>
    <col min="11" max="16384" width="9.140625" style="28"/>
  </cols>
  <sheetData>
    <row r="1" spans="1:10" ht="20.25" thickBot="1">
      <c r="A1" s="47" t="s">
        <v>120</v>
      </c>
      <c r="G1" s="28"/>
      <c r="H1" s="28"/>
      <c r="I1" s="84"/>
      <c r="J1" s="28"/>
    </row>
    <row r="2" spans="1:10" ht="15.75" thickBot="1">
      <c r="A2" s="62" t="s">
        <v>1</v>
      </c>
      <c r="B2" s="62" t="s">
        <v>2</v>
      </c>
      <c r="C2" s="62" t="s">
        <v>121</v>
      </c>
      <c r="D2" s="62" t="s">
        <v>3</v>
      </c>
      <c r="E2" s="62" t="s">
        <v>4</v>
      </c>
      <c r="F2" s="62" t="s">
        <v>6</v>
      </c>
      <c r="G2" s="2" t="s">
        <v>7</v>
      </c>
      <c r="H2" s="2" t="s">
        <v>249</v>
      </c>
      <c r="I2" s="2" t="s">
        <v>245</v>
      </c>
      <c r="J2" s="28"/>
    </row>
    <row r="3" spans="1:10" ht="15.75" thickBot="1">
      <c r="A3" s="18" t="s">
        <v>122</v>
      </c>
      <c r="B3" s="15" t="s">
        <v>123</v>
      </c>
      <c r="C3" s="98">
        <v>2.2999999999999998</v>
      </c>
      <c r="D3" s="15" t="s">
        <v>645</v>
      </c>
      <c r="E3" s="24" t="s">
        <v>16</v>
      </c>
      <c r="F3" s="147" t="s">
        <v>124</v>
      </c>
      <c r="G3" s="24" t="s">
        <v>24</v>
      </c>
      <c r="H3" s="15" t="s">
        <v>236</v>
      </c>
      <c r="I3" s="24" t="s">
        <v>240</v>
      </c>
      <c r="J3" s="28"/>
    </row>
    <row r="4" spans="1:10" ht="15.75" thickBot="1">
      <c r="A4" s="17" t="s">
        <v>562</v>
      </c>
      <c r="B4" s="14" t="s">
        <v>123</v>
      </c>
      <c r="C4" s="99">
        <v>1</v>
      </c>
      <c r="D4" s="14" t="s">
        <v>8</v>
      </c>
      <c r="E4" s="23" t="s">
        <v>16</v>
      </c>
      <c r="F4" s="147" t="s">
        <v>124</v>
      </c>
      <c r="G4" s="23" t="s">
        <v>24</v>
      </c>
      <c r="H4" s="14" t="s">
        <v>236</v>
      </c>
      <c r="I4" s="23" t="s">
        <v>240</v>
      </c>
      <c r="J4" s="28"/>
    </row>
    <row r="5" spans="1:10" ht="15.75" thickBot="1">
      <c r="A5" s="17" t="s">
        <v>125</v>
      </c>
      <c r="B5" s="14" t="s">
        <v>123</v>
      </c>
      <c r="C5" s="99">
        <v>0.6</v>
      </c>
      <c r="D5" s="14" t="s">
        <v>8</v>
      </c>
      <c r="E5" s="23" t="s">
        <v>16</v>
      </c>
      <c r="F5" s="147" t="s">
        <v>124</v>
      </c>
      <c r="G5" s="23" t="s">
        <v>24</v>
      </c>
      <c r="H5" s="14" t="s">
        <v>236</v>
      </c>
      <c r="I5" s="23" t="s">
        <v>240</v>
      </c>
      <c r="J5" s="28"/>
    </row>
    <row r="6" spans="1:10" ht="15.75" thickBot="1">
      <c r="A6" s="17" t="s">
        <v>126</v>
      </c>
      <c r="B6" s="14" t="s">
        <v>123</v>
      </c>
      <c r="C6" s="99">
        <v>1.2</v>
      </c>
      <c r="D6" s="14" t="s">
        <v>8</v>
      </c>
      <c r="E6" s="23" t="s">
        <v>16</v>
      </c>
      <c r="F6" s="147" t="s">
        <v>124</v>
      </c>
      <c r="G6" s="23" t="s">
        <v>24</v>
      </c>
      <c r="H6" s="14" t="s">
        <v>236</v>
      </c>
      <c r="I6" s="23" t="s">
        <v>240</v>
      </c>
      <c r="J6" s="28"/>
    </row>
    <row r="7" spans="1:10" ht="15.75" thickBot="1">
      <c r="A7" s="17" t="s">
        <v>127</v>
      </c>
      <c r="B7" s="14" t="s">
        <v>123</v>
      </c>
      <c r="C7" s="99">
        <v>0.8</v>
      </c>
      <c r="D7" s="14" t="s">
        <v>8</v>
      </c>
      <c r="E7" s="23" t="s">
        <v>16</v>
      </c>
      <c r="F7" s="147" t="s">
        <v>124</v>
      </c>
      <c r="G7" s="23" t="s">
        <v>24</v>
      </c>
      <c r="H7" s="14" t="s">
        <v>236</v>
      </c>
      <c r="I7" s="23" t="s">
        <v>240</v>
      </c>
      <c r="J7" s="28"/>
    </row>
    <row r="8" spans="1:10" ht="15.75" thickBot="1">
      <c r="A8" s="17" t="s">
        <v>128</v>
      </c>
      <c r="B8" s="14" t="s">
        <v>123</v>
      </c>
      <c r="C8" s="99">
        <v>0.4</v>
      </c>
      <c r="D8" s="14" t="s">
        <v>8</v>
      </c>
      <c r="E8" s="23" t="s">
        <v>16</v>
      </c>
      <c r="F8" s="147" t="s">
        <v>124</v>
      </c>
      <c r="G8" s="23" t="s">
        <v>24</v>
      </c>
      <c r="H8" s="14" t="s">
        <v>236</v>
      </c>
      <c r="I8" s="23" t="s">
        <v>240</v>
      </c>
      <c r="J8" s="28"/>
    </row>
    <row r="9" spans="1:10" ht="15.75" thickBot="1">
      <c r="A9" s="17" t="s">
        <v>129</v>
      </c>
      <c r="B9" s="14" t="s">
        <v>130</v>
      </c>
      <c r="C9" s="99">
        <v>1.123</v>
      </c>
      <c r="D9" s="14" t="s">
        <v>645</v>
      </c>
      <c r="E9" s="23" t="s">
        <v>131</v>
      </c>
      <c r="F9" s="147" t="s">
        <v>124</v>
      </c>
      <c r="G9" s="23" t="s">
        <v>24</v>
      </c>
      <c r="H9" s="14" t="s">
        <v>237</v>
      </c>
      <c r="I9" s="23" t="s">
        <v>240</v>
      </c>
      <c r="J9" s="28"/>
    </row>
    <row r="10" spans="1:10" ht="15.75" thickBot="1">
      <c r="A10" s="17" t="s">
        <v>132</v>
      </c>
      <c r="B10" s="14" t="s">
        <v>133</v>
      </c>
      <c r="C10" s="99">
        <v>55.62</v>
      </c>
      <c r="D10" s="14" t="s">
        <v>645</v>
      </c>
      <c r="E10" s="23" t="s">
        <v>134</v>
      </c>
      <c r="F10" s="147" t="s">
        <v>124</v>
      </c>
      <c r="G10" s="23" t="s">
        <v>24</v>
      </c>
      <c r="H10" s="14" t="s">
        <v>236</v>
      </c>
      <c r="I10" s="23" t="s">
        <v>240</v>
      </c>
      <c r="J10" s="28"/>
    </row>
    <row r="11" spans="1:10" ht="15.75" thickBot="1">
      <c r="A11" s="17" t="s">
        <v>135</v>
      </c>
      <c r="B11" s="14" t="s">
        <v>130</v>
      </c>
      <c r="C11" s="99">
        <v>1.123</v>
      </c>
      <c r="D11" s="14" t="s">
        <v>645</v>
      </c>
      <c r="E11" s="23" t="s">
        <v>131</v>
      </c>
      <c r="F11" s="147" t="s">
        <v>124</v>
      </c>
      <c r="G11" s="23" t="s">
        <v>24</v>
      </c>
      <c r="H11" s="14" t="s">
        <v>237</v>
      </c>
      <c r="I11" s="23" t="s">
        <v>240</v>
      </c>
      <c r="J11" s="28"/>
    </row>
    <row r="12" spans="1:10" ht="15.75" thickBot="1">
      <c r="A12" s="17" t="s">
        <v>563</v>
      </c>
      <c r="B12" s="14" t="s">
        <v>225</v>
      </c>
      <c r="C12" s="99">
        <v>0.22459999999999999</v>
      </c>
      <c r="D12" s="14" t="s">
        <v>564</v>
      </c>
      <c r="E12" s="23" t="s">
        <v>37</v>
      </c>
      <c r="F12" s="147" t="s">
        <v>124</v>
      </c>
      <c r="G12" s="23" t="s">
        <v>24</v>
      </c>
      <c r="H12" s="14" t="s">
        <v>37</v>
      </c>
      <c r="I12" s="23" t="s">
        <v>240</v>
      </c>
      <c r="J12" s="28"/>
    </row>
    <row r="13" spans="1:10" ht="15.75" thickBot="1">
      <c r="A13" s="17" t="s">
        <v>137</v>
      </c>
      <c r="B13" s="14" t="s">
        <v>137</v>
      </c>
      <c r="C13" s="99">
        <v>2.14</v>
      </c>
      <c r="D13" s="14" t="s">
        <v>8</v>
      </c>
      <c r="E13" s="23" t="s">
        <v>9</v>
      </c>
      <c r="F13" s="147" t="s">
        <v>124</v>
      </c>
      <c r="G13" s="23" t="s">
        <v>24</v>
      </c>
      <c r="H13" s="14" t="s">
        <v>238</v>
      </c>
      <c r="I13" s="23" t="s">
        <v>240</v>
      </c>
      <c r="J13" s="28"/>
    </row>
    <row r="14" spans="1:10" ht="15.75" thickBot="1">
      <c r="A14" s="17" t="s">
        <v>138</v>
      </c>
      <c r="B14" s="14" t="s">
        <v>139</v>
      </c>
      <c r="C14" s="99">
        <v>1.03</v>
      </c>
      <c r="D14" s="14" t="s">
        <v>645</v>
      </c>
      <c r="E14" s="23" t="s">
        <v>131</v>
      </c>
      <c r="F14" s="147" t="s">
        <v>124</v>
      </c>
      <c r="G14" s="23" t="s">
        <v>24</v>
      </c>
      <c r="H14" s="14" t="s">
        <v>237</v>
      </c>
      <c r="I14" s="23" t="s">
        <v>240</v>
      </c>
      <c r="J14" s="28"/>
    </row>
    <row r="15" spans="1:10" ht="15.75" thickBot="1">
      <c r="A15" s="17" t="s">
        <v>140</v>
      </c>
      <c r="B15" s="14" t="s">
        <v>141</v>
      </c>
      <c r="C15" s="99">
        <v>1.03</v>
      </c>
      <c r="D15" s="14" t="s">
        <v>645</v>
      </c>
      <c r="E15" s="23" t="s">
        <v>131</v>
      </c>
      <c r="F15" s="147" t="s">
        <v>124</v>
      </c>
      <c r="G15" s="23" t="s">
        <v>24</v>
      </c>
      <c r="H15" s="14" t="s">
        <v>237</v>
      </c>
      <c r="I15" s="23" t="s">
        <v>240</v>
      </c>
      <c r="J15" s="28"/>
    </row>
    <row r="16" spans="1:10" ht="15.75" thickBot="1">
      <c r="A16" s="17" t="s">
        <v>142</v>
      </c>
      <c r="B16" s="14" t="s">
        <v>123</v>
      </c>
      <c r="C16" s="99">
        <v>0.77200000000000002</v>
      </c>
      <c r="D16" s="14" t="s">
        <v>8</v>
      </c>
      <c r="E16" s="23" t="s">
        <v>16</v>
      </c>
      <c r="F16" s="147" t="s">
        <v>124</v>
      </c>
      <c r="G16" s="23" t="s">
        <v>24</v>
      </c>
      <c r="H16" s="14" t="s">
        <v>236</v>
      </c>
      <c r="I16" s="23" t="s">
        <v>240</v>
      </c>
      <c r="J16" s="28"/>
    </row>
    <row r="17" spans="1:10" ht="15.75" thickBot="1">
      <c r="A17" s="17" t="s">
        <v>143</v>
      </c>
      <c r="B17" s="14" t="s">
        <v>144</v>
      </c>
      <c r="C17" s="99">
        <v>9.9</v>
      </c>
      <c r="D17" s="14" t="s">
        <v>12</v>
      </c>
      <c r="E17" s="23" t="s">
        <v>13</v>
      </c>
      <c r="F17" s="147" t="s">
        <v>124</v>
      </c>
      <c r="G17" s="23" t="s">
        <v>24</v>
      </c>
      <c r="H17" s="14" t="s">
        <v>13</v>
      </c>
      <c r="I17" s="23" t="s">
        <v>240</v>
      </c>
      <c r="J17" s="28"/>
    </row>
    <row r="18" spans="1:10" ht="15.75" thickBot="1">
      <c r="A18" s="17" t="s">
        <v>145</v>
      </c>
      <c r="B18" s="14" t="s">
        <v>146</v>
      </c>
      <c r="C18" s="99">
        <v>68</v>
      </c>
      <c r="D18" s="14" t="s">
        <v>22</v>
      </c>
      <c r="E18" s="23" t="s">
        <v>147</v>
      </c>
      <c r="F18" s="147" t="s">
        <v>124</v>
      </c>
      <c r="G18" s="23" t="s">
        <v>24</v>
      </c>
      <c r="H18" s="14" t="s">
        <v>237</v>
      </c>
      <c r="I18" s="23" t="s">
        <v>240</v>
      </c>
      <c r="J18" s="28"/>
    </row>
    <row r="19" spans="1:10" ht="15.75" thickBot="1">
      <c r="A19" s="17" t="s">
        <v>148</v>
      </c>
      <c r="B19" s="14" t="s">
        <v>149</v>
      </c>
      <c r="C19" s="99">
        <v>50</v>
      </c>
      <c r="D19" s="14" t="s">
        <v>15</v>
      </c>
      <c r="E19" s="23" t="s">
        <v>9</v>
      </c>
      <c r="F19" s="147" t="s">
        <v>124</v>
      </c>
      <c r="G19" s="23" t="s">
        <v>24</v>
      </c>
      <c r="H19" s="14" t="s">
        <v>15</v>
      </c>
      <c r="I19" s="23" t="s">
        <v>240</v>
      </c>
      <c r="J19" s="28"/>
    </row>
    <row r="20" spans="1:10" ht="15.75" thickBot="1">
      <c r="A20" s="17" t="s">
        <v>565</v>
      </c>
      <c r="B20" s="14" t="s">
        <v>566</v>
      </c>
      <c r="C20" s="99">
        <v>5</v>
      </c>
      <c r="D20" s="14" t="s">
        <v>18</v>
      </c>
      <c r="E20" s="23" t="s">
        <v>17</v>
      </c>
      <c r="F20" s="147" t="s">
        <v>124</v>
      </c>
      <c r="G20" s="23" t="s">
        <v>24</v>
      </c>
      <c r="H20" s="14" t="s">
        <v>17</v>
      </c>
      <c r="I20" s="23" t="s">
        <v>240</v>
      </c>
      <c r="J20" s="28"/>
    </row>
    <row r="21" spans="1:10" ht="15.75" thickBot="1">
      <c r="A21" s="17" t="s">
        <v>150</v>
      </c>
      <c r="B21" s="14" t="s">
        <v>31</v>
      </c>
      <c r="C21" s="99">
        <v>19</v>
      </c>
      <c r="D21" s="14" t="s">
        <v>18</v>
      </c>
      <c r="E21" s="23" t="s">
        <v>17</v>
      </c>
      <c r="F21" s="147" t="s">
        <v>124</v>
      </c>
      <c r="G21" s="23" t="s">
        <v>24</v>
      </c>
      <c r="H21" s="14" t="s">
        <v>17</v>
      </c>
      <c r="I21" s="23" t="s">
        <v>240</v>
      </c>
      <c r="J21" s="28"/>
    </row>
    <row r="22" spans="1:10" ht="15.75" thickBot="1">
      <c r="A22" s="17" t="s">
        <v>151</v>
      </c>
      <c r="B22" s="14" t="s">
        <v>152</v>
      </c>
      <c r="C22" s="99">
        <v>27.2</v>
      </c>
      <c r="D22" s="14" t="s">
        <v>18</v>
      </c>
      <c r="E22" s="23" t="s">
        <v>17</v>
      </c>
      <c r="F22" s="147" t="s">
        <v>124</v>
      </c>
      <c r="G22" s="23" t="s">
        <v>24</v>
      </c>
      <c r="H22" s="14" t="s">
        <v>17</v>
      </c>
      <c r="I22" s="23" t="s">
        <v>240</v>
      </c>
      <c r="J22" s="28"/>
    </row>
    <row r="23" spans="1:10" ht="15.75" thickBot="1">
      <c r="A23" s="17" t="s">
        <v>153</v>
      </c>
      <c r="B23" s="14" t="s">
        <v>154</v>
      </c>
      <c r="C23" s="99">
        <v>0.70499999999999996</v>
      </c>
      <c r="D23" s="14" t="s">
        <v>36</v>
      </c>
      <c r="E23" s="23" t="s">
        <v>37</v>
      </c>
      <c r="F23" s="147" t="s">
        <v>124</v>
      </c>
      <c r="G23" s="23" t="s">
        <v>24</v>
      </c>
      <c r="H23" s="14" t="s">
        <v>37</v>
      </c>
      <c r="I23" s="23" t="s">
        <v>240</v>
      </c>
      <c r="J23" s="28"/>
    </row>
    <row r="24" spans="1:10" ht="15.75" thickBot="1">
      <c r="A24" s="17" t="s">
        <v>155</v>
      </c>
      <c r="B24" s="14" t="s">
        <v>156</v>
      </c>
      <c r="C24" s="99">
        <v>140.69999999999999</v>
      </c>
      <c r="D24" s="14" t="s">
        <v>12</v>
      </c>
      <c r="E24" s="23" t="s">
        <v>13</v>
      </c>
      <c r="F24" s="147" t="s">
        <v>124</v>
      </c>
      <c r="G24" s="23" t="s">
        <v>24</v>
      </c>
      <c r="H24" s="14" t="s">
        <v>13</v>
      </c>
      <c r="I24" s="23" t="s">
        <v>240</v>
      </c>
      <c r="J24" s="28"/>
    </row>
    <row r="25" spans="1:10" ht="15.75" thickBot="1">
      <c r="A25" s="17" t="s">
        <v>806</v>
      </c>
      <c r="B25" s="14" t="s">
        <v>807</v>
      </c>
      <c r="C25" s="99">
        <v>2.8</v>
      </c>
      <c r="D25" s="14" t="s">
        <v>645</v>
      </c>
      <c r="E25" s="23" t="s">
        <v>16</v>
      </c>
      <c r="F25" s="147" t="s">
        <v>243</v>
      </c>
      <c r="G25" s="23" t="s">
        <v>24</v>
      </c>
      <c r="H25" s="14" t="s">
        <v>236</v>
      </c>
      <c r="I25" s="23" t="s">
        <v>243</v>
      </c>
      <c r="J25" s="28"/>
    </row>
    <row r="26" spans="1:10" ht="15.75" thickBot="1">
      <c r="A26" s="17" t="s">
        <v>567</v>
      </c>
      <c r="B26" s="14" t="s">
        <v>225</v>
      </c>
      <c r="C26" s="99">
        <v>4.7699999999999996</v>
      </c>
      <c r="D26" s="14" t="s">
        <v>564</v>
      </c>
      <c r="E26" s="23" t="s">
        <v>37</v>
      </c>
      <c r="F26" s="147" t="s">
        <v>124</v>
      </c>
      <c r="G26" s="23" t="s">
        <v>24</v>
      </c>
      <c r="H26" s="14" t="s">
        <v>37</v>
      </c>
      <c r="I26" s="23" t="s">
        <v>240</v>
      </c>
      <c r="J26" s="28"/>
    </row>
    <row r="27" spans="1:10" ht="15.75" thickBot="1">
      <c r="A27" s="17" t="s">
        <v>157</v>
      </c>
      <c r="B27" s="14" t="s">
        <v>158</v>
      </c>
      <c r="C27" s="99">
        <v>30</v>
      </c>
      <c r="D27" s="14" t="s">
        <v>22</v>
      </c>
      <c r="E27" s="23" t="s">
        <v>147</v>
      </c>
      <c r="F27" s="147" t="s">
        <v>124</v>
      </c>
      <c r="G27" s="23" t="s">
        <v>24</v>
      </c>
      <c r="H27" s="14" t="s">
        <v>237</v>
      </c>
      <c r="I27" s="23" t="s">
        <v>240</v>
      </c>
      <c r="J27" s="28"/>
    </row>
    <row r="28" spans="1:10" ht="15.75" thickBot="1">
      <c r="A28" s="17" t="s">
        <v>159</v>
      </c>
      <c r="B28" s="14" t="s">
        <v>31</v>
      </c>
      <c r="C28" s="99">
        <v>20</v>
      </c>
      <c r="D28" s="14" t="s">
        <v>18</v>
      </c>
      <c r="E28" s="23" t="s">
        <v>17</v>
      </c>
      <c r="F28" s="147" t="s">
        <v>124</v>
      </c>
      <c r="G28" s="23" t="s">
        <v>24</v>
      </c>
      <c r="H28" s="14" t="s">
        <v>17</v>
      </c>
      <c r="I28" s="23" t="s">
        <v>240</v>
      </c>
      <c r="J28" s="28"/>
    </row>
    <row r="29" spans="1:10" ht="15.75" thickBot="1">
      <c r="A29" s="17" t="s">
        <v>160</v>
      </c>
      <c r="B29" s="14" t="s">
        <v>144</v>
      </c>
      <c r="C29" s="99">
        <v>4.8</v>
      </c>
      <c r="D29" s="14" t="s">
        <v>12</v>
      </c>
      <c r="E29" s="23" t="s">
        <v>13</v>
      </c>
      <c r="F29" s="147" t="s">
        <v>124</v>
      </c>
      <c r="G29" s="23" t="s">
        <v>24</v>
      </c>
      <c r="H29" s="14" t="s">
        <v>13</v>
      </c>
      <c r="I29" s="23" t="s">
        <v>240</v>
      </c>
      <c r="J29" s="28"/>
    </row>
    <row r="30" spans="1:10" ht="15.75" thickBot="1">
      <c r="A30" s="17" t="s">
        <v>161</v>
      </c>
      <c r="B30" s="14" t="s">
        <v>162</v>
      </c>
      <c r="C30" s="99">
        <v>30</v>
      </c>
      <c r="D30" s="14" t="s">
        <v>12</v>
      </c>
      <c r="E30" s="23" t="s">
        <v>13</v>
      </c>
      <c r="F30" s="147" t="s">
        <v>124</v>
      </c>
      <c r="G30" s="23" t="s">
        <v>24</v>
      </c>
      <c r="H30" s="14" t="s">
        <v>13</v>
      </c>
      <c r="I30" s="23" t="s">
        <v>240</v>
      </c>
      <c r="J30" s="28"/>
    </row>
    <row r="31" spans="1:10" ht="15.75" thickBot="1">
      <c r="A31" s="17" t="s">
        <v>568</v>
      </c>
      <c r="B31" s="14" t="s">
        <v>225</v>
      </c>
      <c r="C31" s="99">
        <v>0.23</v>
      </c>
      <c r="D31" s="14" t="s">
        <v>564</v>
      </c>
      <c r="E31" s="23" t="s">
        <v>37</v>
      </c>
      <c r="F31" s="147" t="s">
        <v>124</v>
      </c>
      <c r="G31" s="23" t="s">
        <v>24</v>
      </c>
      <c r="H31" s="14" t="s">
        <v>37</v>
      </c>
      <c r="I31" s="23" t="s">
        <v>240</v>
      </c>
      <c r="J31" s="28"/>
    </row>
    <row r="32" spans="1:10" ht="15.75" thickBot="1">
      <c r="A32" s="17" t="s">
        <v>569</v>
      </c>
      <c r="B32" s="14" t="s">
        <v>225</v>
      </c>
      <c r="C32" s="99">
        <v>0.1</v>
      </c>
      <c r="D32" s="14" t="s">
        <v>564</v>
      </c>
      <c r="E32" s="23" t="s">
        <v>37</v>
      </c>
      <c r="F32" s="147" t="s">
        <v>124</v>
      </c>
      <c r="G32" s="23" t="s">
        <v>24</v>
      </c>
      <c r="H32" s="14" t="s">
        <v>37</v>
      </c>
      <c r="I32" s="23" t="s">
        <v>240</v>
      </c>
      <c r="J32" s="28"/>
    </row>
    <row r="33" spans="1:10" ht="15.75" thickBot="1">
      <c r="A33" s="17" t="s">
        <v>570</v>
      </c>
      <c r="B33" s="14" t="s">
        <v>225</v>
      </c>
      <c r="C33" s="99">
        <v>0.2</v>
      </c>
      <c r="D33" s="14" t="s">
        <v>564</v>
      </c>
      <c r="E33" s="23" t="s">
        <v>37</v>
      </c>
      <c r="F33" s="147" t="s">
        <v>124</v>
      </c>
      <c r="G33" s="23" t="s">
        <v>24</v>
      </c>
      <c r="H33" s="14" t="s">
        <v>37</v>
      </c>
      <c r="I33" s="23" t="s">
        <v>240</v>
      </c>
      <c r="J33" s="28"/>
    </row>
    <row r="34" spans="1:10" ht="15.75" thickBot="1">
      <c r="A34" s="17" t="s">
        <v>163</v>
      </c>
      <c r="B34" s="14" t="s">
        <v>163</v>
      </c>
      <c r="C34" s="99">
        <v>3.9</v>
      </c>
      <c r="D34" s="14" t="s">
        <v>645</v>
      </c>
      <c r="E34" s="23" t="s">
        <v>164</v>
      </c>
      <c r="F34" s="147" t="s">
        <v>124</v>
      </c>
      <c r="G34" s="23" t="s">
        <v>24</v>
      </c>
      <c r="H34" s="14" t="s">
        <v>237</v>
      </c>
      <c r="I34" s="23" t="s">
        <v>240</v>
      </c>
      <c r="J34" s="28"/>
    </row>
    <row r="35" spans="1:10" ht="15.75" thickBot="1">
      <c r="A35" s="17" t="s">
        <v>165</v>
      </c>
      <c r="B35" s="14" t="s">
        <v>141</v>
      </c>
      <c r="C35" s="99">
        <v>5.0599999999999996</v>
      </c>
      <c r="D35" s="14" t="s">
        <v>645</v>
      </c>
      <c r="E35" s="23" t="s">
        <v>131</v>
      </c>
      <c r="F35" s="147" t="s">
        <v>124</v>
      </c>
      <c r="G35" s="23" t="s">
        <v>24</v>
      </c>
      <c r="H35" s="14" t="s">
        <v>237</v>
      </c>
      <c r="I35" s="23" t="s">
        <v>240</v>
      </c>
      <c r="J35" s="28"/>
    </row>
    <row r="36" spans="1:10" ht="15.75" thickBot="1">
      <c r="A36" s="17" t="s">
        <v>166</v>
      </c>
      <c r="B36" s="14" t="s">
        <v>130</v>
      </c>
      <c r="C36" s="99">
        <v>7.8609999999999998</v>
      </c>
      <c r="D36" s="14" t="s">
        <v>645</v>
      </c>
      <c r="E36" s="23" t="s">
        <v>131</v>
      </c>
      <c r="F36" s="147" t="s">
        <v>124</v>
      </c>
      <c r="G36" s="23" t="s">
        <v>24</v>
      </c>
      <c r="H36" s="14" t="s">
        <v>237</v>
      </c>
      <c r="I36" s="23" t="s">
        <v>240</v>
      </c>
      <c r="J36" s="28"/>
    </row>
    <row r="37" spans="1:10" ht="15.75" thickBot="1">
      <c r="A37" s="17" t="s">
        <v>168</v>
      </c>
      <c r="B37" s="14" t="s">
        <v>43</v>
      </c>
      <c r="C37" s="99">
        <v>42</v>
      </c>
      <c r="D37" s="14" t="s">
        <v>15</v>
      </c>
      <c r="E37" s="23" t="s">
        <v>9</v>
      </c>
      <c r="F37" s="147" t="s">
        <v>124</v>
      </c>
      <c r="G37" s="23" t="s">
        <v>24</v>
      </c>
      <c r="H37" s="14" t="s">
        <v>15</v>
      </c>
      <c r="I37" s="23" t="s">
        <v>240</v>
      </c>
      <c r="J37" s="28"/>
    </row>
    <row r="38" spans="1:10" ht="15.75" thickBot="1">
      <c r="A38" s="17" t="s">
        <v>169</v>
      </c>
      <c r="B38" s="14" t="s">
        <v>123</v>
      </c>
      <c r="C38" s="99">
        <v>0.38600000000000001</v>
      </c>
      <c r="D38" s="14" t="s">
        <v>8</v>
      </c>
      <c r="E38" s="23" t="s">
        <v>16</v>
      </c>
      <c r="F38" s="147" t="s">
        <v>124</v>
      </c>
      <c r="G38" s="23" t="s">
        <v>24</v>
      </c>
      <c r="H38" s="14" t="s">
        <v>236</v>
      </c>
      <c r="I38" s="23" t="s">
        <v>240</v>
      </c>
      <c r="J38" s="28"/>
    </row>
    <row r="39" spans="1:10" ht="15.75" thickBot="1">
      <c r="A39" s="17" t="s">
        <v>170</v>
      </c>
      <c r="B39" s="14" t="s">
        <v>31</v>
      </c>
      <c r="C39" s="99">
        <v>5</v>
      </c>
      <c r="D39" s="14" t="s">
        <v>18</v>
      </c>
      <c r="E39" s="23" t="s">
        <v>17</v>
      </c>
      <c r="F39" s="147" t="s">
        <v>124</v>
      </c>
      <c r="G39" s="23" t="s">
        <v>24</v>
      </c>
      <c r="H39" s="14" t="s">
        <v>17</v>
      </c>
      <c r="I39" s="23" t="s">
        <v>240</v>
      </c>
      <c r="J39" s="28"/>
    </row>
    <row r="40" spans="1:10" ht="15.75" thickBot="1">
      <c r="A40" s="17" t="s">
        <v>171</v>
      </c>
      <c r="B40" s="14" t="s">
        <v>172</v>
      </c>
      <c r="C40" s="99">
        <v>13</v>
      </c>
      <c r="D40" s="14" t="s">
        <v>645</v>
      </c>
      <c r="E40" s="23" t="s">
        <v>134</v>
      </c>
      <c r="F40" s="147" t="s">
        <v>124</v>
      </c>
      <c r="G40" s="23" t="s">
        <v>24</v>
      </c>
      <c r="H40" s="14" t="s">
        <v>236</v>
      </c>
      <c r="I40" s="23" t="s">
        <v>240</v>
      </c>
      <c r="J40" s="28"/>
    </row>
    <row r="41" spans="1:10" ht="15.75" thickBot="1">
      <c r="A41" s="17" t="s">
        <v>173</v>
      </c>
      <c r="B41" s="14" t="s">
        <v>141</v>
      </c>
      <c r="C41" s="99">
        <v>1.26</v>
      </c>
      <c r="D41" s="14" t="s">
        <v>645</v>
      </c>
      <c r="E41" s="23" t="s">
        <v>131</v>
      </c>
      <c r="F41" s="147" t="s">
        <v>124</v>
      </c>
      <c r="G41" s="23" t="s">
        <v>24</v>
      </c>
      <c r="H41" s="14" t="s">
        <v>237</v>
      </c>
      <c r="I41" s="23" t="s">
        <v>240</v>
      </c>
      <c r="J41" s="28"/>
    </row>
    <row r="42" spans="1:10" ht="15.75" thickBot="1">
      <c r="A42" s="17" t="s">
        <v>174</v>
      </c>
      <c r="B42" s="14" t="s">
        <v>175</v>
      </c>
      <c r="C42" s="99">
        <v>29.99</v>
      </c>
      <c r="D42" s="14" t="s">
        <v>36</v>
      </c>
      <c r="E42" s="23" t="s">
        <v>37</v>
      </c>
      <c r="F42" s="147" t="s">
        <v>124</v>
      </c>
      <c r="G42" s="23" t="s">
        <v>24</v>
      </c>
      <c r="H42" s="14" t="s">
        <v>37</v>
      </c>
      <c r="I42" s="23" t="s">
        <v>240</v>
      </c>
      <c r="J42" s="28"/>
    </row>
    <row r="43" spans="1:10" ht="15.75" thickBot="1">
      <c r="A43" s="17" t="s">
        <v>176</v>
      </c>
      <c r="B43" s="14" t="s">
        <v>141</v>
      </c>
      <c r="C43" s="99">
        <v>2.2999999999999998</v>
      </c>
      <c r="D43" s="14" t="s">
        <v>645</v>
      </c>
      <c r="E43" s="23" t="s">
        <v>131</v>
      </c>
      <c r="F43" s="147" t="s">
        <v>124</v>
      </c>
      <c r="G43" s="23" t="s">
        <v>24</v>
      </c>
      <c r="H43" s="14" t="s">
        <v>237</v>
      </c>
      <c r="I43" s="23" t="s">
        <v>240</v>
      </c>
      <c r="J43" s="28"/>
    </row>
    <row r="44" spans="1:10" ht="15.75" thickBot="1">
      <c r="A44" s="17" t="s">
        <v>177</v>
      </c>
      <c r="B44" s="14" t="s">
        <v>26</v>
      </c>
      <c r="C44" s="99">
        <v>1.1000000000000001</v>
      </c>
      <c r="D44" s="14" t="s">
        <v>18</v>
      </c>
      <c r="E44" s="23" t="s">
        <v>17</v>
      </c>
      <c r="F44" s="147" t="s">
        <v>124</v>
      </c>
      <c r="G44" s="23" t="s">
        <v>24</v>
      </c>
      <c r="H44" s="14" t="s">
        <v>17</v>
      </c>
      <c r="I44" s="23" t="s">
        <v>240</v>
      </c>
      <c r="J44" s="28"/>
    </row>
    <row r="45" spans="1:10" ht="15.75" thickBot="1">
      <c r="A45" s="17" t="s">
        <v>178</v>
      </c>
      <c r="B45" s="14" t="s">
        <v>26</v>
      </c>
      <c r="C45" s="99">
        <v>14.4</v>
      </c>
      <c r="D45" s="14" t="s">
        <v>18</v>
      </c>
      <c r="E45" s="23" t="s">
        <v>17</v>
      </c>
      <c r="F45" s="147" t="s">
        <v>124</v>
      </c>
      <c r="G45" s="23" t="s">
        <v>24</v>
      </c>
      <c r="H45" s="14" t="s">
        <v>17</v>
      </c>
      <c r="I45" s="23" t="s">
        <v>240</v>
      </c>
      <c r="J45" s="28"/>
    </row>
    <row r="46" spans="1:10" ht="15.75" thickBot="1">
      <c r="A46" s="17" t="s">
        <v>179</v>
      </c>
      <c r="B46" s="14" t="s">
        <v>54</v>
      </c>
      <c r="C46" s="99">
        <v>7.2</v>
      </c>
      <c r="D46" s="14" t="s">
        <v>18</v>
      </c>
      <c r="E46" s="23" t="s">
        <v>17</v>
      </c>
      <c r="F46" s="147" t="s">
        <v>124</v>
      </c>
      <c r="G46" s="23" t="s">
        <v>24</v>
      </c>
      <c r="H46" s="14" t="s">
        <v>17</v>
      </c>
      <c r="I46" s="23" t="s">
        <v>240</v>
      </c>
      <c r="J46" s="28"/>
    </row>
    <row r="47" spans="1:10" ht="15.75" thickBot="1">
      <c r="A47" s="17" t="s">
        <v>571</v>
      </c>
      <c r="B47" s="14" t="s">
        <v>225</v>
      </c>
      <c r="C47" s="99">
        <v>7.8799999999999995E-2</v>
      </c>
      <c r="D47" s="14" t="s">
        <v>564</v>
      </c>
      <c r="E47" s="23" t="s">
        <v>37</v>
      </c>
      <c r="F47" s="147" t="s">
        <v>124</v>
      </c>
      <c r="G47" s="23" t="s">
        <v>24</v>
      </c>
      <c r="H47" s="14" t="s">
        <v>37</v>
      </c>
      <c r="I47" s="23" t="s">
        <v>240</v>
      </c>
      <c r="J47" s="28"/>
    </row>
    <row r="48" spans="1:10" ht="15.75" thickBot="1">
      <c r="A48" s="17" t="s">
        <v>180</v>
      </c>
      <c r="B48" s="14" t="s">
        <v>141</v>
      </c>
      <c r="C48" s="99">
        <v>17.25</v>
      </c>
      <c r="D48" s="14" t="s">
        <v>645</v>
      </c>
      <c r="E48" s="23" t="s">
        <v>131</v>
      </c>
      <c r="F48" s="147" t="s">
        <v>124</v>
      </c>
      <c r="G48" s="23" t="s">
        <v>24</v>
      </c>
      <c r="H48" s="14" t="s">
        <v>237</v>
      </c>
      <c r="I48" s="23" t="s">
        <v>240</v>
      </c>
      <c r="J48" s="28"/>
    </row>
    <row r="49" spans="1:10" ht="15.75" thickBot="1">
      <c r="A49" s="17" t="s">
        <v>181</v>
      </c>
      <c r="B49" s="14" t="s">
        <v>141</v>
      </c>
      <c r="C49" s="99">
        <v>5.39</v>
      </c>
      <c r="D49" s="14" t="s">
        <v>645</v>
      </c>
      <c r="E49" s="23" t="s">
        <v>131</v>
      </c>
      <c r="F49" s="147" t="s">
        <v>124</v>
      </c>
      <c r="G49" s="23" t="s">
        <v>24</v>
      </c>
      <c r="H49" s="14" t="s">
        <v>237</v>
      </c>
      <c r="I49" s="23" t="s">
        <v>240</v>
      </c>
      <c r="J49" s="28"/>
    </row>
    <row r="50" spans="1:10" ht="15.75" thickBot="1">
      <c r="A50" s="17" t="s">
        <v>182</v>
      </c>
      <c r="B50" s="14" t="s">
        <v>183</v>
      </c>
      <c r="C50" s="99">
        <v>2.2999999999999998</v>
      </c>
      <c r="D50" s="14" t="s">
        <v>38</v>
      </c>
      <c r="E50" s="23" t="s">
        <v>37</v>
      </c>
      <c r="F50" s="147" t="s">
        <v>124</v>
      </c>
      <c r="G50" s="23" t="s">
        <v>24</v>
      </c>
      <c r="H50" s="14" t="s">
        <v>37</v>
      </c>
      <c r="I50" s="23" t="s">
        <v>240</v>
      </c>
      <c r="J50" s="28"/>
    </row>
    <row r="51" spans="1:10" ht="15.75" thickBot="1">
      <c r="A51" s="17" t="s">
        <v>184</v>
      </c>
      <c r="B51" s="14" t="s">
        <v>139</v>
      </c>
      <c r="C51" s="99">
        <v>4.5999999999999996</v>
      </c>
      <c r="D51" s="14" t="s">
        <v>645</v>
      </c>
      <c r="E51" s="23" t="s">
        <v>131</v>
      </c>
      <c r="F51" s="147" t="s">
        <v>124</v>
      </c>
      <c r="G51" s="23" t="s">
        <v>24</v>
      </c>
      <c r="H51" s="14" t="s">
        <v>237</v>
      </c>
      <c r="I51" s="23" t="s">
        <v>240</v>
      </c>
      <c r="J51" s="28"/>
    </row>
    <row r="52" spans="1:10" ht="15.75" thickBot="1">
      <c r="A52" s="17" t="s">
        <v>185</v>
      </c>
      <c r="B52" s="14" t="s">
        <v>186</v>
      </c>
      <c r="C52" s="99">
        <v>12.85</v>
      </c>
      <c r="D52" s="14" t="s">
        <v>36</v>
      </c>
      <c r="E52" s="23" t="s">
        <v>37</v>
      </c>
      <c r="F52" s="147" t="s">
        <v>124</v>
      </c>
      <c r="G52" s="23" t="s">
        <v>24</v>
      </c>
      <c r="H52" s="14" t="s">
        <v>37</v>
      </c>
      <c r="I52" s="23" t="s">
        <v>240</v>
      </c>
      <c r="J52" s="28"/>
    </row>
    <row r="53" spans="1:10" ht="15.75" thickBot="1">
      <c r="A53" s="17" t="s">
        <v>187</v>
      </c>
      <c r="B53" s="14" t="s">
        <v>188</v>
      </c>
      <c r="C53" s="99">
        <v>9.1999999999999993</v>
      </c>
      <c r="D53" s="14" t="s">
        <v>36</v>
      </c>
      <c r="E53" s="23" t="s">
        <v>37</v>
      </c>
      <c r="F53" s="147" t="s">
        <v>124</v>
      </c>
      <c r="G53" s="23" t="s">
        <v>24</v>
      </c>
      <c r="H53" s="14" t="s">
        <v>37</v>
      </c>
      <c r="I53" s="23" t="s">
        <v>240</v>
      </c>
      <c r="J53" s="28"/>
    </row>
    <row r="54" spans="1:10" ht="15.75" thickBot="1">
      <c r="A54" s="17" t="s">
        <v>189</v>
      </c>
      <c r="B54" s="14" t="s">
        <v>190</v>
      </c>
      <c r="C54" s="99">
        <v>3.2</v>
      </c>
      <c r="D54" s="14" t="s">
        <v>8</v>
      </c>
      <c r="E54" s="23" t="s">
        <v>9</v>
      </c>
      <c r="F54" s="147" t="s">
        <v>124</v>
      </c>
      <c r="G54" s="23" t="s">
        <v>24</v>
      </c>
      <c r="H54" s="14" t="s">
        <v>238</v>
      </c>
      <c r="I54" s="23" t="s">
        <v>240</v>
      </c>
      <c r="J54" s="28"/>
    </row>
    <row r="55" spans="1:10" ht="15.75" thickBot="1">
      <c r="A55" s="17" t="s">
        <v>572</v>
      </c>
      <c r="B55" s="14" t="s">
        <v>225</v>
      </c>
      <c r="C55" s="99">
        <v>0.1074</v>
      </c>
      <c r="D55" s="14" t="s">
        <v>564</v>
      </c>
      <c r="E55" s="23" t="s">
        <v>37</v>
      </c>
      <c r="F55" s="147" t="s">
        <v>124</v>
      </c>
      <c r="G55" s="23" t="s">
        <v>24</v>
      </c>
      <c r="H55" s="14" t="s">
        <v>37</v>
      </c>
      <c r="I55" s="23" t="s">
        <v>240</v>
      </c>
      <c r="J55" s="28"/>
    </row>
    <row r="56" spans="1:10" ht="15.75" thickBot="1">
      <c r="A56" s="17" t="s">
        <v>573</v>
      </c>
      <c r="B56" s="14" t="s">
        <v>225</v>
      </c>
      <c r="C56" s="99">
        <v>0.1074</v>
      </c>
      <c r="D56" s="14" t="s">
        <v>564</v>
      </c>
      <c r="E56" s="23" t="s">
        <v>37</v>
      </c>
      <c r="F56" s="147" t="s">
        <v>124</v>
      </c>
      <c r="G56" s="23" t="s">
        <v>24</v>
      </c>
      <c r="H56" s="14" t="s">
        <v>37</v>
      </c>
      <c r="I56" s="23" t="s">
        <v>240</v>
      </c>
      <c r="J56" s="28"/>
    </row>
    <row r="57" spans="1:10" ht="15.75" thickBot="1">
      <c r="A57" s="17" t="s">
        <v>574</v>
      </c>
      <c r="B57" s="14" t="s">
        <v>225</v>
      </c>
      <c r="C57" s="99">
        <v>0.19989999999999999</v>
      </c>
      <c r="D57" s="14" t="s">
        <v>564</v>
      </c>
      <c r="E57" s="23" t="s">
        <v>37</v>
      </c>
      <c r="F57" s="147" t="s">
        <v>124</v>
      </c>
      <c r="G57" s="23" t="s">
        <v>24</v>
      </c>
      <c r="H57" s="14" t="s">
        <v>37</v>
      </c>
      <c r="I57" s="23" t="s">
        <v>240</v>
      </c>
      <c r="J57" s="28"/>
    </row>
    <row r="58" spans="1:10" ht="15.75" thickBot="1">
      <c r="A58" s="17" t="s">
        <v>191</v>
      </c>
      <c r="B58" s="14" t="s">
        <v>31</v>
      </c>
      <c r="C58" s="99">
        <v>5.7</v>
      </c>
      <c r="D58" s="14" t="s">
        <v>18</v>
      </c>
      <c r="E58" s="23" t="s">
        <v>17</v>
      </c>
      <c r="F58" s="147" t="s">
        <v>124</v>
      </c>
      <c r="G58" s="23" t="s">
        <v>24</v>
      </c>
      <c r="H58" s="14" t="s">
        <v>17</v>
      </c>
      <c r="I58" s="23" t="s">
        <v>240</v>
      </c>
      <c r="J58" s="28"/>
    </row>
    <row r="59" spans="1:10" ht="15.75" thickBot="1">
      <c r="A59" s="17" t="s">
        <v>575</v>
      </c>
      <c r="B59" s="14" t="s">
        <v>225</v>
      </c>
      <c r="C59" s="99">
        <v>0.35880000000000001</v>
      </c>
      <c r="D59" s="14" t="s">
        <v>564</v>
      </c>
      <c r="E59" s="23" t="s">
        <v>37</v>
      </c>
      <c r="F59" s="147" t="s">
        <v>124</v>
      </c>
      <c r="G59" s="23" t="s">
        <v>24</v>
      </c>
      <c r="H59" s="14" t="s">
        <v>37</v>
      </c>
      <c r="I59" s="23" t="s">
        <v>240</v>
      </c>
      <c r="J59" s="28"/>
    </row>
    <row r="60" spans="1:10" ht="15.75" thickBot="1">
      <c r="A60" s="17" t="s">
        <v>576</v>
      </c>
      <c r="B60" s="14" t="s">
        <v>225</v>
      </c>
      <c r="C60" s="99">
        <v>0.35670000000000002</v>
      </c>
      <c r="D60" s="14" t="s">
        <v>564</v>
      </c>
      <c r="E60" s="23" t="s">
        <v>37</v>
      </c>
      <c r="F60" s="147" t="s">
        <v>124</v>
      </c>
      <c r="G60" s="23" t="s">
        <v>24</v>
      </c>
      <c r="H60" s="14" t="s">
        <v>37</v>
      </c>
      <c r="I60" s="23" t="s">
        <v>240</v>
      </c>
      <c r="J60" s="28"/>
    </row>
    <row r="61" spans="1:10" ht="15.75" thickBot="1">
      <c r="A61" s="17" t="s">
        <v>577</v>
      </c>
      <c r="B61" s="14" t="s">
        <v>225</v>
      </c>
      <c r="C61" s="99">
        <v>0.24990000000000001</v>
      </c>
      <c r="D61" s="14" t="s">
        <v>564</v>
      </c>
      <c r="E61" s="23" t="s">
        <v>37</v>
      </c>
      <c r="F61" s="147" t="s">
        <v>124</v>
      </c>
      <c r="G61" s="23" t="s">
        <v>24</v>
      </c>
      <c r="H61" s="14" t="s">
        <v>37</v>
      </c>
      <c r="I61" s="23" t="s">
        <v>240</v>
      </c>
      <c r="J61" s="28"/>
    </row>
    <row r="62" spans="1:10" ht="15.75" thickBot="1">
      <c r="A62" s="17" t="s">
        <v>578</v>
      </c>
      <c r="B62" s="14" t="s">
        <v>225</v>
      </c>
      <c r="C62" s="99">
        <v>1.2110000000000001</v>
      </c>
      <c r="D62" s="14" t="s">
        <v>564</v>
      </c>
      <c r="E62" s="23" t="s">
        <v>37</v>
      </c>
      <c r="F62" s="147" t="s">
        <v>124</v>
      </c>
      <c r="G62" s="23" t="s">
        <v>24</v>
      </c>
      <c r="H62" s="14" t="s">
        <v>37</v>
      </c>
      <c r="I62" s="23" t="s">
        <v>240</v>
      </c>
      <c r="J62" s="28"/>
    </row>
    <row r="63" spans="1:10" ht="15.75" thickBot="1">
      <c r="A63" s="17" t="s">
        <v>192</v>
      </c>
      <c r="B63" s="14" t="s">
        <v>193</v>
      </c>
      <c r="C63" s="99">
        <v>20</v>
      </c>
      <c r="D63" s="14" t="s">
        <v>36</v>
      </c>
      <c r="E63" s="23" t="s">
        <v>37</v>
      </c>
      <c r="F63" s="147" t="s">
        <v>124</v>
      </c>
      <c r="G63" s="23" t="s">
        <v>24</v>
      </c>
      <c r="H63" s="14" t="s">
        <v>37</v>
      </c>
      <c r="I63" s="23" t="s">
        <v>240</v>
      </c>
      <c r="J63" s="28"/>
    </row>
    <row r="64" spans="1:10" ht="15.75" thickBot="1">
      <c r="A64" s="17" t="s">
        <v>194</v>
      </c>
      <c r="B64" s="14" t="s">
        <v>188</v>
      </c>
      <c r="C64" s="99">
        <v>14.5</v>
      </c>
      <c r="D64" s="14" t="s">
        <v>36</v>
      </c>
      <c r="E64" s="23" t="s">
        <v>37</v>
      </c>
      <c r="F64" s="147" t="s">
        <v>124</v>
      </c>
      <c r="G64" s="23" t="s">
        <v>24</v>
      </c>
      <c r="H64" s="14" t="s">
        <v>37</v>
      </c>
      <c r="I64" s="23" t="s">
        <v>240</v>
      </c>
      <c r="J64" s="28"/>
    </row>
    <row r="65" spans="1:10" ht="15.75" thickBot="1">
      <c r="A65" s="17" t="s">
        <v>195</v>
      </c>
      <c r="B65" s="14" t="s">
        <v>195</v>
      </c>
      <c r="C65" s="99">
        <v>1.48</v>
      </c>
      <c r="D65" s="14" t="s">
        <v>8</v>
      </c>
      <c r="E65" s="23" t="s">
        <v>9</v>
      </c>
      <c r="F65" s="147" t="s">
        <v>124</v>
      </c>
      <c r="G65" s="23" t="s">
        <v>24</v>
      </c>
      <c r="H65" s="14" t="s">
        <v>238</v>
      </c>
      <c r="I65" s="23" t="s">
        <v>240</v>
      </c>
      <c r="J65" s="28"/>
    </row>
    <row r="66" spans="1:10" ht="15.75" thickBot="1">
      <c r="A66" s="17" t="s">
        <v>579</v>
      </c>
      <c r="B66" s="14" t="s">
        <v>225</v>
      </c>
      <c r="C66" s="99">
        <v>0.92479999999999996</v>
      </c>
      <c r="D66" s="14" t="s">
        <v>564</v>
      </c>
      <c r="E66" s="23" t="s">
        <v>37</v>
      </c>
      <c r="F66" s="147" t="s">
        <v>124</v>
      </c>
      <c r="G66" s="23" t="s">
        <v>24</v>
      </c>
      <c r="H66" s="14" t="s">
        <v>37</v>
      </c>
      <c r="I66" s="23" t="s">
        <v>240</v>
      </c>
      <c r="J66" s="28"/>
    </row>
    <row r="67" spans="1:10" ht="15.75" thickBot="1">
      <c r="A67" s="17" t="s">
        <v>196</v>
      </c>
      <c r="B67" s="14" t="s">
        <v>130</v>
      </c>
      <c r="C67" s="99">
        <v>2.246</v>
      </c>
      <c r="D67" s="14" t="s">
        <v>645</v>
      </c>
      <c r="E67" s="23" t="s">
        <v>131</v>
      </c>
      <c r="F67" s="147" t="s">
        <v>124</v>
      </c>
      <c r="G67" s="23" t="s">
        <v>24</v>
      </c>
      <c r="H67" s="14" t="s">
        <v>237</v>
      </c>
      <c r="I67" s="23" t="s">
        <v>240</v>
      </c>
      <c r="J67" s="28"/>
    </row>
    <row r="68" spans="1:10" ht="15.75" thickBot="1">
      <c r="A68" s="17" t="s">
        <v>197</v>
      </c>
      <c r="B68" s="14" t="s">
        <v>198</v>
      </c>
      <c r="C68" s="99">
        <v>7.3</v>
      </c>
      <c r="D68" s="14" t="s">
        <v>645</v>
      </c>
      <c r="E68" s="23" t="s">
        <v>134</v>
      </c>
      <c r="F68" s="147" t="s">
        <v>124</v>
      </c>
      <c r="G68" s="23" t="s">
        <v>24</v>
      </c>
      <c r="H68" s="14" t="s">
        <v>236</v>
      </c>
      <c r="I68" s="23" t="s">
        <v>240</v>
      </c>
      <c r="J68" s="28"/>
    </row>
    <row r="69" spans="1:10" ht="15.75" thickBot="1">
      <c r="A69" s="17" t="s">
        <v>580</v>
      </c>
      <c r="B69" s="14" t="s">
        <v>225</v>
      </c>
      <c r="C69" s="99">
        <v>0.99760000000000004</v>
      </c>
      <c r="D69" s="14" t="s">
        <v>564</v>
      </c>
      <c r="E69" s="23" t="s">
        <v>37</v>
      </c>
      <c r="F69" s="147" t="s">
        <v>124</v>
      </c>
      <c r="G69" s="23" t="s">
        <v>24</v>
      </c>
      <c r="H69" s="14" t="s">
        <v>37</v>
      </c>
      <c r="I69" s="23" t="s">
        <v>240</v>
      </c>
      <c r="J69" s="28"/>
    </row>
    <row r="70" spans="1:10" ht="15.75" thickBot="1">
      <c r="A70" s="17" t="s">
        <v>199</v>
      </c>
      <c r="B70" s="14" t="s">
        <v>200</v>
      </c>
      <c r="C70" s="99">
        <v>3.11</v>
      </c>
      <c r="D70" s="14" t="s">
        <v>645</v>
      </c>
      <c r="E70" s="23" t="s">
        <v>134</v>
      </c>
      <c r="F70" s="147" t="s">
        <v>124</v>
      </c>
      <c r="G70" s="23" t="s">
        <v>24</v>
      </c>
      <c r="H70" s="14" t="s">
        <v>236</v>
      </c>
      <c r="I70" s="23" t="s">
        <v>240</v>
      </c>
      <c r="J70" s="28"/>
    </row>
    <row r="71" spans="1:10" ht="15.75" thickBot="1">
      <c r="A71" s="17" t="s">
        <v>201</v>
      </c>
      <c r="B71" s="14" t="s">
        <v>167</v>
      </c>
      <c r="C71" s="99">
        <v>2.5</v>
      </c>
      <c r="D71" s="14" t="s">
        <v>18</v>
      </c>
      <c r="E71" s="23" t="s">
        <v>17</v>
      </c>
      <c r="F71" s="147" t="s">
        <v>124</v>
      </c>
      <c r="G71" s="23" t="s">
        <v>24</v>
      </c>
      <c r="H71" s="14" t="s">
        <v>17</v>
      </c>
      <c r="I71" s="23" t="s">
        <v>240</v>
      </c>
      <c r="J71" s="28"/>
    </row>
    <row r="72" spans="1:10" ht="15.75" thickBot="1">
      <c r="A72" s="17" t="s">
        <v>581</v>
      </c>
      <c r="B72" s="14" t="s">
        <v>225</v>
      </c>
      <c r="C72" s="99">
        <v>1.7690999999999999</v>
      </c>
      <c r="D72" s="14" t="s">
        <v>564</v>
      </c>
      <c r="E72" s="23" t="s">
        <v>37</v>
      </c>
      <c r="F72" s="147" t="s">
        <v>124</v>
      </c>
      <c r="G72" s="23" t="s">
        <v>24</v>
      </c>
      <c r="H72" s="14" t="s">
        <v>37</v>
      </c>
      <c r="I72" s="23" t="s">
        <v>240</v>
      </c>
      <c r="J72" s="28"/>
    </row>
    <row r="73" spans="1:10" ht="15.75" thickBot="1">
      <c r="A73" s="17" t="s">
        <v>582</v>
      </c>
      <c r="B73" s="14" t="s">
        <v>225</v>
      </c>
      <c r="C73" s="99">
        <v>0.79500000000000004</v>
      </c>
      <c r="D73" s="14" t="s">
        <v>564</v>
      </c>
      <c r="E73" s="23" t="s">
        <v>37</v>
      </c>
      <c r="F73" s="147" t="s">
        <v>124</v>
      </c>
      <c r="G73" s="23" t="s">
        <v>24</v>
      </c>
      <c r="H73" s="14" t="s">
        <v>37</v>
      </c>
      <c r="I73" s="23" t="s">
        <v>240</v>
      </c>
      <c r="J73" s="28"/>
    </row>
    <row r="74" spans="1:10" ht="15.75" thickBot="1">
      <c r="A74" s="17" t="s">
        <v>583</v>
      </c>
      <c r="B74" s="14" t="s">
        <v>225</v>
      </c>
      <c r="C74" s="99">
        <v>0.32040000000000002</v>
      </c>
      <c r="D74" s="14" t="s">
        <v>564</v>
      </c>
      <c r="E74" s="23" t="s">
        <v>37</v>
      </c>
      <c r="F74" s="147" t="s">
        <v>124</v>
      </c>
      <c r="G74" s="23" t="s">
        <v>24</v>
      </c>
      <c r="H74" s="14" t="s">
        <v>37</v>
      </c>
      <c r="I74" s="23" t="s">
        <v>240</v>
      </c>
      <c r="J74" s="28"/>
    </row>
    <row r="75" spans="1:10" ht="15.75" thickBot="1">
      <c r="A75" s="17" t="s">
        <v>584</v>
      </c>
      <c r="B75" s="14" t="s">
        <v>225</v>
      </c>
      <c r="C75" s="99">
        <v>0.13020000000000001</v>
      </c>
      <c r="D75" s="14" t="s">
        <v>564</v>
      </c>
      <c r="E75" s="23" t="s">
        <v>37</v>
      </c>
      <c r="F75" s="147" t="s">
        <v>124</v>
      </c>
      <c r="G75" s="23" t="s">
        <v>24</v>
      </c>
      <c r="H75" s="14" t="s">
        <v>37</v>
      </c>
      <c r="I75" s="23" t="s">
        <v>240</v>
      </c>
      <c r="J75" s="28"/>
    </row>
    <row r="76" spans="1:10" ht="15.75" thickBot="1">
      <c r="A76" s="17" t="s">
        <v>585</v>
      </c>
      <c r="B76" s="14" t="s">
        <v>225</v>
      </c>
      <c r="C76" s="99">
        <v>0.28010000000000002</v>
      </c>
      <c r="D76" s="14" t="s">
        <v>564</v>
      </c>
      <c r="E76" s="23" t="s">
        <v>37</v>
      </c>
      <c r="F76" s="147" t="s">
        <v>124</v>
      </c>
      <c r="G76" s="23" t="s">
        <v>24</v>
      </c>
      <c r="H76" s="14" t="s">
        <v>37</v>
      </c>
      <c r="I76" s="23" t="s">
        <v>240</v>
      </c>
      <c r="J76" s="28"/>
    </row>
    <row r="77" spans="1:10" ht="15.75" thickBot="1">
      <c r="A77" s="17" t="s">
        <v>202</v>
      </c>
      <c r="B77" s="14" t="s">
        <v>133</v>
      </c>
      <c r="C77" s="99">
        <v>41.2</v>
      </c>
      <c r="D77" s="14" t="s">
        <v>645</v>
      </c>
      <c r="E77" s="23" t="s">
        <v>134</v>
      </c>
      <c r="F77" s="147" t="s">
        <v>124</v>
      </c>
      <c r="G77" s="23" t="s">
        <v>24</v>
      </c>
      <c r="H77" s="14" t="s">
        <v>236</v>
      </c>
      <c r="I77" s="23" t="s">
        <v>240</v>
      </c>
      <c r="J77" s="28"/>
    </row>
    <row r="78" spans="1:10" ht="15.75" thickBot="1">
      <c r="A78" s="17" t="s">
        <v>203</v>
      </c>
      <c r="B78" s="14" t="s">
        <v>123</v>
      </c>
      <c r="C78" s="99">
        <v>0.77200000000000002</v>
      </c>
      <c r="D78" s="14" t="s">
        <v>8</v>
      </c>
      <c r="E78" s="23" t="s">
        <v>16</v>
      </c>
      <c r="F78" s="147" t="s">
        <v>124</v>
      </c>
      <c r="G78" s="23" t="s">
        <v>24</v>
      </c>
      <c r="H78" s="14" t="s">
        <v>236</v>
      </c>
      <c r="I78" s="23" t="s">
        <v>240</v>
      </c>
      <c r="J78" s="28"/>
    </row>
    <row r="79" spans="1:10" ht="15.75" thickBot="1">
      <c r="A79" s="17" t="s">
        <v>204</v>
      </c>
      <c r="B79" s="14" t="s">
        <v>205</v>
      </c>
      <c r="C79" s="99">
        <v>50</v>
      </c>
      <c r="D79" s="14" t="s">
        <v>18</v>
      </c>
      <c r="E79" s="23" t="s">
        <v>17</v>
      </c>
      <c r="F79" s="147" t="s">
        <v>124</v>
      </c>
      <c r="G79" s="23" t="s">
        <v>24</v>
      </c>
      <c r="H79" s="14" t="s">
        <v>17</v>
      </c>
      <c r="I79" s="23" t="s">
        <v>240</v>
      </c>
      <c r="J79" s="28"/>
    </row>
    <row r="80" spans="1:10" ht="15.75" thickBot="1">
      <c r="A80" s="17" t="s">
        <v>206</v>
      </c>
      <c r="B80" s="14" t="s">
        <v>207</v>
      </c>
      <c r="C80" s="99">
        <v>0.99</v>
      </c>
      <c r="D80" s="14" t="s">
        <v>8</v>
      </c>
      <c r="E80" s="23" t="s">
        <v>9</v>
      </c>
      <c r="F80" s="147" t="s">
        <v>124</v>
      </c>
      <c r="G80" s="23" t="s">
        <v>24</v>
      </c>
      <c r="H80" s="14" t="s">
        <v>238</v>
      </c>
      <c r="I80" s="23" t="s">
        <v>240</v>
      </c>
      <c r="J80" s="28"/>
    </row>
    <row r="81" spans="1:10" ht="15.75" thickBot="1">
      <c r="A81" s="17" t="s">
        <v>208</v>
      </c>
      <c r="B81" s="14" t="s">
        <v>31</v>
      </c>
      <c r="C81" s="99">
        <v>1</v>
      </c>
      <c r="D81" s="14" t="s">
        <v>645</v>
      </c>
      <c r="E81" s="23" t="s">
        <v>131</v>
      </c>
      <c r="F81" s="147" t="s">
        <v>124</v>
      </c>
      <c r="G81" s="23" t="s">
        <v>24</v>
      </c>
      <c r="H81" s="14" t="s">
        <v>237</v>
      </c>
      <c r="I81" s="23" t="s">
        <v>240</v>
      </c>
      <c r="J81" s="28"/>
    </row>
    <row r="82" spans="1:10" ht="15.75" thickBot="1">
      <c r="A82" s="17" t="s">
        <v>209</v>
      </c>
      <c r="B82" s="14" t="s">
        <v>209</v>
      </c>
      <c r="C82" s="99">
        <v>1.32</v>
      </c>
      <c r="D82" s="14" t="s">
        <v>8</v>
      </c>
      <c r="E82" s="23" t="s">
        <v>9</v>
      </c>
      <c r="F82" s="147" t="s">
        <v>124</v>
      </c>
      <c r="G82" s="23" t="s">
        <v>24</v>
      </c>
      <c r="H82" s="14" t="s">
        <v>238</v>
      </c>
      <c r="I82" s="23" t="s">
        <v>240</v>
      </c>
      <c r="J82" s="28"/>
    </row>
    <row r="83" spans="1:10" ht="15.75" thickBot="1">
      <c r="A83" s="17" t="s">
        <v>210</v>
      </c>
      <c r="B83" s="14" t="s">
        <v>211</v>
      </c>
      <c r="C83" s="99">
        <v>10</v>
      </c>
      <c r="D83" s="14" t="s">
        <v>645</v>
      </c>
      <c r="E83" s="23" t="s">
        <v>32</v>
      </c>
      <c r="F83" s="147" t="s">
        <v>124</v>
      </c>
      <c r="G83" s="23" t="s">
        <v>24</v>
      </c>
      <c r="H83" s="14" t="s">
        <v>236</v>
      </c>
      <c r="I83" s="23" t="s">
        <v>240</v>
      </c>
      <c r="J83" s="28"/>
    </row>
    <row r="84" spans="1:10" ht="15.75" thickBot="1">
      <c r="A84" s="17" t="s">
        <v>212</v>
      </c>
      <c r="B84" s="14" t="s">
        <v>211</v>
      </c>
      <c r="C84" s="99">
        <v>6</v>
      </c>
      <c r="D84" s="14" t="s">
        <v>645</v>
      </c>
      <c r="E84" s="23" t="s">
        <v>32</v>
      </c>
      <c r="F84" s="147" t="s">
        <v>124</v>
      </c>
      <c r="G84" s="23" t="s">
        <v>24</v>
      </c>
      <c r="H84" s="14" t="s">
        <v>236</v>
      </c>
      <c r="I84" s="23" t="s">
        <v>240</v>
      </c>
      <c r="J84" s="28"/>
    </row>
    <row r="85" spans="1:10" ht="15.75" thickBot="1">
      <c r="A85" s="17" t="s">
        <v>213</v>
      </c>
      <c r="B85" s="14" t="s">
        <v>214</v>
      </c>
      <c r="C85" s="99">
        <v>7.5659999999999998</v>
      </c>
      <c r="D85" s="14" t="s">
        <v>36</v>
      </c>
      <c r="E85" s="23" t="s">
        <v>37</v>
      </c>
      <c r="F85" s="147" t="s">
        <v>124</v>
      </c>
      <c r="G85" s="23" t="s">
        <v>24</v>
      </c>
      <c r="H85" s="14" t="s">
        <v>37</v>
      </c>
      <c r="I85" s="23" t="s">
        <v>240</v>
      </c>
      <c r="J85" s="28"/>
    </row>
    <row r="86" spans="1:10" ht="15.75" thickBot="1">
      <c r="A86" s="17" t="s">
        <v>215</v>
      </c>
      <c r="B86" s="14" t="s">
        <v>216</v>
      </c>
      <c r="C86" s="99">
        <v>7.4550000000000001</v>
      </c>
      <c r="D86" s="14" t="s">
        <v>645</v>
      </c>
      <c r="E86" s="23" t="s">
        <v>131</v>
      </c>
      <c r="F86" s="147" t="s">
        <v>124</v>
      </c>
      <c r="G86" s="23" t="s">
        <v>24</v>
      </c>
      <c r="H86" s="14" t="s">
        <v>237</v>
      </c>
      <c r="I86" s="23" t="s">
        <v>240</v>
      </c>
      <c r="J86" s="28"/>
    </row>
    <row r="87" spans="1:10" ht="15.75" thickBot="1">
      <c r="A87" s="17" t="s">
        <v>217</v>
      </c>
      <c r="B87" s="14" t="s">
        <v>218</v>
      </c>
      <c r="C87" s="99">
        <v>20</v>
      </c>
      <c r="D87" s="14" t="s">
        <v>18</v>
      </c>
      <c r="E87" s="23" t="s">
        <v>17</v>
      </c>
      <c r="F87" s="147" t="s">
        <v>124</v>
      </c>
      <c r="G87" s="23" t="s">
        <v>24</v>
      </c>
      <c r="H87" s="14" t="s">
        <v>17</v>
      </c>
      <c r="I87" s="23" t="s">
        <v>240</v>
      </c>
      <c r="J87" s="28"/>
    </row>
    <row r="88" spans="1:10" ht="15.75" thickBot="1">
      <c r="A88" s="17" t="s">
        <v>219</v>
      </c>
      <c r="B88" s="14" t="s">
        <v>31</v>
      </c>
      <c r="C88" s="99">
        <v>4</v>
      </c>
      <c r="D88" s="14" t="s">
        <v>18</v>
      </c>
      <c r="E88" s="23" t="s">
        <v>17</v>
      </c>
      <c r="F88" s="147" t="s">
        <v>124</v>
      </c>
      <c r="G88" s="23" t="s">
        <v>24</v>
      </c>
      <c r="H88" s="14" t="s">
        <v>17</v>
      </c>
      <c r="I88" s="23" t="s">
        <v>240</v>
      </c>
      <c r="J88" s="28"/>
    </row>
    <row r="89" spans="1:10">
      <c r="A89" s="19" t="s">
        <v>220</v>
      </c>
      <c r="B89" s="16" t="s">
        <v>136</v>
      </c>
      <c r="C89" s="146">
        <v>2.246</v>
      </c>
      <c r="D89" s="16" t="s">
        <v>645</v>
      </c>
      <c r="E89" s="25" t="s">
        <v>131</v>
      </c>
      <c r="F89" s="147" t="s">
        <v>124</v>
      </c>
      <c r="G89" s="25" t="s">
        <v>24</v>
      </c>
      <c r="H89" s="16" t="s">
        <v>237</v>
      </c>
      <c r="I89" s="25" t="s">
        <v>240</v>
      </c>
      <c r="J89" s="28"/>
    </row>
    <row r="90" spans="1:10" ht="15.75" thickBot="1"/>
    <row r="91" spans="1:10" ht="15.75" thickBot="1">
      <c r="A91" s="50" t="s">
        <v>101</v>
      </c>
      <c r="B91" s="109"/>
      <c r="C91" s="111">
        <f>SUM(existingnstable[Nameplate Capacity (MW)])</f>
        <v>888.28670000000011</v>
      </c>
      <c r="D91" s="109"/>
      <c r="E91" s="110"/>
      <c r="F91" s="109"/>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O103"/>
  <sheetViews>
    <sheetView workbookViewId="0"/>
  </sheetViews>
  <sheetFormatPr defaultColWidth="9.140625" defaultRowHeight="15"/>
  <cols>
    <col min="1" max="1" width="30.85546875" style="63" bestFit="1" customWidth="1"/>
    <col min="2" max="2" width="60.7109375" style="63" bestFit="1" customWidth="1"/>
    <col min="3" max="3" width="27.85546875" style="63" bestFit="1" customWidth="1"/>
    <col min="4" max="4" width="25.28515625" style="63" bestFit="1" customWidth="1"/>
    <col min="5" max="5" width="37.7109375" style="63" bestFit="1" customWidth="1"/>
    <col min="6" max="6" width="14.7109375" style="63" bestFit="1" customWidth="1"/>
    <col min="7" max="7" width="23.28515625" style="63" bestFit="1" customWidth="1"/>
    <col min="8" max="8" width="14.28515625" style="63" bestFit="1" customWidth="1"/>
    <col min="9" max="9" width="23.7109375" style="63" bestFit="1" customWidth="1"/>
    <col min="10" max="10" width="81.140625" style="28" bestFit="1" customWidth="1"/>
    <col min="11" max="11" width="14.5703125" style="28" hidden="1" customWidth="1"/>
    <col min="12" max="12" width="24" style="28" hidden="1" customWidth="1"/>
    <col min="13" max="13" width="13.28515625" style="28" hidden="1" customWidth="1"/>
    <col min="14" max="14" width="6.140625" style="28" hidden="1" customWidth="1"/>
    <col min="15" max="15" width="15" style="65" hidden="1" customWidth="1"/>
    <col min="16" max="16384" width="9.140625" style="28"/>
  </cols>
  <sheetData>
    <row r="1" spans="1:15" ht="20.25" thickBot="1">
      <c r="A1" s="47" t="s">
        <v>221</v>
      </c>
      <c r="J1"/>
      <c r="K1"/>
      <c r="L1"/>
      <c r="M1"/>
      <c r="N1"/>
      <c r="O1" s="64"/>
    </row>
    <row r="2" spans="1:15" ht="15.75" thickBot="1">
      <c r="A2" s="53" t="s">
        <v>222</v>
      </c>
      <c r="B2" s="54" t="s">
        <v>2</v>
      </c>
      <c r="C2" s="54" t="s">
        <v>808</v>
      </c>
      <c r="D2" s="54" t="s">
        <v>3</v>
      </c>
      <c r="E2" s="54" t="s">
        <v>4</v>
      </c>
      <c r="F2" s="54" t="s">
        <v>223</v>
      </c>
      <c r="G2" s="54" t="s">
        <v>121</v>
      </c>
      <c r="H2" s="54" t="s">
        <v>5</v>
      </c>
      <c r="I2" s="54" t="s">
        <v>224</v>
      </c>
      <c r="J2" s="54" t="s">
        <v>654</v>
      </c>
      <c r="K2" s="9" t="s">
        <v>245</v>
      </c>
      <c r="L2" s="9" t="s">
        <v>246</v>
      </c>
      <c r="M2" s="9" t="s">
        <v>247</v>
      </c>
      <c r="N2" s="9" t="s">
        <v>248</v>
      </c>
      <c r="O2" s="10" t="s">
        <v>249</v>
      </c>
    </row>
    <row r="3" spans="1:15" ht="15.75" thickBot="1">
      <c r="A3" s="13" t="s">
        <v>682</v>
      </c>
      <c r="B3" s="55" t="s">
        <v>311</v>
      </c>
      <c r="C3" s="56" t="s">
        <v>225</v>
      </c>
      <c r="D3" s="57" t="s">
        <v>36</v>
      </c>
      <c r="E3" s="56" t="s">
        <v>37</v>
      </c>
      <c r="F3" s="57" t="s">
        <v>250</v>
      </c>
      <c r="G3" s="100" t="s">
        <v>397</v>
      </c>
      <c r="H3" s="57" t="s">
        <v>14</v>
      </c>
      <c r="I3" s="56" t="s">
        <v>683</v>
      </c>
      <c r="J3" s="57" t="s">
        <v>684</v>
      </c>
      <c r="K3" s="106" t="s">
        <v>242</v>
      </c>
      <c r="L3" s="103">
        <v>200</v>
      </c>
      <c r="M3" s="106" t="s">
        <v>226</v>
      </c>
      <c r="N3" s="103" t="s">
        <v>24</v>
      </c>
      <c r="O3" s="106" t="s">
        <v>37</v>
      </c>
    </row>
    <row r="4" spans="1:15" ht="15.75" thickBot="1">
      <c r="A4" s="12" t="s">
        <v>252</v>
      </c>
      <c r="B4" s="58" t="s">
        <v>253</v>
      </c>
      <c r="C4" s="59" t="s">
        <v>254</v>
      </c>
      <c r="D4" s="60" t="s">
        <v>12</v>
      </c>
      <c r="E4" s="59" t="s">
        <v>13</v>
      </c>
      <c r="F4" s="60" t="s">
        <v>250</v>
      </c>
      <c r="G4" s="101" t="s">
        <v>255</v>
      </c>
      <c r="H4" s="60" t="s">
        <v>14</v>
      </c>
      <c r="I4" s="59" t="s">
        <v>683</v>
      </c>
      <c r="J4" s="60"/>
      <c r="K4" s="106" t="s">
        <v>242</v>
      </c>
      <c r="L4" s="103">
        <v>280</v>
      </c>
      <c r="M4" s="106" t="s">
        <v>226</v>
      </c>
      <c r="N4" s="103" t="s">
        <v>24</v>
      </c>
      <c r="O4" s="106" t="s">
        <v>13</v>
      </c>
    </row>
    <row r="5" spans="1:15" ht="15.75" thickBot="1">
      <c r="A5" s="12" t="s">
        <v>19</v>
      </c>
      <c r="B5" s="58" t="s">
        <v>20</v>
      </c>
      <c r="C5" s="59" t="s">
        <v>225</v>
      </c>
      <c r="D5" s="60" t="s">
        <v>22</v>
      </c>
      <c r="E5" s="59" t="s">
        <v>702</v>
      </c>
      <c r="F5" s="60" t="s">
        <v>701</v>
      </c>
      <c r="G5" s="101" t="s">
        <v>283</v>
      </c>
      <c r="H5" s="60" t="s">
        <v>10</v>
      </c>
      <c r="I5" s="59" t="s">
        <v>703</v>
      </c>
      <c r="J5" s="60"/>
      <c r="K5" s="106" t="s">
        <v>701</v>
      </c>
      <c r="L5" s="103">
        <v>100</v>
      </c>
      <c r="M5" s="106" t="s">
        <v>226</v>
      </c>
      <c r="N5" s="103" t="s">
        <v>24</v>
      </c>
      <c r="O5" s="106" t="s">
        <v>235</v>
      </c>
    </row>
    <row r="6" spans="1:15" ht="15.75" thickBot="1">
      <c r="A6" s="12" t="s">
        <v>104</v>
      </c>
      <c r="B6" s="58" t="s">
        <v>256</v>
      </c>
      <c r="C6" s="59" t="s">
        <v>105</v>
      </c>
      <c r="D6" s="60" t="s">
        <v>38</v>
      </c>
      <c r="E6" s="59" t="s">
        <v>37</v>
      </c>
      <c r="F6" s="60" t="s">
        <v>241</v>
      </c>
      <c r="G6" s="101" t="s">
        <v>257</v>
      </c>
      <c r="H6" s="60" t="s">
        <v>14</v>
      </c>
      <c r="I6" s="59" t="s">
        <v>674</v>
      </c>
      <c r="J6" s="60"/>
      <c r="K6" s="106" t="s">
        <v>241</v>
      </c>
      <c r="L6" s="103">
        <v>98.4</v>
      </c>
      <c r="M6" s="106" t="s">
        <v>226</v>
      </c>
      <c r="N6" s="103" t="s">
        <v>24</v>
      </c>
      <c r="O6" s="106" t="s">
        <v>37</v>
      </c>
    </row>
    <row r="7" spans="1:15" ht="15.75" thickBot="1">
      <c r="A7" s="12" t="s">
        <v>624</v>
      </c>
      <c r="B7" s="58" t="s">
        <v>279</v>
      </c>
      <c r="C7" s="59" t="s">
        <v>625</v>
      </c>
      <c r="D7" s="60" t="s">
        <v>36</v>
      </c>
      <c r="E7" s="59" t="s">
        <v>37</v>
      </c>
      <c r="F7" s="60" t="s">
        <v>250</v>
      </c>
      <c r="G7" s="101" t="s">
        <v>225</v>
      </c>
      <c r="H7" s="60" t="s">
        <v>14</v>
      </c>
      <c r="I7" s="59" t="s">
        <v>683</v>
      </c>
      <c r="J7" s="60"/>
      <c r="K7" s="106" t="s">
        <v>242</v>
      </c>
      <c r="L7" s="103">
        <v>0</v>
      </c>
      <c r="M7" s="106" t="s">
        <v>227</v>
      </c>
      <c r="N7" s="103" t="s">
        <v>24</v>
      </c>
      <c r="O7" s="106" t="s">
        <v>37</v>
      </c>
    </row>
    <row r="8" spans="1:15" ht="15.75" thickBot="1">
      <c r="A8" s="12" t="s">
        <v>258</v>
      </c>
      <c r="B8" s="58" t="s">
        <v>259</v>
      </c>
      <c r="C8" s="61" t="s">
        <v>260</v>
      </c>
      <c r="D8" s="60" t="s">
        <v>12</v>
      </c>
      <c r="E8" s="61" t="s">
        <v>13</v>
      </c>
      <c r="F8" s="60" t="s">
        <v>250</v>
      </c>
      <c r="G8" s="102" t="s">
        <v>778</v>
      </c>
      <c r="H8" s="60" t="s">
        <v>14</v>
      </c>
      <c r="I8" s="61" t="s">
        <v>261</v>
      </c>
      <c r="J8" s="60" t="s">
        <v>655</v>
      </c>
      <c r="K8" s="106" t="s">
        <v>242</v>
      </c>
      <c r="L8" s="103">
        <v>110.67</v>
      </c>
      <c r="M8" s="106" t="s">
        <v>226</v>
      </c>
      <c r="N8" s="103" t="s">
        <v>24</v>
      </c>
      <c r="O8" s="106" t="s">
        <v>13</v>
      </c>
    </row>
    <row r="9" spans="1:15" ht="15.75" thickBot="1">
      <c r="A9" s="12" t="s">
        <v>435</v>
      </c>
      <c r="B9" s="58" t="s">
        <v>436</v>
      </c>
      <c r="C9" s="61" t="s">
        <v>102</v>
      </c>
      <c r="D9" s="60" t="s">
        <v>225</v>
      </c>
      <c r="E9" s="61" t="s">
        <v>735</v>
      </c>
      <c r="F9" s="60" t="s">
        <v>250</v>
      </c>
      <c r="G9" s="102" t="s">
        <v>112</v>
      </c>
      <c r="H9" s="60" t="s">
        <v>228</v>
      </c>
      <c r="I9" s="61" t="s">
        <v>683</v>
      </c>
      <c r="J9" s="60"/>
      <c r="K9" s="106" t="s">
        <v>242</v>
      </c>
      <c r="L9" s="103">
        <v>12</v>
      </c>
      <c r="M9" s="106" t="s">
        <v>226</v>
      </c>
      <c r="N9" s="103" t="s">
        <v>24</v>
      </c>
      <c r="O9" s="106"/>
    </row>
    <row r="10" spans="1:15" ht="15.75" thickBot="1">
      <c r="A10" s="12" t="s">
        <v>262</v>
      </c>
      <c r="B10" s="58" t="s">
        <v>263</v>
      </c>
      <c r="C10" s="61" t="s">
        <v>102</v>
      </c>
      <c r="D10" s="60" t="s">
        <v>677</v>
      </c>
      <c r="E10" s="61" t="s">
        <v>678</v>
      </c>
      <c r="F10" s="60" t="s">
        <v>250</v>
      </c>
      <c r="G10" s="102" t="s">
        <v>264</v>
      </c>
      <c r="H10" s="60" t="s">
        <v>10</v>
      </c>
      <c r="I10" s="61" t="s">
        <v>683</v>
      </c>
      <c r="J10" s="60"/>
      <c r="K10" s="106" t="s">
        <v>242</v>
      </c>
      <c r="L10" s="103">
        <v>225</v>
      </c>
      <c r="M10" s="106" t="s">
        <v>226</v>
      </c>
      <c r="N10" s="103" t="s">
        <v>24</v>
      </c>
      <c r="O10" s="106" t="s">
        <v>236</v>
      </c>
    </row>
    <row r="11" spans="1:15" ht="15.75" thickBot="1">
      <c r="A11" s="12" t="s">
        <v>106</v>
      </c>
      <c r="B11" s="58" t="s">
        <v>265</v>
      </c>
      <c r="C11" s="61" t="s">
        <v>107</v>
      </c>
      <c r="D11" s="60" t="s">
        <v>12</v>
      </c>
      <c r="E11" s="61" t="s">
        <v>13</v>
      </c>
      <c r="F11" s="60" t="s">
        <v>241</v>
      </c>
      <c r="G11" s="102" t="s">
        <v>266</v>
      </c>
      <c r="H11" s="60" t="s">
        <v>14</v>
      </c>
      <c r="I11" s="61" t="s">
        <v>675</v>
      </c>
      <c r="J11" s="60"/>
      <c r="K11" s="106" t="s">
        <v>241</v>
      </c>
      <c r="L11" s="103">
        <v>113.19</v>
      </c>
      <c r="M11" s="106" t="s">
        <v>226</v>
      </c>
      <c r="N11" s="103" t="s">
        <v>24</v>
      </c>
      <c r="O11" s="106" t="s">
        <v>13</v>
      </c>
    </row>
    <row r="12" spans="1:15" ht="15.75" thickBot="1">
      <c r="A12" s="12" t="s">
        <v>267</v>
      </c>
      <c r="B12" s="58" t="s">
        <v>268</v>
      </c>
      <c r="C12" s="61" t="s">
        <v>116</v>
      </c>
      <c r="D12" s="60" t="s">
        <v>36</v>
      </c>
      <c r="E12" s="61" t="s">
        <v>37</v>
      </c>
      <c r="F12" s="60" t="s">
        <v>250</v>
      </c>
      <c r="G12" s="102" t="s">
        <v>112</v>
      </c>
      <c r="H12" s="60" t="s">
        <v>228</v>
      </c>
      <c r="I12" s="61" t="s">
        <v>683</v>
      </c>
      <c r="J12" s="60" t="s">
        <v>656</v>
      </c>
      <c r="K12" s="106" t="s">
        <v>242</v>
      </c>
      <c r="L12" s="103">
        <v>12</v>
      </c>
      <c r="M12" s="106" t="s">
        <v>226</v>
      </c>
      <c r="N12" s="103" t="s">
        <v>24</v>
      </c>
      <c r="O12" s="106" t="s">
        <v>37</v>
      </c>
    </row>
    <row r="13" spans="1:15" ht="15.75" thickBot="1">
      <c r="A13" s="12" t="s">
        <v>269</v>
      </c>
      <c r="B13" s="58" t="s">
        <v>270</v>
      </c>
      <c r="C13" s="61" t="s">
        <v>798</v>
      </c>
      <c r="D13" s="60" t="s">
        <v>38</v>
      </c>
      <c r="E13" s="61" t="s">
        <v>37</v>
      </c>
      <c r="F13" s="60" t="s">
        <v>241</v>
      </c>
      <c r="G13" s="102" t="s">
        <v>271</v>
      </c>
      <c r="H13" s="60" t="s">
        <v>14</v>
      </c>
      <c r="I13" s="61" t="s">
        <v>799</v>
      </c>
      <c r="J13" s="60" t="s">
        <v>800</v>
      </c>
      <c r="K13" s="106" t="s">
        <v>241</v>
      </c>
      <c r="L13" s="103">
        <v>120</v>
      </c>
      <c r="M13" s="106" t="s">
        <v>226</v>
      </c>
      <c r="N13" s="103" t="s">
        <v>24</v>
      </c>
      <c r="O13" s="106" t="s">
        <v>37</v>
      </c>
    </row>
    <row r="14" spans="1:15" ht="15.75" thickBot="1">
      <c r="A14" s="12" t="s">
        <v>272</v>
      </c>
      <c r="B14" s="58" t="s">
        <v>273</v>
      </c>
      <c r="C14" s="61" t="s">
        <v>274</v>
      </c>
      <c r="D14" s="60" t="s">
        <v>225</v>
      </c>
      <c r="E14" s="61" t="s">
        <v>37</v>
      </c>
      <c r="F14" s="60" t="s">
        <v>275</v>
      </c>
      <c r="G14" s="102" t="s">
        <v>276</v>
      </c>
      <c r="H14" s="60" t="s">
        <v>14</v>
      </c>
      <c r="I14" s="61" t="s">
        <v>683</v>
      </c>
      <c r="J14" s="60"/>
      <c r="K14" s="106" t="s">
        <v>242</v>
      </c>
      <c r="L14" s="103">
        <v>112</v>
      </c>
      <c r="M14" s="106" t="s">
        <v>226</v>
      </c>
      <c r="N14" s="103" t="s">
        <v>24</v>
      </c>
      <c r="O14" s="106" t="s">
        <v>37</v>
      </c>
    </row>
    <row r="15" spans="1:15" ht="15.75" thickBot="1">
      <c r="A15" s="12" t="s">
        <v>277</v>
      </c>
      <c r="B15" s="58" t="s">
        <v>225</v>
      </c>
      <c r="C15" s="61" t="s">
        <v>102</v>
      </c>
      <c r="D15" s="60" t="s">
        <v>36</v>
      </c>
      <c r="E15" s="61" t="s">
        <v>37</v>
      </c>
      <c r="F15" s="60" t="s">
        <v>250</v>
      </c>
      <c r="G15" s="102" t="s">
        <v>278</v>
      </c>
      <c r="H15" s="60" t="s">
        <v>228</v>
      </c>
      <c r="I15" s="61" t="s">
        <v>683</v>
      </c>
      <c r="J15" s="60"/>
      <c r="K15" s="106" t="s">
        <v>242</v>
      </c>
      <c r="L15" s="103">
        <v>29</v>
      </c>
      <c r="M15" s="106" t="s">
        <v>226</v>
      </c>
      <c r="N15" s="103" t="s">
        <v>24</v>
      </c>
      <c r="O15" s="106" t="s">
        <v>37</v>
      </c>
    </row>
    <row r="16" spans="1:15" ht="15.75" thickBot="1">
      <c r="A16" s="12" t="s">
        <v>282</v>
      </c>
      <c r="B16" s="58" t="s">
        <v>268</v>
      </c>
      <c r="C16" s="61" t="s">
        <v>107</v>
      </c>
      <c r="D16" s="60" t="s">
        <v>12</v>
      </c>
      <c r="E16" s="61" t="s">
        <v>13</v>
      </c>
      <c r="F16" s="60" t="s">
        <v>250</v>
      </c>
      <c r="G16" s="102" t="s">
        <v>283</v>
      </c>
      <c r="H16" s="60" t="s">
        <v>14</v>
      </c>
      <c r="I16" s="61" t="s">
        <v>284</v>
      </c>
      <c r="J16" s="60" t="s">
        <v>657</v>
      </c>
      <c r="K16" s="106" t="s">
        <v>242</v>
      </c>
      <c r="L16" s="103">
        <v>100</v>
      </c>
      <c r="M16" s="106" t="s">
        <v>226</v>
      </c>
      <c r="N16" s="103" t="s">
        <v>24</v>
      </c>
      <c r="O16" s="106" t="s">
        <v>13</v>
      </c>
    </row>
    <row r="17" spans="1:15" ht="15.75" thickBot="1">
      <c r="A17" s="12" t="s">
        <v>285</v>
      </c>
      <c r="B17" s="58" t="s">
        <v>286</v>
      </c>
      <c r="C17" s="61" t="s">
        <v>287</v>
      </c>
      <c r="D17" s="60" t="s">
        <v>36</v>
      </c>
      <c r="E17" s="61" t="s">
        <v>37</v>
      </c>
      <c r="F17" s="60" t="s">
        <v>250</v>
      </c>
      <c r="G17" s="102" t="s">
        <v>288</v>
      </c>
      <c r="H17" s="60" t="s">
        <v>14</v>
      </c>
      <c r="I17" s="61" t="s">
        <v>683</v>
      </c>
      <c r="J17" s="60" t="s">
        <v>656</v>
      </c>
      <c r="K17" s="106" t="s">
        <v>242</v>
      </c>
      <c r="L17" s="103">
        <v>50</v>
      </c>
      <c r="M17" s="106" t="s">
        <v>226</v>
      </c>
      <c r="N17" s="103" t="s">
        <v>24</v>
      </c>
      <c r="O17" s="106" t="s">
        <v>37</v>
      </c>
    </row>
    <row r="18" spans="1:15" ht="15.75" thickBot="1">
      <c r="A18" s="12" t="s">
        <v>289</v>
      </c>
      <c r="B18" s="58" t="s">
        <v>273</v>
      </c>
      <c r="C18" s="61" t="s">
        <v>290</v>
      </c>
      <c r="D18" s="60" t="s">
        <v>36</v>
      </c>
      <c r="E18" s="61" t="s">
        <v>37</v>
      </c>
      <c r="F18" s="60" t="s">
        <v>275</v>
      </c>
      <c r="G18" s="102" t="s">
        <v>229</v>
      </c>
      <c r="H18" s="60" t="s">
        <v>14</v>
      </c>
      <c r="I18" s="61" t="s">
        <v>683</v>
      </c>
      <c r="J18" s="60"/>
      <c r="K18" s="106" t="s">
        <v>242</v>
      </c>
      <c r="L18" s="103">
        <v>144</v>
      </c>
      <c r="M18" s="106" t="s">
        <v>226</v>
      </c>
      <c r="N18" s="103" t="s">
        <v>24</v>
      </c>
      <c r="O18" s="106" t="s">
        <v>37</v>
      </c>
    </row>
    <row r="19" spans="1:15" ht="15.75" thickBot="1">
      <c r="A19" s="12" t="s">
        <v>291</v>
      </c>
      <c r="B19" s="58" t="s">
        <v>292</v>
      </c>
      <c r="C19" s="61" t="s">
        <v>293</v>
      </c>
      <c r="D19" s="60" t="s">
        <v>22</v>
      </c>
      <c r="E19" s="61" t="s">
        <v>294</v>
      </c>
      <c r="F19" s="60" t="s">
        <v>250</v>
      </c>
      <c r="G19" s="102" t="s">
        <v>114</v>
      </c>
      <c r="H19" s="60" t="s">
        <v>228</v>
      </c>
      <c r="I19" s="61" t="s">
        <v>683</v>
      </c>
      <c r="J19" s="60"/>
      <c r="K19" s="106" t="s">
        <v>242</v>
      </c>
      <c r="L19" s="103">
        <v>8</v>
      </c>
      <c r="M19" s="106" t="s">
        <v>226</v>
      </c>
      <c r="N19" s="103" t="s">
        <v>24</v>
      </c>
      <c r="O19" s="106" t="s">
        <v>237</v>
      </c>
    </row>
    <row r="20" spans="1:15" ht="15.75" thickBot="1">
      <c r="A20" s="12" t="s">
        <v>296</v>
      </c>
      <c r="B20" s="58" t="s">
        <v>87</v>
      </c>
      <c r="C20" s="61" t="s">
        <v>119</v>
      </c>
      <c r="D20" s="60" t="s">
        <v>12</v>
      </c>
      <c r="E20" s="61" t="s">
        <v>13</v>
      </c>
      <c r="F20" s="60" t="s">
        <v>250</v>
      </c>
      <c r="G20" s="102" t="s">
        <v>297</v>
      </c>
      <c r="H20" s="60" t="s">
        <v>14</v>
      </c>
      <c r="I20" s="61" t="s">
        <v>298</v>
      </c>
      <c r="J20" s="60"/>
      <c r="K20" s="106" t="s">
        <v>242</v>
      </c>
      <c r="L20" s="103">
        <v>189</v>
      </c>
      <c r="M20" s="106" t="s">
        <v>226</v>
      </c>
      <c r="N20" s="103" t="s">
        <v>24</v>
      </c>
      <c r="O20" s="106" t="s">
        <v>13</v>
      </c>
    </row>
    <row r="21" spans="1:15" ht="15.75" thickBot="1">
      <c r="A21" s="12" t="s">
        <v>637</v>
      </c>
      <c r="B21" s="58" t="s">
        <v>433</v>
      </c>
      <c r="C21" s="61" t="s">
        <v>102</v>
      </c>
      <c r="D21" s="60" t="s">
        <v>12</v>
      </c>
      <c r="E21" s="61" t="s">
        <v>13</v>
      </c>
      <c r="F21" s="60" t="s">
        <v>250</v>
      </c>
      <c r="G21" s="102" t="s">
        <v>638</v>
      </c>
      <c r="H21" s="60" t="s">
        <v>14</v>
      </c>
      <c r="I21" s="61" t="s">
        <v>683</v>
      </c>
      <c r="J21" s="60"/>
      <c r="K21" s="106" t="s">
        <v>242</v>
      </c>
      <c r="L21" s="103">
        <v>285</v>
      </c>
      <c r="M21" s="106" t="s">
        <v>226</v>
      </c>
      <c r="N21" s="103" t="s">
        <v>24</v>
      </c>
      <c r="O21" s="106" t="s">
        <v>13</v>
      </c>
    </row>
    <row r="22" spans="1:15" ht="15.75" thickBot="1">
      <c r="A22" s="12" t="s">
        <v>299</v>
      </c>
      <c r="B22" s="58" t="s">
        <v>300</v>
      </c>
      <c r="C22" s="61" t="s">
        <v>301</v>
      </c>
      <c r="D22" s="60" t="s">
        <v>38</v>
      </c>
      <c r="E22" s="61" t="s">
        <v>37</v>
      </c>
      <c r="F22" s="60" t="s">
        <v>250</v>
      </c>
      <c r="G22" s="102" t="s">
        <v>225</v>
      </c>
      <c r="H22" s="60" t="s">
        <v>14</v>
      </c>
      <c r="I22" s="61" t="s">
        <v>683</v>
      </c>
      <c r="J22" s="60" t="s">
        <v>658</v>
      </c>
      <c r="K22" s="106" t="s">
        <v>242</v>
      </c>
      <c r="L22" s="103">
        <v>0</v>
      </c>
      <c r="M22" s="106" t="s">
        <v>227</v>
      </c>
      <c r="N22" s="103" t="s">
        <v>24</v>
      </c>
      <c r="O22" s="106" t="s">
        <v>37</v>
      </c>
    </row>
    <row r="23" spans="1:15" ht="15.75" thickBot="1">
      <c r="A23" s="12" t="s">
        <v>109</v>
      </c>
      <c r="B23" s="58" t="s">
        <v>302</v>
      </c>
      <c r="C23" s="61" t="s">
        <v>110</v>
      </c>
      <c r="D23" s="60" t="s">
        <v>12</v>
      </c>
      <c r="E23" s="61" t="s">
        <v>13</v>
      </c>
      <c r="F23" s="60" t="s">
        <v>241</v>
      </c>
      <c r="G23" s="102" t="s">
        <v>303</v>
      </c>
      <c r="H23" s="60" t="s">
        <v>14</v>
      </c>
      <c r="I23" s="61" t="s">
        <v>675</v>
      </c>
      <c r="J23" s="60"/>
      <c r="K23" s="106" t="s">
        <v>241</v>
      </c>
      <c r="L23" s="103">
        <v>91</v>
      </c>
      <c r="M23" s="106" t="s">
        <v>226</v>
      </c>
      <c r="N23" s="103" t="s">
        <v>24</v>
      </c>
      <c r="O23" s="106" t="s">
        <v>13</v>
      </c>
    </row>
    <row r="24" spans="1:15" ht="15.75" thickBot="1">
      <c r="A24" s="12" t="s">
        <v>304</v>
      </c>
      <c r="B24" s="58" t="s">
        <v>302</v>
      </c>
      <c r="C24" s="61" t="s">
        <v>305</v>
      </c>
      <c r="D24" s="60" t="s">
        <v>12</v>
      </c>
      <c r="E24" s="61" t="s">
        <v>13</v>
      </c>
      <c r="F24" s="60" t="s">
        <v>250</v>
      </c>
      <c r="G24" s="102" t="s">
        <v>306</v>
      </c>
      <c r="H24" s="60" t="s">
        <v>14</v>
      </c>
      <c r="I24" s="61" t="s">
        <v>683</v>
      </c>
      <c r="J24" s="60"/>
      <c r="K24" s="106" t="s">
        <v>242</v>
      </c>
      <c r="L24" s="103">
        <v>88.09</v>
      </c>
      <c r="M24" s="106" t="s">
        <v>226</v>
      </c>
      <c r="N24" s="103" t="s">
        <v>24</v>
      </c>
      <c r="O24" s="106" t="s">
        <v>13</v>
      </c>
    </row>
    <row r="25" spans="1:15" ht="15.75" thickBot="1">
      <c r="A25" s="12" t="s">
        <v>437</v>
      </c>
      <c r="B25" s="58" t="s">
        <v>438</v>
      </c>
      <c r="C25" s="61" t="s">
        <v>102</v>
      </c>
      <c r="D25" s="60" t="s">
        <v>225</v>
      </c>
      <c r="E25" s="61" t="s">
        <v>131</v>
      </c>
      <c r="F25" s="60" t="s">
        <v>250</v>
      </c>
      <c r="G25" s="102" t="s">
        <v>328</v>
      </c>
      <c r="H25" s="60" t="s">
        <v>228</v>
      </c>
      <c r="I25" s="61" t="s">
        <v>683</v>
      </c>
      <c r="J25" s="60"/>
      <c r="K25" s="106" t="s">
        <v>242</v>
      </c>
      <c r="L25" s="103">
        <v>15</v>
      </c>
      <c r="M25" s="106" t="s">
        <v>226</v>
      </c>
      <c r="N25" s="103" t="s">
        <v>24</v>
      </c>
      <c r="O25" s="106" t="s">
        <v>237</v>
      </c>
    </row>
    <row r="26" spans="1:15" ht="15.75" thickBot="1">
      <c r="A26" s="12" t="s">
        <v>307</v>
      </c>
      <c r="B26" s="58" t="s">
        <v>308</v>
      </c>
      <c r="C26" s="61" t="s">
        <v>118</v>
      </c>
      <c r="D26" s="60" t="s">
        <v>12</v>
      </c>
      <c r="E26" s="61" t="s">
        <v>13</v>
      </c>
      <c r="F26" s="60" t="s">
        <v>251</v>
      </c>
      <c r="G26" s="102" t="s">
        <v>309</v>
      </c>
      <c r="H26" s="60" t="s">
        <v>14</v>
      </c>
      <c r="I26" s="61" t="s">
        <v>676</v>
      </c>
      <c r="J26" s="60" t="s">
        <v>659</v>
      </c>
      <c r="K26" s="106" t="s">
        <v>241</v>
      </c>
      <c r="L26" s="103">
        <v>135</v>
      </c>
      <c r="M26" s="106" t="s">
        <v>226</v>
      </c>
      <c r="N26" s="103" t="s">
        <v>24</v>
      </c>
      <c r="O26" s="106" t="s">
        <v>13</v>
      </c>
    </row>
    <row r="27" spans="1:15" ht="15.75" thickBot="1">
      <c r="A27" s="12" t="s">
        <v>310</v>
      </c>
      <c r="B27" s="58" t="s">
        <v>311</v>
      </c>
      <c r="C27" s="61" t="s">
        <v>312</v>
      </c>
      <c r="D27" s="60" t="s">
        <v>36</v>
      </c>
      <c r="E27" s="61" t="s">
        <v>37</v>
      </c>
      <c r="F27" s="60" t="s">
        <v>250</v>
      </c>
      <c r="G27" s="102" t="s">
        <v>312</v>
      </c>
      <c r="H27" s="60" t="s">
        <v>14</v>
      </c>
      <c r="I27" s="61" t="s">
        <v>683</v>
      </c>
      <c r="J27" s="60"/>
      <c r="K27" s="106" t="s">
        <v>242</v>
      </c>
      <c r="L27" s="103">
        <v>195</v>
      </c>
      <c r="M27" s="106" t="s">
        <v>226</v>
      </c>
      <c r="N27" s="103" t="s">
        <v>24</v>
      </c>
      <c r="O27" s="106" t="s">
        <v>37</v>
      </c>
    </row>
    <row r="28" spans="1:15" ht="15.75" thickBot="1">
      <c r="A28" s="12" t="s">
        <v>313</v>
      </c>
      <c r="B28" s="58" t="s">
        <v>786</v>
      </c>
      <c r="C28" s="61" t="s">
        <v>787</v>
      </c>
      <c r="D28" s="60" t="s">
        <v>38</v>
      </c>
      <c r="E28" s="61" t="s">
        <v>37</v>
      </c>
      <c r="F28" s="60" t="s">
        <v>241</v>
      </c>
      <c r="G28" s="102" t="s">
        <v>314</v>
      </c>
      <c r="H28" s="60" t="s">
        <v>14</v>
      </c>
      <c r="I28" s="61" t="s">
        <v>788</v>
      </c>
      <c r="J28" s="60" t="s">
        <v>791</v>
      </c>
      <c r="K28" s="106" t="s">
        <v>241</v>
      </c>
      <c r="L28" s="103">
        <v>275</v>
      </c>
      <c r="M28" s="106" t="s">
        <v>226</v>
      </c>
      <c r="N28" s="103" t="s">
        <v>24</v>
      </c>
      <c r="O28" s="106" t="s">
        <v>37</v>
      </c>
    </row>
    <row r="29" spans="1:15" ht="15.75" thickBot="1">
      <c r="A29" s="12" t="s">
        <v>315</v>
      </c>
      <c r="B29" s="58" t="s">
        <v>316</v>
      </c>
      <c r="C29" s="61" t="s">
        <v>317</v>
      </c>
      <c r="D29" s="60" t="s">
        <v>36</v>
      </c>
      <c r="E29" s="61" t="s">
        <v>37</v>
      </c>
      <c r="F29" s="60" t="s">
        <v>250</v>
      </c>
      <c r="G29" s="102" t="s">
        <v>317</v>
      </c>
      <c r="H29" s="60" t="s">
        <v>14</v>
      </c>
      <c r="I29" s="61" t="s">
        <v>683</v>
      </c>
      <c r="J29" s="60"/>
      <c r="K29" s="106" t="s">
        <v>242</v>
      </c>
      <c r="L29" s="103">
        <v>66</v>
      </c>
      <c r="M29" s="106" t="s">
        <v>226</v>
      </c>
      <c r="N29" s="103" t="s">
        <v>24</v>
      </c>
      <c r="O29" s="106" t="s">
        <v>37</v>
      </c>
    </row>
    <row r="30" spans="1:15" ht="15.75" thickBot="1">
      <c r="A30" s="12" t="s">
        <v>648</v>
      </c>
      <c r="B30" s="58" t="s">
        <v>649</v>
      </c>
      <c r="C30" s="61" t="s">
        <v>102</v>
      </c>
      <c r="D30" s="60" t="s">
        <v>225</v>
      </c>
      <c r="E30" s="61" t="s">
        <v>294</v>
      </c>
      <c r="F30" s="60" t="s">
        <v>250</v>
      </c>
      <c r="G30" s="102" t="s">
        <v>650</v>
      </c>
      <c r="H30" s="60" t="s">
        <v>10</v>
      </c>
      <c r="I30" s="61" t="s">
        <v>683</v>
      </c>
      <c r="J30" s="60"/>
      <c r="K30" s="106" t="s">
        <v>242</v>
      </c>
      <c r="L30" s="103">
        <v>69</v>
      </c>
      <c r="M30" s="106" t="s">
        <v>226</v>
      </c>
      <c r="N30" s="103" t="s">
        <v>24</v>
      </c>
      <c r="O30" s="106" t="s">
        <v>237</v>
      </c>
    </row>
    <row r="31" spans="1:15" ht="15.75" thickBot="1">
      <c r="A31" s="12" t="s">
        <v>777</v>
      </c>
      <c r="B31" s="58" t="s">
        <v>789</v>
      </c>
      <c r="C31" s="61" t="s">
        <v>102</v>
      </c>
      <c r="D31" s="60" t="s">
        <v>38</v>
      </c>
      <c r="E31" s="61" t="s">
        <v>37</v>
      </c>
      <c r="F31" s="60" t="s">
        <v>241</v>
      </c>
      <c r="G31" s="102" t="s">
        <v>779</v>
      </c>
      <c r="H31" s="60" t="s">
        <v>14</v>
      </c>
      <c r="I31" s="59" t="s">
        <v>261</v>
      </c>
      <c r="J31" s="60"/>
      <c r="K31" s="106" t="s">
        <v>241</v>
      </c>
      <c r="L31" s="103">
        <v>133</v>
      </c>
      <c r="M31" s="106" t="s">
        <v>226</v>
      </c>
      <c r="N31" s="103" t="s">
        <v>24</v>
      </c>
      <c r="O31" s="106" t="s">
        <v>37</v>
      </c>
    </row>
    <row r="32" spans="1:15" ht="15.75" thickBot="1">
      <c r="A32" s="12" t="s">
        <v>780</v>
      </c>
      <c r="B32" s="58" t="s">
        <v>279</v>
      </c>
      <c r="C32" s="61" t="s">
        <v>280</v>
      </c>
      <c r="D32" s="60" t="s">
        <v>36</v>
      </c>
      <c r="E32" s="61" t="s">
        <v>37</v>
      </c>
      <c r="F32" s="60" t="s">
        <v>250</v>
      </c>
      <c r="G32" s="102" t="s">
        <v>281</v>
      </c>
      <c r="H32" s="60" t="s">
        <v>14</v>
      </c>
      <c r="I32" s="61" t="s">
        <v>683</v>
      </c>
      <c r="J32" s="60"/>
      <c r="K32" s="106" t="s">
        <v>242</v>
      </c>
      <c r="L32" s="103">
        <v>150</v>
      </c>
      <c r="M32" s="106" t="s">
        <v>226</v>
      </c>
      <c r="N32" s="103" t="s">
        <v>24</v>
      </c>
      <c r="O32" s="106" t="s">
        <v>37</v>
      </c>
    </row>
    <row r="33" spans="1:15" ht="15.75" thickBot="1">
      <c r="A33" s="12" t="s">
        <v>318</v>
      </c>
      <c r="B33" s="58" t="s">
        <v>268</v>
      </c>
      <c r="C33" s="61" t="s">
        <v>319</v>
      </c>
      <c r="D33" s="60" t="s">
        <v>12</v>
      </c>
      <c r="E33" s="61" t="s">
        <v>13</v>
      </c>
      <c r="F33" s="60" t="s">
        <v>275</v>
      </c>
      <c r="G33" s="102" t="s">
        <v>281</v>
      </c>
      <c r="H33" s="60" t="s">
        <v>14</v>
      </c>
      <c r="I33" s="61" t="s">
        <v>320</v>
      </c>
      <c r="J33" s="60" t="s">
        <v>660</v>
      </c>
      <c r="K33" s="106" t="s">
        <v>242</v>
      </c>
      <c r="L33" s="103">
        <v>150</v>
      </c>
      <c r="M33" s="106" t="s">
        <v>226</v>
      </c>
      <c r="N33" s="103" t="s">
        <v>24</v>
      </c>
      <c r="O33" s="106" t="s">
        <v>13</v>
      </c>
    </row>
    <row r="34" spans="1:15" ht="15.75" thickBot="1">
      <c r="A34" s="12" t="s">
        <v>626</v>
      </c>
      <c r="B34" s="58" t="s">
        <v>627</v>
      </c>
      <c r="C34" s="61" t="s">
        <v>626</v>
      </c>
      <c r="D34" s="60" t="s">
        <v>36</v>
      </c>
      <c r="E34" s="61" t="s">
        <v>37</v>
      </c>
      <c r="F34" s="60" t="s">
        <v>250</v>
      </c>
      <c r="G34" s="102" t="s">
        <v>328</v>
      </c>
      <c r="H34" s="60" t="s">
        <v>228</v>
      </c>
      <c r="I34" s="61" t="s">
        <v>683</v>
      </c>
      <c r="J34" s="60"/>
      <c r="K34" s="106" t="s">
        <v>242</v>
      </c>
      <c r="L34" s="103">
        <v>15</v>
      </c>
      <c r="M34" s="106" t="s">
        <v>226</v>
      </c>
      <c r="N34" s="103" t="s">
        <v>24</v>
      </c>
      <c r="O34" s="106" t="s">
        <v>37</v>
      </c>
    </row>
    <row r="35" spans="1:15" ht="15.75" thickBot="1">
      <c r="A35" s="12" t="s">
        <v>321</v>
      </c>
      <c r="B35" s="58" t="s">
        <v>295</v>
      </c>
      <c r="C35" s="61" t="s">
        <v>271</v>
      </c>
      <c r="D35" s="60" t="s">
        <v>36</v>
      </c>
      <c r="E35" s="61" t="s">
        <v>37</v>
      </c>
      <c r="F35" s="60" t="s">
        <v>250</v>
      </c>
      <c r="G35" s="102" t="s">
        <v>322</v>
      </c>
      <c r="H35" s="60" t="s">
        <v>14</v>
      </c>
      <c r="I35" s="61" t="s">
        <v>683</v>
      </c>
      <c r="J35" s="60" t="s">
        <v>661</v>
      </c>
      <c r="K35" s="106" t="s">
        <v>242</v>
      </c>
      <c r="L35" s="103">
        <v>40</v>
      </c>
      <c r="M35" s="106" t="s">
        <v>226</v>
      </c>
      <c r="N35" s="103" t="s">
        <v>24</v>
      </c>
      <c r="O35" s="106" t="s">
        <v>37</v>
      </c>
    </row>
    <row r="36" spans="1:15" ht="15.75" thickBot="1">
      <c r="A36" s="12" t="s">
        <v>323</v>
      </c>
      <c r="B36" s="58" t="s">
        <v>324</v>
      </c>
      <c r="C36" s="61" t="s">
        <v>325</v>
      </c>
      <c r="D36" s="60" t="s">
        <v>12</v>
      </c>
      <c r="E36" s="61" t="s">
        <v>13</v>
      </c>
      <c r="F36" s="60" t="s">
        <v>250</v>
      </c>
      <c r="G36" s="102" t="s">
        <v>326</v>
      </c>
      <c r="H36" s="60" t="s">
        <v>14</v>
      </c>
      <c r="I36" s="61" t="s">
        <v>683</v>
      </c>
      <c r="J36" s="60"/>
      <c r="K36" s="106" t="s">
        <v>242</v>
      </c>
      <c r="L36" s="103">
        <v>90</v>
      </c>
      <c r="M36" s="106" t="s">
        <v>226</v>
      </c>
      <c r="N36" s="103" t="s">
        <v>24</v>
      </c>
      <c r="O36" s="106" t="s">
        <v>13</v>
      </c>
    </row>
    <row r="37" spans="1:15" ht="15.75" thickBot="1">
      <c r="A37" s="12" t="s">
        <v>327</v>
      </c>
      <c r="B37" s="58" t="s">
        <v>20</v>
      </c>
      <c r="C37" s="61" t="s">
        <v>103</v>
      </c>
      <c r="D37" s="60" t="s">
        <v>41</v>
      </c>
      <c r="E37" s="61" t="s">
        <v>32</v>
      </c>
      <c r="F37" s="60" t="s">
        <v>250</v>
      </c>
      <c r="G37" s="102" t="s">
        <v>328</v>
      </c>
      <c r="H37" s="60" t="s">
        <v>14</v>
      </c>
      <c r="I37" s="61" t="s">
        <v>683</v>
      </c>
      <c r="J37" s="60"/>
      <c r="K37" s="106" t="s">
        <v>242</v>
      </c>
      <c r="L37" s="103">
        <v>15</v>
      </c>
      <c r="M37" s="106" t="s">
        <v>226</v>
      </c>
      <c r="N37" s="103" t="s">
        <v>24</v>
      </c>
      <c r="O37" s="106" t="s">
        <v>41</v>
      </c>
    </row>
    <row r="38" spans="1:15" ht="15.75" thickBot="1">
      <c r="A38" s="12" t="s">
        <v>329</v>
      </c>
      <c r="B38" s="58" t="s">
        <v>781</v>
      </c>
      <c r="C38" s="61" t="s">
        <v>230</v>
      </c>
      <c r="D38" s="60" t="s">
        <v>36</v>
      </c>
      <c r="E38" s="61" t="s">
        <v>37</v>
      </c>
      <c r="F38" s="60" t="s">
        <v>250</v>
      </c>
      <c r="G38" s="102" t="s">
        <v>330</v>
      </c>
      <c r="H38" s="60" t="s">
        <v>14</v>
      </c>
      <c r="I38" s="61" t="s">
        <v>683</v>
      </c>
      <c r="J38" s="60"/>
      <c r="K38" s="106" t="s">
        <v>242</v>
      </c>
      <c r="L38" s="103">
        <v>70</v>
      </c>
      <c r="M38" s="106" t="s">
        <v>226</v>
      </c>
      <c r="N38" s="103" t="s">
        <v>24</v>
      </c>
      <c r="O38" s="106" t="s">
        <v>37</v>
      </c>
    </row>
    <row r="39" spans="1:15" ht="15.75" thickBot="1">
      <c r="A39" s="12" t="s">
        <v>439</v>
      </c>
      <c r="B39" s="58" t="s">
        <v>440</v>
      </c>
      <c r="C39" s="61" t="s">
        <v>102</v>
      </c>
      <c r="D39" s="60" t="s">
        <v>225</v>
      </c>
      <c r="E39" s="61" t="s">
        <v>294</v>
      </c>
      <c r="F39" s="60" t="s">
        <v>250</v>
      </c>
      <c r="G39" s="102" t="s">
        <v>441</v>
      </c>
      <c r="H39" s="60" t="s">
        <v>228</v>
      </c>
      <c r="I39" s="61" t="s">
        <v>683</v>
      </c>
      <c r="J39" s="60"/>
      <c r="K39" s="106" t="s">
        <v>242</v>
      </c>
      <c r="L39" s="103">
        <v>1.6</v>
      </c>
      <c r="M39" s="106" t="s">
        <v>226</v>
      </c>
      <c r="N39" s="103" t="s">
        <v>24</v>
      </c>
      <c r="O39" s="106" t="s">
        <v>237</v>
      </c>
    </row>
    <row r="40" spans="1:15" ht="15.75" thickBot="1">
      <c r="A40" s="12" t="s">
        <v>331</v>
      </c>
      <c r="B40" s="58" t="s">
        <v>332</v>
      </c>
      <c r="C40" s="61" t="s">
        <v>333</v>
      </c>
      <c r="D40" s="60" t="s">
        <v>12</v>
      </c>
      <c r="E40" s="61" t="s">
        <v>13</v>
      </c>
      <c r="F40" s="60" t="s">
        <v>250</v>
      </c>
      <c r="G40" s="102" t="s">
        <v>333</v>
      </c>
      <c r="H40" s="60" t="s">
        <v>14</v>
      </c>
      <c r="I40" s="61" t="s">
        <v>683</v>
      </c>
      <c r="J40" s="60"/>
      <c r="K40" s="106" t="s">
        <v>242</v>
      </c>
      <c r="L40" s="103">
        <v>121</v>
      </c>
      <c r="M40" s="106" t="s">
        <v>226</v>
      </c>
      <c r="N40" s="103" t="s">
        <v>24</v>
      </c>
      <c r="O40" s="106" t="s">
        <v>13</v>
      </c>
    </row>
    <row r="41" spans="1:15" ht="15.75" thickBot="1">
      <c r="A41" s="12" t="s">
        <v>628</v>
      </c>
      <c r="B41" s="58" t="s">
        <v>629</v>
      </c>
      <c r="C41" s="61" t="s">
        <v>102</v>
      </c>
      <c r="D41" s="60" t="s">
        <v>36</v>
      </c>
      <c r="E41" s="61" t="s">
        <v>37</v>
      </c>
      <c r="F41" s="60" t="s">
        <v>250</v>
      </c>
      <c r="G41" s="102" t="s">
        <v>706</v>
      </c>
      <c r="H41" s="60" t="s">
        <v>228</v>
      </c>
      <c r="I41" s="61" t="s">
        <v>683</v>
      </c>
      <c r="J41" s="60"/>
      <c r="K41" s="106" t="s">
        <v>242</v>
      </c>
      <c r="L41" s="103">
        <v>45</v>
      </c>
      <c r="M41" s="106" t="s">
        <v>226</v>
      </c>
      <c r="N41" s="103" t="s">
        <v>24</v>
      </c>
      <c r="O41" s="106" t="s">
        <v>37</v>
      </c>
    </row>
    <row r="42" spans="1:15" ht="15.75" thickBot="1">
      <c r="A42" s="12" t="s">
        <v>334</v>
      </c>
      <c r="B42" s="58" t="s">
        <v>273</v>
      </c>
      <c r="C42" s="61" t="s">
        <v>335</v>
      </c>
      <c r="D42" s="60" t="s">
        <v>225</v>
      </c>
      <c r="E42" s="61" t="s">
        <v>37</v>
      </c>
      <c r="F42" s="60" t="s">
        <v>275</v>
      </c>
      <c r="G42" s="102" t="s">
        <v>336</v>
      </c>
      <c r="H42" s="60" t="s">
        <v>14</v>
      </c>
      <c r="I42" s="61" t="s">
        <v>683</v>
      </c>
      <c r="J42" s="60"/>
      <c r="K42" s="106" t="s">
        <v>242</v>
      </c>
      <c r="L42" s="103">
        <v>115</v>
      </c>
      <c r="M42" s="106" t="s">
        <v>226</v>
      </c>
      <c r="N42" s="103" t="s">
        <v>24</v>
      </c>
      <c r="O42" s="106" t="s">
        <v>37</v>
      </c>
    </row>
    <row r="43" spans="1:15" ht="15.75" thickBot="1">
      <c r="A43" s="12" t="s">
        <v>337</v>
      </c>
      <c r="B43" s="58" t="s">
        <v>273</v>
      </c>
      <c r="C43" s="61" t="s">
        <v>274</v>
      </c>
      <c r="D43" s="60" t="s">
        <v>225</v>
      </c>
      <c r="E43" s="61" t="s">
        <v>37</v>
      </c>
      <c r="F43" s="60" t="s">
        <v>275</v>
      </c>
      <c r="G43" s="102" t="s">
        <v>338</v>
      </c>
      <c r="H43" s="60" t="s">
        <v>14</v>
      </c>
      <c r="I43" s="61" t="s">
        <v>683</v>
      </c>
      <c r="J43" s="60"/>
      <c r="K43" s="106" t="s">
        <v>242</v>
      </c>
      <c r="L43" s="103">
        <v>300</v>
      </c>
      <c r="M43" s="106" t="s">
        <v>226</v>
      </c>
      <c r="N43" s="103" t="s">
        <v>24</v>
      </c>
      <c r="O43" s="106" t="s">
        <v>37</v>
      </c>
    </row>
    <row r="44" spans="1:15" ht="15.75" thickBot="1">
      <c r="A44" s="12" t="s">
        <v>339</v>
      </c>
      <c r="B44" s="58" t="s">
        <v>340</v>
      </c>
      <c r="C44" s="61" t="s">
        <v>116</v>
      </c>
      <c r="D44" s="60" t="s">
        <v>38</v>
      </c>
      <c r="E44" s="61" t="s">
        <v>37</v>
      </c>
      <c r="F44" s="60" t="s">
        <v>250</v>
      </c>
      <c r="G44" s="102" t="s">
        <v>341</v>
      </c>
      <c r="H44" s="60" t="s">
        <v>14</v>
      </c>
      <c r="I44" s="61" t="s">
        <v>683</v>
      </c>
      <c r="J44" s="60"/>
      <c r="K44" s="106" t="s">
        <v>242</v>
      </c>
      <c r="L44" s="103">
        <v>110</v>
      </c>
      <c r="M44" s="106" t="s">
        <v>226</v>
      </c>
      <c r="N44" s="103" t="s">
        <v>24</v>
      </c>
      <c r="O44" s="106" t="s">
        <v>37</v>
      </c>
    </row>
    <row r="45" spans="1:15" ht="15.75" thickBot="1">
      <c r="A45" s="12" t="s">
        <v>685</v>
      </c>
      <c r="B45" s="58" t="s">
        <v>686</v>
      </c>
      <c r="C45" s="61" t="s">
        <v>225</v>
      </c>
      <c r="D45" s="60" t="s">
        <v>12</v>
      </c>
      <c r="E45" s="61" t="s">
        <v>13</v>
      </c>
      <c r="F45" s="60" t="s">
        <v>250</v>
      </c>
      <c r="G45" s="102" t="s">
        <v>687</v>
      </c>
      <c r="H45" s="60" t="s">
        <v>14</v>
      </c>
      <c r="I45" s="61" t="s">
        <v>683</v>
      </c>
      <c r="J45" s="60" t="s">
        <v>688</v>
      </c>
      <c r="K45" s="106" t="s">
        <v>242</v>
      </c>
      <c r="L45" s="103">
        <v>400</v>
      </c>
      <c r="M45" s="106" t="s">
        <v>226</v>
      </c>
      <c r="N45" s="103" t="s">
        <v>24</v>
      </c>
      <c r="O45" s="106" t="s">
        <v>13</v>
      </c>
    </row>
    <row r="46" spans="1:15" ht="15.75" thickBot="1">
      <c r="A46" s="12" t="s">
        <v>784</v>
      </c>
      <c r="B46" s="58" t="s">
        <v>340</v>
      </c>
      <c r="C46" s="61" t="s">
        <v>116</v>
      </c>
      <c r="D46" s="60" t="s">
        <v>38</v>
      </c>
      <c r="E46" s="61" t="s">
        <v>37</v>
      </c>
      <c r="F46" s="60" t="s">
        <v>250</v>
      </c>
      <c r="G46" s="102" t="s">
        <v>342</v>
      </c>
      <c r="H46" s="60" t="s">
        <v>14</v>
      </c>
      <c r="I46" s="61" t="s">
        <v>683</v>
      </c>
      <c r="J46" s="60"/>
      <c r="K46" s="106" t="s">
        <v>242</v>
      </c>
      <c r="L46" s="103">
        <v>85</v>
      </c>
      <c r="M46" s="106" t="s">
        <v>226</v>
      </c>
      <c r="N46" s="103" t="s">
        <v>24</v>
      </c>
      <c r="O46" s="106" t="s">
        <v>37</v>
      </c>
    </row>
    <row r="47" spans="1:15" ht="15.75" thickBot="1">
      <c r="A47" s="12" t="s">
        <v>630</v>
      </c>
      <c r="B47" s="58" t="s">
        <v>26</v>
      </c>
      <c r="C47" s="61" t="s">
        <v>631</v>
      </c>
      <c r="D47" s="60" t="s">
        <v>8</v>
      </c>
      <c r="E47" s="61" t="s">
        <v>9</v>
      </c>
      <c r="F47" s="60" t="s">
        <v>250</v>
      </c>
      <c r="G47" s="102" t="s">
        <v>632</v>
      </c>
      <c r="H47" s="60" t="s">
        <v>228</v>
      </c>
      <c r="I47" s="61" t="s">
        <v>683</v>
      </c>
      <c r="J47" s="60"/>
      <c r="K47" s="106" t="s">
        <v>242</v>
      </c>
      <c r="L47" s="103">
        <v>28.8</v>
      </c>
      <c r="M47" s="106" t="s">
        <v>226</v>
      </c>
      <c r="N47" s="103" t="s">
        <v>24</v>
      </c>
      <c r="O47" s="106" t="s">
        <v>238</v>
      </c>
    </row>
    <row r="48" spans="1:15" ht="15.75" thickBot="1">
      <c r="A48" s="12" t="s">
        <v>343</v>
      </c>
      <c r="B48" s="58" t="s">
        <v>344</v>
      </c>
      <c r="C48" s="61" t="s">
        <v>102</v>
      </c>
      <c r="D48" s="60" t="s">
        <v>225</v>
      </c>
      <c r="E48" s="61" t="s">
        <v>37</v>
      </c>
      <c r="F48" s="60" t="s">
        <v>250</v>
      </c>
      <c r="G48" s="102" t="s">
        <v>225</v>
      </c>
      <c r="H48" s="60" t="s">
        <v>14</v>
      </c>
      <c r="I48" s="61" t="s">
        <v>683</v>
      </c>
      <c r="J48" s="60" t="s">
        <v>662</v>
      </c>
      <c r="K48" s="106" t="s">
        <v>242</v>
      </c>
      <c r="L48" s="103">
        <v>0</v>
      </c>
      <c r="M48" s="106" t="s">
        <v>227</v>
      </c>
      <c r="N48" s="103" t="s">
        <v>24</v>
      </c>
      <c r="O48" s="106" t="s">
        <v>37</v>
      </c>
    </row>
    <row r="49" spans="1:15" ht="15.75" thickBot="1">
      <c r="A49" s="12" t="s">
        <v>345</v>
      </c>
      <c r="B49" s="58" t="s">
        <v>346</v>
      </c>
      <c r="C49" s="61" t="s">
        <v>301</v>
      </c>
      <c r="D49" s="60" t="s">
        <v>38</v>
      </c>
      <c r="E49" s="61" t="s">
        <v>37</v>
      </c>
      <c r="F49" s="60" t="s">
        <v>250</v>
      </c>
      <c r="G49" s="102" t="s">
        <v>225</v>
      </c>
      <c r="H49" s="60" t="s">
        <v>14</v>
      </c>
      <c r="I49" s="61" t="s">
        <v>683</v>
      </c>
      <c r="J49" s="60" t="s">
        <v>663</v>
      </c>
      <c r="K49" s="106" t="s">
        <v>242</v>
      </c>
      <c r="L49" s="103">
        <v>0</v>
      </c>
      <c r="M49" s="106" t="s">
        <v>227</v>
      </c>
      <c r="N49" s="103" t="s">
        <v>24</v>
      </c>
      <c r="O49" s="106" t="s">
        <v>37</v>
      </c>
    </row>
    <row r="50" spans="1:15" ht="15.75" thickBot="1">
      <c r="A50" s="12" t="s">
        <v>347</v>
      </c>
      <c r="B50" s="58" t="s">
        <v>348</v>
      </c>
      <c r="C50" s="61" t="s">
        <v>349</v>
      </c>
      <c r="D50" s="60" t="s">
        <v>12</v>
      </c>
      <c r="E50" s="61" t="s">
        <v>13</v>
      </c>
      <c r="F50" s="60" t="s">
        <v>250</v>
      </c>
      <c r="G50" s="102" t="s">
        <v>350</v>
      </c>
      <c r="H50" s="60" t="s">
        <v>14</v>
      </c>
      <c r="I50" s="61" t="s">
        <v>683</v>
      </c>
      <c r="J50" s="60"/>
      <c r="K50" s="106" t="s">
        <v>242</v>
      </c>
      <c r="L50" s="103">
        <v>350</v>
      </c>
      <c r="M50" s="106" t="s">
        <v>226</v>
      </c>
      <c r="N50" s="103" t="s">
        <v>24</v>
      </c>
      <c r="O50" s="106" t="s">
        <v>13</v>
      </c>
    </row>
    <row r="51" spans="1:15" ht="15.75" thickBot="1">
      <c r="A51" s="12" t="s">
        <v>761</v>
      </c>
      <c r="B51" s="58" t="s">
        <v>762</v>
      </c>
      <c r="C51" s="61" t="s">
        <v>763</v>
      </c>
      <c r="D51" s="60" t="s">
        <v>38</v>
      </c>
      <c r="E51" s="61" t="s">
        <v>37</v>
      </c>
      <c r="F51" s="60" t="s">
        <v>241</v>
      </c>
      <c r="G51" s="102" t="s">
        <v>764</v>
      </c>
      <c r="H51" s="60" t="s">
        <v>14</v>
      </c>
      <c r="I51" s="61" t="s">
        <v>765</v>
      </c>
      <c r="J51" s="60" t="s">
        <v>766</v>
      </c>
      <c r="K51" s="106" t="s">
        <v>241</v>
      </c>
      <c r="L51" s="103">
        <v>220</v>
      </c>
      <c r="M51" s="106" t="s">
        <v>226</v>
      </c>
      <c r="N51" s="103" t="s">
        <v>24</v>
      </c>
      <c r="O51" s="106" t="s">
        <v>37</v>
      </c>
    </row>
    <row r="52" spans="1:15" ht="15.75" thickBot="1">
      <c r="A52" s="12" t="s">
        <v>767</v>
      </c>
      <c r="B52" s="58" t="s">
        <v>762</v>
      </c>
      <c r="C52" s="61" t="s">
        <v>768</v>
      </c>
      <c r="D52" s="60" t="s">
        <v>38</v>
      </c>
      <c r="E52" s="61" t="s">
        <v>37</v>
      </c>
      <c r="F52" s="60" t="s">
        <v>241</v>
      </c>
      <c r="G52" s="102" t="s">
        <v>278</v>
      </c>
      <c r="H52" s="60" t="s">
        <v>14</v>
      </c>
      <c r="I52" s="61" t="s">
        <v>769</v>
      </c>
      <c r="J52" s="60" t="s">
        <v>766</v>
      </c>
      <c r="K52" s="106" t="s">
        <v>241</v>
      </c>
      <c r="L52" s="103">
        <v>29</v>
      </c>
      <c r="M52" s="106" t="s">
        <v>226</v>
      </c>
      <c r="N52" s="103" t="s">
        <v>24</v>
      </c>
      <c r="O52" s="106" t="s">
        <v>37</v>
      </c>
    </row>
    <row r="53" spans="1:15" ht="15.75" thickBot="1">
      <c r="A53" s="12" t="s">
        <v>351</v>
      </c>
      <c r="B53" s="58" t="s">
        <v>352</v>
      </c>
      <c r="C53" s="61" t="s">
        <v>353</v>
      </c>
      <c r="D53" s="60" t="s">
        <v>12</v>
      </c>
      <c r="E53" s="61" t="s">
        <v>13</v>
      </c>
      <c r="F53" s="60" t="s">
        <v>250</v>
      </c>
      <c r="G53" s="102" t="s">
        <v>354</v>
      </c>
      <c r="H53" s="60" t="s">
        <v>14</v>
      </c>
      <c r="I53" s="61" t="s">
        <v>683</v>
      </c>
      <c r="J53" s="60" t="s">
        <v>664</v>
      </c>
      <c r="K53" s="106" t="s">
        <v>242</v>
      </c>
      <c r="L53" s="103">
        <v>1000</v>
      </c>
      <c r="M53" s="106" t="s">
        <v>226</v>
      </c>
      <c r="N53" s="103" t="s">
        <v>24</v>
      </c>
      <c r="O53" s="106" t="s">
        <v>13</v>
      </c>
    </row>
    <row r="54" spans="1:15" ht="15.75" thickBot="1">
      <c r="A54" s="12" t="s">
        <v>355</v>
      </c>
      <c r="B54" s="58" t="s">
        <v>52</v>
      </c>
      <c r="C54" s="61" t="s">
        <v>102</v>
      </c>
      <c r="D54" s="60" t="s">
        <v>15</v>
      </c>
      <c r="E54" s="61" t="s">
        <v>16</v>
      </c>
      <c r="F54" s="60" t="s">
        <v>250</v>
      </c>
      <c r="G54" s="102" t="s">
        <v>225</v>
      </c>
      <c r="H54" s="60" t="s">
        <v>10</v>
      </c>
      <c r="I54" s="61" t="s">
        <v>683</v>
      </c>
      <c r="J54" s="60"/>
      <c r="K54" s="106" t="s">
        <v>242</v>
      </c>
      <c r="L54" s="103">
        <v>0</v>
      </c>
      <c r="M54" s="106" t="s">
        <v>227</v>
      </c>
      <c r="N54" s="103" t="s">
        <v>24</v>
      </c>
      <c r="O54" s="106" t="s">
        <v>15</v>
      </c>
    </row>
    <row r="55" spans="1:15" ht="15.75" thickBot="1">
      <c r="A55" s="12" t="s">
        <v>356</v>
      </c>
      <c r="B55" s="58" t="s">
        <v>273</v>
      </c>
      <c r="C55" s="61" t="s">
        <v>357</v>
      </c>
      <c r="D55" s="60" t="s">
        <v>36</v>
      </c>
      <c r="E55" s="61" t="s">
        <v>37</v>
      </c>
      <c r="F55" s="60" t="s">
        <v>275</v>
      </c>
      <c r="G55" s="102" t="s">
        <v>283</v>
      </c>
      <c r="H55" s="60" t="s">
        <v>14</v>
      </c>
      <c r="I55" s="61" t="s">
        <v>683</v>
      </c>
      <c r="J55" s="60"/>
      <c r="K55" s="106" t="s">
        <v>242</v>
      </c>
      <c r="L55" s="103">
        <v>100</v>
      </c>
      <c r="M55" s="106" t="s">
        <v>226</v>
      </c>
      <c r="N55" s="103" t="s">
        <v>24</v>
      </c>
      <c r="O55" s="106" t="s">
        <v>37</v>
      </c>
    </row>
    <row r="56" spans="1:15" ht="15.75" thickBot="1">
      <c r="A56" s="12" t="s">
        <v>358</v>
      </c>
      <c r="B56" s="58" t="s">
        <v>782</v>
      </c>
      <c r="C56" s="61" t="s">
        <v>225</v>
      </c>
      <c r="D56" s="60" t="s">
        <v>38</v>
      </c>
      <c r="E56" s="61" t="s">
        <v>37</v>
      </c>
      <c r="F56" s="60" t="s">
        <v>379</v>
      </c>
      <c r="G56" s="102" t="s">
        <v>336</v>
      </c>
      <c r="H56" s="60" t="s">
        <v>14</v>
      </c>
      <c r="I56" s="61" t="s">
        <v>683</v>
      </c>
      <c r="J56" s="60" t="s">
        <v>801</v>
      </c>
      <c r="K56" s="106" t="s">
        <v>242</v>
      </c>
      <c r="L56" s="103">
        <v>115</v>
      </c>
      <c r="M56" s="106" t="s">
        <v>226</v>
      </c>
      <c r="N56" s="103" t="s">
        <v>24</v>
      </c>
      <c r="O56" s="106" t="s">
        <v>37</v>
      </c>
    </row>
    <row r="57" spans="1:15" ht="15.75" thickBot="1">
      <c r="A57" s="12" t="s">
        <v>359</v>
      </c>
      <c r="B57" s="58" t="s">
        <v>360</v>
      </c>
      <c r="C57" s="61" t="s">
        <v>301</v>
      </c>
      <c r="D57" s="60" t="s">
        <v>38</v>
      </c>
      <c r="E57" s="61" t="s">
        <v>37</v>
      </c>
      <c r="F57" s="60" t="s">
        <v>250</v>
      </c>
      <c r="G57" s="102" t="s">
        <v>225</v>
      </c>
      <c r="H57" s="60" t="s">
        <v>14</v>
      </c>
      <c r="I57" s="61" t="s">
        <v>683</v>
      </c>
      <c r="J57" s="60" t="s">
        <v>665</v>
      </c>
      <c r="K57" s="106" t="s">
        <v>242</v>
      </c>
      <c r="L57" s="103">
        <v>0</v>
      </c>
      <c r="M57" s="106" t="s">
        <v>227</v>
      </c>
      <c r="N57" s="103" t="s">
        <v>24</v>
      </c>
      <c r="O57" s="106" t="s">
        <v>37</v>
      </c>
    </row>
    <row r="58" spans="1:15" ht="15.75" thickBot="1">
      <c r="A58" s="12" t="s">
        <v>361</v>
      </c>
      <c r="B58" s="58" t="s">
        <v>809</v>
      </c>
      <c r="C58" s="61" t="s">
        <v>102</v>
      </c>
      <c r="D58" s="60" t="s">
        <v>36</v>
      </c>
      <c r="E58" s="61" t="s">
        <v>37</v>
      </c>
      <c r="F58" s="60" t="s">
        <v>250</v>
      </c>
      <c r="G58" s="102" t="s">
        <v>810</v>
      </c>
      <c r="H58" s="60" t="s">
        <v>228</v>
      </c>
      <c r="I58" s="61" t="s">
        <v>683</v>
      </c>
      <c r="J58" s="60"/>
      <c r="K58" s="106" t="s">
        <v>242</v>
      </c>
      <c r="L58" s="103">
        <v>30</v>
      </c>
      <c r="M58" s="106" t="s">
        <v>226</v>
      </c>
      <c r="N58" s="103" t="s">
        <v>24</v>
      </c>
      <c r="O58" s="106" t="s">
        <v>37</v>
      </c>
    </row>
    <row r="59" spans="1:15" ht="15.75" thickBot="1">
      <c r="A59" s="12" t="s">
        <v>442</v>
      </c>
      <c r="B59" s="58" t="s">
        <v>443</v>
      </c>
      <c r="C59" s="61" t="s">
        <v>102</v>
      </c>
      <c r="D59" s="60" t="s">
        <v>36</v>
      </c>
      <c r="E59" s="61" t="s">
        <v>37</v>
      </c>
      <c r="F59" s="60" t="s">
        <v>250</v>
      </c>
      <c r="G59" s="102" t="s">
        <v>111</v>
      </c>
      <c r="H59" s="60" t="s">
        <v>228</v>
      </c>
      <c r="I59" s="61" t="s">
        <v>683</v>
      </c>
      <c r="J59" s="60"/>
      <c r="K59" s="106" t="s">
        <v>242</v>
      </c>
      <c r="L59" s="103">
        <v>5</v>
      </c>
      <c r="M59" s="106" t="s">
        <v>226</v>
      </c>
      <c r="N59" s="103" t="s">
        <v>24</v>
      </c>
      <c r="O59" s="106" t="s">
        <v>37</v>
      </c>
    </row>
    <row r="60" spans="1:15" ht="15.75" thickBot="1">
      <c r="A60" s="12" t="s">
        <v>362</v>
      </c>
      <c r="B60" s="58" t="s">
        <v>273</v>
      </c>
      <c r="C60" s="61" t="s">
        <v>290</v>
      </c>
      <c r="D60" s="60" t="s">
        <v>36</v>
      </c>
      <c r="E60" s="61" t="s">
        <v>37</v>
      </c>
      <c r="F60" s="60" t="s">
        <v>275</v>
      </c>
      <c r="G60" s="102" t="s">
        <v>283</v>
      </c>
      <c r="H60" s="60" t="s">
        <v>14</v>
      </c>
      <c r="I60" s="61" t="s">
        <v>683</v>
      </c>
      <c r="J60" s="60"/>
      <c r="K60" s="106" t="s">
        <v>242</v>
      </c>
      <c r="L60" s="103">
        <v>100</v>
      </c>
      <c r="M60" s="106" t="s">
        <v>226</v>
      </c>
      <c r="N60" s="103" t="s">
        <v>24</v>
      </c>
      <c r="O60" s="106" t="s">
        <v>37</v>
      </c>
    </row>
    <row r="61" spans="1:15" ht="15.75" thickBot="1">
      <c r="A61" s="12" t="s">
        <v>444</v>
      </c>
      <c r="B61" s="58" t="s">
        <v>445</v>
      </c>
      <c r="C61" s="61" t="s">
        <v>102</v>
      </c>
      <c r="D61" s="60" t="s">
        <v>36</v>
      </c>
      <c r="E61" s="61" t="s">
        <v>37</v>
      </c>
      <c r="F61" s="60" t="s">
        <v>250</v>
      </c>
      <c r="G61" s="102" t="s">
        <v>288</v>
      </c>
      <c r="H61" s="60" t="s">
        <v>14</v>
      </c>
      <c r="I61" s="61" t="s">
        <v>683</v>
      </c>
      <c r="J61" s="60"/>
      <c r="K61" s="106" t="s">
        <v>242</v>
      </c>
      <c r="L61" s="103">
        <v>50</v>
      </c>
      <c r="M61" s="106" t="s">
        <v>226</v>
      </c>
      <c r="N61" s="103" t="s">
        <v>24</v>
      </c>
      <c r="O61" s="106" t="s">
        <v>37</v>
      </c>
    </row>
    <row r="62" spans="1:15" ht="15.75" thickBot="1">
      <c r="A62" s="12" t="s">
        <v>639</v>
      </c>
      <c r="B62" s="58" t="s">
        <v>748</v>
      </c>
      <c r="C62" s="61" t="s">
        <v>749</v>
      </c>
      <c r="D62" s="60" t="s">
        <v>38</v>
      </c>
      <c r="E62" s="61" t="s">
        <v>37</v>
      </c>
      <c r="F62" s="60" t="s">
        <v>251</v>
      </c>
      <c r="G62" s="102" t="s">
        <v>640</v>
      </c>
      <c r="H62" s="60" t="s">
        <v>14</v>
      </c>
      <c r="I62" s="61" t="s">
        <v>751</v>
      </c>
      <c r="J62" s="60" t="s">
        <v>750</v>
      </c>
      <c r="K62" s="106" t="s">
        <v>241</v>
      </c>
      <c r="L62" s="103">
        <v>105</v>
      </c>
      <c r="M62" s="106" t="s">
        <v>226</v>
      </c>
      <c r="N62" s="103" t="s">
        <v>24</v>
      </c>
      <c r="O62" s="106" t="s">
        <v>37</v>
      </c>
    </row>
    <row r="63" spans="1:15" ht="15.75" thickBot="1">
      <c r="A63" s="12" t="s">
        <v>689</v>
      </c>
      <c r="B63" s="58" t="s">
        <v>690</v>
      </c>
      <c r="C63" s="61" t="s">
        <v>225</v>
      </c>
      <c r="D63" s="60" t="s">
        <v>36</v>
      </c>
      <c r="E63" s="61" t="s">
        <v>37</v>
      </c>
      <c r="F63" s="60" t="s">
        <v>250</v>
      </c>
      <c r="G63" s="102" t="s">
        <v>691</v>
      </c>
      <c r="H63" s="60" t="s">
        <v>14</v>
      </c>
      <c r="I63" s="61" t="s">
        <v>683</v>
      </c>
      <c r="J63" s="60" t="s">
        <v>692</v>
      </c>
      <c r="K63" s="106" t="s">
        <v>242</v>
      </c>
      <c r="L63" s="103">
        <v>800</v>
      </c>
      <c r="M63" s="106" t="s">
        <v>226</v>
      </c>
      <c r="N63" s="103" t="s">
        <v>24</v>
      </c>
      <c r="O63" s="106" t="s">
        <v>37</v>
      </c>
    </row>
    <row r="64" spans="1:15" ht="15.75" thickBot="1">
      <c r="A64" s="12" t="s">
        <v>363</v>
      </c>
      <c r="B64" s="58" t="s">
        <v>364</v>
      </c>
      <c r="C64" s="61" t="s">
        <v>102</v>
      </c>
      <c r="D64" s="60" t="s">
        <v>8</v>
      </c>
      <c r="E64" s="61" t="s">
        <v>679</v>
      </c>
      <c r="F64" s="60" t="s">
        <v>250</v>
      </c>
      <c r="G64" s="102" t="s">
        <v>365</v>
      </c>
      <c r="H64" s="60" t="s">
        <v>10</v>
      </c>
      <c r="I64" s="61" t="s">
        <v>366</v>
      </c>
      <c r="J64" s="60"/>
      <c r="K64" s="106" t="s">
        <v>242</v>
      </c>
      <c r="L64" s="103">
        <v>250</v>
      </c>
      <c r="M64" s="106" t="s">
        <v>226</v>
      </c>
      <c r="N64" s="103" t="s">
        <v>24</v>
      </c>
      <c r="O64" s="106" t="s">
        <v>236</v>
      </c>
    </row>
    <row r="65" spans="1:15" ht="15.75" thickBot="1">
      <c r="A65" s="12" t="s">
        <v>367</v>
      </c>
      <c r="B65" s="58" t="s">
        <v>368</v>
      </c>
      <c r="C65" s="61" t="s">
        <v>225</v>
      </c>
      <c r="D65" s="60" t="s">
        <v>12</v>
      </c>
      <c r="E65" s="61" t="s">
        <v>13</v>
      </c>
      <c r="F65" s="60" t="s">
        <v>250</v>
      </c>
      <c r="G65" s="102" t="s">
        <v>369</v>
      </c>
      <c r="H65" s="60" t="s">
        <v>14</v>
      </c>
      <c r="I65" s="61" t="s">
        <v>370</v>
      </c>
      <c r="J65" s="60" t="s">
        <v>666</v>
      </c>
      <c r="K65" s="106" t="s">
        <v>242</v>
      </c>
      <c r="L65" s="103">
        <v>500</v>
      </c>
      <c r="M65" s="106" t="s">
        <v>226</v>
      </c>
      <c r="N65" s="103" t="s">
        <v>24</v>
      </c>
      <c r="O65" s="106" t="s">
        <v>13</v>
      </c>
    </row>
    <row r="66" spans="1:15" ht="15.75" thickBot="1">
      <c r="A66" s="12" t="s">
        <v>371</v>
      </c>
      <c r="B66" s="58" t="s">
        <v>364</v>
      </c>
      <c r="C66" s="61" t="s">
        <v>102</v>
      </c>
      <c r="D66" s="60" t="s">
        <v>8</v>
      </c>
      <c r="E66" s="61" t="s">
        <v>679</v>
      </c>
      <c r="F66" s="60" t="s">
        <v>250</v>
      </c>
      <c r="G66" s="102" t="s">
        <v>369</v>
      </c>
      <c r="H66" s="60" t="s">
        <v>10</v>
      </c>
      <c r="I66" s="61" t="s">
        <v>683</v>
      </c>
      <c r="J66" s="60"/>
      <c r="K66" s="106" t="s">
        <v>242</v>
      </c>
      <c r="L66" s="103">
        <v>500</v>
      </c>
      <c r="M66" s="106" t="s">
        <v>226</v>
      </c>
      <c r="N66" s="103" t="s">
        <v>24</v>
      </c>
      <c r="O66" s="106" t="s">
        <v>236</v>
      </c>
    </row>
    <row r="67" spans="1:15" ht="15.75" thickBot="1">
      <c r="A67" s="12" t="s">
        <v>372</v>
      </c>
      <c r="B67" s="58" t="s">
        <v>340</v>
      </c>
      <c r="C67" s="61" t="s">
        <v>116</v>
      </c>
      <c r="D67" s="60" t="s">
        <v>38</v>
      </c>
      <c r="E67" s="61" t="s">
        <v>37</v>
      </c>
      <c r="F67" s="60" t="s">
        <v>250</v>
      </c>
      <c r="G67" s="102" t="s">
        <v>373</v>
      </c>
      <c r="H67" s="60" t="s">
        <v>14</v>
      </c>
      <c r="I67" s="61" t="s">
        <v>683</v>
      </c>
      <c r="J67" s="60" t="s">
        <v>667</v>
      </c>
      <c r="K67" s="106" t="s">
        <v>242</v>
      </c>
      <c r="L67" s="103">
        <v>80</v>
      </c>
      <c r="M67" s="106" t="s">
        <v>226</v>
      </c>
      <c r="N67" s="103" t="s">
        <v>24</v>
      </c>
      <c r="O67" s="106" t="s">
        <v>37</v>
      </c>
    </row>
    <row r="68" spans="1:15" ht="23.25" thickBot="1">
      <c r="A68" s="12" t="s">
        <v>811</v>
      </c>
      <c r="B68" s="58" t="s">
        <v>811</v>
      </c>
      <c r="C68" s="61" t="s">
        <v>102</v>
      </c>
      <c r="D68" s="60" t="s">
        <v>775</v>
      </c>
      <c r="E68" s="61" t="s">
        <v>17</v>
      </c>
      <c r="F68" s="60" t="s">
        <v>250</v>
      </c>
      <c r="G68" s="102" t="s">
        <v>812</v>
      </c>
      <c r="H68" s="60" t="s">
        <v>14</v>
      </c>
      <c r="I68" s="61" t="s">
        <v>610</v>
      </c>
      <c r="J68" s="60" t="s">
        <v>813</v>
      </c>
      <c r="K68" s="106" t="s">
        <v>242</v>
      </c>
      <c r="L68" s="103">
        <v>600</v>
      </c>
      <c r="M68" s="106" t="s">
        <v>226</v>
      </c>
      <c r="N68" s="103" t="s">
        <v>24</v>
      </c>
      <c r="O68" s="106" t="s">
        <v>17</v>
      </c>
    </row>
    <row r="69" spans="1:15" ht="15.75" thickBot="1">
      <c r="A69" s="12" t="s">
        <v>374</v>
      </c>
      <c r="B69" s="58" t="s">
        <v>375</v>
      </c>
      <c r="C69" s="61" t="s">
        <v>376</v>
      </c>
      <c r="D69" s="60" t="s">
        <v>12</v>
      </c>
      <c r="E69" s="61" t="s">
        <v>13</v>
      </c>
      <c r="F69" s="60" t="s">
        <v>250</v>
      </c>
      <c r="G69" s="102" t="s">
        <v>377</v>
      </c>
      <c r="H69" s="60" t="s">
        <v>14</v>
      </c>
      <c r="I69" s="61" t="s">
        <v>683</v>
      </c>
      <c r="J69" s="60"/>
      <c r="K69" s="106" t="s">
        <v>242</v>
      </c>
      <c r="L69" s="103">
        <v>231</v>
      </c>
      <c r="M69" s="106" t="s">
        <v>226</v>
      </c>
      <c r="N69" s="103" t="s">
        <v>24</v>
      </c>
      <c r="O69" s="106" t="s">
        <v>13</v>
      </c>
    </row>
    <row r="70" spans="1:15" ht="15.75" thickBot="1">
      <c r="A70" s="12" t="s">
        <v>378</v>
      </c>
      <c r="B70" s="58" t="s">
        <v>378</v>
      </c>
      <c r="C70" s="61" t="s">
        <v>641</v>
      </c>
      <c r="D70" s="60" t="s">
        <v>225</v>
      </c>
      <c r="E70" s="61" t="s">
        <v>37</v>
      </c>
      <c r="F70" s="60" t="s">
        <v>379</v>
      </c>
      <c r="G70" s="102" t="s">
        <v>380</v>
      </c>
      <c r="H70" s="60" t="s">
        <v>228</v>
      </c>
      <c r="I70" s="61" t="s">
        <v>683</v>
      </c>
      <c r="J70" s="60"/>
      <c r="K70" s="106" t="s">
        <v>242</v>
      </c>
      <c r="L70" s="103">
        <v>22</v>
      </c>
      <c r="M70" s="106" t="s">
        <v>226</v>
      </c>
      <c r="N70" s="103" t="s">
        <v>24</v>
      </c>
      <c r="O70" s="106" t="s">
        <v>37</v>
      </c>
    </row>
    <row r="71" spans="1:15" ht="15.75" thickBot="1">
      <c r="A71" s="12" t="s">
        <v>693</v>
      </c>
      <c r="B71" s="58" t="s">
        <v>694</v>
      </c>
      <c r="C71" s="61" t="s">
        <v>225</v>
      </c>
      <c r="D71" s="60" t="s">
        <v>36</v>
      </c>
      <c r="E71" s="61" t="s">
        <v>37</v>
      </c>
      <c r="F71" s="60" t="s">
        <v>250</v>
      </c>
      <c r="G71" s="102" t="s">
        <v>695</v>
      </c>
      <c r="H71" s="60" t="s">
        <v>14</v>
      </c>
      <c r="I71" s="61" t="s">
        <v>683</v>
      </c>
      <c r="J71" s="60" t="s">
        <v>696</v>
      </c>
      <c r="K71" s="106" t="s">
        <v>242</v>
      </c>
      <c r="L71" s="103">
        <v>160</v>
      </c>
      <c r="M71" s="106" t="s">
        <v>226</v>
      </c>
      <c r="N71" s="103" t="s">
        <v>24</v>
      </c>
      <c r="O71" s="106" t="s">
        <v>37</v>
      </c>
    </row>
    <row r="72" spans="1:15" ht="15.75" thickBot="1">
      <c r="A72" s="12" t="s">
        <v>633</v>
      </c>
      <c r="B72" s="58" t="s">
        <v>634</v>
      </c>
      <c r="C72" s="61" t="s">
        <v>635</v>
      </c>
      <c r="D72" s="60" t="s">
        <v>38</v>
      </c>
      <c r="E72" s="61" t="s">
        <v>37</v>
      </c>
      <c r="F72" s="60" t="s">
        <v>250</v>
      </c>
      <c r="G72" s="102" t="s">
        <v>322</v>
      </c>
      <c r="H72" s="60" t="s">
        <v>14</v>
      </c>
      <c r="I72" s="61" t="s">
        <v>683</v>
      </c>
      <c r="J72" s="60"/>
      <c r="K72" s="106" t="s">
        <v>242</v>
      </c>
      <c r="L72" s="103">
        <v>40</v>
      </c>
      <c r="M72" s="106" t="s">
        <v>226</v>
      </c>
      <c r="N72" s="103" t="s">
        <v>24</v>
      </c>
      <c r="O72" s="106" t="s">
        <v>37</v>
      </c>
    </row>
    <row r="73" spans="1:15" ht="15.75" thickBot="1">
      <c r="A73" s="12" t="s">
        <v>381</v>
      </c>
      <c r="B73" s="58" t="s">
        <v>382</v>
      </c>
      <c r="C73" s="61" t="s">
        <v>383</v>
      </c>
      <c r="D73" s="60" t="s">
        <v>12</v>
      </c>
      <c r="E73" s="61" t="s">
        <v>13</v>
      </c>
      <c r="F73" s="60" t="s">
        <v>250</v>
      </c>
      <c r="G73" s="102" t="s">
        <v>384</v>
      </c>
      <c r="H73" s="60" t="s">
        <v>14</v>
      </c>
      <c r="I73" s="61" t="s">
        <v>385</v>
      </c>
      <c r="J73" s="60"/>
      <c r="K73" s="106" t="s">
        <v>242</v>
      </c>
      <c r="L73" s="103">
        <v>327</v>
      </c>
      <c r="M73" s="106" t="s">
        <v>226</v>
      </c>
      <c r="N73" s="103" t="s">
        <v>24</v>
      </c>
      <c r="O73" s="106" t="s">
        <v>13</v>
      </c>
    </row>
    <row r="74" spans="1:15" ht="15.75" thickBot="1">
      <c r="A74" s="12" t="s">
        <v>386</v>
      </c>
      <c r="B74" s="58" t="s">
        <v>387</v>
      </c>
      <c r="C74" s="61" t="s">
        <v>338</v>
      </c>
      <c r="D74" s="60" t="s">
        <v>36</v>
      </c>
      <c r="E74" s="61" t="s">
        <v>37</v>
      </c>
      <c r="F74" s="60" t="s">
        <v>250</v>
      </c>
      <c r="G74" s="102" t="s">
        <v>338</v>
      </c>
      <c r="H74" s="60" t="s">
        <v>14</v>
      </c>
      <c r="I74" s="61" t="s">
        <v>683</v>
      </c>
      <c r="J74" s="60"/>
      <c r="K74" s="106" t="s">
        <v>242</v>
      </c>
      <c r="L74" s="103">
        <v>300</v>
      </c>
      <c r="M74" s="106" t="s">
        <v>226</v>
      </c>
      <c r="N74" s="103" t="s">
        <v>24</v>
      </c>
      <c r="O74" s="106" t="s">
        <v>37</v>
      </c>
    </row>
    <row r="75" spans="1:15" ht="15.75" thickBot="1">
      <c r="A75" s="12" t="s">
        <v>388</v>
      </c>
      <c r="B75" s="58" t="s">
        <v>389</v>
      </c>
      <c r="C75" s="61" t="s">
        <v>117</v>
      </c>
      <c r="D75" s="60" t="s">
        <v>225</v>
      </c>
      <c r="E75" s="61" t="s">
        <v>17</v>
      </c>
      <c r="F75" s="60" t="s">
        <v>250</v>
      </c>
      <c r="G75" s="102" t="s">
        <v>225</v>
      </c>
      <c r="H75" s="60" t="s">
        <v>10</v>
      </c>
      <c r="I75" s="61" t="s">
        <v>683</v>
      </c>
      <c r="J75" s="60"/>
      <c r="K75" s="106" t="s">
        <v>242</v>
      </c>
      <c r="L75" s="103">
        <v>0</v>
      </c>
      <c r="M75" s="106" t="s">
        <v>227</v>
      </c>
      <c r="N75" s="103" t="s">
        <v>24</v>
      </c>
      <c r="O75" s="106" t="s">
        <v>17</v>
      </c>
    </row>
    <row r="76" spans="1:15" ht="15.75" thickBot="1">
      <c r="A76" s="12" t="s">
        <v>390</v>
      </c>
      <c r="B76" s="58" t="s">
        <v>26</v>
      </c>
      <c r="C76" s="61" t="s">
        <v>102</v>
      </c>
      <c r="D76" s="60" t="s">
        <v>775</v>
      </c>
      <c r="E76" s="61" t="s">
        <v>17</v>
      </c>
      <c r="F76" s="60" t="s">
        <v>250</v>
      </c>
      <c r="G76" s="102" t="s">
        <v>391</v>
      </c>
      <c r="H76" s="60" t="s">
        <v>10</v>
      </c>
      <c r="I76" s="61" t="s">
        <v>683</v>
      </c>
      <c r="J76" s="60"/>
      <c r="K76" s="106" t="s">
        <v>242</v>
      </c>
      <c r="L76" s="103">
        <v>2000</v>
      </c>
      <c r="M76" s="106" t="s">
        <v>226</v>
      </c>
      <c r="N76" s="103" t="s">
        <v>24</v>
      </c>
      <c r="O76" s="106" t="s">
        <v>17</v>
      </c>
    </row>
    <row r="77" spans="1:15" ht="15.75" thickBot="1">
      <c r="A77" s="12" t="s">
        <v>392</v>
      </c>
      <c r="B77" s="58" t="s">
        <v>270</v>
      </c>
      <c r="C77" s="61" t="s">
        <v>102</v>
      </c>
      <c r="D77" s="60" t="s">
        <v>38</v>
      </c>
      <c r="E77" s="61" t="s">
        <v>37</v>
      </c>
      <c r="F77" s="60" t="s">
        <v>250</v>
      </c>
      <c r="G77" s="102" t="s">
        <v>271</v>
      </c>
      <c r="H77" s="60" t="s">
        <v>228</v>
      </c>
      <c r="I77" s="61" t="s">
        <v>683</v>
      </c>
      <c r="J77" s="60"/>
      <c r="K77" s="106" t="s">
        <v>242</v>
      </c>
      <c r="L77" s="103">
        <v>120</v>
      </c>
      <c r="M77" s="106" t="s">
        <v>226</v>
      </c>
      <c r="N77" s="103" t="s">
        <v>24</v>
      </c>
      <c r="O77" s="106" t="s">
        <v>37</v>
      </c>
    </row>
    <row r="78" spans="1:15" ht="15.75" thickBot="1">
      <c r="A78" s="12" t="s">
        <v>446</v>
      </c>
      <c r="B78" s="58" t="s">
        <v>447</v>
      </c>
      <c r="C78" s="61" t="s">
        <v>102</v>
      </c>
      <c r="D78" s="60" t="s">
        <v>36</v>
      </c>
      <c r="E78" s="61" t="s">
        <v>37</v>
      </c>
      <c r="F78" s="60" t="s">
        <v>250</v>
      </c>
      <c r="G78" s="102" t="s">
        <v>111</v>
      </c>
      <c r="H78" s="60" t="s">
        <v>228</v>
      </c>
      <c r="I78" s="61" t="s">
        <v>683</v>
      </c>
      <c r="J78" s="60"/>
      <c r="K78" s="106" t="s">
        <v>242</v>
      </c>
      <c r="L78" s="103">
        <v>5</v>
      </c>
      <c r="M78" s="106" t="s">
        <v>226</v>
      </c>
      <c r="N78" s="103" t="s">
        <v>24</v>
      </c>
      <c r="O78" s="106" t="s">
        <v>37</v>
      </c>
    </row>
    <row r="79" spans="1:15" ht="15.75" thickBot="1">
      <c r="A79" s="12" t="s">
        <v>393</v>
      </c>
      <c r="B79" s="58" t="s">
        <v>394</v>
      </c>
      <c r="C79" s="61" t="s">
        <v>395</v>
      </c>
      <c r="D79" s="60" t="s">
        <v>36</v>
      </c>
      <c r="E79" s="61" t="s">
        <v>37</v>
      </c>
      <c r="F79" s="60" t="s">
        <v>250</v>
      </c>
      <c r="G79" s="102" t="s">
        <v>395</v>
      </c>
      <c r="H79" s="60" t="s">
        <v>14</v>
      </c>
      <c r="I79" s="61" t="s">
        <v>683</v>
      </c>
      <c r="J79" s="60"/>
      <c r="K79" s="106" t="s">
        <v>242</v>
      </c>
      <c r="L79" s="103">
        <v>600</v>
      </c>
      <c r="M79" s="106" t="s">
        <v>226</v>
      </c>
      <c r="N79" s="103" t="s">
        <v>24</v>
      </c>
      <c r="O79" s="106" t="s">
        <v>37</v>
      </c>
    </row>
    <row r="80" spans="1:15" ht="15.75" thickBot="1">
      <c r="A80" s="12" t="s">
        <v>396</v>
      </c>
      <c r="B80" s="58" t="s">
        <v>755</v>
      </c>
      <c r="C80" s="61" t="s">
        <v>396</v>
      </c>
      <c r="D80" s="60" t="s">
        <v>38</v>
      </c>
      <c r="E80" s="61" t="s">
        <v>37</v>
      </c>
      <c r="F80" s="60" t="s">
        <v>241</v>
      </c>
      <c r="G80" s="102" t="s">
        <v>397</v>
      </c>
      <c r="H80" s="60" t="s">
        <v>14</v>
      </c>
      <c r="I80" s="61" t="s">
        <v>756</v>
      </c>
      <c r="J80" s="60" t="s">
        <v>668</v>
      </c>
      <c r="K80" s="106" t="s">
        <v>241</v>
      </c>
      <c r="L80" s="103">
        <v>200</v>
      </c>
      <c r="M80" s="106" t="s">
        <v>226</v>
      </c>
      <c r="N80" s="103" t="s">
        <v>24</v>
      </c>
      <c r="O80" s="106" t="s">
        <v>37</v>
      </c>
    </row>
    <row r="81" spans="1:15" ht="15.75" thickBot="1">
      <c r="A81" s="12" t="s">
        <v>398</v>
      </c>
      <c r="B81" s="58" t="s">
        <v>399</v>
      </c>
      <c r="C81" s="61" t="s">
        <v>335</v>
      </c>
      <c r="D81" s="60" t="s">
        <v>36</v>
      </c>
      <c r="E81" s="61" t="s">
        <v>37</v>
      </c>
      <c r="F81" s="60" t="s">
        <v>275</v>
      </c>
      <c r="G81" s="102" t="s">
        <v>281</v>
      </c>
      <c r="H81" s="60" t="s">
        <v>14</v>
      </c>
      <c r="I81" s="61" t="s">
        <v>683</v>
      </c>
      <c r="J81" s="60"/>
      <c r="K81" s="106" t="s">
        <v>242</v>
      </c>
      <c r="L81" s="103">
        <v>150</v>
      </c>
      <c r="M81" s="106" t="s">
        <v>226</v>
      </c>
      <c r="N81" s="103" t="s">
        <v>24</v>
      </c>
      <c r="O81" s="106" t="s">
        <v>37</v>
      </c>
    </row>
    <row r="82" spans="1:15" ht="15.75" thickBot="1">
      <c r="A82" s="12" t="s">
        <v>400</v>
      </c>
      <c r="B82" s="58" t="s">
        <v>311</v>
      </c>
      <c r="C82" s="61" t="s">
        <v>102</v>
      </c>
      <c r="D82" s="60" t="s">
        <v>36</v>
      </c>
      <c r="E82" s="61" t="s">
        <v>37</v>
      </c>
      <c r="F82" s="60" t="s">
        <v>250</v>
      </c>
      <c r="G82" s="102" t="s">
        <v>326</v>
      </c>
      <c r="H82" s="60" t="s">
        <v>14</v>
      </c>
      <c r="I82" s="61" t="s">
        <v>683</v>
      </c>
      <c r="J82" s="60"/>
      <c r="K82" s="106" t="s">
        <v>242</v>
      </c>
      <c r="L82" s="103">
        <v>90</v>
      </c>
      <c r="M82" s="106" t="s">
        <v>226</v>
      </c>
      <c r="N82" s="103" t="s">
        <v>24</v>
      </c>
      <c r="O82" s="106" t="s">
        <v>37</v>
      </c>
    </row>
    <row r="83" spans="1:15" ht="15.75" thickBot="1">
      <c r="A83" s="12" t="s">
        <v>802</v>
      </c>
      <c r="B83" s="58" t="s">
        <v>803</v>
      </c>
      <c r="C83" s="61" t="s">
        <v>102</v>
      </c>
      <c r="D83" s="60" t="s">
        <v>36</v>
      </c>
      <c r="E83" s="61" t="s">
        <v>37</v>
      </c>
      <c r="F83" s="60" t="s">
        <v>250</v>
      </c>
      <c r="G83" s="102" t="s">
        <v>338</v>
      </c>
      <c r="H83" s="60" t="s">
        <v>14</v>
      </c>
      <c r="I83" s="61" t="s">
        <v>804</v>
      </c>
      <c r="J83" s="60" t="s">
        <v>805</v>
      </c>
      <c r="K83" s="106" t="s">
        <v>242</v>
      </c>
      <c r="L83" s="103">
        <v>300</v>
      </c>
      <c r="M83" s="106" t="s">
        <v>226</v>
      </c>
      <c r="N83" s="103" t="s">
        <v>24</v>
      </c>
      <c r="O83" s="106" t="s">
        <v>37</v>
      </c>
    </row>
    <row r="84" spans="1:15" ht="15.75" thickBot="1">
      <c r="A84" s="12" t="s">
        <v>401</v>
      </c>
      <c r="B84" s="58" t="s">
        <v>20</v>
      </c>
      <c r="C84" s="61" t="s">
        <v>102</v>
      </c>
      <c r="D84" s="60" t="s">
        <v>15</v>
      </c>
      <c r="E84" s="61" t="s">
        <v>16</v>
      </c>
      <c r="F84" s="60" t="s">
        <v>250</v>
      </c>
      <c r="G84" s="102" t="s">
        <v>225</v>
      </c>
      <c r="H84" s="60" t="s">
        <v>10</v>
      </c>
      <c r="I84" s="61" t="s">
        <v>683</v>
      </c>
      <c r="J84" s="60"/>
      <c r="K84" s="106" t="s">
        <v>242</v>
      </c>
      <c r="L84" s="103"/>
      <c r="M84" s="106" t="s">
        <v>226</v>
      </c>
      <c r="N84" s="103" t="s">
        <v>24</v>
      </c>
      <c r="O84" s="106" t="s">
        <v>15</v>
      </c>
    </row>
    <row r="85" spans="1:15" ht="15.75" thickBot="1">
      <c r="A85" s="12" t="s">
        <v>402</v>
      </c>
      <c r="B85" s="58" t="s">
        <v>403</v>
      </c>
      <c r="C85" s="61" t="s">
        <v>102</v>
      </c>
      <c r="D85" s="60" t="s">
        <v>225</v>
      </c>
      <c r="E85" s="61" t="s">
        <v>404</v>
      </c>
      <c r="F85" s="60" t="s">
        <v>250</v>
      </c>
      <c r="G85" s="102" t="s">
        <v>115</v>
      </c>
      <c r="H85" s="60" t="s">
        <v>10</v>
      </c>
      <c r="I85" s="61" t="s">
        <v>683</v>
      </c>
      <c r="J85" s="60"/>
      <c r="K85" s="106" t="s">
        <v>242</v>
      </c>
      <c r="L85" s="103">
        <v>32</v>
      </c>
      <c r="M85" s="106" t="s">
        <v>226</v>
      </c>
      <c r="N85" s="103" t="s">
        <v>24</v>
      </c>
      <c r="O85" s="106" t="s">
        <v>237</v>
      </c>
    </row>
    <row r="86" spans="1:15" ht="15.75" thickBot="1">
      <c r="A86" s="12" t="s">
        <v>448</v>
      </c>
      <c r="B86" s="58" t="s">
        <v>405</v>
      </c>
      <c r="C86" s="61" t="s">
        <v>37</v>
      </c>
      <c r="D86" s="60" t="s">
        <v>36</v>
      </c>
      <c r="E86" s="61" t="s">
        <v>37</v>
      </c>
      <c r="F86" s="60" t="s">
        <v>250</v>
      </c>
      <c r="G86" s="102" t="s">
        <v>113</v>
      </c>
      <c r="H86" s="60" t="s">
        <v>14</v>
      </c>
      <c r="I86" s="61" t="s">
        <v>683</v>
      </c>
      <c r="J86" s="60" t="s">
        <v>669</v>
      </c>
      <c r="K86" s="106" t="s">
        <v>242</v>
      </c>
      <c r="L86" s="103">
        <v>10</v>
      </c>
      <c r="M86" s="106" t="s">
        <v>226</v>
      </c>
      <c r="N86" s="103" t="s">
        <v>24</v>
      </c>
      <c r="O86" s="106" t="s">
        <v>37</v>
      </c>
    </row>
    <row r="87" spans="1:15" ht="15.75" thickBot="1">
      <c r="A87" s="12" t="s">
        <v>449</v>
      </c>
      <c r="B87" s="58" t="s">
        <v>405</v>
      </c>
      <c r="C87" s="61" t="s">
        <v>406</v>
      </c>
      <c r="D87" s="60" t="s">
        <v>12</v>
      </c>
      <c r="E87" s="61" t="s">
        <v>13</v>
      </c>
      <c r="F87" s="60" t="s">
        <v>250</v>
      </c>
      <c r="G87" s="102" t="s">
        <v>225</v>
      </c>
      <c r="H87" s="60" t="s">
        <v>14</v>
      </c>
      <c r="I87" s="61" t="s">
        <v>683</v>
      </c>
      <c r="J87" s="60" t="s">
        <v>669</v>
      </c>
      <c r="K87" s="106" t="s">
        <v>242</v>
      </c>
      <c r="L87" s="103">
        <v>0</v>
      </c>
      <c r="M87" s="106" t="s">
        <v>227</v>
      </c>
      <c r="N87" s="103" t="s">
        <v>24</v>
      </c>
      <c r="O87" s="106" t="s">
        <v>13</v>
      </c>
    </row>
    <row r="88" spans="1:15" ht="15.75" thickBot="1">
      <c r="A88" s="12" t="s">
        <v>407</v>
      </c>
      <c r="B88" s="58" t="s">
        <v>408</v>
      </c>
      <c r="C88" s="61" t="s">
        <v>409</v>
      </c>
      <c r="D88" s="60" t="s">
        <v>12</v>
      </c>
      <c r="E88" s="61" t="s">
        <v>13</v>
      </c>
      <c r="F88" s="60" t="s">
        <v>250</v>
      </c>
      <c r="G88" s="102" t="s">
        <v>410</v>
      </c>
      <c r="H88" s="60" t="s">
        <v>14</v>
      </c>
      <c r="I88" s="61" t="s">
        <v>683</v>
      </c>
      <c r="J88" s="60"/>
      <c r="K88" s="106" t="s">
        <v>242</v>
      </c>
      <c r="L88" s="103">
        <v>650</v>
      </c>
      <c r="M88" s="106" t="s">
        <v>226</v>
      </c>
      <c r="N88" s="103" t="s">
        <v>24</v>
      </c>
      <c r="O88" s="106" t="s">
        <v>13</v>
      </c>
    </row>
    <row r="89" spans="1:15" ht="15.75" thickBot="1">
      <c r="A89" s="12" t="s">
        <v>411</v>
      </c>
      <c r="B89" s="58" t="s">
        <v>96</v>
      </c>
      <c r="C89" s="61" t="s">
        <v>412</v>
      </c>
      <c r="D89" s="60" t="s">
        <v>36</v>
      </c>
      <c r="E89" s="61" t="s">
        <v>37</v>
      </c>
      <c r="F89" s="60" t="s">
        <v>250</v>
      </c>
      <c r="G89" s="102" t="s">
        <v>413</v>
      </c>
      <c r="H89" s="60" t="s">
        <v>14</v>
      </c>
      <c r="I89" s="61" t="s">
        <v>414</v>
      </c>
      <c r="J89" s="60" t="s">
        <v>670</v>
      </c>
      <c r="K89" s="106" t="s">
        <v>242</v>
      </c>
      <c r="L89" s="103">
        <v>55</v>
      </c>
      <c r="M89" s="106" t="s">
        <v>226</v>
      </c>
      <c r="N89" s="103" t="s">
        <v>24</v>
      </c>
      <c r="O89" s="106" t="s">
        <v>37</v>
      </c>
    </row>
    <row r="90" spans="1:15" ht="15.75" thickBot="1">
      <c r="A90" s="12" t="s">
        <v>415</v>
      </c>
      <c r="B90" s="58" t="s">
        <v>416</v>
      </c>
      <c r="C90" s="61" t="s">
        <v>417</v>
      </c>
      <c r="D90" s="60" t="s">
        <v>38</v>
      </c>
      <c r="E90" s="61" t="s">
        <v>37</v>
      </c>
      <c r="F90" s="60" t="s">
        <v>250</v>
      </c>
      <c r="G90" s="102" t="s">
        <v>225</v>
      </c>
      <c r="H90" s="60" t="s">
        <v>14</v>
      </c>
      <c r="I90" s="61" t="s">
        <v>683</v>
      </c>
      <c r="J90" s="60" t="s">
        <v>671</v>
      </c>
      <c r="K90" s="106" t="s">
        <v>242</v>
      </c>
      <c r="L90" s="103">
        <v>0</v>
      </c>
      <c r="M90" s="106" t="s">
        <v>227</v>
      </c>
      <c r="N90" s="103" t="s">
        <v>24</v>
      </c>
      <c r="O90" s="106" t="s">
        <v>37</v>
      </c>
    </row>
    <row r="91" spans="1:15" ht="15.75" thickBot="1">
      <c r="A91" s="12" t="s">
        <v>636</v>
      </c>
      <c r="B91" s="58" t="s">
        <v>279</v>
      </c>
      <c r="C91" s="61" t="s">
        <v>625</v>
      </c>
      <c r="D91" s="60" t="s">
        <v>36</v>
      </c>
      <c r="E91" s="61" t="s">
        <v>37</v>
      </c>
      <c r="F91" s="60" t="s">
        <v>250</v>
      </c>
      <c r="G91" s="102" t="s">
        <v>225</v>
      </c>
      <c r="H91" s="60" t="s">
        <v>14</v>
      </c>
      <c r="I91" s="61" t="s">
        <v>683</v>
      </c>
      <c r="J91" s="60"/>
      <c r="K91" s="106" t="s">
        <v>242</v>
      </c>
      <c r="L91" s="103">
        <v>0</v>
      </c>
      <c r="M91" s="106" t="s">
        <v>227</v>
      </c>
      <c r="N91" s="103" t="s">
        <v>24</v>
      </c>
      <c r="O91" s="106" t="s">
        <v>37</v>
      </c>
    </row>
    <row r="92" spans="1:15" ht="15.75" thickBot="1">
      <c r="A92" s="12" t="s">
        <v>642</v>
      </c>
      <c r="B92" s="58" t="s">
        <v>794</v>
      </c>
      <c r="C92" s="61" t="s">
        <v>102</v>
      </c>
      <c r="D92" s="60" t="s">
        <v>36</v>
      </c>
      <c r="E92" s="61" t="s">
        <v>37</v>
      </c>
      <c r="F92" s="60" t="s">
        <v>250</v>
      </c>
      <c r="G92" s="102" t="s">
        <v>792</v>
      </c>
      <c r="H92" s="60" t="s">
        <v>14</v>
      </c>
      <c r="I92" s="61" t="s">
        <v>683</v>
      </c>
      <c r="J92" s="60" t="s">
        <v>793</v>
      </c>
      <c r="K92" s="106" t="s">
        <v>242</v>
      </c>
      <c r="L92" s="103">
        <v>14.3</v>
      </c>
      <c r="M92" s="106" t="s">
        <v>226</v>
      </c>
      <c r="N92" s="103" t="s">
        <v>24</v>
      </c>
      <c r="O92" s="106" t="s">
        <v>37</v>
      </c>
    </row>
    <row r="93" spans="1:15" ht="15.75" thickBot="1">
      <c r="A93" s="12" t="s">
        <v>418</v>
      </c>
      <c r="B93" s="58" t="s">
        <v>419</v>
      </c>
      <c r="C93" s="61" t="s">
        <v>413</v>
      </c>
      <c r="D93" s="60" t="s">
        <v>36</v>
      </c>
      <c r="E93" s="61" t="s">
        <v>37</v>
      </c>
      <c r="F93" s="60" t="s">
        <v>250</v>
      </c>
      <c r="G93" s="102" t="s">
        <v>413</v>
      </c>
      <c r="H93" s="60" t="s">
        <v>14</v>
      </c>
      <c r="I93" s="61" t="s">
        <v>683</v>
      </c>
      <c r="J93" s="60"/>
      <c r="K93" s="104" t="s">
        <v>242</v>
      </c>
      <c r="L93" s="103">
        <v>55</v>
      </c>
      <c r="M93" s="104" t="s">
        <v>226</v>
      </c>
      <c r="N93" s="103" t="s">
        <v>24</v>
      </c>
      <c r="O93" s="104" t="s">
        <v>37</v>
      </c>
    </row>
    <row r="94" spans="1:15" ht="15.75" thickBot="1">
      <c r="A94" s="12" t="s">
        <v>420</v>
      </c>
      <c r="B94" s="58" t="s">
        <v>20</v>
      </c>
      <c r="C94" s="61" t="s">
        <v>338</v>
      </c>
      <c r="D94" s="60" t="s">
        <v>36</v>
      </c>
      <c r="E94" s="61" t="s">
        <v>37</v>
      </c>
      <c r="F94" s="60" t="s">
        <v>250</v>
      </c>
      <c r="G94" s="102" t="s">
        <v>338</v>
      </c>
      <c r="H94" s="60" t="s">
        <v>14</v>
      </c>
      <c r="I94" s="61" t="s">
        <v>683</v>
      </c>
      <c r="J94" s="60"/>
      <c r="K94" s="104" t="s">
        <v>242</v>
      </c>
      <c r="L94" s="103">
        <v>300</v>
      </c>
      <c r="M94" s="104" t="s">
        <v>226</v>
      </c>
      <c r="N94" s="103" t="s">
        <v>24</v>
      </c>
      <c r="O94" s="104" t="s">
        <v>37</v>
      </c>
    </row>
    <row r="95" spans="1:15" ht="15.75" thickBot="1">
      <c r="A95" s="12" t="s">
        <v>421</v>
      </c>
      <c r="B95" s="58" t="s">
        <v>422</v>
      </c>
      <c r="C95" s="61" t="s">
        <v>423</v>
      </c>
      <c r="D95" s="60" t="s">
        <v>38</v>
      </c>
      <c r="E95" s="61" t="s">
        <v>37</v>
      </c>
      <c r="F95" s="60" t="s">
        <v>250</v>
      </c>
      <c r="G95" s="102" t="s">
        <v>783</v>
      </c>
      <c r="H95" s="60" t="s">
        <v>14</v>
      </c>
      <c r="I95" s="61" t="s">
        <v>683</v>
      </c>
      <c r="J95" s="60"/>
      <c r="K95" s="104" t="s">
        <v>242</v>
      </c>
      <c r="L95" s="103">
        <v>170</v>
      </c>
      <c r="M95" s="104" t="s">
        <v>226</v>
      </c>
      <c r="N95" s="103" t="s">
        <v>24</v>
      </c>
      <c r="O95" s="104" t="s">
        <v>37</v>
      </c>
    </row>
    <row r="96" spans="1:15" ht="15.75" thickBot="1">
      <c r="A96" s="12" t="s">
        <v>424</v>
      </c>
      <c r="B96" s="58" t="s">
        <v>425</v>
      </c>
      <c r="C96" s="61" t="s">
        <v>102</v>
      </c>
      <c r="D96" s="60" t="s">
        <v>225</v>
      </c>
      <c r="E96" s="61" t="s">
        <v>404</v>
      </c>
      <c r="F96" s="60" t="s">
        <v>250</v>
      </c>
      <c r="G96" s="102" t="s">
        <v>413</v>
      </c>
      <c r="H96" s="60" t="s">
        <v>10</v>
      </c>
      <c r="I96" s="61" t="s">
        <v>683</v>
      </c>
      <c r="J96" s="60"/>
      <c r="K96" s="104" t="s">
        <v>242</v>
      </c>
      <c r="L96" s="103">
        <v>55</v>
      </c>
      <c r="M96" s="104" t="s">
        <v>226</v>
      </c>
      <c r="N96" s="103" t="s">
        <v>24</v>
      </c>
      <c r="O96" s="104" t="s">
        <v>237</v>
      </c>
    </row>
    <row r="97" spans="1:15" ht="15.75" thickBot="1">
      <c r="A97" s="12" t="s">
        <v>651</v>
      </c>
      <c r="B97" s="58" t="s">
        <v>97</v>
      </c>
      <c r="C97" s="61" t="s">
        <v>652</v>
      </c>
      <c r="D97" s="60" t="s">
        <v>12</v>
      </c>
      <c r="E97" s="61" t="s">
        <v>13</v>
      </c>
      <c r="F97" s="60" t="s">
        <v>250</v>
      </c>
      <c r="G97" s="102" t="s">
        <v>653</v>
      </c>
      <c r="H97" s="60" t="s">
        <v>14</v>
      </c>
      <c r="I97" s="61" t="s">
        <v>683</v>
      </c>
      <c r="J97" s="60"/>
      <c r="K97" s="104" t="s">
        <v>242</v>
      </c>
      <c r="L97" s="103">
        <v>174.93</v>
      </c>
      <c r="M97" s="104" t="s">
        <v>226</v>
      </c>
      <c r="N97" s="103" t="s">
        <v>24</v>
      </c>
      <c r="O97" s="104" t="s">
        <v>13</v>
      </c>
    </row>
    <row r="98" spans="1:15" ht="15.75" thickBot="1">
      <c r="A98" s="12" t="s">
        <v>697</v>
      </c>
      <c r="B98" s="58" t="s">
        <v>698</v>
      </c>
      <c r="C98" s="61" t="s">
        <v>225</v>
      </c>
      <c r="D98" s="60" t="s">
        <v>36</v>
      </c>
      <c r="E98" s="61" t="s">
        <v>37</v>
      </c>
      <c r="F98" s="60" t="s">
        <v>250</v>
      </c>
      <c r="G98" s="102" t="s">
        <v>687</v>
      </c>
      <c r="H98" s="60" t="s">
        <v>14</v>
      </c>
      <c r="I98" s="61" t="s">
        <v>683</v>
      </c>
      <c r="J98" s="60" t="s">
        <v>699</v>
      </c>
      <c r="K98" s="104" t="s">
        <v>242</v>
      </c>
      <c r="L98" s="103">
        <v>400</v>
      </c>
      <c r="M98" s="104" t="s">
        <v>226</v>
      </c>
      <c r="N98" s="103" t="s">
        <v>24</v>
      </c>
      <c r="O98" s="104" t="s">
        <v>37</v>
      </c>
    </row>
    <row r="99" spans="1:15" ht="15.75" thickBot="1">
      <c r="A99" s="12" t="s">
        <v>426</v>
      </c>
      <c r="B99" s="58" t="s">
        <v>427</v>
      </c>
      <c r="C99" s="61" t="s">
        <v>271</v>
      </c>
      <c r="D99" s="60" t="s">
        <v>12</v>
      </c>
      <c r="E99" s="61" t="s">
        <v>13</v>
      </c>
      <c r="F99" s="60" t="s">
        <v>250</v>
      </c>
      <c r="G99" s="102" t="s">
        <v>271</v>
      </c>
      <c r="H99" s="60" t="s">
        <v>14</v>
      </c>
      <c r="I99" s="61" t="s">
        <v>683</v>
      </c>
      <c r="J99" s="60"/>
      <c r="K99" s="104" t="s">
        <v>242</v>
      </c>
      <c r="L99" s="103">
        <v>120</v>
      </c>
      <c r="M99" s="104" t="s">
        <v>226</v>
      </c>
      <c r="N99" s="103" t="s">
        <v>24</v>
      </c>
      <c r="O99" s="104" t="s">
        <v>13</v>
      </c>
    </row>
    <row r="100" spans="1:15" ht="15.75" thickBot="1">
      <c r="A100" s="12" t="s">
        <v>428</v>
      </c>
      <c r="B100" s="58" t="s">
        <v>429</v>
      </c>
      <c r="C100" s="61" t="s">
        <v>430</v>
      </c>
      <c r="D100" s="60" t="s">
        <v>38</v>
      </c>
      <c r="E100" s="61" t="s">
        <v>37</v>
      </c>
      <c r="F100" s="60" t="s">
        <v>250</v>
      </c>
      <c r="G100" s="102" t="s">
        <v>338</v>
      </c>
      <c r="H100" s="60" t="s">
        <v>14</v>
      </c>
      <c r="I100" s="61" t="s">
        <v>431</v>
      </c>
      <c r="J100" s="60" t="s">
        <v>672</v>
      </c>
      <c r="K100" s="104" t="s">
        <v>242</v>
      </c>
      <c r="L100" s="103">
        <v>300</v>
      </c>
      <c r="M100" s="104" t="s">
        <v>226</v>
      </c>
      <c r="N100" s="103" t="s">
        <v>24</v>
      </c>
      <c r="O100" s="104" t="s">
        <v>37</v>
      </c>
    </row>
    <row r="101" spans="1:15">
      <c r="A101" s="157" t="s">
        <v>432</v>
      </c>
      <c r="B101" s="158" t="s">
        <v>433</v>
      </c>
      <c r="C101" s="159" t="s">
        <v>434</v>
      </c>
      <c r="D101" s="160" t="s">
        <v>12</v>
      </c>
      <c r="E101" s="159" t="s">
        <v>13</v>
      </c>
      <c r="F101" s="160" t="s">
        <v>250</v>
      </c>
      <c r="G101" s="161" t="s">
        <v>255</v>
      </c>
      <c r="H101" s="160" t="s">
        <v>14</v>
      </c>
      <c r="I101" s="159" t="s">
        <v>683</v>
      </c>
      <c r="J101" s="160"/>
      <c r="K101" s="104" t="s">
        <v>242</v>
      </c>
      <c r="L101" s="103">
        <v>280</v>
      </c>
      <c r="M101" s="104" t="s">
        <v>226</v>
      </c>
      <c r="N101" s="103" t="s">
        <v>24</v>
      </c>
      <c r="O101" s="104" t="s">
        <v>13</v>
      </c>
    </row>
    <row r="102" spans="1:15">
      <c r="J102" s="84"/>
      <c r="K102" s="84"/>
      <c r="L102" s="84"/>
      <c r="M102" s="84"/>
      <c r="N102" s="84"/>
      <c r="O102" s="84"/>
    </row>
    <row r="103" spans="1:15">
      <c r="A103" s="181" t="s">
        <v>773</v>
      </c>
      <c r="B103" s="182"/>
      <c r="C103" s="182"/>
      <c r="D103" s="182"/>
      <c r="E103" s="182"/>
      <c r="F103" s="182"/>
      <c r="G103" s="182"/>
      <c r="H103" s="182"/>
      <c r="I103" s="182"/>
      <c r="J103" s="182"/>
    </row>
  </sheetData>
  <mergeCells count="1">
    <mergeCell ref="A103:J103"/>
  </mergeCells>
  <pageMargins left="0.7" right="0.7" top="0.75" bottom="0.75" header="0.3" footer="0.3"/>
  <pageSetup paperSize="9" orientation="portrait"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44FD2-ABA6-4634-90E6-66FD9728B1AD}">
  <dimension ref="B1:M47"/>
  <sheetViews>
    <sheetView workbookViewId="0"/>
  </sheetViews>
  <sheetFormatPr defaultColWidth="9.140625" defaultRowHeight="15"/>
  <cols>
    <col min="1" max="1" width="2.140625" style="113" customWidth="1"/>
    <col min="2" max="2" width="23.140625" style="113" customWidth="1"/>
    <col min="3" max="3" width="11.140625" style="113" bestFit="1" customWidth="1"/>
    <col min="4" max="11" width="10.140625" style="113" customWidth="1"/>
    <col min="12" max="12" width="9.140625" style="113"/>
    <col min="13" max="13" width="11.42578125" style="113" customWidth="1"/>
    <col min="14" max="16384" width="9.140625" style="113"/>
  </cols>
  <sheetData>
    <row r="1" spans="2:11" ht="19.5">
      <c r="B1" s="112" t="s">
        <v>231</v>
      </c>
    </row>
    <row r="2" spans="2:11" ht="36.75" customHeight="1">
      <c r="B2" s="183" t="s">
        <v>707</v>
      </c>
      <c r="C2" s="183"/>
      <c r="D2" s="183"/>
      <c r="E2" s="183"/>
      <c r="F2" s="183"/>
      <c r="G2" s="183"/>
      <c r="H2" s="183"/>
      <c r="I2" s="183"/>
      <c r="J2" s="183"/>
      <c r="K2" s="183"/>
    </row>
    <row r="3" spans="2:11" ht="35.25" customHeight="1">
      <c r="B3" s="183" t="s">
        <v>708</v>
      </c>
      <c r="C3" s="183"/>
      <c r="D3" s="183"/>
      <c r="E3" s="183"/>
      <c r="F3" s="183"/>
      <c r="G3" s="183"/>
      <c r="H3" s="183"/>
      <c r="I3" s="183"/>
      <c r="J3" s="183"/>
      <c r="K3" s="183"/>
    </row>
    <row r="4" spans="2:11" ht="14.25" customHeight="1">
      <c r="B4" s="184" t="s">
        <v>709</v>
      </c>
      <c r="C4" s="184"/>
      <c r="D4" s="184"/>
      <c r="E4" s="184"/>
      <c r="F4" s="184"/>
      <c r="G4" s="184"/>
      <c r="H4" s="184"/>
      <c r="I4" s="184"/>
      <c r="J4" s="184"/>
      <c r="K4" s="184"/>
    </row>
    <row r="5" spans="2:11" ht="39" customHeight="1">
      <c r="B5" s="185" t="s">
        <v>710</v>
      </c>
      <c r="C5" s="185"/>
      <c r="D5" s="185"/>
      <c r="E5" s="185"/>
      <c r="F5" s="185"/>
      <c r="G5" s="185"/>
      <c r="H5" s="185"/>
      <c r="I5" s="185"/>
      <c r="J5" s="185"/>
      <c r="K5" s="185"/>
    </row>
    <row r="6" spans="2:11" ht="13.5" customHeight="1">
      <c r="B6" s="114"/>
      <c r="C6" s="114"/>
      <c r="D6" s="114"/>
      <c r="E6" s="114"/>
      <c r="F6" s="114"/>
      <c r="G6" s="114"/>
      <c r="H6" s="114"/>
      <c r="I6" s="114"/>
      <c r="J6" s="114"/>
      <c r="K6" s="114"/>
    </row>
    <row r="7" spans="2:11" ht="49.5" customHeight="1">
      <c r="B7" s="184" t="s">
        <v>719</v>
      </c>
      <c r="C7" s="184"/>
      <c r="D7" s="184"/>
      <c r="E7" s="184"/>
      <c r="F7" s="184"/>
      <c r="G7" s="184"/>
      <c r="H7" s="184"/>
      <c r="I7" s="184"/>
      <c r="J7" s="184"/>
      <c r="K7" s="184"/>
    </row>
    <row r="8" spans="2:11" ht="13.5" customHeight="1">
      <c r="B8" s="114"/>
      <c r="C8" s="114"/>
      <c r="D8" s="114"/>
      <c r="E8" s="114"/>
      <c r="F8" s="114"/>
      <c r="G8" s="114"/>
      <c r="H8" s="114"/>
      <c r="I8" s="114"/>
      <c r="J8" s="114"/>
      <c r="K8" s="114"/>
    </row>
    <row r="9" spans="2:11">
      <c r="B9" s="116" t="s">
        <v>531</v>
      </c>
    </row>
    <row r="10" spans="2:11" ht="28.5" customHeight="1">
      <c r="B10" s="183" t="s">
        <v>532</v>
      </c>
      <c r="C10" s="183"/>
      <c r="D10" s="183"/>
      <c r="E10" s="183"/>
      <c r="F10" s="183"/>
      <c r="G10" s="183"/>
      <c r="H10" s="183"/>
      <c r="I10" s="183"/>
      <c r="J10" s="183"/>
      <c r="K10" s="183"/>
    </row>
    <row r="11" spans="2:11" ht="39" customHeight="1">
      <c r="B11" s="183" t="s">
        <v>533</v>
      </c>
      <c r="C11" s="183"/>
      <c r="D11" s="183"/>
      <c r="E11" s="183"/>
      <c r="F11" s="183"/>
      <c r="G11" s="183"/>
      <c r="H11" s="183"/>
      <c r="I11" s="183"/>
      <c r="J11" s="183"/>
      <c r="K11" s="183"/>
    </row>
    <row r="12" spans="2:11" ht="15.75" customHeight="1">
      <c r="B12" s="115" t="s">
        <v>534</v>
      </c>
    </row>
    <row r="13" spans="2:11" ht="27" customHeight="1">
      <c r="B13" s="188" t="s">
        <v>535</v>
      </c>
      <c r="C13" s="189"/>
      <c r="D13" s="189"/>
      <c r="E13" s="189"/>
      <c r="F13" s="189"/>
      <c r="G13" s="189"/>
      <c r="H13" s="189"/>
      <c r="I13" s="189"/>
      <c r="J13" s="189"/>
      <c r="K13" s="189"/>
    </row>
    <row r="14" spans="2:11" ht="49.5" customHeight="1">
      <c r="B14" s="189" t="s">
        <v>536</v>
      </c>
      <c r="C14" s="189"/>
      <c r="D14" s="189"/>
      <c r="E14" s="189"/>
      <c r="F14" s="189"/>
      <c r="G14" s="189"/>
      <c r="H14" s="189"/>
      <c r="I14" s="189"/>
      <c r="J14" s="189"/>
      <c r="K14" s="189"/>
    </row>
    <row r="15" spans="2:11">
      <c r="B15" s="117"/>
    </row>
    <row r="16" spans="2:11">
      <c r="B16" s="118" t="s">
        <v>537</v>
      </c>
    </row>
    <row r="17" spans="2:12" ht="15.75" thickBot="1">
      <c r="B17" s="119" t="s">
        <v>538</v>
      </c>
      <c r="C17" s="127" t="s">
        <v>539</v>
      </c>
      <c r="D17" s="127" t="s">
        <v>540</v>
      </c>
    </row>
    <row r="18" spans="2:12" ht="16.5" thickTop="1" thickBot="1">
      <c r="B18" s="120" t="s">
        <v>541</v>
      </c>
      <c r="C18" s="121">
        <v>37</v>
      </c>
      <c r="D18" s="121">
        <v>15</v>
      </c>
    </row>
    <row r="19" spans="2:12" ht="15.75" thickBot="1">
      <c r="B19" s="120" t="s">
        <v>528</v>
      </c>
      <c r="C19" s="121">
        <v>42</v>
      </c>
      <c r="D19" s="121">
        <v>9</v>
      </c>
    </row>
    <row r="20" spans="2:12" ht="15.75" thickBot="1">
      <c r="B20" s="120" t="s">
        <v>542</v>
      </c>
      <c r="C20" s="121">
        <v>41</v>
      </c>
      <c r="D20" s="121">
        <v>8</v>
      </c>
    </row>
    <row r="21" spans="2:12" ht="15.75" thickBot="1">
      <c r="B21" s="120" t="s">
        <v>543</v>
      </c>
      <c r="C21" s="121">
        <v>43</v>
      </c>
      <c r="D21" s="121">
        <v>11</v>
      </c>
    </row>
    <row r="22" spans="2:12" ht="15.75" thickBot="1">
      <c r="B22" s="120" t="s">
        <v>544</v>
      </c>
      <c r="C22" s="121">
        <v>7.7</v>
      </c>
      <c r="D22" s="121">
        <v>1.2</v>
      </c>
    </row>
    <row r="23" spans="2:12">
      <c r="B23" s="122"/>
    </row>
    <row r="24" spans="2:12">
      <c r="B24" s="116" t="s">
        <v>545</v>
      </c>
    </row>
    <row r="25" spans="2:12" ht="25.5" customHeight="1">
      <c r="B25" s="183" t="s">
        <v>546</v>
      </c>
      <c r="C25" s="183"/>
      <c r="D25" s="183"/>
      <c r="E25" s="183"/>
      <c r="F25" s="183"/>
      <c r="G25" s="183"/>
      <c r="H25" s="183"/>
      <c r="I25" s="183"/>
      <c r="J25" s="183"/>
      <c r="K25" s="183"/>
    </row>
    <row r="26" spans="2:12">
      <c r="B26" s="115"/>
    </row>
    <row r="27" spans="2:12" ht="19.5">
      <c r="B27" s="123" t="s">
        <v>547</v>
      </c>
    </row>
    <row r="28" spans="2:12">
      <c r="B28" s="115" t="s">
        <v>548</v>
      </c>
    </row>
    <row r="29" spans="2:12" s="124" customFormat="1" ht="27.75" customHeight="1">
      <c r="B29" s="183" t="s">
        <v>720</v>
      </c>
      <c r="C29" s="183"/>
      <c r="D29" s="183"/>
      <c r="E29" s="183"/>
      <c r="F29" s="183"/>
      <c r="G29" s="183"/>
      <c r="H29" s="183"/>
      <c r="I29" s="183"/>
      <c r="J29" s="183"/>
      <c r="K29" s="183"/>
    </row>
    <row r="30" spans="2:12">
      <c r="B30" s="115" t="s">
        <v>711</v>
      </c>
    </row>
    <row r="31" spans="2:12">
      <c r="B31" s="117" t="s">
        <v>712</v>
      </c>
    </row>
    <row r="32" spans="2:12" ht="17.25" customHeight="1">
      <c r="B32" s="125"/>
      <c r="C32" s="190" t="s">
        <v>700</v>
      </c>
      <c r="D32" s="190"/>
      <c r="E32" s="190"/>
      <c r="F32" s="190"/>
      <c r="G32" s="190"/>
      <c r="H32" s="190"/>
      <c r="I32" s="190"/>
      <c r="J32" s="190"/>
      <c r="K32" s="190"/>
      <c r="L32" s="190"/>
    </row>
    <row r="33" spans="2:13" ht="30" customHeight="1">
      <c r="B33" s="117"/>
      <c r="C33" s="190" t="s">
        <v>713</v>
      </c>
      <c r="D33" s="190"/>
      <c r="E33" s="190"/>
      <c r="F33" s="190"/>
      <c r="G33" s="190"/>
      <c r="H33" s="190"/>
      <c r="I33" s="190"/>
      <c r="J33" s="190"/>
      <c r="K33" s="190"/>
      <c r="L33" s="190"/>
    </row>
    <row r="34" spans="2:13">
      <c r="B34" s="117" t="s">
        <v>680</v>
      </c>
    </row>
    <row r="35" spans="2:13" s="117" customFormat="1" ht="39.75" customHeight="1">
      <c r="C35" s="190" t="s">
        <v>721</v>
      </c>
      <c r="D35" s="190"/>
      <c r="E35" s="190"/>
      <c r="F35" s="190"/>
      <c r="G35" s="190"/>
      <c r="H35" s="190"/>
      <c r="I35" s="190"/>
      <c r="J35" s="190"/>
      <c r="K35" s="190"/>
      <c r="L35" s="190"/>
      <c r="M35" s="113"/>
    </row>
    <row r="36" spans="2:13" s="117" customFormat="1" ht="41.25" customHeight="1">
      <c r="C36" s="190" t="s">
        <v>681</v>
      </c>
      <c r="D36" s="190"/>
      <c r="E36" s="190"/>
      <c r="F36" s="190"/>
      <c r="G36" s="190"/>
      <c r="H36" s="190"/>
      <c r="I36" s="190"/>
      <c r="J36" s="190"/>
      <c r="K36" s="190"/>
      <c r="L36" s="190"/>
      <c r="M36" s="113"/>
    </row>
    <row r="37" spans="2:13" s="117" customFormat="1" ht="74.25" customHeight="1">
      <c r="C37" s="190" t="s">
        <v>714</v>
      </c>
      <c r="D37" s="190"/>
      <c r="E37" s="190"/>
      <c r="F37" s="190"/>
      <c r="G37" s="190"/>
      <c r="H37" s="190"/>
      <c r="I37" s="190"/>
      <c r="J37" s="190"/>
      <c r="K37" s="190"/>
      <c r="L37" s="190"/>
      <c r="M37" s="113"/>
    </row>
    <row r="38" spans="2:13" s="117" customFormat="1" ht="39" customHeight="1">
      <c r="C38" s="190" t="s">
        <v>715</v>
      </c>
      <c r="D38" s="190"/>
      <c r="E38" s="190"/>
      <c r="F38" s="190"/>
      <c r="G38" s="190"/>
      <c r="H38" s="190"/>
      <c r="I38" s="190"/>
      <c r="J38" s="190"/>
      <c r="K38" s="190"/>
      <c r="L38" s="190"/>
      <c r="M38" s="113"/>
    </row>
    <row r="39" spans="2:13" s="124" customFormat="1">
      <c r="B39" s="115"/>
    </row>
    <row r="40" spans="2:13" s="124" customFormat="1">
      <c r="B40" s="126" t="s">
        <v>549</v>
      </c>
    </row>
    <row r="41" spans="2:13" s="124" customFormat="1" ht="15.75" thickBot="1">
      <c r="B41" s="119" t="s">
        <v>550</v>
      </c>
      <c r="C41" s="186" t="s">
        <v>551</v>
      </c>
      <c r="D41" s="187"/>
      <c r="E41" s="187"/>
      <c r="F41" s="187"/>
      <c r="G41" s="187"/>
      <c r="H41" s="187"/>
      <c r="I41" s="187"/>
      <c r="J41" s="187"/>
    </row>
    <row r="42" spans="2:13" s="124" customFormat="1" ht="27.75" customHeight="1" thickTop="1" thickBot="1">
      <c r="B42" s="120" t="s">
        <v>552</v>
      </c>
      <c r="C42" s="191" t="s">
        <v>553</v>
      </c>
      <c r="D42" s="192"/>
      <c r="E42" s="192"/>
      <c r="F42" s="192"/>
      <c r="G42" s="192"/>
      <c r="H42" s="192"/>
      <c r="I42" s="192"/>
      <c r="J42" s="192"/>
    </row>
    <row r="43" spans="2:13" s="124" customFormat="1" ht="42.75" customHeight="1" thickBot="1">
      <c r="B43" s="120" t="s">
        <v>554</v>
      </c>
      <c r="C43" s="191" t="s">
        <v>555</v>
      </c>
      <c r="D43" s="192"/>
      <c r="E43" s="192"/>
      <c r="F43" s="192"/>
      <c r="G43" s="192"/>
      <c r="H43" s="192"/>
      <c r="I43" s="192"/>
      <c r="J43" s="192"/>
    </row>
    <row r="44" spans="2:13" s="124" customFormat="1" ht="46.5" customHeight="1" thickBot="1">
      <c r="B44" s="120" t="s">
        <v>722</v>
      </c>
      <c r="C44" s="191" t="s">
        <v>716</v>
      </c>
      <c r="D44" s="192"/>
      <c r="E44" s="192"/>
      <c r="F44" s="192"/>
      <c r="G44" s="192"/>
      <c r="H44" s="192"/>
      <c r="I44" s="192"/>
      <c r="J44" s="192"/>
    </row>
    <row r="45" spans="2:13" s="124" customFormat="1" ht="25.5" customHeight="1" thickBot="1">
      <c r="B45" s="120" t="s">
        <v>556</v>
      </c>
      <c r="C45" s="191" t="s">
        <v>557</v>
      </c>
      <c r="D45" s="192"/>
      <c r="E45" s="192"/>
      <c r="F45" s="192"/>
      <c r="G45" s="192"/>
      <c r="H45" s="192"/>
      <c r="I45" s="192"/>
      <c r="J45" s="192"/>
    </row>
    <row r="46" spans="2:13" s="124" customFormat="1" ht="23.25" customHeight="1" thickBot="1">
      <c r="B46" s="120" t="s">
        <v>717</v>
      </c>
      <c r="C46" s="191" t="s">
        <v>718</v>
      </c>
      <c r="D46" s="193"/>
      <c r="E46" s="193"/>
      <c r="F46" s="193"/>
      <c r="G46" s="193"/>
      <c r="H46" s="193"/>
      <c r="I46" s="193"/>
      <c r="J46" s="193"/>
    </row>
    <row r="47" spans="2:13" s="124" customFormat="1" ht="15.75" thickBot="1">
      <c r="B47" s="128"/>
    </row>
  </sheetData>
  <mergeCells count="23">
    <mergeCell ref="C42:J42"/>
    <mergeCell ref="C43:J43"/>
    <mergeCell ref="C44:J44"/>
    <mergeCell ref="C45:J45"/>
    <mergeCell ref="C46:J46"/>
    <mergeCell ref="C41:J41"/>
    <mergeCell ref="B11:K11"/>
    <mergeCell ref="B13:K13"/>
    <mergeCell ref="B14:K14"/>
    <mergeCell ref="B25:K25"/>
    <mergeCell ref="B29:K29"/>
    <mergeCell ref="C32:L32"/>
    <mergeCell ref="C33:L33"/>
    <mergeCell ref="C35:L35"/>
    <mergeCell ref="C36:L36"/>
    <mergeCell ref="C37:L37"/>
    <mergeCell ref="C38:L38"/>
    <mergeCell ref="B10:K10"/>
    <mergeCell ref="B2:K2"/>
    <mergeCell ref="B3:K3"/>
    <mergeCell ref="B4:K4"/>
    <mergeCell ref="B5:K5"/>
    <mergeCell ref="B7:K7"/>
  </mergeCell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a14523ce-dede-483e-883a-2d83261080bd">NETWORKDEV-2134468847-14094</_dlc_DocId>
    <_dlc_DocIdUrl xmlns="a14523ce-dede-483e-883a-2d83261080bd">
      <Url>http://sharedocs/sites/nd/BusinessAsUsual/_layouts/15/DocIdRedir.aspx?ID=NETWORKDEV-2134468847-14094</Url>
      <Description>NETWORKDEV-2134468847-14094</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1 6 " ? > < D a t a M a s h u p   s q m i d = " c d 5 1 e 4 2 6 - 4 e 3 1 - 4 1 1 d - b c 8 0 - 9 d a d 8 4 d 2 a 4 6 b "   x m l n s = " h t t p : / / s c h e m a s . m i c r o s o f t . c o m / D a t a M a s h u p " > A A A A A B c D A A B Q S w M E F A A C A A g A B W 4 y T p 1 J h 1 q n A A A A + Q A A A B I A H A B D b 2 5 m a W c v U G F j a 2 F n Z S 5 4 b W w g o h g A K K A U A A A A A A A A A A A A A A A A A A A A A A A A A A A A h Y / R C o I w G I V f R X b v N i d G y O 8 k u k 0 I o u h 2 z K U j n e F m 8 9 2 6 6 J F 6 h Y S y u u v y H L 4 D 3 3 n c 7 p C P b R N c V W 9 1 Z z I U Y Y o C Z W R X a l N l a H C n c I l y D l s h z 6 J S w Q Q b m 4 5 W Z 6 h 2 7 p I S 4 r 3 H P s Z d X x F G a U S O x W Y n a 9 W K U B v r h J E K f V b l / x X i c H j J c I a T B U 4 o i 3 E U U Q Z k 7 q H Q 5 s u w S R l T I D 8 l r I f G D b 3 i y o S r P Z A 5 A n n f 4 E 9 Q S w M E F A A C A A g A B W 4 y 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V u M k 4 o i k e 4 D g A A A B E A A A A T A B w A R m 9 y b X V s Y X M v U 2 V j d G l v b j E u b S C i G A A o o B Q A A A A A A A A A A A A A A A A A A A A A A A A A A A A r T k 0 u y c z P U w i G 0 I b W A F B L A Q I t A B Q A A g A I A A V u M k 6 d S Y d a p w A A A P k A A A A S A A A A A A A A A A A A A A A A A A A A A A B D b 2 5 m a W c v U G F j a 2 F n Z S 5 4 b W x Q S w E C L Q A U A A I A C A A F b j J O D 8 r p q 6 Q A A A D p A A A A E w A A A A A A A A A A A A A A A A D z A A A A W 0 N v b n R l b n R f V H l w Z X N d L n h t b F B L A Q I t A B Q A A g A I A A V u M k 4 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k 4 n k Q u D S E T p 7 O 2 A 5 u T Z P 3 A A A A A A I A A A A A A A N m A A D A A A A A E A A A A O 4 o F H r P n 9 S H n m H R w A m o P 3 I A A A A A B I A A A K A A A A A Q A A A A q 0 q p I n B d M i c B L l Z u l 8 e F s F A A A A B 3 j 7 g q i o a K Q N w D J Q Y T V Y L U g 9 N u f P a O y P m w F t g y 7 u v q D m z Z z D A 8 8 / s f r L 3 q M L g c 9 8 h E h 5 G c 1 a + e n Q u L n X c h L H 6 + 6 O 0 0 6 i o l g h g S r 6 t i y l B 2 r B Q A A A A J m 8 Q V R a o A l P w 7 t Q G g j I q y 7 P S y c w = = < / D a t a M a s h u p > 
</file>

<file path=customXml/item5.xml><?xml version="1.0" encoding="utf-8"?>
<ct:contentTypeSchema xmlns:ct="http://schemas.microsoft.com/office/2006/metadata/contentType" xmlns:ma="http://schemas.microsoft.com/office/2006/metadata/properties/metaAttributes" ct:_="" ma:_="" ma:contentTypeName="Document" ma:contentTypeID="0x010100A79E6C2BF3D7A64D87BF5B300ABBB426" ma:contentTypeVersion="0" ma:contentTypeDescription="Create a new document." ma:contentTypeScope="" ma:versionID="19f501622ec9cf6ee844a83e62ca8981">
  <xsd:schema xmlns:xsd="http://www.w3.org/2001/XMLSchema" xmlns:xs="http://www.w3.org/2001/XMLSchema" xmlns:p="http://schemas.microsoft.com/office/2006/metadata/properties" xmlns:ns2="a14523ce-dede-483e-883a-2d83261080bd" targetNamespace="http://schemas.microsoft.com/office/2006/metadata/properties" ma:root="true" ma:fieldsID="7609b2132cc27c2e027996f255529d92" ns2:_="">
    <xsd:import namespace="a14523ce-dede-483e-883a-2d83261080bd"/>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4523ce-dede-483e-883a-2d83261080b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77A1AA-8EAD-4B34-8081-66C741F499E3}">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a14523ce-dede-483e-883a-2d83261080bd"/>
    <ds:schemaRef ds:uri="http://www.w3.org/XML/1998/namespace"/>
  </ds:schemaRefs>
</ds:datastoreItem>
</file>

<file path=customXml/itemProps2.xml><?xml version="1.0" encoding="utf-8"?>
<ds:datastoreItem xmlns:ds="http://schemas.openxmlformats.org/officeDocument/2006/customXml" ds:itemID="{66DD0E50-4697-4935-AC05-3A47A89EDBD6}">
  <ds:schemaRefs>
    <ds:schemaRef ds:uri="http://schemas.microsoft.com/sharepoint/v3/contenttype/forms"/>
  </ds:schemaRefs>
</ds:datastoreItem>
</file>

<file path=customXml/itemProps3.xml><?xml version="1.0" encoding="utf-8"?>
<ds:datastoreItem xmlns:ds="http://schemas.openxmlformats.org/officeDocument/2006/customXml" ds:itemID="{F04A312B-B67F-463B-A32C-34BEAD0295F9}">
  <ds:schemaRefs>
    <ds:schemaRef ds:uri="http://schemas.microsoft.com/sharepoint/events"/>
  </ds:schemaRefs>
</ds:datastoreItem>
</file>

<file path=customXml/itemProps4.xml><?xml version="1.0" encoding="utf-8"?>
<ds:datastoreItem xmlns:ds="http://schemas.openxmlformats.org/officeDocument/2006/customXml" ds:itemID="{523EA9B0-1CBF-4A19-AD17-A2681226CD16}">
  <ds:schemaRefs>
    <ds:schemaRef ds:uri="http://schemas.microsoft.com/DataMashup"/>
  </ds:schemaRefs>
</ds:datastoreItem>
</file>

<file path=customXml/itemProps5.xml><?xml version="1.0" encoding="utf-8"?>
<ds:datastoreItem xmlns:ds="http://schemas.openxmlformats.org/officeDocument/2006/customXml" ds:itemID="{F7DAF047-B6A9-4177-A4EC-6E99B8B0B4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4523ce-dede-483e-883a-2d83261080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New South Wales Summary</vt:lpstr>
      <vt:lpstr>Change Log</vt:lpstr>
      <vt:lpstr>Existing S &amp; SS Generation</vt:lpstr>
      <vt:lpstr>Summer Scheduled Capacities</vt:lpstr>
      <vt:lpstr>Winter Scheduled Capacities</vt:lpstr>
      <vt:lpstr>Existing NS Generation</vt:lpstr>
      <vt:lpstr>New Developments</vt:lpstr>
      <vt:lpstr>Background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Generation_Information_TAS_autogen_CONFIDENTIAL.xlsx</dc:creator>
  <cp:lastModifiedBy>Dongxiao Wang</cp:lastModifiedBy>
  <dcterms:created xsi:type="dcterms:W3CDTF">2014-03-07T16:08:25Z</dcterms:created>
  <dcterms:modified xsi:type="dcterms:W3CDTF">2019-01-21T01:29:16Z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0x010100A79E6C2BF3D7A64D87BF5B300ABBB426</vt:lpwstr>
  </property>
  <property fmtid="{D5CDD505-2E9C-101B-9397-08002B2CF9AE}" pid="3" name="AEMODocumentTypeTaxHTField0">
    <vt:lpwstr>Operational Record|859762f2-4462-42eb-9744-c955c7e2c540</vt:lpwstr>
  </property>
  <property fmtid="{D5CDD505-2E9C-101B-9397-08002B2CF9AE}" pid="4" name="TaxCatchAll">
    <vt:lpwstr>3;#Operational Record|859762f2-4462-42eb-9744-c955c7e2c540</vt:lpwstr>
  </property>
  <property fmtid="{D5CDD505-2E9C-101B-9397-08002B2CF9AE}" pid="5" name="_dlc_DocIdItemGuid">
    <vt:lpwstr>bceb8682-dbfe-4bed-bcfe-3f5b9bfe3e52</vt:lpwstr>
  </property>
  <property fmtid="{D5CDD505-2E9C-101B-9397-08002B2CF9AE}" pid="6" name="AEMODocumentType">
    <vt:lpwstr>3;#Operational Record|859762f2-4462-42eb-9744-c955c7e2c540</vt:lpwstr>
  </property>
</Properties>
</file>