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r\Documents\MATLAB\Limpopo Project\"/>
    </mc:Choice>
  </mc:AlternateContent>
  <xr:revisionPtr revIDLastSave="0" documentId="13_ncr:1_{D11B565F-9A62-4E83-A878-4C30F25F5741}" xr6:coauthVersionLast="46" xr6:coauthVersionMax="46" xr10:uidLastSave="{00000000-0000-0000-0000-000000000000}"/>
  <bookViews>
    <workbookView xWindow="8076" yWindow="-108" windowWidth="11520" windowHeight="12360" firstSheet="2" activeTab="7" xr2:uid="{FE68FA14-52AF-4901-8AB0-445764E29950}"/>
  </bookViews>
  <sheets>
    <sheet name="2009-2010" sheetId="1" r:id="rId1"/>
    <sheet name="2010-2011" sheetId="2" r:id="rId2"/>
    <sheet name="2011-2012" sheetId="3" r:id="rId3"/>
    <sheet name="2012-2013" sheetId="4" r:id="rId4"/>
    <sheet name="2013-2014" sheetId="5" r:id="rId5"/>
    <sheet name="2014-2015" sheetId="6" r:id="rId6"/>
    <sheet name="2015-2016" sheetId="7" r:id="rId7"/>
    <sheet name="2016-2017" sheetId="8" r:id="rId8"/>
    <sheet name="2017-2018" sheetId="9" r:id="rId9"/>
    <sheet name="2018-2019" sheetId="10" r:id="rId10"/>
    <sheet name="2019-202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7" l="1"/>
  <c r="P12" i="4"/>
  <c r="AE13" i="9" l="1"/>
  <c r="AE12" i="9"/>
  <c r="AE11" i="9"/>
  <c r="AE10" i="9"/>
  <c r="AE9" i="9"/>
  <c r="AE8" i="9"/>
  <c r="AE7" i="9"/>
  <c r="AE6" i="9"/>
  <c r="AE5" i="9"/>
  <c r="AE4" i="9"/>
  <c r="AE3" i="9"/>
  <c r="AE2" i="9"/>
  <c r="AE14" i="9" s="1"/>
  <c r="AM8" i="11"/>
  <c r="AM7" i="11"/>
  <c r="AM6" i="11"/>
  <c r="AM5" i="11"/>
  <c r="AM4" i="11"/>
  <c r="AF10" i="10"/>
  <c r="AF9" i="10"/>
  <c r="AF8" i="10"/>
  <c r="AF7" i="10"/>
  <c r="AF6" i="10"/>
  <c r="AF5" i="10"/>
  <c r="AF4" i="10"/>
  <c r="AF3" i="10"/>
  <c r="AF2" i="10"/>
  <c r="AF13" i="9"/>
  <c r="AF11" i="9"/>
  <c r="AF10" i="9"/>
  <c r="AF9" i="9"/>
  <c r="AF8" i="9"/>
  <c r="AF7" i="9"/>
  <c r="AF6" i="9"/>
  <c r="AF5" i="9"/>
  <c r="AF4" i="9"/>
  <c r="AF3" i="9"/>
  <c r="AF2" i="9"/>
  <c r="AF11" i="8"/>
  <c r="AF10" i="8"/>
  <c r="AF9" i="8"/>
  <c r="AF8" i="8"/>
  <c r="AF7" i="8"/>
  <c r="AF6" i="8"/>
  <c r="AF5" i="8"/>
  <c r="AF4" i="8"/>
  <c r="AF3" i="8"/>
  <c r="AF2" i="8"/>
  <c r="AF13" i="7"/>
  <c r="AF12" i="7"/>
  <c r="AF11" i="7"/>
  <c r="AF10" i="7"/>
  <c r="AF9" i="7"/>
  <c r="AF8" i="7"/>
  <c r="AF7" i="7"/>
  <c r="AF6" i="7"/>
  <c r="AF5" i="7"/>
  <c r="AF4" i="7"/>
  <c r="AF3" i="7"/>
  <c r="AF11" i="6"/>
  <c r="AF10" i="6"/>
  <c r="AF9" i="6"/>
  <c r="AF8" i="6"/>
  <c r="AF7" i="6"/>
  <c r="AF6" i="6"/>
  <c r="AF5" i="6"/>
  <c r="AF4" i="6"/>
  <c r="AF3" i="6"/>
  <c r="AF11" i="5"/>
  <c r="AF10" i="5"/>
  <c r="AF9" i="5"/>
  <c r="AF8" i="5"/>
  <c r="AF7" i="5"/>
  <c r="AF6" i="5"/>
  <c r="AF5" i="5"/>
  <c r="AF4" i="5"/>
  <c r="AF3" i="5"/>
  <c r="AF2" i="5"/>
  <c r="AE11" i="4"/>
  <c r="AE10" i="4"/>
  <c r="AE8" i="4"/>
  <c r="AE7" i="4"/>
  <c r="AE6" i="4"/>
  <c r="AE5" i="4"/>
  <c r="AE4" i="4"/>
  <c r="AE3" i="4"/>
  <c r="AF9" i="3"/>
  <c r="AF8" i="3"/>
  <c r="AF7" i="3"/>
  <c r="AF6" i="3"/>
  <c r="AF5" i="3"/>
  <c r="AF4" i="3"/>
  <c r="AF13" i="2"/>
  <c r="AF11" i="2"/>
  <c r="AF10" i="2"/>
  <c r="AF9" i="2"/>
  <c r="AF8" i="2"/>
  <c r="AF7" i="2"/>
  <c r="AF6" i="2"/>
  <c r="AF5" i="2"/>
  <c r="AF4" i="2"/>
  <c r="AF3" i="2"/>
  <c r="AF13" i="1"/>
  <c r="AF12" i="1"/>
  <c r="AF11" i="1"/>
  <c r="AF10" i="1"/>
  <c r="AF9" i="1"/>
  <c r="AF8" i="1"/>
  <c r="AF7" i="1"/>
  <c r="AF6" i="1"/>
  <c r="AL8" i="11"/>
  <c r="AL7" i="11"/>
  <c r="AL6" i="11"/>
  <c r="AL5" i="11"/>
  <c r="AL4" i="11"/>
  <c r="AL3" i="11"/>
  <c r="AE12" i="10"/>
  <c r="AE11" i="10"/>
  <c r="AE10" i="10"/>
  <c r="AE9" i="10"/>
  <c r="AE8" i="10"/>
  <c r="AE7" i="10"/>
  <c r="AE6" i="10"/>
  <c r="AE5" i="10"/>
  <c r="AE4" i="10"/>
  <c r="AE3" i="10"/>
  <c r="AE2" i="10"/>
  <c r="AD13" i="9"/>
  <c r="AD12" i="9"/>
  <c r="AD11" i="9"/>
  <c r="AD10" i="9"/>
  <c r="AD9" i="9"/>
  <c r="AD8" i="9"/>
  <c r="AD7" i="9"/>
  <c r="AD6" i="9"/>
  <c r="AD5" i="9"/>
  <c r="AD4" i="9"/>
  <c r="AD3" i="9"/>
  <c r="AD2" i="9"/>
  <c r="AE13" i="8"/>
  <c r="AE11" i="8"/>
  <c r="AE10" i="8"/>
  <c r="AE9" i="8"/>
  <c r="AE8" i="8"/>
  <c r="AE7" i="8"/>
  <c r="AE6" i="8"/>
  <c r="AE5" i="8"/>
  <c r="AE4" i="8"/>
  <c r="AE3" i="8"/>
  <c r="AE2" i="8"/>
  <c r="AE13" i="7"/>
  <c r="AE12" i="7"/>
  <c r="AE11" i="7"/>
  <c r="AE10" i="7"/>
  <c r="AE8" i="7"/>
  <c r="AE7" i="7"/>
  <c r="AE6" i="7"/>
  <c r="AE5" i="7"/>
  <c r="AE4" i="7"/>
  <c r="AE3" i="7"/>
  <c r="AE2" i="7"/>
  <c r="AE13" i="6"/>
  <c r="AE12" i="6"/>
  <c r="AE11" i="6"/>
  <c r="AE10" i="6"/>
  <c r="AE9" i="6"/>
  <c r="AE8" i="6"/>
  <c r="AE7" i="6"/>
  <c r="AE6" i="6"/>
  <c r="AE5" i="6"/>
  <c r="AE4" i="6"/>
  <c r="AE3" i="6"/>
  <c r="AE11" i="5"/>
  <c r="AE10" i="5"/>
  <c r="AE9" i="5"/>
  <c r="AE8" i="5"/>
  <c r="AE7" i="5"/>
  <c r="AE6" i="5"/>
  <c r="AE5" i="5"/>
  <c r="AE4" i="5"/>
  <c r="AE3" i="5"/>
  <c r="AE2" i="5"/>
  <c r="AD13" i="4"/>
  <c r="AD11" i="4"/>
  <c r="AD10" i="4"/>
  <c r="AD9" i="4"/>
  <c r="AD8" i="4"/>
  <c r="AD7" i="4"/>
  <c r="AD6" i="4"/>
  <c r="AD4" i="4"/>
  <c r="AD3" i="4"/>
  <c r="AE13" i="3"/>
  <c r="AE10" i="3"/>
  <c r="AE9" i="3"/>
  <c r="AE8" i="3"/>
  <c r="AE7" i="3"/>
  <c r="AE6" i="3"/>
  <c r="AE5" i="3"/>
  <c r="AE4" i="3"/>
  <c r="AE3" i="3"/>
  <c r="AE2" i="3"/>
  <c r="AE13" i="2"/>
  <c r="AE12" i="2"/>
  <c r="AE11" i="2"/>
  <c r="AE10" i="2"/>
  <c r="AE9" i="2"/>
  <c r="AE8" i="2"/>
  <c r="AE7" i="2"/>
  <c r="AE6" i="2"/>
  <c r="AE5" i="2"/>
  <c r="AE4" i="2"/>
  <c r="AE3" i="2"/>
  <c r="AE2" i="2"/>
  <c r="AE13" i="1"/>
  <c r="AE12" i="1"/>
  <c r="AE11" i="1"/>
  <c r="AE10" i="1"/>
  <c r="AE9" i="1"/>
  <c r="AE8" i="1"/>
  <c r="AE7" i="1"/>
  <c r="AE6" i="1"/>
  <c r="AE5" i="1"/>
  <c r="AE4" i="1"/>
  <c r="AF14" i="1" l="1"/>
  <c r="AE14" i="1"/>
  <c r="AM14" i="11"/>
  <c r="AF14" i="10"/>
  <c r="AF14" i="9"/>
  <c r="AF14" i="8"/>
  <c r="AF14" i="7"/>
  <c r="AF14" i="6"/>
  <c r="AF14" i="5"/>
  <c r="AE14" i="4"/>
  <c r="AF14" i="3"/>
  <c r="AF14" i="2"/>
  <c r="AL14" i="11"/>
  <c r="AE14" i="10"/>
  <c r="AE14" i="8"/>
  <c r="AE14" i="7"/>
  <c r="AE14" i="6"/>
  <c r="AE14" i="5"/>
  <c r="AD14" i="4"/>
  <c r="AE14" i="3"/>
  <c r="AE14" i="2"/>
  <c r="AK8" i="11" l="1"/>
  <c r="AK7" i="11"/>
  <c r="AK6" i="11"/>
  <c r="AK5" i="11"/>
  <c r="AD10" i="10"/>
  <c r="AD9" i="10"/>
  <c r="AD8" i="10"/>
  <c r="AD7" i="10"/>
  <c r="AD6" i="10"/>
  <c r="AD5" i="10"/>
  <c r="AD4" i="10"/>
  <c r="AD13" i="8"/>
  <c r="AD11" i="8"/>
  <c r="AD10" i="8"/>
  <c r="AD9" i="8"/>
  <c r="AD8" i="8"/>
  <c r="AD7" i="8"/>
  <c r="AD6" i="8"/>
  <c r="AD5" i="8"/>
  <c r="AD4" i="8"/>
  <c r="AD3" i="8"/>
  <c r="AD13" i="7"/>
  <c r="AD12" i="7"/>
  <c r="AD11" i="7"/>
  <c r="AD10" i="7"/>
  <c r="AD9" i="7"/>
  <c r="AD8" i="7"/>
  <c r="AD7" i="7"/>
  <c r="AD6" i="7"/>
  <c r="AD5" i="7"/>
  <c r="AD4" i="7"/>
  <c r="AD3" i="7"/>
  <c r="AD10" i="6"/>
  <c r="AD9" i="6"/>
  <c r="AD8" i="6"/>
  <c r="AD7" i="6"/>
  <c r="AD6" i="6"/>
  <c r="AD5" i="6"/>
  <c r="AD4" i="6"/>
  <c r="AD11" i="5"/>
  <c r="AD10" i="5"/>
  <c r="AD9" i="5"/>
  <c r="AD8" i="5"/>
  <c r="AD7" i="5"/>
  <c r="AD6" i="5"/>
  <c r="AD5" i="5"/>
  <c r="AD4" i="5"/>
  <c r="AD2" i="5"/>
  <c r="AC13" i="4"/>
  <c r="AC10" i="4"/>
  <c r="AC9" i="4"/>
  <c r="AC8" i="4"/>
  <c r="AC7" i="4"/>
  <c r="AC6" i="4"/>
  <c r="AC5" i="4"/>
  <c r="AC3" i="4"/>
  <c r="AC2" i="4"/>
  <c r="AD10" i="3"/>
  <c r="AD9" i="3"/>
  <c r="AD8" i="3"/>
  <c r="AD7" i="3"/>
  <c r="AD6" i="3"/>
  <c r="AD5" i="3"/>
  <c r="AD4" i="3"/>
  <c r="AD2" i="3"/>
  <c r="AD13" i="2"/>
  <c r="AD12" i="2"/>
  <c r="AD10" i="2"/>
  <c r="AD9" i="2"/>
  <c r="AD8" i="2"/>
  <c r="AD7" i="2"/>
  <c r="AD6" i="2"/>
  <c r="AD5" i="2"/>
  <c r="AD4" i="2"/>
  <c r="AD13" i="1"/>
  <c r="AD11" i="1"/>
  <c r="AD10" i="1"/>
  <c r="AD9" i="1"/>
  <c r="AD7" i="1"/>
  <c r="AD6" i="1"/>
  <c r="AD5" i="1"/>
  <c r="AD4" i="1"/>
  <c r="AD3" i="1"/>
  <c r="AD2" i="1"/>
  <c r="AJ8" i="11"/>
  <c r="AJ7" i="11"/>
  <c r="AJ6" i="11"/>
  <c r="AJ5" i="11"/>
  <c r="AJ14" i="11" s="1"/>
  <c r="AC10" i="10"/>
  <c r="AC9" i="10"/>
  <c r="AC8" i="10"/>
  <c r="AC7" i="10"/>
  <c r="AC6" i="10"/>
  <c r="AC5" i="10"/>
  <c r="AC4" i="10"/>
  <c r="AC13" i="9"/>
  <c r="AC11" i="9"/>
  <c r="AC8" i="9"/>
  <c r="AC7" i="9"/>
  <c r="AC5" i="9"/>
  <c r="AC4" i="9"/>
  <c r="AC11" i="8"/>
  <c r="AC10" i="8"/>
  <c r="AC9" i="8"/>
  <c r="AC8" i="8"/>
  <c r="AC7" i="8"/>
  <c r="AC6" i="8"/>
  <c r="AC5" i="8"/>
  <c r="AC4" i="8"/>
  <c r="AC13" i="7"/>
  <c r="AC12" i="7"/>
  <c r="AC9" i="7"/>
  <c r="AC8" i="7"/>
  <c r="AC7" i="7"/>
  <c r="AC6" i="7"/>
  <c r="AC5" i="7"/>
  <c r="AC4" i="7"/>
  <c r="AC3" i="7"/>
  <c r="AC10" i="6"/>
  <c r="AC7" i="6"/>
  <c r="AC8" i="6"/>
  <c r="AC9" i="6"/>
  <c r="AC6" i="6"/>
  <c r="AC5" i="6"/>
  <c r="AC4" i="6"/>
  <c r="AC10" i="5"/>
  <c r="AC9" i="5"/>
  <c r="AC8" i="5"/>
  <c r="AC7" i="5"/>
  <c r="AC6" i="5"/>
  <c r="AC5" i="5"/>
  <c r="AC4" i="5"/>
  <c r="AC3" i="5"/>
  <c r="AC2" i="5"/>
  <c r="AB13" i="4"/>
  <c r="AB9" i="4"/>
  <c r="AB7" i="4"/>
  <c r="AB6" i="4"/>
  <c r="AB5" i="4"/>
  <c r="AB4" i="4"/>
  <c r="AB3" i="4"/>
  <c r="AC9" i="3"/>
  <c r="AC8" i="3"/>
  <c r="AC7" i="3"/>
  <c r="AC6" i="3"/>
  <c r="AC5" i="3"/>
  <c r="AC4" i="3"/>
  <c r="AC13" i="2"/>
  <c r="AC12" i="2"/>
  <c r="AC11" i="2"/>
  <c r="AC10" i="2"/>
  <c r="AC9" i="2"/>
  <c r="AC7" i="2"/>
  <c r="AC6" i="2"/>
  <c r="AC5" i="2"/>
  <c r="AC4" i="2"/>
  <c r="AC11" i="1"/>
  <c r="AC8" i="1"/>
  <c r="AC7" i="1"/>
  <c r="AC9" i="1"/>
  <c r="AC10" i="1"/>
  <c r="AC6" i="1"/>
  <c r="AC5" i="1"/>
  <c r="AC3" i="1"/>
  <c r="AI8" i="11"/>
  <c r="AI7" i="11"/>
  <c r="AI6" i="11"/>
  <c r="AI5" i="11"/>
  <c r="AI4" i="11"/>
  <c r="AB10" i="10"/>
  <c r="AB9" i="10"/>
  <c r="AB8" i="10"/>
  <c r="AB7" i="10"/>
  <c r="AB6" i="10"/>
  <c r="AB5" i="10"/>
  <c r="AB4" i="10"/>
  <c r="AB11" i="9"/>
  <c r="AB10" i="9"/>
  <c r="AB9" i="9"/>
  <c r="AB8" i="9"/>
  <c r="AB6" i="9"/>
  <c r="AB5" i="9"/>
  <c r="AB4" i="9"/>
  <c r="AB10" i="8"/>
  <c r="AB9" i="8"/>
  <c r="AB8" i="8"/>
  <c r="AB7" i="8"/>
  <c r="AB6" i="8"/>
  <c r="AB5" i="8"/>
  <c r="AB4" i="8"/>
  <c r="AB8" i="7"/>
  <c r="AB7" i="7"/>
  <c r="AB6" i="7"/>
  <c r="AB5" i="7"/>
  <c r="AB4" i="7"/>
  <c r="AB3" i="7"/>
  <c r="AB10" i="6"/>
  <c r="AB9" i="6"/>
  <c r="AB8" i="6"/>
  <c r="AB7" i="6"/>
  <c r="AB6" i="6"/>
  <c r="AB5" i="6"/>
  <c r="AB4" i="6"/>
  <c r="AB10" i="5"/>
  <c r="AB9" i="5"/>
  <c r="AB8" i="5"/>
  <c r="AB7" i="5"/>
  <c r="AB6" i="5"/>
  <c r="AB5" i="5"/>
  <c r="AB4" i="5"/>
  <c r="AA10" i="4"/>
  <c r="AA9" i="4"/>
  <c r="AA8" i="4"/>
  <c r="AA7" i="4"/>
  <c r="AA6" i="4"/>
  <c r="AA5" i="4"/>
  <c r="AA4" i="4"/>
  <c r="AA3" i="4"/>
  <c r="AA2" i="4"/>
  <c r="AB8" i="3"/>
  <c r="AB7" i="3"/>
  <c r="AB6" i="3"/>
  <c r="AB5" i="3"/>
  <c r="AB4" i="3"/>
  <c r="AB12" i="2"/>
  <c r="AB11" i="2"/>
  <c r="AB10" i="2"/>
  <c r="AB9" i="2"/>
  <c r="AB8" i="2"/>
  <c r="AB6" i="2"/>
  <c r="AB5" i="2"/>
  <c r="AB11" i="1"/>
  <c r="AB10" i="1"/>
  <c r="AB9" i="1"/>
  <c r="AB8" i="1"/>
  <c r="AB7" i="1"/>
  <c r="AB5" i="1"/>
  <c r="AB4" i="1"/>
  <c r="AH14" i="11"/>
  <c r="AA14" i="10"/>
  <c r="AA14" i="9"/>
  <c r="AA13" i="8"/>
  <c r="AA11" i="8"/>
  <c r="AA10" i="8"/>
  <c r="AA9" i="8"/>
  <c r="AA8" i="8"/>
  <c r="AA7" i="8"/>
  <c r="AA6" i="8"/>
  <c r="AA5" i="8"/>
  <c r="AA4" i="8"/>
  <c r="AA3" i="8"/>
  <c r="AA13" i="7"/>
  <c r="AA12" i="7"/>
  <c r="AA11" i="7"/>
  <c r="AA10" i="7"/>
  <c r="AA9" i="7"/>
  <c r="AA8" i="7"/>
  <c r="AA7" i="7"/>
  <c r="AA6" i="7"/>
  <c r="AA5" i="7"/>
  <c r="AA4" i="7"/>
  <c r="AA3" i="7"/>
  <c r="AA13" i="6"/>
  <c r="AA11" i="6"/>
  <c r="AA10" i="6"/>
  <c r="AA9" i="6"/>
  <c r="AA8" i="6"/>
  <c r="AA7" i="6"/>
  <c r="AA6" i="6"/>
  <c r="AA5" i="6"/>
  <c r="AA4" i="6"/>
  <c r="AA10" i="5"/>
  <c r="AA9" i="5"/>
  <c r="AA8" i="5"/>
  <c r="AA7" i="5"/>
  <c r="AA6" i="5"/>
  <c r="AA5" i="5"/>
  <c r="AA4" i="5"/>
  <c r="AA3" i="5"/>
  <c r="Z13" i="4"/>
  <c r="Z10" i="4"/>
  <c r="Z9" i="4"/>
  <c r="Z8" i="4"/>
  <c r="Z7" i="4"/>
  <c r="Z6" i="4"/>
  <c r="Z5" i="4"/>
  <c r="Z4" i="4"/>
  <c r="Z3" i="4"/>
  <c r="AA9" i="3"/>
  <c r="AA8" i="3"/>
  <c r="AA7" i="3"/>
  <c r="AA6" i="3"/>
  <c r="AA5" i="3"/>
  <c r="AA4" i="3"/>
  <c r="AA3" i="3"/>
  <c r="AA2" i="3"/>
  <c r="AA11" i="2"/>
  <c r="AA10" i="2"/>
  <c r="AA9" i="2"/>
  <c r="AA8" i="2"/>
  <c r="AA7" i="2"/>
  <c r="AA6" i="2"/>
  <c r="AA5" i="2"/>
  <c r="AA4" i="2"/>
  <c r="AA13" i="1"/>
  <c r="AA11" i="1"/>
  <c r="AA10" i="1"/>
  <c r="AA9" i="1"/>
  <c r="AA8" i="1"/>
  <c r="AA7" i="1"/>
  <c r="AA6" i="1"/>
  <c r="AA5" i="1"/>
  <c r="AA4" i="1"/>
  <c r="AA3" i="1"/>
  <c r="AG5" i="11"/>
  <c r="AG14" i="11"/>
  <c r="Z10" i="10"/>
  <c r="Z9" i="10"/>
  <c r="Z8" i="10"/>
  <c r="Z7" i="10"/>
  <c r="Z6" i="10"/>
  <c r="Z5" i="10"/>
  <c r="Z4" i="10"/>
  <c r="Z3" i="10"/>
  <c r="Z10" i="9"/>
  <c r="Z9" i="9"/>
  <c r="Z8" i="9"/>
  <c r="Z7" i="9"/>
  <c r="Z6" i="9"/>
  <c r="Z4" i="9"/>
  <c r="Z11" i="8"/>
  <c r="Z10" i="8"/>
  <c r="Z9" i="8"/>
  <c r="Z8" i="8"/>
  <c r="Z7" i="8"/>
  <c r="Z6" i="8"/>
  <c r="Z5" i="8"/>
  <c r="Z13" i="7"/>
  <c r="Z12" i="7"/>
  <c r="Z11" i="7"/>
  <c r="Z10" i="7"/>
  <c r="Z9" i="7"/>
  <c r="Z8" i="7"/>
  <c r="Z7" i="7"/>
  <c r="Z6" i="7"/>
  <c r="Z5" i="7"/>
  <c r="Z4" i="7"/>
  <c r="Z3" i="7"/>
  <c r="Z13" i="6"/>
  <c r="Z10" i="6"/>
  <c r="Z9" i="6"/>
  <c r="Z8" i="6"/>
  <c r="Z7" i="6"/>
  <c r="Z6" i="6"/>
  <c r="Z5" i="6"/>
  <c r="Z4" i="6"/>
  <c r="Z14" i="6" s="1"/>
  <c r="Z11" i="5"/>
  <c r="Z10" i="5"/>
  <c r="Z9" i="5"/>
  <c r="Z8" i="5"/>
  <c r="Z7" i="5"/>
  <c r="Z6" i="5"/>
  <c r="Z5" i="5"/>
  <c r="Z4" i="5"/>
  <c r="Y9" i="4"/>
  <c r="Y8" i="4"/>
  <c r="Y7" i="4"/>
  <c r="Y6" i="4"/>
  <c r="Y5" i="4"/>
  <c r="Y4" i="4"/>
  <c r="Y3" i="4"/>
  <c r="Z10" i="3"/>
  <c r="Z9" i="3"/>
  <c r="Z8" i="3"/>
  <c r="Z7" i="3"/>
  <c r="Z6" i="3"/>
  <c r="Z5" i="3"/>
  <c r="Z4" i="3"/>
  <c r="Z12" i="2"/>
  <c r="Z11" i="2"/>
  <c r="Z10" i="2"/>
  <c r="Z9" i="2"/>
  <c r="Z8" i="2"/>
  <c r="Z7" i="2"/>
  <c r="Z6" i="2"/>
  <c r="Z5" i="2"/>
  <c r="Z4" i="2"/>
  <c r="Z11" i="1"/>
  <c r="Z10" i="1"/>
  <c r="Z9" i="1"/>
  <c r="Z7" i="1"/>
  <c r="Z6" i="1"/>
  <c r="Z5" i="1"/>
  <c r="AF7" i="11"/>
  <c r="AF6" i="11"/>
  <c r="AF5" i="11"/>
  <c r="AF4" i="11"/>
  <c r="Y10" i="10"/>
  <c r="Y9" i="10"/>
  <c r="Y8" i="10"/>
  <c r="Y7" i="10"/>
  <c r="Y6" i="10"/>
  <c r="Y5" i="10"/>
  <c r="Y3" i="10"/>
  <c r="Y11" i="9"/>
  <c r="Y9" i="9"/>
  <c r="Y8" i="9"/>
  <c r="Y7" i="9"/>
  <c r="Y6" i="9"/>
  <c r="Y5" i="9"/>
  <c r="Y4" i="9"/>
  <c r="Y11" i="8"/>
  <c r="Y10" i="8"/>
  <c r="Y9" i="8"/>
  <c r="Y8" i="8"/>
  <c r="Y7" i="8"/>
  <c r="Y6" i="8"/>
  <c r="Y5" i="8"/>
  <c r="Y4" i="8"/>
  <c r="Y13" i="7"/>
  <c r="Y11" i="7"/>
  <c r="Y10" i="7"/>
  <c r="Y9" i="7"/>
  <c r="Y8" i="7"/>
  <c r="Y7" i="7"/>
  <c r="Y6" i="7"/>
  <c r="Y5" i="7"/>
  <c r="Y4" i="7"/>
  <c r="Y3" i="7"/>
  <c r="Y13" i="6"/>
  <c r="Y11" i="6"/>
  <c r="Y10" i="6"/>
  <c r="Y9" i="6"/>
  <c r="Y8" i="6"/>
  <c r="Y7" i="6"/>
  <c r="Y6" i="6"/>
  <c r="Y5" i="6"/>
  <c r="Y4" i="6"/>
  <c r="Y10" i="5"/>
  <c r="Y9" i="5"/>
  <c r="Y8" i="5"/>
  <c r="Y7" i="5"/>
  <c r="Y6" i="5"/>
  <c r="Y5" i="5"/>
  <c r="Y4" i="5"/>
  <c r="X9" i="4"/>
  <c r="X8" i="4"/>
  <c r="X7" i="4"/>
  <c r="X6" i="4"/>
  <c r="X5" i="4"/>
  <c r="X4" i="4"/>
  <c r="X3" i="4"/>
  <c r="Y10" i="3"/>
  <c r="Y9" i="3"/>
  <c r="Y8" i="3"/>
  <c r="Y7" i="3"/>
  <c r="Y6" i="3"/>
  <c r="Y5" i="3"/>
  <c r="Y4" i="3"/>
  <c r="Y3" i="3"/>
  <c r="Y10" i="2"/>
  <c r="Y8" i="2"/>
  <c r="Y7" i="2"/>
  <c r="Y6" i="2"/>
  <c r="Y5" i="2"/>
  <c r="Y4" i="2"/>
  <c r="Y11" i="1"/>
  <c r="Y10" i="1"/>
  <c r="Y9" i="1"/>
  <c r="Y8" i="1"/>
  <c r="Y7" i="1"/>
  <c r="Y6" i="1"/>
  <c r="Y5" i="1"/>
  <c r="Y4" i="1"/>
  <c r="Y3" i="1"/>
  <c r="AE9" i="11"/>
  <c r="AE7" i="11"/>
  <c r="AE6" i="11"/>
  <c r="AE5" i="11"/>
  <c r="AE4" i="11"/>
  <c r="X10" i="10"/>
  <c r="X9" i="10"/>
  <c r="X8" i="10"/>
  <c r="X7" i="10"/>
  <c r="X6" i="10"/>
  <c r="X5" i="10"/>
  <c r="X4" i="10"/>
  <c r="X3" i="10"/>
  <c r="X13" i="9"/>
  <c r="X11" i="9"/>
  <c r="X10" i="9"/>
  <c r="X9" i="9"/>
  <c r="X8" i="9"/>
  <c r="X7" i="9"/>
  <c r="X6" i="9"/>
  <c r="X4" i="9"/>
  <c r="X3" i="9"/>
  <c r="X11" i="8"/>
  <c r="X10" i="8"/>
  <c r="X8" i="8"/>
  <c r="X7" i="8"/>
  <c r="X6" i="8"/>
  <c r="X5" i="8"/>
  <c r="X4" i="8"/>
  <c r="X13" i="7"/>
  <c r="X12" i="7"/>
  <c r="X9" i="7"/>
  <c r="X8" i="7"/>
  <c r="X7" i="7"/>
  <c r="X6" i="7"/>
  <c r="X5" i="7"/>
  <c r="X4" i="7"/>
  <c r="X3" i="7"/>
  <c r="X13" i="6"/>
  <c r="X10" i="6"/>
  <c r="X9" i="6"/>
  <c r="X8" i="6"/>
  <c r="X7" i="6"/>
  <c r="X6" i="6"/>
  <c r="X5" i="6"/>
  <c r="X4" i="6"/>
  <c r="X10" i="5"/>
  <c r="X9" i="5"/>
  <c r="X8" i="5"/>
  <c r="X7" i="5"/>
  <c r="X6" i="5"/>
  <c r="X5" i="5"/>
  <c r="X4" i="5"/>
  <c r="X3" i="5"/>
  <c r="W10" i="4"/>
  <c r="W7" i="4"/>
  <c r="W6" i="4"/>
  <c r="W5" i="4"/>
  <c r="W4" i="4"/>
  <c r="W3" i="4"/>
  <c r="X9" i="3"/>
  <c r="X8" i="3"/>
  <c r="X7" i="3"/>
  <c r="X6" i="3"/>
  <c r="X5" i="3"/>
  <c r="X4" i="3"/>
  <c r="X2" i="3"/>
  <c r="X12" i="2"/>
  <c r="X11" i="2"/>
  <c r="X10" i="2"/>
  <c r="X9" i="2"/>
  <c r="X8" i="2"/>
  <c r="X7" i="2"/>
  <c r="X6" i="2"/>
  <c r="X5" i="2"/>
  <c r="X4" i="2"/>
  <c r="X11" i="1"/>
  <c r="X10" i="1"/>
  <c r="X9" i="1"/>
  <c r="X8" i="1"/>
  <c r="X7" i="1"/>
  <c r="X6" i="1"/>
  <c r="X5" i="1"/>
  <c r="X4" i="1"/>
  <c r="X3" i="1"/>
  <c r="AD14" i="11"/>
  <c r="W10" i="10"/>
  <c r="W9" i="10"/>
  <c r="W8" i="10"/>
  <c r="W7" i="10"/>
  <c r="W6" i="10"/>
  <c r="W5" i="10"/>
  <c r="W4" i="10"/>
  <c r="W13" i="9"/>
  <c r="W11" i="9"/>
  <c r="W10" i="9"/>
  <c r="W9" i="9"/>
  <c r="W8" i="9"/>
  <c r="W7" i="9"/>
  <c r="W6" i="9"/>
  <c r="W5" i="9"/>
  <c r="W4" i="9"/>
  <c r="W10" i="8"/>
  <c r="W9" i="8"/>
  <c r="W8" i="8"/>
  <c r="W7" i="8"/>
  <c r="W6" i="8"/>
  <c r="W5" i="8"/>
  <c r="W4" i="8"/>
  <c r="W3" i="8"/>
  <c r="W11" i="7"/>
  <c r="W10" i="7"/>
  <c r="W9" i="7"/>
  <c r="W8" i="7"/>
  <c r="W7" i="7"/>
  <c r="W6" i="7"/>
  <c r="W5" i="7"/>
  <c r="W4" i="7"/>
  <c r="W3" i="7"/>
  <c r="W10" i="6"/>
  <c r="W9" i="6"/>
  <c r="W8" i="6"/>
  <c r="W7" i="6"/>
  <c r="W6" i="6"/>
  <c r="W5" i="6"/>
  <c r="W4" i="6"/>
  <c r="W11" i="5"/>
  <c r="W10" i="5"/>
  <c r="W9" i="5"/>
  <c r="W7" i="5"/>
  <c r="W6" i="5"/>
  <c r="W5" i="5"/>
  <c r="W4" i="5"/>
  <c r="V10" i="4"/>
  <c r="V9" i="4"/>
  <c r="V8" i="4"/>
  <c r="V7" i="4"/>
  <c r="V6" i="4"/>
  <c r="V5" i="4"/>
  <c r="V4" i="4"/>
  <c r="V3" i="4"/>
  <c r="W11" i="3"/>
  <c r="W9" i="3"/>
  <c r="W8" i="3"/>
  <c r="W7" i="3"/>
  <c r="W6" i="3"/>
  <c r="W5" i="3"/>
  <c r="W4" i="3"/>
  <c r="W2" i="3"/>
  <c r="W12" i="2"/>
  <c r="W11" i="2"/>
  <c r="W10" i="2"/>
  <c r="W9" i="2"/>
  <c r="W8" i="2"/>
  <c r="W7" i="2"/>
  <c r="W6" i="2"/>
  <c r="W5" i="2"/>
  <c r="W4" i="2"/>
  <c r="W11" i="1"/>
  <c r="W10" i="1"/>
  <c r="W9" i="1"/>
  <c r="W8" i="1"/>
  <c r="W7" i="1"/>
  <c r="W6" i="1"/>
  <c r="W5" i="1"/>
  <c r="W4" i="1"/>
  <c r="W3" i="1"/>
  <c r="AC5" i="11"/>
  <c r="AC4" i="11"/>
  <c r="V11" i="10"/>
  <c r="V10" i="10"/>
  <c r="V9" i="10"/>
  <c r="V8" i="10"/>
  <c r="V7" i="10"/>
  <c r="V6" i="10"/>
  <c r="V5" i="10"/>
  <c r="V4" i="10"/>
  <c r="V11" i="9"/>
  <c r="V10" i="9"/>
  <c r="V9" i="9"/>
  <c r="V8" i="9"/>
  <c r="V7" i="9"/>
  <c r="V6" i="9"/>
  <c r="V5" i="9"/>
  <c r="V4" i="9"/>
  <c r="V13" i="8"/>
  <c r="V10" i="8"/>
  <c r="V9" i="8"/>
  <c r="V8" i="8"/>
  <c r="V7" i="8"/>
  <c r="V6" i="8"/>
  <c r="V5" i="8"/>
  <c r="V4" i="8"/>
  <c r="V13" i="7"/>
  <c r="V12" i="7"/>
  <c r="V11" i="7"/>
  <c r="V10" i="7"/>
  <c r="V9" i="7"/>
  <c r="V8" i="7"/>
  <c r="V7" i="7"/>
  <c r="V6" i="7"/>
  <c r="V5" i="7"/>
  <c r="V4" i="7"/>
  <c r="V3" i="7"/>
  <c r="V10" i="6"/>
  <c r="V9" i="6"/>
  <c r="V8" i="6"/>
  <c r="V7" i="6"/>
  <c r="V6" i="6"/>
  <c r="V5" i="6"/>
  <c r="V4" i="6"/>
  <c r="V11" i="5"/>
  <c r="V10" i="5"/>
  <c r="V9" i="5"/>
  <c r="V8" i="5"/>
  <c r="V7" i="5"/>
  <c r="V6" i="5"/>
  <c r="V5" i="5"/>
  <c r="V4" i="5"/>
  <c r="V3" i="5"/>
  <c r="U13" i="4"/>
  <c r="U10" i="4"/>
  <c r="U9" i="4"/>
  <c r="U8" i="4"/>
  <c r="U7" i="4"/>
  <c r="U6" i="4"/>
  <c r="U5" i="4"/>
  <c r="U4" i="4"/>
  <c r="V10" i="3"/>
  <c r="V9" i="3"/>
  <c r="V8" i="3"/>
  <c r="V7" i="3"/>
  <c r="V6" i="3"/>
  <c r="V5" i="3"/>
  <c r="V4" i="3"/>
  <c r="V13" i="2"/>
  <c r="V12" i="2"/>
  <c r="V11" i="2"/>
  <c r="V10" i="2"/>
  <c r="V9" i="2"/>
  <c r="V8" i="2"/>
  <c r="V7" i="2"/>
  <c r="V6" i="2"/>
  <c r="V5" i="2"/>
  <c r="V11" i="1"/>
  <c r="V10" i="1"/>
  <c r="V9" i="1"/>
  <c r="V8" i="1"/>
  <c r="V7" i="1"/>
  <c r="V6" i="1"/>
  <c r="V5" i="1"/>
  <c r="V4" i="1"/>
  <c r="V3" i="1"/>
  <c r="V2" i="1"/>
  <c r="AB8" i="11"/>
  <c r="AB7" i="11"/>
  <c r="AB6" i="11"/>
  <c r="AB5" i="11"/>
  <c r="AB4" i="11"/>
  <c r="AB3" i="11"/>
  <c r="U10" i="10"/>
  <c r="U9" i="10"/>
  <c r="U8" i="10"/>
  <c r="U7" i="10"/>
  <c r="U6" i="10"/>
  <c r="U5" i="10"/>
  <c r="U4" i="10"/>
  <c r="U3" i="10"/>
  <c r="U2" i="10"/>
  <c r="U13" i="9"/>
  <c r="U12" i="9"/>
  <c r="U11" i="9"/>
  <c r="U10" i="9"/>
  <c r="U9" i="9"/>
  <c r="U8" i="9"/>
  <c r="U7" i="9"/>
  <c r="U6" i="9"/>
  <c r="U5" i="9"/>
  <c r="U4" i="9"/>
  <c r="U3" i="9"/>
  <c r="U13" i="8"/>
  <c r="U11" i="8"/>
  <c r="U10" i="8"/>
  <c r="U9" i="8"/>
  <c r="U8" i="8"/>
  <c r="U7" i="8"/>
  <c r="U6" i="8"/>
  <c r="U5" i="8"/>
  <c r="U4" i="8"/>
  <c r="U3" i="8"/>
  <c r="U13" i="7"/>
  <c r="U11" i="7"/>
  <c r="U10" i="7"/>
  <c r="U9" i="7"/>
  <c r="U8" i="7"/>
  <c r="U7" i="7"/>
  <c r="U6" i="7"/>
  <c r="U5" i="7"/>
  <c r="U4" i="7"/>
  <c r="U3" i="7"/>
  <c r="U13" i="6"/>
  <c r="U11" i="6"/>
  <c r="U10" i="6"/>
  <c r="U9" i="6"/>
  <c r="U8" i="6"/>
  <c r="U7" i="6"/>
  <c r="U6" i="6"/>
  <c r="U5" i="6"/>
  <c r="U4" i="6"/>
  <c r="U3" i="6"/>
  <c r="U2" i="6"/>
  <c r="U10" i="5"/>
  <c r="U9" i="5"/>
  <c r="U8" i="5"/>
  <c r="U7" i="5"/>
  <c r="U6" i="5"/>
  <c r="U5" i="5"/>
  <c r="U4" i="5"/>
  <c r="U3" i="5"/>
  <c r="U2" i="5"/>
  <c r="T13" i="4"/>
  <c r="T10" i="4"/>
  <c r="T9" i="4"/>
  <c r="T7" i="4"/>
  <c r="T5" i="4"/>
  <c r="T4" i="4"/>
  <c r="T3" i="4"/>
  <c r="T2" i="4"/>
  <c r="U10" i="3"/>
  <c r="U9" i="3"/>
  <c r="U8" i="3"/>
  <c r="U7" i="3"/>
  <c r="U6" i="3"/>
  <c r="U5" i="3"/>
  <c r="U4" i="3"/>
  <c r="U13" i="2"/>
  <c r="U12" i="2"/>
  <c r="U11" i="2"/>
  <c r="U10" i="2"/>
  <c r="U9" i="2"/>
  <c r="U8" i="2"/>
  <c r="U7" i="2"/>
  <c r="U6" i="2"/>
  <c r="U5" i="2"/>
  <c r="U4" i="2"/>
  <c r="U13" i="1"/>
  <c r="U12" i="1"/>
  <c r="U11" i="1"/>
  <c r="U10" i="1"/>
  <c r="U9" i="1"/>
  <c r="U8" i="1"/>
  <c r="U7" i="1"/>
  <c r="U6" i="1"/>
  <c r="U5" i="1"/>
  <c r="AA8" i="11"/>
  <c r="AA7" i="11"/>
  <c r="AA6" i="11"/>
  <c r="AA5" i="11"/>
  <c r="AA4" i="11"/>
  <c r="AA3" i="11"/>
  <c r="AA2" i="11"/>
  <c r="T12" i="10"/>
  <c r="T10" i="10"/>
  <c r="T9" i="10"/>
  <c r="T8" i="10"/>
  <c r="T7" i="10"/>
  <c r="T6" i="10"/>
  <c r="T5" i="10"/>
  <c r="T4" i="10"/>
  <c r="T3" i="10"/>
  <c r="T2" i="10"/>
  <c r="T13" i="9"/>
  <c r="T12" i="9"/>
  <c r="T11" i="9"/>
  <c r="T10" i="9"/>
  <c r="T9" i="9"/>
  <c r="T8" i="9"/>
  <c r="T7" i="9"/>
  <c r="T6" i="9"/>
  <c r="T5" i="9"/>
  <c r="T4" i="9"/>
  <c r="T3" i="9"/>
  <c r="T2" i="9"/>
  <c r="T13" i="8"/>
  <c r="T11" i="8"/>
  <c r="T10" i="8"/>
  <c r="T9" i="8"/>
  <c r="T8" i="8"/>
  <c r="T7" i="8"/>
  <c r="T6" i="8"/>
  <c r="T5" i="8"/>
  <c r="T4" i="8"/>
  <c r="T3" i="8"/>
  <c r="T13" i="7"/>
  <c r="T12" i="7"/>
  <c r="T11" i="7"/>
  <c r="T10" i="7"/>
  <c r="T9" i="7"/>
  <c r="T8" i="7"/>
  <c r="T7" i="7"/>
  <c r="T6" i="7"/>
  <c r="T5" i="7"/>
  <c r="T4" i="7"/>
  <c r="T3" i="7"/>
  <c r="T2" i="7"/>
  <c r="T13" i="6"/>
  <c r="T11" i="6"/>
  <c r="T10" i="6"/>
  <c r="T9" i="6"/>
  <c r="T8" i="6"/>
  <c r="T7" i="6"/>
  <c r="T6" i="6"/>
  <c r="T5" i="6"/>
  <c r="T4" i="6"/>
  <c r="T3" i="6"/>
  <c r="T2" i="6"/>
  <c r="T13" i="5"/>
  <c r="T12" i="5"/>
  <c r="T11" i="5"/>
  <c r="T10" i="5"/>
  <c r="T9" i="5"/>
  <c r="T8" i="5"/>
  <c r="T7" i="5"/>
  <c r="T6" i="5"/>
  <c r="T5" i="5"/>
  <c r="T4" i="5"/>
  <c r="T3" i="5"/>
  <c r="T2" i="5"/>
  <c r="S13" i="4"/>
  <c r="S12" i="4"/>
  <c r="S11" i="4"/>
  <c r="S10" i="4"/>
  <c r="S9" i="4"/>
  <c r="S8" i="4"/>
  <c r="S7" i="4"/>
  <c r="S6" i="4"/>
  <c r="S5" i="4"/>
  <c r="S4" i="4"/>
  <c r="S3" i="4"/>
  <c r="S2" i="4"/>
  <c r="T13" i="3"/>
  <c r="T12" i="3"/>
  <c r="T11" i="3"/>
  <c r="T10" i="3"/>
  <c r="T9" i="3"/>
  <c r="T8" i="3"/>
  <c r="T7" i="3"/>
  <c r="T6" i="3"/>
  <c r="T5" i="3"/>
  <c r="T4" i="3"/>
  <c r="T3" i="3"/>
  <c r="T2" i="3"/>
  <c r="T13" i="2"/>
  <c r="T11" i="2"/>
  <c r="T10" i="2"/>
  <c r="T9" i="2"/>
  <c r="T8" i="2"/>
  <c r="T7" i="2"/>
  <c r="T6" i="2"/>
  <c r="T5" i="2"/>
  <c r="T4" i="2"/>
  <c r="T3" i="2"/>
  <c r="T13" i="1"/>
  <c r="T12" i="1"/>
  <c r="T11" i="1"/>
  <c r="T10" i="1"/>
  <c r="T9" i="1"/>
  <c r="T8" i="1"/>
  <c r="T7" i="1"/>
  <c r="T6" i="1"/>
  <c r="T5" i="1"/>
  <c r="T4" i="1"/>
  <c r="T3" i="1"/>
  <c r="T2" i="1"/>
  <c r="Z6" i="11"/>
  <c r="Z5" i="11"/>
  <c r="Z4" i="11"/>
  <c r="Z3" i="11"/>
  <c r="S12" i="10"/>
  <c r="S10" i="10"/>
  <c r="S9" i="10"/>
  <c r="S8" i="10"/>
  <c r="S7" i="10"/>
  <c r="S6" i="10"/>
  <c r="S5" i="10"/>
  <c r="S4" i="10"/>
  <c r="S3" i="10"/>
  <c r="S13" i="9"/>
  <c r="S12" i="9"/>
  <c r="S11" i="9"/>
  <c r="S10" i="9"/>
  <c r="S9" i="9"/>
  <c r="S8" i="9"/>
  <c r="S7" i="9"/>
  <c r="S6" i="9"/>
  <c r="S5" i="9"/>
  <c r="S4" i="9"/>
  <c r="S3" i="9"/>
  <c r="S2" i="9"/>
  <c r="S13" i="8"/>
  <c r="S11" i="8"/>
  <c r="S10" i="8"/>
  <c r="S9" i="8"/>
  <c r="S8" i="8"/>
  <c r="S7" i="8"/>
  <c r="S6" i="8"/>
  <c r="S5" i="8"/>
  <c r="S4" i="8"/>
  <c r="S3" i="8"/>
  <c r="S13" i="7"/>
  <c r="S12" i="7"/>
  <c r="S11" i="7"/>
  <c r="S10" i="7"/>
  <c r="S9" i="7"/>
  <c r="S8" i="7"/>
  <c r="S7" i="7"/>
  <c r="S6" i="7"/>
  <c r="S5" i="7"/>
  <c r="S4" i="7"/>
  <c r="S3" i="7"/>
  <c r="S13" i="6"/>
  <c r="S12" i="6"/>
  <c r="S11" i="6"/>
  <c r="S10" i="6"/>
  <c r="S8" i="6"/>
  <c r="S6" i="6"/>
  <c r="S5" i="6"/>
  <c r="S4" i="6"/>
  <c r="S3" i="6"/>
  <c r="S2" i="6"/>
  <c r="S13" i="5"/>
  <c r="S12" i="5"/>
  <c r="S11" i="5"/>
  <c r="S10" i="5"/>
  <c r="S9" i="5"/>
  <c r="S8" i="5"/>
  <c r="S7" i="5"/>
  <c r="S6" i="5"/>
  <c r="S5" i="5"/>
  <c r="S4" i="5"/>
  <c r="S3" i="5"/>
  <c r="S2" i="5"/>
  <c r="AC14" i="11" l="1"/>
  <c r="W14" i="10"/>
  <c r="AC14" i="10"/>
  <c r="AB14" i="9"/>
  <c r="AC14" i="9"/>
  <c r="AB14" i="7"/>
  <c r="AC14" i="1"/>
  <c r="U14" i="1"/>
  <c r="AB14" i="1"/>
  <c r="AA14" i="1"/>
  <c r="X14" i="1"/>
  <c r="Z14" i="1"/>
  <c r="Y14" i="1"/>
  <c r="AA14" i="2"/>
  <c r="AK14" i="11"/>
  <c r="AD14" i="10"/>
  <c r="AD14" i="9"/>
  <c r="AD14" i="8"/>
  <c r="AD14" i="7"/>
  <c r="AD14" i="6"/>
  <c r="AD14" i="5"/>
  <c r="AC14" i="4"/>
  <c r="AD14" i="3"/>
  <c r="AD14" i="2"/>
  <c r="AD14" i="1"/>
  <c r="AC14" i="8"/>
  <c r="AC14" i="7"/>
  <c r="AC14" i="6"/>
  <c r="AC14" i="5"/>
  <c r="AB14" i="4"/>
  <c r="AC14" i="3"/>
  <c r="AC14" i="2"/>
  <c r="AI14" i="11"/>
  <c r="AB14" i="10"/>
  <c r="AB14" i="8"/>
  <c r="AB14" i="6"/>
  <c r="AB14" i="5"/>
  <c r="AA14" i="4"/>
  <c r="AB14" i="3"/>
  <c r="AB14" i="2"/>
  <c r="W14" i="1"/>
  <c r="T14" i="1"/>
  <c r="V14" i="1"/>
  <c r="AA14" i="8"/>
  <c r="AA14" i="7"/>
  <c r="AA14" i="6"/>
  <c r="AA14" i="5"/>
  <c r="Z14" i="4"/>
  <c r="AA14" i="3"/>
  <c r="Z14" i="10"/>
  <c r="Z14" i="9"/>
  <c r="Z14" i="8"/>
  <c r="Z14" i="7"/>
  <c r="Z14" i="5"/>
  <c r="Y14" i="4"/>
  <c r="Z14" i="3"/>
  <c r="Z14" i="2"/>
  <c r="AF14" i="11"/>
  <c r="Y14" i="10"/>
  <c r="Y14" i="9"/>
  <c r="Y14" i="8"/>
  <c r="Y14" i="7"/>
  <c r="Y14" i="6"/>
  <c r="Y14" i="5"/>
  <c r="X14" i="4"/>
  <c r="Y14" i="3"/>
  <c r="Y14" i="2"/>
  <c r="AE14" i="11"/>
  <c r="X14" i="10"/>
  <c r="X14" i="9"/>
  <c r="X14" i="8"/>
  <c r="X14" i="7"/>
  <c r="X14" i="6"/>
  <c r="X14" i="5"/>
  <c r="W14" i="4"/>
  <c r="X14" i="3"/>
  <c r="X14" i="2"/>
  <c r="W14" i="9"/>
  <c r="W14" i="8"/>
  <c r="W14" i="7"/>
  <c r="W14" i="6"/>
  <c r="W14" i="5"/>
  <c r="V14" i="4"/>
  <c r="W14" i="3"/>
  <c r="W14" i="2"/>
  <c r="V14" i="10"/>
  <c r="V14" i="9"/>
  <c r="V14" i="8"/>
  <c r="V14" i="7"/>
  <c r="V14" i="6"/>
  <c r="V14" i="5"/>
  <c r="U14" i="4"/>
  <c r="V14" i="3"/>
  <c r="V14" i="2"/>
  <c r="AB14" i="11"/>
  <c r="U14" i="10"/>
  <c r="U14" i="9"/>
  <c r="U14" i="8"/>
  <c r="U14" i="7"/>
  <c r="U14" i="6"/>
  <c r="U14" i="5"/>
  <c r="T14" i="4"/>
  <c r="U14" i="3"/>
  <c r="U14" i="2"/>
  <c r="AA14" i="11"/>
  <c r="T14" i="10"/>
  <c r="T14" i="9"/>
  <c r="T14" i="8"/>
  <c r="T14" i="7"/>
  <c r="T14" i="6"/>
  <c r="T14" i="5"/>
  <c r="S14" i="4"/>
  <c r="T14" i="3"/>
  <c r="T14" i="2"/>
  <c r="Z14" i="11"/>
  <c r="S14" i="10"/>
  <c r="S14" i="9"/>
  <c r="S14" i="8"/>
  <c r="S14" i="7"/>
  <c r="S14" i="6"/>
  <c r="S14" i="5"/>
  <c r="R13" i="4"/>
  <c r="R12" i="4"/>
  <c r="R11" i="4"/>
  <c r="R10" i="4"/>
  <c r="R9" i="4"/>
  <c r="R7" i="4"/>
  <c r="R6" i="4"/>
  <c r="R5" i="4"/>
  <c r="R4" i="4"/>
  <c r="R3" i="4"/>
  <c r="R2" i="4"/>
  <c r="S13" i="3"/>
  <c r="S12" i="3"/>
  <c r="S11" i="3"/>
  <c r="S10" i="3"/>
  <c r="S9" i="3"/>
  <c r="S8" i="3"/>
  <c r="S7" i="3"/>
  <c r="S6" i="3"/>
  <c r="S3" i="3"/>
  <c r="S2" i="3"/>
  <c r="S11" i="2"/>
  <c r="S10" i="2"/>
  <c r="S9" i="2"/>
  <c r="S8" i="2"/>
  <c r="S7" i="2"/>
  <c r="S6" i="2"/>
  <c r="S5" i="2"/>
  <c r="S4" i="2"/>
  <c r="S2" i="2"/>
  <c r="S13" i="1"/>
  <c r="S12" i="1"/>
  <c r="S11" i="1"/>
  <c r="S10" i="1"/>
  <c r="S9" i="1"/>
  <c r="S8" i="1"/>
  <c r="S7" i="1"/>
  <c r="S6" i="1"/>
  <c r="S5" i="1"/>
  <c r="S2" i="1"/>
  <c r="Y8" i="11"/>
  <c r="Y7" i="11"/>
  <c r="Y6" i="11"/>
  <c r="Y5" i="11"/>
  <c r="Y4" i="11"/>
  <c r="Y3" i="11"/>
  <c r="Y2" i="11"/>
  <c r="R12" i="10"/>
  <c r="R10" i="10"/>
  <c r="R9" i="10"/>
  <c r="R8" i="10"/>
  <c r="R7" i="10"/>
  <c r="R6" i="10"/>
  <c r="R5" i="10"/>
  <c r="R4" i="10"/>
  <c r="R3" i="10"/>
  <c r="R2" i="10"/>
  <c r="R13" i="9"/>
  <c r="R12" i="9"/>
  <c r="R11" i="9"/>
  <c r="R10" i="9"/>
  <c r="R9" i="9"/>
  <c r="R8" i="9"/>
  <c r="R7" i="9"/>
  <c r="R6" i="9"/>
  <c r="R5" i="9"/>
  <c r="R4" i="9"/>
  <c r="R3" i="9"/>
  <c r="R2" i="9"/>
  <c r="R13" i="8"/>
  <c r="R11" i="8"/>
  <c r="R10" i="8"/>
  <c r="R9" i="8"/>
  <c r="R8" i="8"/>
  <c r="R7" i="8"/>
  <c r="R6" i="8"/>
  <c r="R5" i="8"/>
  <c r="R4" i="8"/>
  <c r="R3" i="8"/>
  <c r="R13" i="7"/>
  <c r="R12" i="7"/>
  <c r="R11" i="7"/>
  <c r="R10" i="7"/>
  <c r="R9" i="7"/>
  <c r="R8" i="7"/>
  <c r="R7" i="7"/>
  <c r="R6" i="7"/>
  <c r="R5" i="7"/>
  <c r="R4" i="7"/>
  <c r="R3" i="7"/>
  <c r="R10" i="6"/>
  <c r="R9" i="6"/>
  <c r="R8" i="6"/>
  <c r="R7" i="6"/>
  <c r="R6" i="6"/>
  <c r="R5" i="6"/>
  <c r="R4" i="6"/>
  <c r="R3" i="6"/>
  <c r="R2" i="6"/>
  <c r="R13" i="5"/>
  <c r="R11" i="5"/>
  <c r="R10" i="5"/>
  <c r="R9" i="5"/>
  <c r="R8" i="5"/>
  <c r="R7" i="5"/>
  <c r="R6" i="5"/>
  <c r="R5" i="5"/>
  <c r="R4" i="5"/>
  <c r="R3" i="5"/>
  <c r="R2" i="5"/>
  <c r="Q13" i="4"/>
  <c r="Q12" i="4"/>
  <c r="Q11" i="4"/>
  <c r="Q10" i="4"/>
  <c r="Q9" i="4"/>
  <c r="Q8" i="4"/>
  <c r="Q7" i="4"/>
  <c r="Q6" i="4"/>
  <c r="Q5" i="4"/>
  <c r="Q4" i="4"/>
  <c r="Q3" i="4"/>
  <c r="Q2" i="4"/>
  <c r="R11" i="3"/>
  <c r="R10" i="3"/>
  <c r="R9" i="3"/>
  <c r="R8" i="3"/>
  <c r="R7" i="3"/>
  <c r="R6" i="3"/>
  <c r="R5" i="3"/>
  <c r="R4" i="3"/>
  <c r="R3" i="3"/>
  <c r="R2" i="3"/>
  <c r="R13" i="2"/>
  <c r="R12" i="2"/>
  <c r="R11" i="2"/>
  <c r="R10" i="2"/>
  <c r="R9" i="2"/>
  <c r="R8" i="2"/>
  <c r="R7" i="2"/>
  <c r="R6" i="2"/>
  <c r="R5" i="2"/>
  <c r="R4" i="2"/>
  <c r="R3" i="2"/>
  <c r="R13" i="1"/>
  <c r="R12" i="1"/>
  <c r="R11" i="1"/>
  <c r="R10" i="1"/>
  <c r="R9" i="1"/>
  <c r="R8" i="1"/>
  <c r="R7" i="1"/>
  <c r="R6" i="1"/>
  <c r="R5" i="1"/>
  <c r="R4" i="1"/>
  <c r="R3" i="1"/>
  <c r="R2" i="1"/>
  <c r="X8" i="11"/>
  <c r="X7" i="11"/>
  <c r="X6" i="11"/>
  <c r="X5" i="11"/>
  <c r="X4" i="11"/>
  <c r="Q10" i="10"/>
  <c r="Q9" i="10"/>
  <c r="Q8" i="10"/>
  <c r="Q7" i="10"/>
  <c r="Q6" i="10"/>
  <c r="Q3" i="10"/>
  <c r="Q2" i="10"/>
  <c r="Q11" i="9"/>
  <c r="Q8" i="9"/>
  <c r="Q7" i="9"/>
  <c r="Q6" i="9"/>
  <c r="Q5" i="9"/>
  <c r="Q4" i="9"/>
  <c r="Q3" i="9"/>
  <c r="Q13" i="8"/>
  <c r="Q11" i="8"/>
  <c r="Q10" i="8"/>
  <c r="Q9" i="8"/>
  <c r="Q8" i="8"/>
  <c r="Q7" i="8"/>
  <c r="Q6" i="8"/>
  <c r="Q5" i="8"/>
  <c r="Q4" i="8"/>
  <c r="Q3" i="8"/>
  <c r="Q2" i="8"/>
  <c r="Q13" i="7"/>
  <c r="Q12" i="7"/>
  <c r="Q11" i="7"/>
  <c r="Q10" i="7"/>
  <c r="Q9" i="7"/>
  <c r="Q8" i="7"/>
  <c r="Q7" i="7"/>
  <c r="Q6" i="7"/>
  <c r="Q5" i="7"/>
  <c r="Q4" i="7"/>
  <c r="Q3" i="7"/>
  <c r="Q2" i="7"/>
  <c r="Q13" i="6"/>
  <c r="Q12" i="6"/>
  <c r="Q10" i="6"/>
  <c r="Q9" i="6"/>
  <c r="Q8" i="6"/>
  <c r="Q7" i="6"/>
  <c r="Q6" i="6"/>
  <c r="Q5" i="6"/>
  <c r="Q4" i="6"/>
  <c r="Q3" i="6"/>
  <c r="Q13" i="5"/>
  <c r="Q12" i="5"/>
  <c r="Q10" i="5"/>
  <c r="Q9" i="5"/>
  <c r="Q8" i="5"/>
  <c r="Q7" i="5"/>
  <c r="Q6" i="5"/>
  <c r="Q5" i="5"/>
  <c r="Q4" i="5"/>
  <c r="Q3" i="5"/>
  <c r="Q2" i="5"/>
  <c r="P13" i="4"/>
  <c r="P11" i="4"/>
  <c r="P10" i="4"/>
  <c r="P7" i="4"/>
  <c r="P6" i="4"/>
  <c r="P5" i="4"/>
  <c r="P4" i="4"/>
  <c r="P3" i="4"/>
  <c r="Q10" i="3"/>
  <c r="Q9" i="3"/>
  <c r="Q8" i="3"/>
  <c r="Q7" i="3"/>
  <c r="Q6" i="3"/>
  <c r="Q5" i="3"/>
  <c r="Q4" i="3"/>
  <c r="Q3" i="3"/>
  <c r="Q13" i="2"/>
  <c r="Q12" i="2"/>
  <c r="Q11" i="2"/>
  <c r="Q10" i="2"/>
  <c r="Q9" i="2"/>
  <c r="Q8" i="2"/>
  <c r="Q7" i="2"/>
  <c r="Q6" i="2"/>
  <c r="Q5" i="2"/>
  <c r="Q4" i="2"/>
  <c r="Q3" i="2"/>
  <c r="Q2" i="2"/>
  <c r="Q13" i="1"/>
  <c r="Q12" i="1"/>
  <c r="Q10" i="1"/>
  <c r="Q9" i="1"/>
  <c r="Q8" i="1"/>
  <c r="Q7" i="1"/>
  <c r="Q6" i="1"/>
  <c r="Q5" i="1"/>
  <c r="Q4" i="1"/>
  <c r="Q3" i="1"/>
  <c r="S14" i="1" l="1"/>
  <c r="R14" i="1"/>
  <c r="R14" i="4"/>
  <c r="S14" i="3"/>
  <c r="S14" i="2"/>
  <c r="Y14" i="11"/>
  <c r="R14" i="10"/>
  <c r="R14" i="9"/>
  <c r="R14" i="8"/>
  <c r="R14" i="7"/>
  <c r="R14" i="6"/>
  <c r="R14" i="5"/>
  <c r="Q14" i="4"/>
  <c r="R14" i="3"/>
  <c r="R14" i="2"/>
  <c r="X14" i="11"/>
  <c r="Q14" i="10"/>
  <c r="Q14" i="9"/>
  <c r="Q14" i="8"/>
  <c r="Q14" i="7"/>
  <c r="Q14" i="6"/>
  <c r="Q14" i="5"/>
  <c r="P14" i="4"/>
  <c r="Q14" i="3"/>
  <c r="Q14" i="2"/>
  <c r="Q2" i="1"/>
  <c r="Q14" i="1" s="1"/>
  <c r="W3" i="11"/>
  <c r="W2" i="11"/>
  <c r="P10" i="10"/>
  <c r="P9" i="10"/>
  <c r="P8" i="10"/>
  <c r="P7" i="10"/>
  <c r="P6" i="10"/>
  <c r="P5" i="10"/>
  <c r="P3" i="10"/>
  <c r="P2" i="10"/>
  <c r="P11" i="9"/>
  <c r="P10" i="9"/>
  <c r="P9" i="9"/>
  <c r="P8" i="9"/>
  <c r="P7" i="9"/>
  <c r="P6" i="9"/>
  <c r="P5" i="9"/>
  <c r="P3" i="9"/>
  <c r="P2" i="9"/>
  <c r="P13" i="8"/>
  <c r="P11" i="8"/>
  <c r="P10" i="8"/>
  <c r="P9" i="8"/>
  <c r="P8" i="8"/>
  <c r="P7" i="8"/>
  <c r="P6" i="8"/>
  <c r="P4" i="8"/>
  <c r="P3" i="8"/>
  <c r="P13" i="7"/>
  <c r="P12" i="7"/>
  <c r="P9" i="7"/>
  <c r="P8" i="7"/>
  <c r="P7" i="7"/>
  <c r="P6" i="7"/>
  <c r="P5" i="7"/>
  <c r="P2" i="7"/>
  <c r="P11" i="6"/>
  <c r="P10" i="6"/>
  <c r="P9" i="6"/>
  <c r="P8" i="6"/>
  <c r="P7" i="6"/>
  <c r="P6" i="6"/>
  <c r="P4" i="6"/>
  <c r="P2" i="6"/>
  <c r="P11" i="5"/>
  <c r="P10" i="5"/>
  <c r="P9" i="5"/>
  <c r="P8" i="5"/>
  <c r="P7" i="5"/>
  <c r="P6" i="5"/>
  <c r="P5" i="5"/>
  <c r="P4" i="5"/>
  <c r="O11" i="4"/>
  <c r="O10" i="4"/>
  <c r="O9" i="4"/>
  <c r="O8" i="4"/>
  <c r="O7" i="4"/>
  <c r="O6" i="4"/>
  <c r="O5" i="4"/>
  <c r="O4" i="4"/>
  <c r="O3" i="4"/>
  <c r="O14" i="4" l="1"/>
  <c r="W14" i="11"/>
  <c r="P14" i="10"/>
  <c r="P14" i="9"/>
  <c r="P14" i="8"/>
  <c r="P14" i="7"/>
  <c r="P14" i="6"/>
  <c r="P14" i="5"/>
  <c r="P13" i="3" l="1"/>
  <c r="P10" i="3"/>
  <c r="P9" i="3"/>
  <c r="P8" i="3"/>
  <c r="P7" i="3"/>
  <c r="P6" i="3"/>
  <c r="P5" i="3"/>
  <c r="P4" i="3"/>
  <c r="P3" i="3"/>
  <c r="P2" i="3"/>
  <c r="P13" i="2"/>
  <c r="P12" i="2"/>
  <c r="P11" i="2"/>
  <c r="P10" i="2"/>
  <c r="P9" i="2"/>
  <c r="P8" i="2"/>
  <c r="P6" i="2"/>
  <c r="P5" i="2"/>
  <c r="P4" i="2"/>
  <c r="P3" i="2"/>
  <c r="P11" i="1"/>
  <c r="P10" i="1"/>
  <c r="P9" i="1"/>
  <c r="P7" i="1"/>
  <c r="P6" i="1"/>
  <c r="P5" i="1"/>
  <c r="P4" i="1"/>
  <c r="P2" i="1"/>
  <c r="V14" i="11"/>
  <c r="O10" i="10"/>
  <c r="O9" i="10"/>
  <c r="O8" i="10"/>
  <c r="O7" i="10"/>
  <c r="O6" i="10"/>
  <c r="O5" i="10"/>
  <c r="O3" i="10"/>
  <c r="O11" i="9"/>
  <c r="O10" i="9"/>
  <c r="O9" i="9"/>
  <c r="O8" i="9"/>
  <c r="O7" i="9"/>
  <c r="O6" i="9"/>
  <c r="O5" i="9"/>
  <c r="O4" i="9"/>
  <c r="O2" i="9"/>
  <c r="O12" i="8"/>
  <c r="O11" i="8"/>
  <c r="O10" i="8"/>
  <c r="O9" i="8"/>
  <c r="O8" i="8"/>
  <c r="O7" i="8"/>
  <c r="O6" i="8"/>
  <c r="O5" i="8"/>
  <c r="O4" i="8"/>
  <c r="O3" i="8"/>
  <c r="O9" i="7"/>
  <c r="O8" i="7"/>
  <c r="O7" i="7"/>
  <c r="O6" i="7"/>
  <c r="O3" i="7"/>
  <c r="O11" i="6"/>
  <c r="O9" i="6"/>
  <c r="O8" i="6"/>
  <c r="O7" i="6"/>
  <c r="O6" i="6"/>
  <c r="O5" i="6"/>
  <c r="O4" i="6"/>
  <c r="O2" i="6"/>
  <c r="O5" i="5"/>
  <c r="O6" i="5"/>
  <c r="O7" i="5"/>
  <c r="O8" i="5"/>
  <c r="O9" i="5"/>
  <c r="O10" i="5"/>
  <c r="O2" i="5"/>
  <c r="N11" i="4"/>
  <c r="N10" i="4"/>
  <c r="N9" i="4"/>
  <c r="N8" i="4"/>
  <c r="N7" i="4"/>
  <c r="N6" i="4"/>
  <c r="N5" i="4"/>
  <c r="N4" i="4"/>
  <c r="N3" i="4"/>
  <c r="O10" i="3"/>
  <c r="O9" i="3"/>
  <c r="O8" i="3"/>
  <c r="O6" i="2"/>
  <c r="O5" i="2"/>
  <c r="O4" i="2"/>
  <c r="O14" i="7" l="1"/>
  <c r="P14" i="1"/>
  <c r="O14" i="3"/>
  <c r="P14" i="3"/>
  <c r="P14" i="2"/>
  <c r="O14" i="10"/>
  <c r="O14" i="9"/>
  <c r="O14" i="8"/>
  <c r="O14" i="6"/>
  <c r="O14" i="5"/>
  <c r="N14" i="4"/>
  <c r="O14" i="2"/>
  <c r="O11" i="1"/>
  <c r="O10" i="1"/>
  <c r="O9" i="1"/>
  <c r="O7" i="1"/>
  <c r="O6" i="1"/>
  <c r="O5" i="1"/>
  <c r="O3" i="1"/>
  <c r="O2" i="1"/>
  <c r="U14" i="11"/>
  <c r="N10" i="10"/>
  <c r="N9" i="10"/>
  <c r="N8" i="10"/>
  <c r="N7" i="10"/>
  <c r="N6" i="10"/>
  <c r="N5" i="10"/>
  <c r="N2" i="10"/>
  <c r="N10" i="9"/>
  <c r="N9" i="9"/>
  <c r="N8" i="9"/>
  <c r="N7" i="9"/>
  <c r="N6" i="9"/>
  <c r="N5" i="9"/>
  <c r="N2" i="9"/>
  <c r="M13" i="8"/>
  <c r="N11" i="8"/>
  <c r="N10" i="8"/>
  <c r="N9" i="8"/>
  <c r="N8" i="8"/>
  <c r="N7" i="8"/>
  <c r="N6" i="8"/>
  <c r="N5" i="8"/>
  <c r="N4" i="8"/>
  <c r="N2" i="8"/>
  <c r="M11" i="8"/>
  <c r="M9" i="8"/>
  <c r="M8" i="8"/>
  <c r="M7" i="8"/>
  <c r="M6" i="8"/>
  <c r="M3" i="8"/>
  <c r="N11" i="7"/>
  <c r="N10" i="7"/>
  <c r="N9" i="7"/>
  <c r="N8" i="7"/>
  <c r="N7" i="7"/>
  <c r="N6" i="7"/>
  <c r="N3" i="7"/>
  <c r="N11" i="6"/>
  <c r="N10" i="6"/>
  <c r="N9" i="6"/>
  <c r="N8" i="6"/>
  <c r="N7" i="6"/>
  <c r="N5" i="6"/>
  <c r="N4" i="6"/>
  <c r="N2" i="6"/>
  <c r="N10" i="5"/>
  <c r="N9" i="5"/>
  <c r="N8" i="5"/>
  <c r="N7" i="5"/>
  <c r="N6" i="5"/>
  <c r="N5" i="5"/>
  <c r="N2" i="5"/>
  <c r="M11" i="4"/>
  <c r="M10" i="4"/>
  <c r="M9" i="4"/>
  <c r="M8" i="4"/>
  <c r="M7" i="4"/>
  <c r="M6" i="4"/>
  <c r="M5" i="4"/>
  <c r="M4" i="4"/>
  <c r="M3" i="4"/>
  <c r="N11" i="3"/>
  <c r="N7" i="3"/>
  <c r="N6" i="3"/>
  <c r="N5" i="3"/>
  <c r="N4" i="3"/>
  <c r="N2" i="3"/>
  <c r="N11" i="2"/>
  <c r="N10" i="2"/>
  <c r="N9" i="2"/>
  <c r="N8" i="2"/>
  <c r="N6" i="2"/>
  <c r="N5" i="2"/>
  <c r="N12" i="1"/>
  <c r="N11" i="1"/>
  <c r="N10" i="1"/>
  <c r="N9" i="1"/>
  <c r="N7" i="1"/>
  <c r="N6" i="1"/>
  <c r="N4" i="1"/>
  <c r="N3" i="1"/>
  <c r="N2" i="1"/>
  <c r="T14" i="11"/>
  <c r="M11" i="10"/>
  <c r="M10" i="10"/>
  <c r="M9" i="10"/>
  <c r="M8" i="10"/>
  <c r="M7" i="10"/>
  <c r="M6" i="10"/>
  <c r="M5" i="10"/>
  <c r="M4" i="10"/>
  <c r="M3" i="10"/>
  <c r="M11" i="9"/>
  <c r="M10" i="9"/>
  <c r="M9" i="9"/>
  <c r="M8" i="9"/>
  <c r="M7" i="9"/>
  <c r="M6" i="9"/>
  <c r="M5" i="9"/>
  <c r="M4" i="9"/>
  <c r="M3" i="9"/>
  <c r="L10" i="8"/>
  <c r="L9" i="8"/>
  <c r="L11" i="8"/>
  <c r="L8" i="8"/>
  <c r="L7" i="8"/>
  <c r="M13" i="7"/>
  <c r="M11" i="7"/>
  <c r="M10" i="7"/>
  <c r="M8" i="7"/>
  <c r="M7" i="7"/>
  <c r="M6" i="7"/>
  <c r="M5" i="7"/>
  <c r="M4" i="7"/>
  <c r="M11" i="6"/>
  <c r="M10" i="6"/>
  <c r="M9" i="6"/>
  <c r="M8" i="6"/>
  <c r="M7" i="6"/>
  <c r="M5" i="6"/>
  <c r="M4" i="6"/>
  <c r="M10" i="5"/>
  <c r="M6" i="5"/>
  <c r="M5" i="5"/>
  <c r="L5" i="4"/>
  <c r="L4" i="4"/>
  <c r="L3" i="4"/>
  <c r="L2" i="4"/>
  <c r="M10" i="3"/>
  <c r="M9" i="3"/>
  <c r="M8" i="3"/>
  <c r="M7" i="3"/>
  <c r="M5" i="3"/>
  <c r="M4" i="3"/>
  <c r="M3" i="3"/>
  <c r="M10" i="2"/>
  <c r="M9" i="2"/>
  <c r="M8" i="2"/>
  <c r="M6" i="2"/>
  <c r="M5" i="2"/>
  <c r="M4" i="2"/>
  <c r="M10" i="1"/>
  <c r="M9" i="1"/>
  <c r="M7" i="1"/>
  <c r="M6" i="1"/>
  <c r="M4" i="1"/>
  <c r="M3" i="1"/>
  <c r="S14" i="11"/>
  <c r="L10" i="10"/>
  <c r="L9" i="10"/>
  <c r="L8" i="10"/>
  <c r="L7" i="10"/>
  <c r="L8" i="9"/>
  <c r="L7" i="9"/>
  <c r="L6" i="9"/>
  <c r="K11" i="8"/>
  <c r="K8" i="8"/>
  <c r="K6" i="8"/>
  <c r="K5" i="8"/>
  <c r="L10" i="7"/>
  <c r="L9" i="7"/>
  <c r="L8" i="7"/>
  <c r="L7" i="7"/>
  <c r="L6" i="7"/>
  <c r="L5" i="7"/>
  <c r="L4" i="7"/>
  <c r="L3" i="7"/>
  <c r="L13" i="6"/>
  <c r="L9" i="6"/>
  <c r="L10" i="6"/>
  <c r="L8" i="6"/>
  <c r="L7" i="6"/>
  <c r="L5" i="6"/>
  <c r="L4" i="6"/>
  <c r="L10" i="5"/>
  <c r="L9" i="5"/>
  <c r="L7" i="5"/>
  <c r="L5" i="5"/>
  <c r="K10" i="4"/>
  <c r="K9" i="4"/>
  <c r="K8" i="4"/>
  <c r="K7" i="4"/>
  <c r="K6" i="4"/>
  <c r="K5" i="4"/>
  <c r="K4" i="4"/>
  <c r="K3" i="4"/>
  <c r="L10" i="3"/>
  <c r="L9" i="3"/>
  <c r="L8" i="3"/>
  <c r="L7" i="3"/>
  <c r="L6" i="3"/>
  <c r="L5" i="3"/>
  <c r="L4" i="3"/>
  <c r="L3" i="3"/>
  <c r="L2" i="3"/>
  <c r="L12" i="2"/>
  <c r="L11" i="2"/>
  <c r="L10" i="2"/>
  <c r="L9" i="2"/>
  <c r="L8" i="2"/>
  <c r="L6" i="2"/>
  <c r="L5" i="2"/>
  <c r="L4" i="2"/>
  <c r="L11" i="1"/>
  <c r="L10" i="1"/>
  <c r="L9" i="1"/>
  <c r="L7" i="1"/>
  <c r="L6" i="1"/>
  <c r="L5" i="1"/>
  <c r="L4" i="1"/>
  <c r="L3" i="1"/>
  <c r="L2" i="1"/>
  <c r="R3" i="11"/>
  <c r="R14" i="11" s="1"/>
  <c r="K13" i="10"/>
  <c r="K12" i="10"/>
  <c r="K10" i="10"/>
  <c r="K9" i="10"/>
  <c r="K8" i="10"/>
  <c r="K7" i="10"/>
  <c r="K6" i="10"/>
  <c r="K5" i="10"/>
  <c r="K4" i="10"/>
  <c r="K10" i="9"/>
  <c r="K9" i="9"/>
  <c r="K8" i="9"/>
  <c r="K7" i="9"/>
  <c r="K6" i="9"/>
  <c r="K5" i="9"/>
  <c r="K4" i="9"/>
  <c r="K3" i="9"/>
  <c r="J11" i="8"/>
  <c r="J10" i="8"/>
  <c r="J9" i="8"/>
  <c r="J8" i="8"/>
  <c r="J7" i="8"/>
  <c r="J6" i="8"/>
  <c r="J4" i="8"/>
  <c r="J3" i="8"/>
  <c r="K13" i="7"/>
  <c r="K10" i="7"/>
  <c r="K9" i="7"/>
  <c r="K8" i="7"/>
  <c r="K7" i="7"/>
  <c r="K6" i="7"/>
  <c r="K5" i="7"/>
  <c r="K4" i="7"/>
  <c r="K3" i="7"/>
  <c r="K2" i="7"/>
  <c r="K13" i="6"/>
  <c r="K10" i="6"/>
  <c r="K9" i="6"/>
  <c r="K8" i="6"/>
  <c r="K7" i="6"/>
  <c r="K6" i="6"/>
  <c r="K5" i="6"/>
  <c r="K4" i="6"/>
  <c r="K10" i="5"/>
  <c r="K9" i="5"/>
  <c r="K8" i="5"/>
  <c r="K7" i="5"/>
  <c r="K6" i="5"/>
  <c r="K5" i="5"/>
  <c r="K2" i="5"/>
  <c r="J11" i="4"/>
  <c r="J10" i="4"/>
  <c r="J9" i="4"/>
  <c r="J8" i="4"/>
  <c r="J7" i="4"/>
  <c r="J6" i="4"/>
  <c r="J5" i="4"/>
  <c r="J4" i="4"/>
  <c r="J3" i="4"/>
  <c r="K10" i="3"/>
  <c r="K8" i="3"/>
  <c r="K7" i="3"/>
  <c r="K5" i="3"/>
  <c r="K6" i="3"/>
  <c r="K4" i="3"/>
  <c r="K3" i="3"/>
  <c r="K2" i="3"/>
  <c r="K13" i="2"/>
  <c r="K12" i="2"/>
  <c r="K11" i="2"/>
  <c r="K10" i="2"/>
  <c r="K9" i="2"/>
  <c r="K8" i="2"/>
  <c r="K6" i="2"/>
  <c r="K5" i="2"/>
  <c r="K4" i="2"/>
  <c r="K11" i="1"/>
  <c r="K10" i="1"/>
  <c r="K9" i="1"/>
  <c r="K7" i="1"/>
  <c r="K6" i="1"/>
  <c r="K5" i="1"/>
  <c r="K4" i="1"/>
  <c r="K3" i="1"/>
  <c r="K2" i="1"/>
  <c r="Q14" i="11"/>
  <c r="J10" i="10"/>
  <c r="J9" i="10"/>
  <c r="J6" i="10"/>
  <c r="J5" i="10"/>
  <c r="J4" i="10"/>
  <c r="J3" i="10"/>
  <c r="J11" i="9"/>
  <c r="J10" i="9"/>
  <c r="J9" i="9"/>
  <c r="J8" i="9"/>
  <c r="J7" i="9"/>
  <c r="J6" i="9"/>
  <c r="J5" i="9"/>
  <c r="J4" i="9"/>
  <c r="I13" i="8"/>
  <c r="I11" i="8"/>
  <c r="I10" i="8"/>
  <c r="I8" i="8"/>
  <c r="I7" i="8"/>
  <c r="I6" i="8"/>
  <c r="I5" i="8"/>
  <c r="I4" i="8"/>
  <c r="I3" i="8"/>
  <c r="J13" i="7"/>
  <c r="J12" i="7"/>
  <c r="J11" i="7"/>
  <c r="J10" i="7"/>
  <c r="J8" i="7"/>
  <c r="J7" i="7"/>
  <c r="J5" i="7"/>
  <c r="J9" i="6"/>
  <c r="J6" i="6"/>
  <c r="J5" i="6"/>
  <c r="J4" i="6"/>
  <c r="J10" i="5"/>
  <c r="J7" i="5"/>
  <c r="J6" i="5"/>
  <c r="J5" i="5"/>
  <c r="I10" i="4"/>
  <c r="I8" i="4"/>
  <c r="I7" i="4"/>
  <c r="I6" i="4"/>
  <c r="I5" i="4"/>
  <c r="I4" i="4"/>
  <c r="I3" i="4"/>
  <c r="J10" i="3"/>
  <c r="J9" i="3"/>
  <c r="J7" i="3"/>
  <c r="J6" i="3"/>
  <c r="J5" i="3"/>
  <c r="J4" i="3"/>
  <c r="J2" i="3"/>
  <c r="J10" i="2"/>
  <c r="J9" i="2"/>
  <c r="J8" i="2"/>
  <c r="J7" i="2"/>
  <c r="J6" i="2"/>
  <c r="J5" i="2"/>
  <c r="J4" i="2"/>
  <c r="J11" i="1"/>
  <c r="J10" i="1"/>
  <c r="J9" i="1"/>
  <c r="J8" i="1"/>
  <c r="J7" i="1"/>
  <c r="J6" i="1"/>
  <c r="J4" i="1"/>
  <c r="J3" i="1"/>
  <c r="J2" i="1"/>
  <c r="P14" i="11"/>
  <c r="I10" i="10"/>
  <c r="I9" i="10"/>
  <c r="I8" i="10"/>
  <c r="I6" i="10"/>
  <c r="I5" i="10"/>
  <c r="I4" i="10"/>
  <c r="I3" i="10"/>
  <c r="I10" i="9"/>
  <c r="I9" i="9"/>
  <c r="I8" i="9"/>
  <c r="I7" i="9"/>
  <c r="I6" i="9"/>
  <c r="I5" i="9"/>
  <c r="I4" i="9"/>
  <c r="H12" i="8"/>
  <c r="H11" i="8"/>
  <c r="H10" i="8"/>
  <c r="H9" i="8"/>
  <c r="H8" i="8"/>
  <c r="H7" i="8"/>
  <c r="H6" i="8"/>
  <c r="H5" i="8"/>
  <c r="H4" i="8"/>
  <c r="H3" i="8"/>
  <c r="I12" i="7"/>
  <c r="I11" i="7"/>
  <c r="I10" i="7"/>
  <c r="I8" i="7"/>
  <c r="I7" i="7"/>
  <c r="I5" i="7"/>
  <c r="I9" i="6"/>
  <c r="I6" i="6"/>
  <c r="I5" i="6"/>
  <c r="I4" i="6"/>
  <c r="I3" i="6"/>
  <c r="I10" i="5"/>
  <c r="I7" i="5"/>
  <c r="I6" i="5"/>
  <c r="I5" i="5"/>
  <c r="H11" i="4"/>
  <c r="H10" i="4"/>
  <c r="H8" i="4"/>
  <c r="H7" i="4"/>
  <c r="H4" i="4"/>
  <c r="H3" i="4"/>
  <c r="I10" i="3"/>
  <c r="I7" i="3"/>
  <c r="I6" i="3"/>
  <c r="I5" i="3"/>
  <c r="I4" i="3"/>
  <c r="I2" i="3"/>
  <c r="I12" i="2"/>
  <c r="I10" i="2"/>
  <c r="I9" i="2"/>
  <c r="I8" i="2"/>
  <c r="I7" i="2"/>
  <c r="I6" i="2"/>
  <c r="I5" i="2"/>
  <c r="I11" i="1"/>
  <c r="I10" i="1"/>
  <c r="I9" i="1"/>
  <c r="I8" i="1"/>
  <c r="I7" i="1"/>
  <c r="I6" i="1"/>
  <c r="I4" i="1"/>
  <c r="I3" i="1"/>
  <c r="O14" i="11"/>
  <c r="H10" i="10"/>
  <c r="H9" i="10"/>
  <c r="H8" i="10"/>
  <c r="H7" i="10"/>
  <c r="H6" i="10"/>
  <c r="H5" i="10"/>
  <c r="H4" i="10"/>
  <c r="H3" i="10"/>
  <c r="H8" i="9"/>
  <c r="H7" i="9"/>
  <c r="H6" i="9"/>
  <c r="H5" i="9"/>
  <c r="H10" i="7"/>
  <c r="H9" i="7"/>
  <c r="H8" i="7"/>
  <c r="H7" i="7"/>
  <c r="H6" i="7"/>
  <c r="H5" i="7"/>
  <c r="H3" i="7"/>
  <c r="H9" i="6"/>
  <c r="H8" i="6"/>
  <c r="H7" i="6"/>
  <c r="H5" i="6"/>
  <c r="H4" i="6"/>
  <c r="H10" i="5"/>
  <c r="H9" i="5"/>
  <c r="H8" i="5"/>
  <c r="H7" i="5"/>
  <c r="H6" i="5"/>
  <c r="H5" i="5"/>
  <c r="H3" i="5"/>
  <c r="G11" i="4"/>
  <c r="G10" i="4"/>
  <c r="G9" i="4"/>
  <c r="G8" i="4"/>
  <c r="G7" i="4"/>
  <c r="G6" i="4"/>
  <c r="G5" i="4"/>
  <c r="G4" i="4"/>
  <c r="G3" i="4"/>
  <c r="G2" i="4"/>
  <c r="H9" i="3"/>
  <c r="H10" i="3"/>
  <c r="H11" i="2"/>
  <c r="H10" i="2"/>
  <c r="H9" i="2"/>
  <c r="H8" i="2"/>
  <c r="H7" i="2"/>
  <c r="H6" i="2"/>
  <c r="H5" i="2"/>
  <c r="H4" i="2"/>
  <c r="H11" i="1"/>
  <c r="H10" i="1"/>
  <c r="H9" i="1"/>
  <c r="H8" i="1"/>
  <c r="H7" i="1"/>
  <c r="H6" i="1"/>
  <c r="H5" i="1"/>
  <c r="H4" i="1"/>
  <c r="H3" i="1"/>
  <c r="H2" i="1"/>
  <c r="N9" i="11"/>
  <c r="N7" i="11"/>
  <c r="N5" i="11"/>
  <c r="N2" i="11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5" i="9"/>
  <c r="G4" i="9"/>
  <c r="G11" i="8"/>
  <c r="G10" i="8"/>
  <c r="G8" i="8"/>
  <c r="G6" i="8"/>
  <c r="G4" i="8"/>
  <c r="G10" i="7"/>
  <c r="G9" i="7"/>
  <c r="G7" i="7"/>
  <c r="G6" i="7"/>
  <c r="G13" i="6"/>
  <c r="G12" i="6"/>
  <c r="G9" i="6"/>
  <c r="G7" i="6"/>
  <c r="G5" i="6"/>
  <c r="G4" i="6"/>
  <c r="G3" i="6"/>
  <c r="G2" i="6"/>
  <c r="G10" i="5"/>
  <c r="G8" i="5"/>
  <c r="G7" i="5"/>
  <c r="G6" i="5"/>
  <c r="G5" i="5"/>
  <c r="G2" i="5"/>
  <c r="F13" i="4"/>
  <c r="F12" i="4"/>
  <c r="F11" i="4"/>
  <c r="F10" i="4"/>
  <c r="F9" i="4"/>
  <c r="F8" i="4"/>
  <c r="F7" i="4"/>
  <c r="F6" i="4"/>
  <c r="F5" i="4"/>
  <c r="F4" i="4"/>
  <c r="F3" i="4"/>
  <c r="F2" i="4"/>
  <c r="G13" i="3"/>
  <c r="G10" i="3"/>
  <c r="G9" i="3"/>
  <c r="G8" i="3"/>
  <c r="G7" i="3"/>
  <c r="G6" i="3"/>
  <c r="G5" i="3"/>
  <c r="G4" i="3"/>
  <c r="G3" i="3"/>
  <c r="G2" i="3"/>
  <c r="G12" i="2"/>
  <c r="G11" i="2"/>
  <c r="G10" i="2"/>
  <c r="G9" i="2"/>
  <c r="G8" i="2"/>
  <c r="G7" i="2"/>
  <c r="G6" i="2"/>
  <c r="G5" i="2"/>
  <c r="G4" i="2"/>
  <c r="G2" i="2"/>
  <c r="G12" i="1"/>
  <c r="G11" i="1"/>
  <c r="G10" i="1"/>
  <c r="G9" i="1"/>
  <c r="G7" i="1"/>
  <c r="G6" i="1"/>
  <c r="G5" i="1"/>
  <c r="G4" i="1"/>
  <c r="G3" i="1"/>
  <c r="G2" i="1"/>
  <c r="F6" i="8"/>
  <c r="F5" i="8"/>
  <c r="F4" i="8"/>
  <c r="F3" i="8"/>
  <c r="F2" i="8"/>
  <c r="F13" i="7"/>
  <c r="F11" i="7"/>
  <c r="F9" i="7"/>
  <c r="F8" i="7"/>
  <c r="F7" i="7"/>
  <c r="F6" i="7"/>
  <c r="F5" i="7"/>
  <c r="F4" i="7"/>
  <c r="F2" i="7"/>
  <c r="F7" i="6"/>
  <c r="F8" i="6"/>
  <c r="F9" i="6"/>
  <c r="F4" i="6"/>
  <c r="F7" i="5"/>
  <c r="F4" i="5"/>
  <c r="F3" i="5"/>
  <c r="E10" i="4"/>
  <c r="E9" i="4"/>
  <c r="E8" i="4"/>
  <c r="E7" i="4"/>
  <c r="E6" i="4"/>
  <c r="E5" i="4"/>
  <c r="E4" i="4"/>
  <c r="E3" i="4"/>
  <c r="F10" i="3"/>
  <c r="F9" i="3"/>
  <c r="F8" i="3"/>
  <c r="F7" i="3"/>
  <c r="F6" i="3"/>
  <c r="F5" i="3"/>
  <c r="F4" i="3"/>
  <c r="F3" i="3"/>
  <c r="F2" i="3"/>
  <c r="F13" i="2"/>
  <c r="F12" i="2"/>
  <c r="F11" i="2"/>
  <c r="F10" i="2"/>
  <c r="F9" i="2"/>
  <c r="F8" i="2"/>
  <c r="F7" i="2"/>
  <c r="F6" i="2"/>
  <c r="F5" i="2"/>
  <c r="F4" i="2"/>
  <c r="F11" i="1"/>
  <c r="F10" i="1"/>
  <c r="F9" i="1"/>
  <c r="F8" i="1"/>
  <c r="F7" i="1"/>
  <c r="F6" i="1"/>
  <c r="F5" i="1"/>
  <c r="F4" i="1"/>
  <c r="F2" i="1"/>
  <c r="N14" i="10" l="1"/>
  <c r="H14" i="3"/>
  <c r="G14" i="1"/>
  <c r="O14" i="1"/>
  <c r="H14" i="1"/>
  <c r="N14" i="9"/>
  <c r="N14" i="8"/>
  <c r="M14" i="8"/>
  <c r="N14" i="7"/>
  <c r="N14" i="6"/>
  <c r="N14" i="5"/>
  <c r="M14" i="4"/>
  <c r="N14" i="3"/>
  <c r="N14" i="2"/>
  <c r="N14" i="1"/>
  <c r="M14" i="10"/>
  <c r="M14" i="9"/>
  <c r="L14" i="8"/>
  <c r="M14" i="7"/>
  <c r="M14" i="6"/>
  <c r="M14" i="5"/>
  <c r="L14" i="4"/>
  <c r="M14" i="3"/>
  <c r="M14" i="2"/>
  <c r="M14" i="1"/>
  <c r="L14" i="10"/>
  <c r="L14" i="9"/>
  <c r="K14" i="8"/>
  <c r="L14" i="7"/>
  <c r="L14" i="6"/>
  <c r="L14" i="5"/>
  <c r="K14" i="4"/>
  <c r="L14" i="3"/>
  <c r="L14" i="2"/>
  <c r="L14" i="1"/>
  <c r="K14" i="10"/>
  <c r="K14" i="9"/>
  <c r="J14" i="8"/>
  <c r="K14" i="7"/>
  <c r="K14" i="6"/>
  <c r="K14" i="5"/>
  <c r="J14" i="4"/>
  <c r="K14" i="3"/>
  <c r="K14" i="2"/>
  <c r="K14" i="1"/>
  <c r="J14" i="10"/>
  <c r="J14" i="9"/>
  <c r="I14" i="8"/>
  <c r="J14" i="7"/>
  <c r="J14" i="6"/>
  <c r="J14" i="5"/>
  <c r="I14" i="4"/>
  <c r="J14" i="3"/>
  <c r="J14" i="2"/>
  <c r="J14" i="1"/>
  <c r="I14" i="10"/>
  <c r="I14" i="9"/>
  <c r="H14" i="8"/>
  <c r="I14" i="7"/>
  <c r="I14" i="6"/>
  <c r="I14" i="5"/>
  <c r="H14" i="4"/>
  <c r="I14" i="3"/>
  <c r="I14" i="2"/>
  <c r="I14" i="1"/>
  <c r="H14" i="10"/>
  <c r="H14" i="9"/>
  <c r="H14" i="7"/>
  <c r="H14" i="6"/>
  <c r="H14" i="5"/>
  <c r="G14" i="4"/>
  <c r="H14" i="2"/>
  <c r="N14" i="11"/>
  <c r="G14" i="10"/>
  <c r="G14" i="9"/>
  <c r="G14" i="8"/>
  <c r="G14" i="7"/>
  <c r="G14" i="6"/>
  <c r="G14" i="5"/>
  <c r="F14" i="4"/>
  <c r="G14" i="3"/>
  <c r="G14" i="2"/>
  <c r="F14" i="8"/>
  <c r="F14" i="7"/>
  <c r="F14" i="6"/>
  <c r="F14" i="5"/>
  <c r="E14" i="4"/>
  <c r="F14" i="3"/>
  <c r="F14" i="2"/>
  <c r="E6" i="10" l="1"/>
  <c r="E5" i="10"/>
  <c r="E4" i="10"/>
  <c r="E11" i="9"/>
  <c r="E10" i="9"/>
  <c r="E9" i="9"/>
  <c r="E8" i="9"/>
  <c r="E7" i="9"/>
  <c r="E6" i="9"/>
  <c r="E5" i="9"/>
  <c r="E4" i="9"/>
  <c r="E3" i="9"/>
  <c r="E10" i="8"/>
  <c r="E9" i="8"/>
  <c r="E8" i="8"/>
  <c r="E7" i="8"/>
  <c r="E6" i="8"/>
  <c r="E5" i="8"/>
  <c r="E12" i="7"/>
  <c r="E11" i="7"/>
  <c r="E10" i="7"/>
  <c r="E9" i="7"/>
  <c r="E8" i="7"/>
  <c r="E7" i="7"/>
  <c r="E6" i="7"/>
  <c r="E5" i="7"/>
  <c r="E4" i="7"/>
  <c r="E3" i="7"/>
  <c r="E10" i="6"/>
  <c r="E9" i="6"/>
  <c r="E8" i="6"/>
  <c r="E7" i="6"/>
  <c r="E6" i="6"/>
  <c r="E5" i="6"/>
  <c r="E4" i="6"/>
  <c r="E10" i="5"/>
  <c r="E9" i="5"/>
  <c r="E8" i="5"/>
  <c r="E7" i="5"/>
  <c r="E6" i="5"/>
  <c r="E5" i="5"/>
  <c r="E4" i="5"/>
  <c r="D10" i="4"/>
  <c r="D9" i="4"/>
  <c r="D8" i="4"/>
  <c r="D7" i="4"/>
  <c r="D6" i="4"/>
  <c r="D5" i="4"/>
  <c r="D4" i="4"/>
  <c r="D3" i="4"/>
  <c r="E10" i="3"/>
  <c r="E9" i="3"/>
  <c r="E8" i="3"/>
  <c r="E7" i="3"/>
  <c r="E6" i="3"/>
  <c r="E5" i="3"/>
  <c r="E4" i="3"/>
  <c r="E13" i="2"/>
  <c r="E12" i="2"/>
  <c r="E5" i="2"/>
  <c r="E4" i="2"/>
  <c r="E11" i="1"/>
  <c r="E10" i="1"/>
  <c r="E7" i="1"/>
  <c r="E6" i="1"/>
  <c r="E5" i="1"/>
  <c r="E4" i="1"/>
  <c r="E3" i="1"/>
  <c r="K14" i="11"/>
  <c r="D7" i="10"/>
  <c r="D6" i="10"/>
  <c r="D11" i="9"/>
  <c r="D10" i="9"/>
  <c r="D9" i="9"/>
  <c r="D8" i="9"/>
  <c r="D7" i="9"/>
  <c r="D6" i="9"/>
  <c r="D5" i="9"/>
  <c r="D4" i="9"/>
  <c r="D8" i="8"/>
  <c r="D7" i="8"/>
  <c r="D6" i="8"/>
  <c r="D8" i="7"/>
  <c r="D7" i="7"/>
  <c r="D6" i="7"/>
  <c r="D10" i="6"/>
  <c r="D9" i="6"/>
  <c r="D8" i="6"/>
  <c r="D7" i="6"/>
  <c r="D6" i="6"/>
  <c r="D5" i="6"/>
  <c r="D4" i="6"/>
  <c r="D9" i="5"/>
  <c r="D8" i="5"/>
  <c r="D7" i="5"/>
  <c r="D9" i="3"/>
  <c r="D8" i="3"/>
  <c r="D7" i="3"/>
  <c r="D6" i="3"/>
  <c r="D5" i="3"/>
  <c r="D4" i="3"/>
  <c r="D12" i="2"/>
  <c r="D11" i="2"/>
  <c r="D10" i="2"/>
  <c r="D6" i="2"/>
  <c r="D5" i="2"/>
  <c r="D4" i="2"/>
  <c r="D7" i="1"/>
  <c r="D5" i="1"/>
  <c r="D4" i="1"/>
  <c r="D3" i="1"/>
  <c r="D2" i="1"/>
  <c r="J10" i="11"/>
  <c r="J9" i="11"/>
  <c r="J8" i="11"/>
  <c r="J7" i="11"/>
  <c r="J6" i="11"/>
  <c r="J5" i="11"/>
  <c r="I6" i="11"/>
  <c r="I5" i="11"/>
  <c r="I4" i="11"/>
  <c r="I3" i="11"/>
  <c r="D14" i="1" l="1"/>
  <c r="F14" i="1"/>
  <c r="E14" i="10"/>
  <c r="E14" i="9"/>
  <c r="E14" i="8"/>
  <c r="E14" i="7"/>
  <c r="E14" i="6"/>
  <c r="E14" i="5"/>
  <c r="D14" i="4"/>
  <c r="E14" i="3"/>
  <c r="E14" i="2"/>
  <c r="E14" i="1"/>
  <c r="D14" i="10"/>
  <c r="D14" i="9"/>
  <c r="D14" i="8"/>
  <c r="D14" i="7"/>
  <c r="D14" i="6"/>
  <c r="D14" i="5"/>
  <c r="D14" i="3"/>
  <c r="D14" i="2"/>
  <c r="J14" i="11"/>
  <c r="I14" i="11"/>
  <c r="F10" i="11" l="1"/>
  <c r="F9" i="11"/>
  <c r="F8" i="11"/>
  <c r="F7" i="11"/>
  <c r="F6" i="11"/>
  <c r="F5" i="11"/>
  <c r="E14" i="11"/>
  <c r="F14" i="11" l="1"/>
  <c r="C10" i="10"/>
  <c r="C9" i="10"/>
  <c r="C4" i="10"/>
  <c r="C14" i="9"/>
  <c r="C14" i="8"/>
  <c r="C12" i="7"/>
  <c r="C11" i="7"/>
  <c r="C9" i="7"/>
  <c r="C8" i="7"/>
  <c r="C7" i="7"/>
  <c r="C6" i="7"/>
  <c r="C5" i="7"/>
  <c r="C4" i="7"/>
  <c r="C3" i="7"/>
  <c r="C10" i="6"/>
  <c r="C9" i="6"/>
  <c r="C8" i="6"/>
  <c r="C14" i="10" l="1"/>
  <c r="C14" i="7"/>
  <c r="C6" i="6"/>
  <c r="C5" i="6"/>
  <c r="C9" i="5"/>
  <c r="C8" i="5"/>
  <c r="C7" i="5"/>
  <c r="C6" i="5"/>
  <c r="C5" i="5"/>
  <c r="C4" i="5"/>
  <c r="C10" i="4"/>
  <c r="C9" i="4"/>
  <c r="C8" i="4"/>
  <c r="C7" i="4"/>
  <c r="C6" i="4"/>
  <c r="C5" i="4"/>
  <c r="C4" i="4"/>
  <c r="C3" i="4"/>
  <c r="C14" i="5" l="1"/>
  <c r="C14" i="4"/>
  <c r="C14" i="3"/>
  <c r="C14" i="2"/>
  <c r="C14" i="1" l="1"/>
  <c r="B14" i="10"/>
  <c r="B14" i="9"/>
  <c r="B14" i="8" l="1"/>
  <c r="B14" i="7"/>
  <c r="B14" i="6" l="1"/>
  <c r="B14" i="5"/>
  <c r="B14" i="4"/>
  <c r="B14" i="3"/>
  <c r="B14" i="2"/>
  <c r="B14" i="1"/>
  <c r="C14" i="6" l="1"/>
</calcChain>
</file>

<file path=xl/sharedStrings.xml><?xml version="1.0" encoding="utf-8"?>
<sst xmlns="http://schemas.openxmlformats.org/spreadsheetml/2006/main" count="681" uniqueCount="47">
  <si>
    <t>Date</t>
  </si>
  <si>
    <t>De RustHartbeesport</t>
  </si>
  <si>
    <t xml:space="preserve">Annual Total </t>
  </si>
  <si>
    <t>Annual Total</t>
  </si>
  <si>
    <t>n/a</t>
  </si>
  <si>
    <t>De Rust Hartbeesport</t>
  </si>
  <si>
    <t>Rietvlei</t>
  </si>
  <si>
    <t>Lindleyspoort Dam</t>
  </si>
  <si>
    <t>Buffelspoort</t>
  </si>
  <si>
    <t>Roodeplaat Dam</t>
  </si>
  <si>
    <t>Waterval</t>
  </si>
  <si>
    <t>Klipvoor Dam</t>
  </si>
  <si>
    <t>Rietvallei</t>
  </si>
  <si>
    <t>Roodekopjes</t>
  </si>
  <si>
    <t>Doornkraal</t>
  </si>
  <si>
    <t>Kalk Dam</t>
  </si>
  <si>
    <t>Rondebosch</t>
  </si>
  <si>
    <t>Groenfontein</t>
  </si>
  <si>
    <t>Loskop</t>
  </si>
  <si>
    <t>Rust De Winter</t>
  </si>
  <si>
    <t>Rhenosterkop</t>
  </si>
  <si>
    <t>Buffelskloof</t>
  </si>
  <si>
    <t>Tambotieboom</t>
  </si>
  <si>
    <t>Rozenkranz</t>
  </si>
  <si>
    <t>Blyderiv.Poortnatres</t>
  </si>
  <si>
    <t>Guernsey</t>
  </si>
  <si>
    <t>Tours Dam</t>
  </si>
  <si>
    <t>Onverwacht</t>
  </si>
  <si>
    <t>Doornhoek</t>
  </si>
  <si>
    <t xml:space="preserve">Woodbush Forest </t>
  </si>
  <si>
    <t>Turksvygbult</t>
  </si>
  <si>
    <t>Modjadjes 424</t>
  </si>
  <si>
    <t>Lotteringskop</t>
  </si>
  <si>
    <t xml:space="preserve"> Mokolo </t>
  </si>
  <si>
    <t>Doorndraai Dam</t>
  </si>
  <si>
    <t>Glen Alpine</t>
  </si>
  <si>
    <t xml:space="preserve">Du Toits Kraal </t>
  </si>
  <si>
    <t>Pietersburg</t>
  </si>
  <si>
    <t>Nairobi</t>
  </si>
  <si>
    <t>Nwanedzi</t>
  </si>
  <si>
    <t>Beaconsfield</t>
  </si>
  <si>
    <t xml:space="preserve">Goedehoop </t>
  </si>
  <si>
    <t xml:space="preserve"> Nandoni Dam</t>
  </si>
  <si>
    <t>DeRusthartbeesport</t>
  </si>
  <si>
    <t>Goedehoop</t>
  </si>
  <si>
    <t>DRH</t>
  </si>
  <si>
    <t>Mod 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</si>
</sst>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AC6D-BCBE-45B5-8D1A-F835210AA5B8}">
  <dimension ref="A1:AF14"/>
  <sheetViews>
    <sheetView topLeftCell="M1" zoomScale="89" zoomScaleNormal="99" workbookViewId="0">
      <selection activeCell="V16" sqref="V16"/>
    </sheetView>
  </sheetViews>
  <sheetFormatPr defaultRowHeight="14.4" x14ac:dyDescent="0.3"/>
  <cols>
    <col min="1" max="1" width="16.21875" customWidth="1"/>
    <col min="2" max="2" width="19.88671875" customWidth="1"/>
    <col min="3" max="3" width="9.5546875" customWidth="1"/>
    <col min="4" max="4" width="11.88671875" customWidth="1"/>
    <col min="5" max="5" width="8.88671875" style="2"/>
    <col min="6" max="6" width="11.88671875" customWidth="1"/>
    <col min="7" max="7" width="12.77734375" customWidth="1"/>
    <col min="9" max="11" width="14.77734375" style="2" customWidth="1"/>
    <col min="12" max="12" width="14.6640625" style="2" customWidth="1"/>
    <col min="13" max="13" width="11.21875" style="2" customWidth="1"/>
    <col min="14" max="14" width="18.6640625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customWidth="1"/>
    <col min="26" max="26" width="12.77734375" style="2" customWidth="1"/>
    <col min="27" max="27" width="11" customWidth="1"/>
    <col min="29" max="29" width="9.6640625" customWidth="1"/>
    <col min="30" max="30" width="12.109375" customWidth="1"/>
    <col min="31" max="31" width="11.5546875" customWidth="1"/>
    <col min="32" max="32" width="13.44140625" style="2" customWidth="1"/>
  </cols>
  <sheetData>
    <row r="1" spans="1:32" s="7" customFormat="1" x14ac:dyDescent="0.3">
      <c r="A1" s="7" t="s">
        <v>0</v>
      </c>
      <c r="B1" s="7" t="s">
        <v>1</v>
      </c>
      <c r="C1" s="7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40026</v>
      </c>
      <c r="B2">
        <v>17</v>
      </c>
      <c r="C2">
        <v>0</v>
      </c>
      <c r="D2">
        <f xml:space="preserve"> 6.5</f>
        <v>6.5</v>
      </c>
      <c r="E2" s="2">
        <v>0</v>
      </c>
      <c r="F2">
        <f xml:space="preserve"> 12</f>
        <v>12</v>
      </c>
      <c r="G2">
        <f xml:space="preserve"> 9.2</f>
        <v>9.1999999999999993</v>
      </c>
      <c r="H2">
        <f xml:space="preserve"> 7.5</f>
        <v>7.5</v>
      </c>
      <c r="I2" s="2">
        <v>0</v>
      </c>
      <c r="J2" s="2">
        <f xml:space="preserve"> 5.4</f>
        <v>5.4</v>
      </c>
      <c r="K2" s="2">
        <f xml:space="preserve"> 15</f>
        <v>15</v>
      </c>
      <c r="L2" s="2">
        <f xml:space="preserve"> 12</f>
        <v>12</v>
      </c>
      <c r="M2" s="2">
        <v>8</v>
      </c>
      <c r="N2">
        <f xml:space="preserve"> 7.1 + 3.8</f>
        <v>10.899999999999999</v>
      </c>
      <c r="O2" s="2">
        <f xml:space="preserve"> 5.4 + 4.8</f>
        <v>10.199999999999999</v>
      </c>
      <c r="P2" s="2">
        <f xml:space="preserve"> 4.6</f>
        <v>4.5999999999999996</v>
      </c>
      <c r="Q2" s="2">
        <f xml:space="preserve"> 3.8 + 0.2 + 2 + 2.4 + 3.2</f>
        <v>11.600000000000001</v>
      </c>
      <c r="R2">
        <f>5.7 + 0.1</f>
        <v>5.8</v>
      </c>
      <c r="S2" s="2">
        <f xml:space="preserve"> 4 + 1 + 2.6 + 2.8 + 1+1</f>
        <v>12.399999999999999</v>
      </c>
      <c r="T2">
        <f xml:space="preserve"> 0.1 + 0.5</f>
        <v>0.6</v>
      </c>
      <c r="U2" s="2">
        <v>0</v>
      </c>
      <c r="V2">
        <f xml:space="preserve"> 1.2</f>
        <v>1.2</v>
      </c>
      <c r="W2">
        <v>0</v>
      </c>
      <c r="X2">
        <v>0</v>
      </c>
      <c r="Y2">
        <v>0</v>
      </c>
      <c r="Z2" s="2">
        <v>0</v>
      </c>
      <c r="AA2">
        <v>0</v>
      </c>
      <c r="AB2">
        <v>0</v>
      </c>
      <c r="AC2">
        <v>0</v>
      </c>
      <c r="AD2">
        <f xml:space="preserve"> 0.5</f>
        <v>0.5</v>
      </c>
      <c r="AE2">
        <v>0</v>
      </c>
      <c r="AF2" s="2">
        <v>0</v>
      </c>
    </row>
    <row r="3" spans="1:32" x14ac:dyDescent="0.3">
      <c r="A3" s="1">
        <v>40057</v>
      </c>
      <c r="B3">
        <v>0</v>
      </c>
      <c r="C3">
        <v>0</v>
      </c>
      <c r="D3">
        <f xml:space="preserve"> 1</f>
        <v>1</v>
      </c>
      <c r="E3" s="2">
        <f xml:space="preserve"> 2</f>
        <v>2</v>
      </c>
      <c r="F3">
        <v>0</v>
      </c>
      <c r="G3">
        <f xml:space="preserve"> 12.8</f>
        <v>12.8</v>
      </c>
      <c r="H3">
        <f xml:space="preserve"> 5.5</f>
        <v>5.5</v>
      </c>
      <c r="I3" s="2">
        <f xml:space="preserve"> 2.7 + 10.7</f>
        <v>13.399999999999999</v>
      </c>
      <c r="J3" s="2">
        <f xml:space="preserve"> 10.8</f>
        <v>10.8</v>
      </c>
      <c r="K3" s="2">
        <f xml:space="preserve"> 10</f>
        <v>10</v>
      </c>
      <c r="L3" s="2">
        <f xml:space="preserve"> 9.2 + 1.9</f>
        <v>11.1</v>
      </c>
      <c r="M3" s="2">
        <f xml:space="preserve"> 6.6</f>
        <v>6.6</v>
      </c>
      <c r="N3">
        <f xml:space="preserve"> 0</f>
        <v>0</v>
      </c>
      <c r="O3" s="2">
        <f>0</f>
        <v>0</v>
      </c>
      <c r="P3" s="2">
        <v>6.4</v>
      </c>
      <c r="Q3" s="2">
        <f>1 + 8 + 1 + 6 + 1</f>
        <v>17</v>
      </c>
      <c r="R3">
        <f xml:space="preserve"> 0.6 + 0.2 + 1 + 3.4</f>
        <v>5.2</v>
      </c>
      <c r="S3" s="2">
        <v>2.5</v>
      </c>
      <c r="T3">
        <f xml:space="preserve"> 3.8 + 1 + 4.2 + 0.5</f>
        <v>9.5</v>
      </c>
      <c r="U3" s="2">
        <v>20.399999999999999</v>
      </c>
      <c r="V3">
        <f xml:space="preserve"> 1 + 11.2 + 44.6</f>
        <v>56.8</v>
      </c>
      <c r="W3">
        <f>38.3+4</f>
        <v>42.3</v>
      </c>
      <c r="X3">
        <f xml:space="preserve"> 15 + 4.5</f>
        <v>19.5</v>
      </c>
      <c r="Y3">
        <f xml:space="preserve"> 5</f>
        <v>5</v>
      </c>
      <c r="Z3" s="2">
        <v>0</v>
      </c>
      <c r="AA3">
        <f xml:space="preserve"> 0.1 + 2.4 + 6</f>
        <v>8.5</v>
      </c>
      <c r="AB3">
        <v>0</v>
      </c>
      <c r="AC3">
        <f xml:space="preserve"> 1.4</f>
        <v>1.4</v>
      </c>
      <c r="AD3">
        <f xml:space="preserve"> 3.8</f>
        <v>3.8</v>
      </c>
      <c r="AE3">
        <v>0</v>
      </c>
      <c r="AF3" s="2">
        <v>2.6</v>
      </c>
    </row>
    <row r="4" spans="1:32" x14ac:dyDescent="0.3">
      <c r="A4" s="1">
        <v>40087</v>
      </c>
      <c r="B4">
        <v>16.899999999999999</v>
      </c>
      <c r="C4">
        <v>73.400000000000006</v>
      </c>
      <c r="D4">
        <f xml:space="preserve"> 24.5 + 5.9 + 6.2 + 6.2 + 1.8</f>
        <v>44.6</v>
      </c>
      <c r="E4" s="2">
        <f xml:space="preserve"> 16.5 + 12.6 + 11.5</f>
        <v>40.6</v>
      </c>
      <c r="F4">
        <f xml:space="preserve"> 2 + 2 + 7 + 0.5 + 12 + 15 + 12 + 0.1 + 0.6 + 0.3 + 0.1</f>
        <v>51.6</v>
      </c>
      <c r="G4">
        <f xml:space="preserve"> 0</f>
        <v>0</v>
      </c>
      <c r="H4">
        <f xml:space="preserve"> 14.5 + 30 + 4.5 + 1.5 + 2 + 4 + 10</f>
        <v>66.5</v>
      </c>
      <c r="I4" s="2">
        <f xml:space="preserve"> 2.5 + 5.3 + 9.4 + 4.2 + 3.2 + 4.1 + 21.8</f>
        <v>50.5</v>
      </c>
      <c r="J4" s="2">
        <f xml:space="preserve"> 4 + 7.4 + 26.6 + 2.2 + 41.2</f>
        <v>81.400000000000006</v>
      </c>
      <c r="K4" s="2">
        <f>5+40+1+6+19</f>
        <v>71</v>
      </c>
      <c r="L4" s="2">
        <f xml:space="preserve"> 2 + 1.9 + 9.6 + 52 + 25</f>
        <v>90.5</v>
      </c>
      <c r="M4" s="2">
        <f xml:space="preserve"> 4.2 + 10.2 + 5.4 + 2.4 + 8.6 + 3.2 + 25.6</f>
        <v>59.6</v>
      </c>
      <c r="N4">
        <f xml:space="preserve"> 10.4</f>
        <v>10.4</v>
      </c>
      <c r="O4" s="2">
        <v>0</v>
      </c>
      <c r="P4" s="2">
        <f xml:space="preserve"> 2 + 10.9</f>
        <v>12.9</v>
      </c>
      <c r="Q4" s="2">
        <f xml:space="preserve"> 3.5 + 3 + 3 + 2 + 1 + 2.6 + 4.5 + 7 + 1 + 2 + 2 + 2 + 20 + 22  + 2</f>
        <v>77.599999999999994</v>
      </c>
      <c r="R4">
        <f>0.5+ 0.1+ 1.1+11.2 + 23.6</f>
        <v>36.5</v>
      </c>
      <c r="S4" s="2">
        <v>19.3</v>
      </c>
      <c r="T4">
        <f xml:space="preserve"> 0.5 + 0.8 + 0.5 + 0.5+2.8 + 1.2 + 9.3 + 3.2 + 1.4 + 10 + 20.4 + 0.2</f>
        <v>50.8</v>
      </c>
      <c r="U4" s="2">
        <v>15.7</v>
      </c>
      <c r="V4">
        <f xml:space="preserve"> 26.8 + 1 + 6.8 + 2 + 1 + 4 + 3.8</f>
        <v>45.4</v>
      </c>
      <c r="W4">
        <f xml:space="preserve"> 4.5 + 14.3 + 28 + 17 + 28</f>
        <v>91.8</v>
      </c>
      <c r="X4">
        <f xml:space="preserve"> 2 + 5.6 + 13 + 25 + 1 + 31.2</f>
        <v>77.8</v>
      </c>
      <c r="Y4">
        <f xml:space="preserve"> 7 + 14</f>
        <v>21</v>
      </c>
      <c r="Z4" s="2">
        <v>0</v>
      </c>
      <c r="AA4">
        <f xml:space="preserve"> 1.7 + 2.2 + 0.1 + 1 + 0.3+ 38.3</f>
        <v>43.599999999999994</v>
      </c>
      <c r="AB4">
        <f xml:space="preserve"> 2.2 + 1.1</f>
        <v>3.3000000000000003</v>
      </c>
      <c r="AC4">
        <v>0</v>
      </c>
      <c r="AD4">
        <f xml:space="preserve"> 10 + 4.6</f>
        <v>14.6</v>
      </c>
      <c r="AE4">
        <f xml:space="preserve"> 0.4 + 0.3 + 3.2 + 3.6 + 0.3 + 32.8 + 0.2</f>
        <v>40.799999999999997</v>
      </c>
      <c r="AF4" s="2">
        <v>22.3</v>
      </c>
    </row>
    <row r="5" spans="1:32" x14ac:dyDescent="0.3">
      <c r="A5" s="1">
        <v>40118</v>
      </c>
      <c r="B5">
        <v>92.5</v>
      </c>
      <c r="C5">
        <v>172</v>
      </c>
      <c r="D5">
        <f xml:space="preserve"> 5.6 + 3.4 + 7.8 + 5.8 + 0.1 + 35 + 18.3 + 10.3 + 5.9</f>
        <v>92.2</v>
      </c>
      <c r="E5" s="2">
        <f xml:space="preserve"> 2 + 8.5 + 10.5 + 3 + 30.6 + 26.5 + 21.2 + 5.1</f>
        <v>107.39999999999999</v>
      </c>
      <c r="F5">
        <f>1 + 2 + 1 + 13 + 14 + 6 + 2 + 15 + 26 + 20 + 8 + 5 + 22 + 32 + 17</f>
        <v>184</v>
      </c>
      <c r="G5">
        <f xml:space="preserve"> 6.4 + 9 + 1.2 + 5.4 + 2.2 + 26 + 9.8 + 6.4 + 5 + 4.8 + 20.2 + 39.6 + 21 + 7.4 + 1.6 + 3.2</f>
        <v>169.2</v>
      </c>
      <c r="H5">
        <f xml:space="preserve"> 7 + 13 + 2.5 + 8 + 19 + 24 + 10.5 + 6+ 4</f>
        <v>94</v>
      </c>
      <c r="I5" s="2">
        <v>86.5</v>
      </c>
      <c r="J5" s="2">
        <v>92</v>
      </c>
      <c r="K5" s="2">
        <f xml:space="preserve"> 7.5 + 4 + 6 + 0.5 + 6.7 + 9 + 4 + 7 + 27 + 3 + 0.4 + 0.6 + 54</f>
        <v>129.69999999999999</v>
      </c>
      <c r="L5" s="2">
        <f xml:space="preserve"> 10 + 1 + 1.5 + 1 + 2 + 2.1 + 13 + 12 + 14.1 + 3.2 + 1.5 + 5.8 + 12.5 + 16.9 + 9 + 5.5 + 5.4</f>
        <v>116.5</v>
      </c>
      <c r="M5" s="2">
        <v>125.3</v>
      </c>
      <c r="N5" s="2">
        <v>97.2</v>
      </c>
      <c r="O5" s="2">
        <f xml:space="preserve"> 8.8+ 3.8 + 124 + 5.6</f>
        <v>142.19999999999999</v>
      </c>
      <c r="P5" s="2">
        <f xml:space="preserve"> 16.2 + 1 + 2.8 + 1 + 4.6 + 32.6 +11.2 + 40.2 + 77.2 + 41.8 + 29.2</f>
        <v>257.8</v>
      </c>
      <c r="Q5" s="2">
        <f xml:space="preserve"> 10 + 0.2 + 7 + 3 + 5.5 + 3.5 + 7 + 2.2 + 20.2 + 22 + 4 + 1 + 58 + 70 + 5 + 12.5 + 16.5 + 8</f>
        <v>255.60000000000002</v>
      </c>
      <c r="R5">
        <f xml:space="preserve"> 7.6 + 1.4 + 12.8 + 20.2 + 51.2 + 102 + 6.5</f>
        <v>201.7</v>
      </c>
      <c r="S5" s="2">
        <f xml:space="preserve"> 8.3 + 5.1</f>
        <v>13.4</v>
      </c>
      <c r="T5">
        <f xml:space="preserve"> 7.8 + 1.2 + 3.5 + 0.3 + 2.1 + 14.4 + 6.2 + 16.6 + 20.1 + 1 + 57.8 + 70.8 + 10.1 + 9.1 + 1.4 + 14.5</f>
        <v>236.9</v>
      </c>
      <c r="U5" s="2">
        <f>5.5 +  50 + 30 + 28</f>
        <v>113.5</v>
      </c>
      <c r="V5">
        <f xml:space="preserve"> 6 + 1.8 + 4 + 2 + 22 + 7.6 + 31 + 13 + 14.3 + 1.2 + 2.2 + 1.2</f>
        <v>106.30000000000001</v>
      </c>
      <c r="W5">
        <f xml:space="preserve"> 3 + 1 + 19 + 11 + 2 + 6 + 2 + 11 + 4.8 + 11 + 35</f>
        <v>105.8</v>
      </c>
      <c r="X5">
        <f xml:space="preserve"> 9 + 5 + 4 + 14 + 22 + 4 + 17 + 14.5 + 13 + 18</f>
        <v>120.5</v>
      </c>
      <c r="Y5">
        <f xml:space="preserve"> 7 + 1.5 + 50.6 + 2.8</f>
        <v>61.9</v>
      </c>
      <c r="Z5" s="2">
        <f xml:space="preserve"> 13 + 7 + 5.5 + 25 + 1.5 + 13.5 + 8.5 + 22 + 3 + 17.5 + 20 + 8</f>
        <v>144.5</v>
      </c>
      <c r="AA5">
        <f xml:space="preserve"> 3 + 6 + 6.4 + 15.5 + 5.2 + 0.2 + 10.9 + 0.3 + 24.6 + 17.4 + 0.1 + 5.5 + 2.6</f>
        <v>97.699999999999989</v>
      </c>
      <c r="AB5">
        <f xml:space="preserve"> 56 + 24+ 2</f>
        <v>82</v>
      </c>
      <c r="AC5">
        <f xml:space="preserve"> 10 + 20.6 + 30.1 + 2.2 + 9.4</f>
        <v>72.300000000000011</v>
      </c>
      <c r="AD5">
        <f xml:space="preserve"> 2.6 + 2.4 + 150.8</f>
        <v>155.80000000000001</v>
      </c>
      <c r="AE5">
        <f xml:space="preserve"> 4 + 0.1 + 3.2 + 16.6 + 1 + 5.6 + 9.4</f>
        <v>39.9</v>
      </c>
      <c r="AF5" s="2">
        <v>76.400000000000006</v>
      </c>
    </row>
    <row r="6" spans="1:32" x14ac:dyDescent="0.3">
      <c r="A6" s="1">
        <v>40148</v>
      </c>
      <c r="B6">
        <v>129.80000000000001</v>
      </c>
      <c r="C6">
        <v>56.4</v>
      </c>
      <c r="D6">
        <v>0</v>
      </c>
      <c r="E6" s="2">
        <f xml:space="preserve"> 10 + 22.8 + 23.3</f>
        <v>56.099999999999994</v>
      </c>
      <c r="F6">
        <f xml:space="preserve"> 10 + 8 + 1 + 25 + 9 + 4 + 2 + 20 + 4 + 4 + 1 + 26 + 8 + 20 + 20 +5 + 14 +1 + 4</f>
        <v>186</v>
      </c>
      <c r="G6">
        <f xml:space="preserve"> 4.2 + 19.2 + 11.8 + 0.4 + 3.4 + 13.4 + 5.4 + 14.6 + 22 + 2 + 41.4 + 2.6</f>
        <v>140.39999999999998</v>
      </c>
      <c r="H6">
        <f xml:space="preserve"> 4.5 + 11 + 12.5 + 7 + 29 + 39.5</f>
        <v>103.5</v>
      </c>
      <c r="I6" s="2">
        <f xml:space="preserve"> 8 + 20 + 3 + 5 + 25.2 + 20 + 6.1 + 14 + 19.7 + 2.5 + 10 + 11.1</f>
        <v>144.6</v>
      </c>
      <c r="J6" s="2">
        <f xml:space="preserve"> 13.4 + 9.4 + 13 + 5.2 + 3.4 + 2.2 + 5 + 2 + 29.2</f>
        <v>82.8</v>
      </c>
      <c r="K6" s="2">
        <f xml:space="preserve"> 0.4 + 17 + 17 + 1.1 + 1</f>
        <v>36.5</v>
      </c>
      <c r="L6" s="2">
        <f xml:space="preserve"> 2.8 + 5.4 + 0.2 + 15 + 21.2 + 1.4 + 25.4 +23.2 + 5 + 2</f>
        <v>101.6</v>
      </c>
      <c r="M6" s="2">
        <f xml:space="preserve"> 26.6 + 11 + 2</f>
        <v>39.6</v>
      </c>
      <c r="N6">
        <f xml:space="preserve"> 2.4 + 6.4 + 6.3 + 26.4</f>
        <v>41.5</v>
      </c>
      <c r="O6" s="2">
        <f xml:space="preserve"> 84 + 15.8 + 8.7</f>
        <v>108.5</v>
      </c>
      <c r="P6" s="2">
        <f xml:space="preserve"> 17 + 1.8 + 15 + 92.6 + 1.6</f>
        <v>127.99999999999999</v>
      </c>
      <c r="Q6" s="2">
        <f xml:space="preserve"> 18 + 2.5 + 1 + 2 + 40+5+1 + 65 + 16 +8 +1 +   12+ 4 +14 + 2</f>
        <v>191.5</v>
      </c>
      <c r="R6">
        <f xml:space="preserve"> 1.2 + 36.5 + 1.5 + 58.7 + 1.7 + 9+37</f>
        <v>145.60000000000002</v>
      </c>
      <c r="S6" s="2">
        <f xml:space="preserve"> 20.7 + 7.2 + 1.3 + 10.1 + 1.1 + 23.3 + 7.4 + 2+ 2.1 + 16.1 + 1.4 + 2.2 + 23.2 + 1.2</f>
        <v>119.30000000000003</v>
      </c>
      <c r="T6">
        <f xml:space="preserve"> 18.4 +4.6 + 0.5 + 35.3 + 4.4 + 28.4 + 11.2 + 0.5 + 6.1 + 3.5</f>
        <v>112.89999999999999</v>
      </c>
      <c r="U6" s="2">
        <f xml:space="preserve"> 5.1 +45</f>
        <v>50.1</v>
      </c>
      <c r="V6">
        <f xml:space="preserve"> 13.8 + 27 + 13.6 + 31.4</f>
        <v>85.8</v>
      </c>
      <c r="W6">
        <f xml:space="preserve"> 16 + 12 + 6 + 5.5 + 8.5 + 3.5 + 1 + 56.5 + 8.2</f>
        <v>117.2</v>
      </c>
      <c r="X6">
        <f xml:space="preserve"> 32.2 + 4 + 16.2 + 20 + 10.1 + 9 + 36.2 + 1.3 + 13 + 3.5</f>
        <v>145.5</v>
      </c>
      <c r="Y6">
        <f xml:space="preserve"> 33.4 + 14 + 11.1 + 2.5 + 48.5 + 4</f>
        <v>113.5</v>
      </c>
      <c r="Z6" s="2">
        <f xml:space="preserve"> 100 + 8 + 2 + 10 + 10 + 15 + 8.6 + 43 + 29</f>
        <v>225.6</v>
      </c>
      <c r="AA6">
        <f xml:space="preserve"> 1 + 24.9 + 2.8 + 4.4 + 5.5 + 6.5 + 3.4 + 3.2 + 13.5 + 0.2 + 4.2</f>
        <v>69.600000000000009</v>
      </c>
      <c r="AB6">
        <v>0</v>
      </c>
      <c r="AC6">
        <f xml:space="preserve"> 10 + 20.6 + 9.4 + 30.1 + 2.2</f>
        <v>72.3</v>
      </c>
      <c r="AD6">
        <f xml:space="preserve"> 14.8 + 12.2 + 3.4 + 6.8 + 7.4</f>
        <v>44.599999999999994</v>
      </c>
      <c r="AE6">
        <f xml:space="preserve"> 12 + 1 + 14 + 4.3 + 24.8 + 5.3 + 6.4 + 0.3 + 18.2 + 0.4 + 5.8 + 0.3</f>
        <v>92.8</v>
      </c>
      <c r="AF6" s="2">
        <f xml:space="preserve"> 53 + 5.2 + 24.2 + 8.6 + 3.8 + 1 + 1.8</f>
        <v>97.6</v>
      </c>
    </row>
    <row r="7" spans="1:32" x14ac:dyDescent="0.3">
      <c r="A7" s="1">
        <v>40179</v>
      </c>
      <c r="B7">
        <v>235.9</v>
      </c>
      <c r="C7">
        <v>154.9</v>
      </c>
      <c r="D7">
        <f xml:space="preserve"> 12 + 0.5 + 0.9 + 3.7 + 13.8 + 42.3 + 1.7 + 0.4 + 6.8 + 18.8 + 7.7 + 3.3 + 0.5 + 1.2 + 6.7 + 11.8</f>
        <v>132.10000000000002</v>
      </c>
      <c r="E7" s="2">
        <f xml:space="preserve"> 4.8 + 2.5 + 6.5</f>
        <v>13.8</v>
      </c>
      <c r="F7">
        <f xml:space="preserve"> 48 + 8 + 1 + 10 + 5 + 3 + 24 + 36 + 8 + 5 + 4 + 3</f>
        <v>155</v>
      </c>
      <c r="G7">
        <f xml:space="preserve"> 0.4 + 21 + 1 + 6.6 + 1 + 10 + 26.2 + 18.6 + 2.4 + 11.2 + 4.4 + 63.6 + 6 + 6.8 + 10.8 + 1.2 + 10.2</f>
        <v>201.40000000000003</v>
      </c>
      <c r="H7">
        <f xml:space="preserve"> 25 + 18 + 7 + 8 + 1.5 + 9.5 + 2.5 + 2 + 12 + 24 + 3</f>
        <v>112.5</v>
      </c>
      <c r="I7" s="2">
        <f xml:space="preserve"> 35 + 6.8 + 3 + 8.9 + 9.4 + 1 + 11.9 + 11 + 4 + 42.4 + 4</f>
        <v>137.4</v>
      </c>
      <c r="J7" s="2">
        <f xml:space="preserve"> 41.4 + 27.2 + 2 + 13 + 24.2 + 36.2 + 51.6 + 3.2 + 15.2</f>
        <v>213.99999999999997</v>
      </c>
      <c r="K7" s="2">
        <f xml:space="preserve"> 8 + 9 + 4 + 3 + 31 + 4.7 + 5</f>
        <v>64.7</v>
      </c>
      <c r="L7" s="2">
        <f xml:space="preserve"> 32 + 18.2 + 3.6 + 6.4 + 17.2 + 1.6 + 18.2 + 36.5 + 3</f>
        <v>136.69999999999999</v>
      </c>
      <c r="M7" s="2">
        <f xml:space="preserve"> 10.4 + 8 + 1 + 16 + 20.8 + 11.2 + 12 + 1 + 1.8</f>
        <v>82.2</v>
      </c>
      <c r="N7">
        <f xml:space="preserve"> 1.6 + 21.4 + 0.6 + 0.2 + 1.2 + 0.3 + 2.8 + 16 + 1 + 1.3</f>
        <v>46.4</v>
      </c>
      <c r="O7" s="2">
        <f>39.4+29</f>
        <v>68.400000000000006</v>
      </c>
      <c r="P7" s="2">
        <f xml:space="preserve"> 33.4 + 6.6 + 5.2 + 2 + 28.8 + 1 + 67.6 + 33.8 +2</f>
        <v>180.39999999999998</v>
      </c>
      <c r="Q7" s="2">
        <f xml:space="preserve"> 3.8 + 1+ 42 + 2 + 5 + 2 + 14 + 1 + 12 + 2 + 22+ 40 + 32 + 55 + 22 + 5.8 + 4</f>
        <v>265.60000000000002</v>
      </c>
      <c r="R7">
        <f xml:space="preserve"> 13.6 + 12 + 16.4 + 1.8 + 32 + 26.5 + 23.3 + 21 + 2.5</f>
        <v>149.1</v>
      </c>
      <c r="S7" s="2">
        <f>5.4 + 46.4 + 38.2 + 4.3 + 1.2 + 1+ 8.2 + 11 + 8 + 20.2 + 2.4 + 16.3 + 33.1 + 1.6 + 20.5+ 20.8 + 3</f>
        <v>241.60000000000002</v>
      </c>
      <c r="T7">
        <f xml:space="preserve"> 25.4 + 22.1 + 1.2 + 1.5 + 1.7 + 12.2 + 4.4 + 0.5 + 42.6 + 36.7 + 5.1 + 53.4 + 20.6 + 4.2</f>
        <v>231.6</v>
      </c>
      <c r="U7" s="2">
        <f xml:space="preserve"> 50 + 40 + 70  + 30</f>
        <v>190</v>
      </c>
      <c r="V7">
        <f xml:space="preserve"> 14.4 + 29 + 7 + 13 + 2.6 + 10 + 12.5 + 74 + 8 + 2 + 3</f>
        <v>175.5</v>
      </c>
      <c r="W7">
        <f xml:space="preserve"> 33 + 72 + 1.5 + 2 + 1 + 23.5</f>
        <v>133</v>
      </c>
      <c r="X7">
        <f xml:space="preserve"> 14.5 + 3.2 + 6.1 + 4.3 + 2 + 5.3 + 50.5 + 67.3 + 26 + 8 + 0.5 + 28 + 28</f>
        <v>243.7</v>
      </c>
      <c r="Y7">
        <f xml:space="preserve"> 1.1 + 8.5 + 3.3 + 8.3</f>
        <v>21.2</v>
      </c>
      <c r="Z7" s="2">
        <f xml:space="preserve"> 26 + 18 + 16 + 2 + 13 + 21 + 23 + 5 + 14 + 10</f>
        <v>148</v>
      </c>
      <c r="AA7">
        <f xml:space="preserve"> 0.1 + 15 + 8.5 + 4.8 + 23.5 + 25.5 + 16.5</f>
        <v>93.9</v>
      </c>
      <c r="AB7">
        <f xml:space="preserve"> 23 + 16</f>
        <v>39</v>
      </c>
      <c r="AC7">
        <f xml:space="preserve"> 20.3 + 45.2 + 12.4 + 0.2</f>
        <v>78.100000000000009</v>
      </c>
      <c r="AD7">
        <f xml:space="preserve"> 5.6 + 1.4 + 7.6 + 3.2 + 13.8 + 28.8 + 0.5</f>
        <v>60.900000000000006</v>
      </c>
      <c r="AE7">
        <f xml:space="preserve"> 7.4 + 16 + 3 + 1.4 + 0.3 + 15.2 + 0.3 + 4.1 + 10.7 + 40.3 + 30.7</f>
        <v>129.39999999999998</v>
      </c>
      <c r="AF7" s="2">
        <f xml:space="preserve"> 19.6 + 15 + 1.2 + 2.6 + 36 + 14 + 1 + 9.6</f>
        <v>99</v>
      </c>
    </row>
    <row r="8" spans="1:32" x14ac:dyDescent="0.3">
      <c r="A8" s="1">
        <v>40210</v>
      </c>
      <c r="B8">
        <v>20.5</v>
      </c>
      <c r="C8">
        <v>126.6</v>
      </c>
      <c r="D8">
        <v>0</v>
      </c>
      <c r="E8" s="2">
        <v>0</v>
      </c>
      <c r="F8">
        <f xml:space="preserve"> 8 + 12 + 21 + 8 + 13 + 2 + 20 + 1</f>
        <v>85</v>
      </c>
      <c r="G8" s="2">
        <v>45</v>
      </c>
      <c r="H8">
        <f xml:space="preserve"> 14.5 + 3 + 8.5 + 27.5 + 5.5</f>
        <v>59</v>
      </c>
      <c r="I8" s="2">
        <f>7.4</f>
        <v>7.4</v>
      </c>
      <c r="J8" s="2">
        <f xml:space="preserve"> 4.4 + 11.2 + 35.4</f>
        <v>51</v>
      </c>
      <c r="K8" s="2">
        <v>42.2</v>
      </c>
      <c r="L8" s="2">
        <v>34.700000000000003</v>
      </c>
      <c r="M8" s="2">
        <v>43.9</v>
      </c>
      <c r="N8" s="2">
        <v>57.6</v>
      </c>
      <c r="O8" s="2">
        <v>98.5</v>
      </c>
      <c r="P8" s="2">
        <v>131.69999999999999</v>
      </c>
      <c r="Q8" s="2">
        <f xml:space="preserve"> 4 + 30+ 55+ 7 + 48 + 11 + 6 + 10 + 0.5 + 1</f>
        <v>172.5</v>
      </c>
      <c r="R8">
        <f xml:space="preserve"> 3.1 + 57.5 + 12</f>
        <v>72.599999999999994</v>
      </c>
      <c r="S8" s="2">
        <f xml:space="preserve"> 2.6 + 30.1 + 1.1 + 3.4 + 5 + 52.1 + 36.2 + 61.4 + 14.1 + 7.3 + 3.3 + 1</f>
        <v>217.60000000000002</v>
      </c>
      <c r="T8">
        <f xml:space="preserve"> 62.4 + 0.5 + 1.3 + 16.8 + 7.1 + 18.8 + 3.6 + 2.8</f>
        <v>113.29999999999998</v>
      </c>
      <c r="U8" s="2">
        <f xml:space="preserve"> 17 + 21 + 5</f>
        <v>43</v>
      </c>
      <c r="V8">
        <f xml:space="preserve"> 5.6 + 16.4 + 17.2 + 7 + 13 + 1</f>
        <v>60.2</v>
      </c>
      <c r="W8">
        <f xml:space="preserve"> 15 + 14.5 + 7.5</f>
        <v>37</v>
      </c>
      <c r="X8">
        <f xml:space="preserve"> 4 + 14 + 6.2 + 3</f>
        <v>27.2</v>
      </c>
      <c r="Y8">
        <f xml:space="preserve"> 6.3 + 7.2 + 1.8</f>
        <v>15.3</v>
      </c>
      <c r="Z8" s="2">
        <v>0</v>
      </c>
      <c r="AA8">
        <f xml:space="preserve"> 0.2 + 0.6 + 0.6 + 10.5 + 0.1</f>
        <v>12</v>
      </c>
      <c r="AB8">
        <f xml:space="preserve"> 11.6 + 26 + 1 + 7</f>
        <v>45.6</v>
      </c>
      <c r="AC8">
        <f>1.1 + 7.3 + 24 + 1</f>
        <v>33.4</v>
      </c>
      <c r="AD8">
        <v>0</v>
      </c>
      <c r="AE8">
        <f xml:space="preserve"> 18.3 + 20.1 + 14.1 + 6.3 + 5.3 + 0.9 + 0.3 + 1 + 0.5</f>
        <v>66.800000000000011</v>
      </c>
      <c r="AF8" s="2">
        <f xml:space="preserve"> 10.6 + 10.2 + 29.4 + 0.8 + 2.4</f>
        <v>53.399999999999991</v>
      </c>
    </row>
    <row r="9" spans="1:32" x14ac:dyDescent="0.3">
      <c r="A9" s="1">
        <v>40238</v>
      </c>
      <c r="B9">
        <v>19.3</v>
      </c>
      <c r="C9">
        <v>63.1</v>
      </c>
      <c r="D9">
        <v>0</v>
      </c>
      <c r="E9" s="2">
        <v>46.7</v>
      </c>
      <c r="F9">
        <f xml:space="preserve"> 30 + 32 + 7 + 1 + 3 + 6 + 16 + 15</f>
        <v>110</v>
      </c>
      <c r="G9">
        <f xml:space="preserve"> 10.2 + 0.6 + 7.2 + 45.6</f>
        <v>63.6</v>
      </c>
      <c r="H9">
        <f xml:space="preserve"> 12.5 + 5 + 3.5 + 24.5 + 4 + 24.5</f>
        <v>74</v>
      </c>
      <c r="I9" s="2">
        <f xml:space="preserve"> 5.8 + 5 + 2.6 + 1.2 + 1.2 + 104.5</f>
        <v>120.3</v>
      </c>
      <c r="J9" s="2">
        <f xml:space="preserve"> 24+ 35</f>
        <v>59</v>
      </c>
      <c r="K9" s="2">
        <f xml:space="preserve"> 3 + 17 + 15 + 0.4 + 1.2 + 0.2 + 0.8 + 11 + 19</f>
        <v>67.599999999999994</v>
      </c>
      <c r="L9" s="2">
        <f xml:space="preserve"> 1.5 + 14 + 4 + 0.9 + 25 + 0.2</f>
        <v>45.6</v>
      </c>
      <c r="M9" s="2">
        <f xml:space="preserve"> 33.2 + 1 + 3.4 + 32 + 12.4 + 19  + 7 + 9.6</f>
        <v>117.6</v>
      </c>
      <c r="N9">
        <f xml:space="preserve"> 7.3 + 4.2 + 1.4 + 5.2 + 11.6 + 4.8 + 0.3 + 13.6 + 0.6</f>
        <v>49</v>
      </c>
      <c r="O9" s="2">
        <f xml:space="preserve"> 4.8 + 2.6 + 71 + 4.3</f>
        <v>82.7</v>
      </c>
      <c r="P9" s="2">
        <f xml:space="preserve"> 6 + 2.4 + 1.8 + 22.4 + 1.4 + 8 + 18 + 7.2 + 11.2</f>
        <v>78.400000000000006</v>
      </c>
      <c r="Q9" s="2">
        <f xml:space="preserve"> 8 + 4 + 10+ 4 + 20 + 6 + 2 + 13 + 6 + 2 + 22 + 8 + 2 + 9 + 0.2 + 0.2 + 14 + 8</f>
        <v>138.4</v>
      </c>
      <c r="R9">
        <f xml:space="preserve"> 13.2 + 1.5 + 6.3 + 2.3 + 1.2 + 0.5 + 10.5 + 16.1 + 0.7</f>
        <v>52.300000000000004</v>
      </c>
      <c r="S9" s="2">
        <f xml:space="preserve"> 1 + 20.2 + 6.6 + 2 + 2.3 + 2.2 + 46.1 + 9.4 + 8.6 + 5.6 + 12 + 2.8 + 10.8 + 5.2 + 30.4 + 5.6</f>
        <v>170.79999999999998</v>
      </c>
      <c r="T9">
        <f xml:space="preserve"> 15.3 + 5.2 + 1 + 1.6 + 37.4 + 4.8 + 0.5 + 6.2 + 3.2 + 1 + 18.6 + 6.8 + 0.5 + 4.2 + 6.7 + 3.8</f>
        <v>116.80000000000001</v>
      </c>
      <c r="U9" s="2">
        <f>+ 3.9 + 1.1 + 0.8 + 11 + 0.2</f>
        <v>17</v>
      </c>
      <c r="V9">
        <f xml:space="preserve"> 3.4 + 15.2+ 2 + 23.6</f>
        <v>44.2</v>
      </c>
      <c r="W9">
        <f xml:space="preserve"> 3 + 2 + 7 + 11.5 + 2 + 5 + 52.5</f>
        <v>83</v>
      </c>
      <c r="X9">
        <f xml:space="preserve"> 21 + 19 + 4 + 20 + 2</f>
        <v>66</v>
      </c>
      <c r="Y9">
        <f xml:space="preserve"> 2.2 + 2.1</f>
        <v>4.3000000000000007</v>
      </c>
      <c r="Z9" s="2">
        <f xml:space="preserve"> 35 + 14 + 12 + 7 + 15</f>
        <v>83</v>
      </c>
      <c r="AA9">
        <f xml:space="preserve"> 0.1+ 4.1 + 1.5 + 11.8 + 48 + 3 + 0.8 + 0.6</f>
        <v>69.899999999999991</v>
      </c>
      <c r="AB9">
        <f xml:space="preserve"> 34</f>
        <v>34</v>
      </c>
      <c r="AC9">
        <f xml:space="preserve"> 1.1 + 2.1 + 0.4</f>
        <v>3.6</v>
      </c>
      <c r="AD9">
        <f xml:space="preserve"> 2.4 + 4.8 + 3.4 + 8.6 + 6.2</f>
        <v>25.4</v>
      </c>
      <c r="AE9">
        <f xml:space="preserve"> 6.4 + 5 + 1 + 0.5 + 0.1 + 5.4 + 6.4 + 0.2 + 0.3 + 0.8 + 0.2 + 0.2 + 0.3 + 1 + 3.6 + 0.7</f>
        <v>32.1</v>
      </c>
      <c r="AF9" s="2">
        <f xml:space="preserve"> 1.8 + 5.2 + 8.2 + 0.4</f>
        <v>15.6</v>
      </c>
    </row>
    <row r="10" spans="1:32" x14ac:dyDescent="0.3">
      <c r="A10" s="1">
        <v>40269</v>
      </c>
      <c r="B10">
        <v>234.7</v>
      </c>
      <c r="C10">
        <v>137.4</v>
      </c>
      <c r="D10">
        <v>0</v>
      </c>
      <c r="E10" s="2">
        <f xml:space="preserve"> 20.9</f>
        <v>20.9</v>
      </c>
      <c r="F10">
        <f xml:space="preserve"> 5 + 14 + 60 + 2 + 14 + 8 + 12 + 18 + 4 +1  + 7 + 4 + 4</f>
        <v>153</v>
      </c>
      <c r="G10">
        <f xml:space="preserve"> 13.8 + 13 + 16.4 + 1.2 + 0.4 + 17.4 + 1.4 + 2.2 + 34 + 5.8 + 0.4 + 4.2 + 4.2 + 6</f>
        <v>120.4</v>
      </c>
      <c r="H10">
        <f xml:space="preserve"> 31 + 2.5 + 10 + 9 + 7 + 12.5 + 6.6 + 6 + 7.5</f>
        <v>92.1</v>
      </c>
      <c r="I10" s="2">
        <f xml:space="preserve"> 25 + 14.9 + 20 + 4 + 16.8 + 20 + 3.4 + 45.9  + 20 + 6.2 + 16.3</f>
        <v>192.5</v>
      </c>
      <c r="J10" s="2">
        <f xml:space="preserve"> 24 + 20 + 4 + 1.8 + 14.4 + 19 + 4.2 + 19 + 6.2 + 8.6 + 8.8</f>
        <v>130</v>
      </c>
      <c r="K10" s="2">
        <f xml:space="preserve"> 8 + 26 + 15 + 6 + 13 + 20 + 28 + 2 + 2 + 4</f>
        <v>124</v>
      </c>
      <c r="L10" s="2">
        <f xml:space="preserve"> 49 + 28.8 + 0.5 + 2.5 + 3 + 26.2 + 8.7 + 5 + 2 + 1.3 + 5.8 + 1</f>
        <v>133.80000000000001</v>
      </c>
      <c r="M10" s="2">
        <f xml:space="preserve"> 5.4 + 30 + 31 + 8 + 2.4 + 11 + 10.6 + 13.4 + 15 + 3</f>
        <v>129.80000000000001</v>
      </c>
      <c r="N10">
        <f xml:space="preserve"> 9.2 + 41.6 + 9 + 1.2 + 0.3 + 27.2 + 15.4 + 3.4 + 1.3 + 3.4</f>
        <v>112.00000000000001</v>
      </c>
      <c r="O10" s="2">
        <f xml:space="preserve"> 54+72+2.8 +29</f>
        <v>157.80000000000001</v>
      </c>
      <c r="P10" s="2">
        <f xml:space="preserve"> 96.4 + 2 + 15 + 18.8 + 13 + 10.8 + 8.6 + 16.8</f>
        <v>181.40000000000003</v>
      </c>
      <c r="Q10" s="2">
        <f xml:space="preserve"> 50 + 40 + 20 + 10 + 4 + 33 + 5 + 5.5 + 3 + 0.3 + 18 + 20 + 0.2 + 15 + 12</f>
        <v>236</v>
      </c>
      <c r="R10">
        <f xml:space="preserve"> 4.2 + 68.1 + 37.5 + 19.5 + 5.5 + 3.4 + 0.7+ 11.2 + 69 + 7.2 + 12.1 + 2.7</f>
        <v>241.09999999999997</v>
      </c>
      <c r="S10" s="2">
        <f xml:space="preserve"> 6.4 + 12 + 30.2 + 6.3 + 13.2 + 25.2 + 20.5 + 3.6 + 0.6 + 18 + 12.4 + 2.4 + 20.9 + 18.2</f>
        <v>189.9</v>
      </c>
      <c r="T10">
        <f xml:space="preserve"> 60.2 + 37 + 3.8 + 32.4 + 17.4 + 12.5 + 1.8 + 1 + 3.1 + 43.2 + 0.5 + 5.1 + 19 + 0.5 + 3.2</f>
        <v>240.70000000000002</v>
      </c>
      <c r="U10" s="2">
        <f xml:space="preserve"> 79 + 7 + 2.9 + 20.2 + 11 + 0.5 + 28.9 + 1.6 + 23.1 + 43.2</f>
        <v>217.39999999999998</v>
      </c>
      <c r="V10">
        <f xml:space="preserve"> 52.4 + 12.4 + 20 + 3 + 38 + 8.5 + 3+ 19.2 + 1.9 + 9.2</f>
        <v>167.6</v>
      </c>
      <c r="W10">
        <f xml:space="preserve"> 70.7 + 12.1 + 7 + 1+ 30.5 + 10.5 + 25 + 2.5 + 27.5 + 2</f>
        <v>188.8</v>
      </c>
      <c r="X10">
        <f xml:space="preserve"> 20 + 23.6 + 1 + 4.2 + 6 + 32 + 26 + 14 + 1.4 + 11.4</f>
        <v>139.60000000000002</v>
      </c>
      <c r="Y10">
        <f xml:space="preserve"> 1.5 + 5 + 9 + 17.5 + 10 + 40 + 7.5 + 20 + 7.5</f>
        <v>118</v>
      </c>
      <c r="Z10" s="2">
        <f xml:space="preserve"> 85 + 13 + 38 + 14 + 4 + 2 + 5 + 6 + 4 +4 + 12</f>
        <v>187</v>
      </c>
      <c r="AA10">
        <f xml:space="preserve"> 28.6 + 6 + 8.5 + 19.5 + 30.8 + 28.5</f>
        <v>121.9</v>
      </c>
      <c r="AB10">
        <f xml:space="preserve"> 15 + 35 + 15 + 27 + 2.1 + 5</f>
        <v>99.1</v>
      </c>
      <c r="AC10">
        <f xml:space="preserve"> 36 + 29 + 13.1 + 4.2 + 10 + 2.1</f>
        <v>94.399999999999991</v>
      </c>
      <c r="AD10">
        <f xml:space="preserve"> 38.6 + 2.4 + 34 + 6.6 + 2.4 + 14.8 + 14 + 4</f>
        <v>116.8</v>
      </c>
      <c r="AE10">
        <f xml:space="preserve"> 0.1 + 93.4 + 5.1 + 76.8 + 38 + 3.6 + 22.2 + 1.8 + 5.3 + 19.3 + 2.2 + 0.5 + 0.5 + 10.5 + 4.1 + 0.8</f>
        <v>284.2</v>
      </c>
      <c r="AF10" s="2">
        <f>26.2+29.2+6.2+15+2.2+1.6+13.8+3.4+2+6.4+0.6+15.2+4</f>
        <v>125.8</v>
      </c>
    </row>
    <row r="11" spans="1:32" x14ac:dyDescent="0.3">
      <c r="A11" s="1">
        <v>40299</v>
      </c>
      <c r="B11">
        <v>77.900000000000006</v>
      </c>
      <c r="C11">
        <v>40.200000000000003</v>
      </c>
      <c r="D11">
        <v>0</v>
      </c>
      <c r="E11" s="2">
        <f>33.4+17+3.1+9.5</f>
        <v>63</v>
      </c>
      <c r="F11">
        <f xml:space="preserve"> 3 + 8 + 4 + 13 + 12 + 4</f>
        <v>44</v>
      </c>
      <c r="G11">
        <f xml:space="preserve"> 5.4 + 0.4 + 56.2 + 0.4 + 14.4 + 4.4</f>
        <v>81.2</v>
      </c>
      <c r="H11">
        <f xml:space="preserve"> 3.5 + 6 + 1.5</f>
        <v>11</v>
      </c>
      <c r="I11" s="2">
        <f xml:space="preserve"> 0.6 + 5.5 + 10.3 + 3.5</f>
        <v>19.899999999999999</v>
      </c>
      <c r="J11" s="2">
        <f xml:space="preserve"> 2.8 + 1 + 15.4</f>
        <v>19.2</v>
      </c>
      <c r="K11" s="2">
        <f xml:space="preserve"> 10+ 6.5</f>
        <v>16.5</v>
      </c>
      <c r="L11" s="2">
        <f xml:space="preserve"> 7.7 + 1.1 + 1.6 + 14.4 + 11 + 0.5</f>
        <v>36.299999999999997</v>
      </c>
      <c r="M11" s="2">
        <v>8.6999999999999993</v>
      </c>
      <c r="N11">
        <f xml:space="preserve"> 4.6 + 0.2 + 0.7 + 2.4</f>
        <v>7.9</v>
      </c>
      <c r="O11" s="2">
        <f xml:space="preserve"> 141 + 3.5</f>
        <v>144.5</v>
      </c>
      <c r="P11" s="2">
        <f>1.6+3.6</f>
        <v>5.2</v>
      </c>
      <c r="Q11" s="2">
        <v>0</v>
      </c>
      <c r="R11">
        <f xml:space="preserve"> 5.1 + 2.2</f>
        <v>7.3</v>
      </c>
      <c r="S11" s="2">
        <f>1.2+1.4+6.4+4.3+3.3</f>
        <v>16.600000000000001</v>
      </c>
      <c r="T11">
        <f xml:space="preserve"> 11.3 + 0.5 + 1.4 + 5 + 5.4 + 4.2</f>
        <v>27.8</v>
      </c>
      <c r="U11" s="2">
        <f xml:space="preserve"> 1.9 + 0.5 + 5.8 + 0.3</f>
        <v>8.5</v>
      </c>
      <c r="V11">
        <f xml:space="preserve"> 24 + 22</f>
        <v>46</v>
      </c>
      <c r="W11">
        <f xml:space="preserve"> 1 + 20 + 13 + 13 + 14</f>
        <v>61</v>
      </c>
      <c r="X11">
        <f xml:space="preserve"> 18.5 + 13.3</f>
        <v>31.8</v>
      </c>
      <c r="Y11">
        <f xml:space="preserve"> 6.4 + 8</f>
        <v>14.4</v>
      </c>
      <c r="Z11" s="2">
        <f xml:space="preserve"> 32 + 19.5 + 32</f>
        <v>83.5</v>
      </c>
      <c r="AA11">
        <f xml:space="preserve"> 7.3 + 0.2+ 7.8 + 0.4</f>
        <v>15.700000000000001</v>
      </c>
      <c r="AB11">
        <f xml:space="preserve"> 8 + 4</f>
        <v>12</v>
      </c>
      <c r="AC11">
        <f xml:space="preserve"> 3.3</f>
        <v>3.3</v>
      </c>
      <c r="AD11">
        <f xml:space="preserve"> 5 + 14</f>
        <v>19</v>
      </c>
      <c r="AE11">
        <f xml:space="preserve"> 0.8 + 6.2 + 7</f>
        <v>14</v>
      </c>
      <c r="AF11" s="2">
        <f xml:space="preserve"> 11 + 10</f>
        <v>21</v>
      </c>
    </row>
    <row r="12" spans="1:32" x14ac:dyDescent="0.3">
      <c r="A12" s="1">
        <v>40330</v>
      </c>
      <c r="B12">
        <v>0</v>
      </c>
      <c r="C12">
        <v>0</v>
      </c>
      <c r="D12">
        <v>0</v>
      </c>
      <c r="E12" s="2">
        <v>0</v>
      </c>
      <c r="F12">
        <v>0</v>
      </c>
      <c r="G12">
        <f xml:space="preserve"> 0</f>
        <v>0</v>
      </c>
      <c r="H1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>
        <f xml:space="preserve"> 0</f>
        <v>0</v>
      </c>
      <c r="O12" s="2">
        <v>0</v>
      </c>
      <c r="P12" s="2">
        <v>0</v>
      </c>
      <c r="Q12" s="2">
        <f xml:space="preserve"> 11 + 3</f>
        <v>14</v>
      </c>
      <c r="R12">
        <f>5.1</f>
        <v>5.0999999999999996</v>
      </c>
      <c r="S12" s="2">
        <f xml:space="preserve"> 1 + 1+ 11.3 + 1</f>
        <v>14.3</v>
      </c>
      <c r="T12">
        <f xml:space="preserve"> 1.2 + 10.5</f>
        <v>11.7</v>
      </c>
      <c r="U12" s="2">
        <f xml:space="preserve"> 5 + 5 + 5</f>
        <v>15</v>
      </c>
      <c r="V12">
        <v>0</v>
      </c>
      <c r="W12">
        <v>0</v>
      </c>
      <c r="X12">
        <v>0</v>
      </c>
      <c r="Y12">
        <v>0</v>
      </c>
      <c r="Z12" s="2">
        <v>0</v>
      </c>
      <c r="AA12">
        <v>0</v>
      </c>
      <c r="AB12">
        <v>0</v>
      </c>
      <c r="AC12">
        <v>0</v>
      </c>
      <c r="AD12">
        <v>0</v>
      </c>
      <c r="AE12">
        <f xml:space="preserve"> 0.8 + 0.2 + 7.5 + 0.7</f>
        <v>9.1999999999999993</v>
      </c>
      <c r="AF12" s="2">
        <f xml:space="preserve"> 18.6 + 1.4</f>
        <v>20</v>
      </c>
    </row>
    <row r="13" spans="1:32" x14ac:dyDescent="0.3">
      <c r="A13" s="1">
        <v>40360</v>
      </c>
      <c r="B13">
        <v>0</v>
      </c>
      <c r="C13">
        <v>0</v>
      </c>
      <c r="D13">
        <v>0</v>
      </c>
      <c r="E13" s="2">
        <v>0</v>
      </c>
      <c r="F13">
        <v>0</v>
      </c>
      <c r="G13" s="2">
        <v>0</v>
      </c>
      <c r="H13">
        <v>0</v>
      </c>
      <c r="I13" s="2">
        <v>0</v>
      </c>
      <c r="J13" s="2">
        <v>0</v>
      </c>
      <c r="K13" s="2">
        <v>11</v>
      </c>
      <c r="L13" s="2">
        <v>0</v>
      </c>
      <c r="M13" s="2">
        <v>5.4</v>
      </c>
      <c r="N13" s="2">
        <v>0</v>
      </c>
      <c r="O13" s="2">
        <v>0</v>
      </c>
      <c r="P13" s="2">
        <v>0</v>
      </c>
      <c r="Q13" s="2">
        <f xml:space="preserve"> 3.5 + 9.5+11.9 + 6</f>
        <v>30.9</v>
      </c>
      <c r="R13">
        <f xml:space="preserve"> 1.8 +9.1+5.9</f>
        <v>16.8</v>
      </c>
      <c r="S13" s="2">
        <f xml:space="preserve"> 7.8 + 18.1 + 1+24.1 + 8.2 + 6.2</f>
        <v>65.400000000000006</v>
      </c>
      <c r="T13">
        <f xml:space="preserve"> 6.1 + 4.2 + 9.5 + 6.9 + 0.5</f>
        <v>27.200000000000003</v>
      </c>
      <c r="U13" s="2">
        <f xml:space="preserve"> 1.9 + 3.8 + 1.3</f>
        <v>6.9999999999999991</v>
      </c>
      <c r="V13">
        <v>0</v>
      </c>
      <c r="W13">
        <v>0</v>
      </c>
      <c r="X13">
        <v>0</v>
      </c>
      <c r="Y13">
        <v>0</v>
      </c>
      <c r="Z13" s="2">
        <v>0</v>
      </c>
      <c r="AA13">
        <f xml:space="preserve"> 0.5 + 0.1</f>
        <v>0.6</v>
      </c>
      <c r="AB13">
        <v>0</v>
      </c>
      <c r="AC13">
        <v>0</v>
      </c>
      <c r="AD13">
        <f xml:space="preserve"> 7.8 + 18.1 + 1 + 24.1 + 8.2 + 8.2</f>
        <v>67.400000000000006</v>
      </c>
      <c r="AE13">
        <f>+ 9 + 1.8 + 0.5 + 5.5 + 6.6 + 18.9</f>
        <v>42.3</v>
      </c>
      <c r="AF13" s="2">
        <f xml:space="preserve"> 1.6 + 3 + 0.6 + 1.2 + 3.6</f>
        <v>10</v>
      </c>
    </row>
    <row r="14" spans="1:32" x14ac:dyDescent="0.3">
      <c r="A14" s="2" t="s">
        <v>2</v>
      </c>
      <c r="B14">
        <f t="shared" ref="B14:C14" si="0">SUM(B2:B13)</f>
        <v>844.49999999999989</v>
      </c>
      <c r="C14">
        <f t="shared" si="0"/>
        <v>824.00000000000011</v>
      </c>
      <c r="D14" s="2">
        <f t="shared" ref="D14:Z14" si="1" xml:space="preserve"> SUM(D2:D13)</f>
        <v>276.40000000000003</v>
      </c>
      <c r="E14" s="2">
        <f t="shared" si="1"/>
        <v>350.5</v>
      </c>
      <c r="F14" s="2">
        <f t="shared" si="1"/>
        <v>980.6</v>
      </c>
      <c r="G14" s="2">
        <f t="shared" si="1"/>
        <v>843.2</v>
      </c>
      <c r="H14" s="2">
        <f t="shared" si="1"/>
        <v>625.6</v>
      </c>
      <c r="I14" s="2">
        <f t="shared" si="1"/>
        <v>772.49999999999989</v>
      </c>
      <c r="J14" s="2">
        <f t="shared" si="1"/>
        <v>745.6</v>
      </c>
      <c r="K14" s="2">
        <f t="shared" si="1"/>
        <v>588.19999999999993</v>
      </c>
      <c r="L14" s="2">
        <f t="shared" si="1"/>
        <v>718.8</v>
      </c>
      <c r="M14" s="2">
        <f t="shared" si="1"/>
        <v>626.69999999999993</v>
      </c>
      <c r="N14" s="2">
        <f t="shared" si="1"/>
        <v>432.9</v>
      </c>
      <c r="O14" s="2">
        <f t="shared" si="1"/>
        <v>812.8</v>
      </c>
      <c r="P14" s="2">
        <f t="shared" si="1"/>
        <v>986.8</v>
      </c>
      <c r="Q14" s="2">
        <f t="shared" si="1"/>
        <v>1410.7</v>
      </c>
      <c r="R14" s="2">
        <f t="shared" si="1"/>
        <v>939.0999999999998</v>
      </c>
      <c r="S14" s="2">
        <f t="shared" si="1"/>
        <v>1083.1000000000001</v>
      </c>
      <c r="T14" s="2">
        <f t="shared" si="1"/>
        <v>1179.8</v>
      </c>
      <c r="U14" s="2">
        <f t="shared" si="1"/>
        <v>697.59999999999991</v>
      </c>
      <c r="V14" s="2">
        <f t="shared" si="1"/>
        <v>789.00000000000011</v>
      </c>
      <c r="W14" s="2">
        <f t="shared" si="1"/>
        <v>859.89999999999986</v>
      </c>
      <c r="X14" s="2">
        <f t="shared" si="1"/>
        <v>871.6</v>
      </c>
      <c r="Y14" s="2">
        <f t="shared" si="1"/>
        <v>374.6</v>
      </c>
      <c r="Z14" s="2">
        <f t="shared" si="1"/>
        <v>871.6</v>
      </c>
      <c r="AA14" s="2">
        <f t="shared" ref="AA14:AF14" si="2" xml:space="preserve"> SUM(AA2:AA13)</f>
        <v>533.4</v>
      </c>
      <c r="AB14" s="2">
        <f t="shared" si="2"/>
        <v>315</v>
      </c>
      <c r="AC14" s="2">
        <f t="shared" si="2"/>
        <v>358.8</v>
      </c>
      <c r="AD14" s="2">
        <f t="shared" si="2"/>
        <v>508.80000000000007</v>
      </c>
      <c r="AE14" s="2">
        <f t="shared" si="2"/>
        <v>751.5</v>
      </c>
      <c r="AF14" s="2">
        <f t="shared" si="2"/>
        <v>543.70000000000005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48041-7F69-41FF-A92D-0B08A8DA8285}">
  <dimension ref="A1:AF14"/>
  <sheetViews>
    <sheetView topLeftCell="O1" workbookViewId="0">
      <selection activeCell="B6" sqref="B6"/>
    </sheetView>
  </sheetViews>
  <sheetFormatPr defaultRowHeight="14.4" x14ac:dyDescent="0.3"/>
  <cols>
    <col min="1" max="1" width="11.88671875" customWidth="1"/>
    <col min="2" max="2" width="21" customWidth="1"/>
    <col min="4" max="4" width="11.88671875" customWidth="1"/>
    <col min="5" max="5" width="8.88671875" style="2"/>
    <col min="6" max="6" width="11.88671875" style="2" customWidth="1"/>
    <col min="7" max="7" width="12.77734375" style="2" customWidth="1"/>
    <col min="8" max="8" width="8.88671875" style="2"/>
    <col min="9" max="10" width="14.77734375" style="2" customWidth="1"/>
    <col min="11" max="11" width="12.664062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3" max="23" width="8.88671875" style="2"/>
    <col min="24" max="24" width="15.33203125" style="2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1" width="12.109375" style="2" customWidth="1"/>
    <col min="32" max="32" width="13.44140625" style="2" customWidth="1"/>
  </cols>
  <sheetData>
    <row r="1" spans="1:32" x14ac:dyDescent="0.3">
      <c r="A1" t="s">
        <v>0</v>
      </c>
      <c r="B1" t="s">
        <v>5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40</v>
      </c>
      <c r="AF1" s="2" t="s">
        <v>42</v>
      </c>
    </row>
    <row r="2" spans="1:32" x14ac:dyDescent="0.3">
      <c r="A2" s="1">
        <v>43313</v>
      </c>
      <c r="B2">
        <v>0</v>
      </c>
      <c r="C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 xml:space="preserve"> 1.2 + 1.4</f>
        <v>2.5999999999999996</v>
      </c>
      <c r="O2" s="2">
        <v>0</v>
      </c>
      <c r="P2" s="2">
        <f xml:space="preserve"> 3.8 + 3</f>
        <v>6.8</v>
      </c>
      <c r="Q2" s="2">
        <f xml:space="preserve"> 1.5 + 7 + 5 + 2 + 0.9 + 1</f>
        <v>17.399999999999999</v>
      </c>
      <c r="R2" s="2">
        <f xml:space="preserve"> 6 + 2.5 + 1.3</f>
        <v>9.8000000000000007</v>
      </c>
      <c r="S2" s="2">
        <v>0</v>
      </c>
      <c r="T2" s="2">
        <f xml:space="preserve"> 2.1 + 2.24 + 1.1 + 5.4 + 1</f>
        <v>11.84</v>
      </c>
      <c r="U2" s="2">
        <f xml:space="preserve"> 0.6</f>
        <v>0.6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f xml:space="preserve"> 1.8 + 0.8 + 2 + 7.1 + 1</f>
        <v>12.7</v>
      </c>
      <c r="AF2" s="2">
        <f xml:space="preserve"> 1.6 + 3.5</f>
        <v>5.0999999999999996</v>
      </c>
    </row>
    <row r="3" spans="1:32" x14ac:dyDescent="0.3">
      <c r="A3" s="1">
        <v>43344</v>
      </c>
      <c r="B3">
        <v>0</v>
      </c>
      <c r="C3">
        <v>8</v>
      </c>
      <c r="D3">
        <v>0</v>
      </c>
      <c r="E3" s="2">
        <v>0</v>
      </c>
      <c r="F3" s="2">
        <v>0</v>
      </c>
      <c r="G3" s="2">
        <f xml:space="preserve"> 4.5 + 7.2</f>
        <v>11.7</v>
      </c>
      <c r="H3" s="2">
        <f xml:space="preserve"> 10.2 + 0.4 + 26.5</f>
        <v>37.1</v>
      </c>
      <c r="I3" s="2">
        <f xml:space="preserve"> 2.5</f>
        <v>2.5</v>
      </c>
      <c r="J3" s="2">
        <f xml:space="preserve"> 3.4</f>
        <v>3.4</v>
      </c>
      <c r="K3" s="2">
        <v>0</v>
      </c>
      <c r="L3" s="2">
        <v>0</v>
      </c>
      <c r="M3" s="2">
        <f xml:space="preserve"> 13.2 + 4.8</f>
        <v>18</v>
      </c>
      <c r="N3" s="2">
        <v>0</v>
      </c>
      <c r="O3" s="2">
        <f xml:space="preserve"> 1.6</f>
        <v>1.6</v>
      </c>
      <c r="P3" s="2">
        <f xml:space="preserve"> 5.2</f>
        <v>5.2</v>
      </c>
      <c r="Q3" s="2">
        <f xml:space="preserve"> 5 + 1</f>
        <v>6</v>
      </c>
      <c r="R3">
        <f xml:space="preserve"> 9.6</f>
        <v>9.6</v>
      </c>
      <c r="S3" s="2">
        <f xml:space="preserve"> 1.2</f>
        <v>1.2</v>
      </c>
      <c r="T3">
        <f xml:space="preserve"> 9.1</f>
        <v>9.1</v>
      </c>
      <c r="U3" s="2">
        <f xml:space="preserve"> 4</f>
        <v>4</v>
      </c>
      <c r="V3">
        <v>0</v>
      </c>
      <c r="W3" s="2">
        <v>0</v>
      </c>
      <c r="X3" s="2">
        <f xml:space="preserve"> 0.5</f>
        <v>0.5</v>
      </c>
      <c r="Y3" s="2">
        <f xml:space="preserve"> 3 + 3.5</f>
        <v>6.5</v>
      </c>
      <c r="Z3" s="2">
        <f xml:space="preserve"> 1</f>
        <v>1</v>
      </c>
      <c r="AA3" s="2">
        <v>0</v>
      </c>
      <c r="AB3" s="2">
        <v>0</v>
      </c>
      <c r="AC3" s="2">
        <v>0</v>
      </c>
      <c r="AD3" s="2">
        <v>0</v>
      </c>
      <c r="AE3" s="2">
        <f xml:space="preserve"> 1.5 + 8.1 + 0.5</f>
        <v>10.1</v>
      </c>
      <c r="AF3" s="2">
        <f xml:space="preserve"> 1.8</f>
        <v>1.8</v>
      </c>
    </row>
    <row r="4" spans="1:32" x14ac:dyDescent="0.3">
      <c r="A4" s="1">
        <v>43374</v>
      </c>
      <c r="B4">
        <v>59.2</v>
      </c>
      <c r="C4">
        <f xml:space="preserve"> 3 + 32 +8.5</f>
        <v>43.5</v>
      </c>
      <c r="D4">
        <v>0</v>
      </c>
      <c r="E4" s="2">
        <f xml:space="preserve"> 5</f>
        <v>5</v>
      </c>
      <c r="F4" s="2">
        <v>0</v>
      </c>
      <c r="G4" s="2">
        <f xml:space="preserve"> 4.2 + 13.8 + 43.8 + 12.6</f>
        <v>74.399999999999991</v>
      </c>
      <c r="H4" s="2">
        <f xml:space="preserve"> 2.5 + 1.5 + 4 + 7 + 4.5 + 12.8 + 5.5</f>
        <v>37.799999999999997</v>
      </c>
      <c r="I4" s="2">
        <f xml:space="preserve"> 0.5 + 6.8 + 1 + 12.5</f>
        <v>20.8</v>
      </c>
      <c r="J4" s="2">
        <f xml:space="preserve"> 5.6</f>
        <v>5.6</v>
      </c>
      <c r="K4" s="2">
        <f xml:space="preserve"> 1.2 + 1.4 + 0.5 + 1.4 + 19 + 0.4 + 4 + 2 + 3 + 8 + 20.7</f>
        <v>61.599999999999994</v>
      </c>
      <c r="L4" s="2">
        <v>67.5</v>
      </c>
      <c r="M4" s="2">
        <f xml:space="preserve"> 2.2 + 3.8 + 1.2 + 1.2 + 1.8 + 2 + 3 + 4.2</f>
        <v>19.400000000000002</v>
      </c>
      <c r="N4" s="2">
        <v>4</v>
      </c>
      <c r="O4" s="2">
        <v>34.299999999999997</v>
      </c>
      <c r="P4" s="2">
        <v>28.6</v>
      </c>
      <c r="Q4" s="2">
        <v>0</v>
      </c>
      <c r="R4">
        <f xml:space="preserve"> 4.2 + 2.1 + 2 + 21 + 3</f>
        <v>32.299999999999997</v>
      </c>
      <c r="S4" s="2">
        <f xml:space="preserve"> 13.2 + 13.1 + 9.3 + 13.2 + 1.2</f>
        <v>50</v>
      </c>
      <c r="T4">
        <f xml:space="preserve"> 6+8 + 0.4 + 39 + 6 + 0.8</f>
        <v>60.199999999999996</v>
      </c>
      <c r="U4" s="2">
        <f xml:space="preserve"> 2.5 + 7.5</f>
        <v>10</v>
      </c>
      <c r="V4">
        <f xml:space="preserve"> 6 + 1.6</f>
        <v>7.6</v>
      </c>
      <c r="W4" s="2">
        <f xml:space="preserve"> 0.5</f>
        <v>0.5</v>
      </c>
      <c r="X4" s="2">
        <f xml:space="preserve"> 14 + 16</f>
        <v>30</v>
      </c>
      <c r="Y4" s="2">
        <v>0</v>
      </c>
      <c r="Z4" s="2">
        <f xml:space="preserve"> 20 + 0.5</f>
        <v>20.5</v>
      </c>
      <c r="AA4" s="2">
        <v>0</v>
      </c>
      <c r="AB4" s="2">
        <f>19</f>
        <v>19</v>
      </c>
      <c r="AC4" s="2">
        <f xml:space="preserve"> 8.3</f>
        <v>8.3000000000000007</v>
      </c>
      <c r="AD4" s="2">
        <f xml:space="preserve"> 2</f>
        <v>2</v>
      </c>
      <c r="AE4" s="2">
        <f xml:space="preserve"> 4.6 + 6 + 0.5 + 4.6</f>
        <v>15.7</v>
      </c>
      <c r="AF4" s="2">
        <f xml:space="preserve"> 0.5 + 6.2 + 10</f>
        <v>16.7</v>
      </c>
    </row>
    <row r="5" spans="1:32" x14ac:dyDescent="0.3">
      <c r="A5" s="1">
        <v>43405</v>
      </c>
      <c r="B5">
        <v>18.3</v>
      </c>
      <c r="C5">
        <v>0</v>
      </c>
      <c r="D5">
        <v>0</v>
      </c>
      <c r="E5" s="2">
        <f xml:space="preserve"> 3.5 + 6.5 + 4.5 + 0.3</f>
        <v>14.8</v>
      </c>
      <c r="F5" s="2">
        <v>0</v>
      </c>
      <c r="G5" s="2">
        <f xml:space="preserve"> 10.2 + 9.6 + 10.4 + 4.8</f>
        <v>34.999999999999993</v>
      </c>
      <c r="H5" s="2">
        <f xml:space="preserve"> 13 + 10 + 8 + 3.5 + 13 + 0.5 + 2.5 + 9 + 0.2</f>
        <v>59.7</v>
      </c>
      <c r="I5" s="2">
        <f xml:space="preserve"> 9.1 + 3.7 + 2</f>
        <v>14.8</v>
      </c>
      <c r="J5" s="2">
        <f xml:space="preserve"> 7 + 8.6 + 15.6 + 5.4 + 3.6 + 9.4 + 12.2</f>
        <v>61.8</v>
      </c>
      <c r="K5" s="2">
        <f xml:space="preserve"> 7.8 + 4.7 + 4.3 + 30 + 6 + 3 + 0.5</f>
        <v>56.3</v>
      </c>
      <c r="L5" s="2">
        <v>55.2</v>
      </c>
      <c r="M5" s="2">
        <f xml:space="preserve"> 5.4 + 5.8 + 6.8 + 6.4 + 12.2 + 1.2 + 19.8</f>
        <v>57.599999999999994</v>
      </c>
      <c r="N5" s="2">
        <f xml:space="preserve"> 5.2 + 1 + 5.3 + 0.7 +0.7 + 2.6</f>
        <v>15.499999999999998</v>
      </c>
      <c r="O5" s="2">
        <f xml:space="preserve"> 3.2 + 6.4</f>
        <v>9.6000000000000014</v>
      </c>
      <c r="P5" s="2">
        <f xml:space="preserve"> 6.4 + 23 + 9.2 +1.6 + 4.6 + 2.6 + 1.8 + 12</f>
        <v>61.199999999999996</v>
      </c>
      <c r="Q5" s="2">
        <v>0</v>
      </c>
      <c r="R5">
        <f xml:space="preserve"> 3.9 + 27.2 + 8.2 + 0.3 + 1.9 + 50</f>
        <v>91.5</v>
      </c>
      <c r="S5" s="2">
        <f xml:space="preserve"> 4.1 + 19.4 + 5 + 29 + 7.6 + 4.3 + 13.4 + 2.2</f>
        <v>85</v>
      </c>
      <c r="T5">
        <f xml:space="preserve"> 4.8 + 13.4 + 0.3 + 2 + 24.5 + 1.4 + 1.3 + 3.7 + 19.3 + 1.3</f>
        <v>72</v>
      </c>
      <c r="U5" s="2">
        <f xml:space="preserve"> 3 + 20 + 6 + 1 + 7.4</f>
        <v>37.4</v>
      </c>
      <c r="V5">
        <f xml:space="preserve"> 14.2</f>
        <v>14.2</v>
      </c>
      <c r="W5" s="2">
        <f xml:space="preserve"> 0.5 + 1.5</f>
        <v>2</v>
      </c>
      <c r="X5" s="2">
        <f xml:space="preserve"> 1 + 5.3 + 6.2</f>
        <v>12.5</v>
      </c>
      <c r="Y5" s="2">
        <f xml:space="preserve"> 21 + 2.3 + 20.8</f>
        <v>44.1</v>
      </c>
      <c r="Z5" s="2">
        <f xml:space="preserve"> 14 + 4.5 + 4.5 + 10</f>
        <v>33</v>
      </c>
      <c r="AA5" s="2">
        <v>0</v>
      </c>
      <c r="AB5" s="2">
        <f xml:space="preserve"> 18 + 4.2 + 9.6</f>
        <v>31.799999999999997</v>
      </c>
      <c r="AC5" s="2">
        <f xml:space="preserve"> 34.4</f>
        <v>34.4</v>
      </c>
      <c r="AD5" s="2">
        <f xml:space="preserve"> 135 + 24</f>
        <v>159</v>
      </c>
      <c r="AE5" s="2">
        <f xml:space="preserve"> 0.6 + 7.7 + 5.5 + 1.2 + 2.4 + 1.2 + 28 + 1</f>
        <v>47.599999999999994</v>
      </c>
      <c r="AF5" s="2">
        <f xml:space="preserve"> 55 + 4 + 18.5</f>
        <v>77.5</v>
      </c>
    </row>
    <row r="6" spans="1:32" x14ac:dyDescent="0.3">
      <c r="A6" s="1">
        <v>43435</v>
      </c>
      <c r="B6">
        <v>71.3</v>
      </c>
      <c r="C6">
        <v>0</v>
      </c>
      <c r="D6">
        <f xml:space="preserve"> 12 + 5 + 40</f>
        <v>57</v>
      </c>
      <c r="E6" s="2">
        <f xml:space="preserve"> 18.5 + 2.5 + 6 + 0.7 + 4 + 2 + 0.2 + 49.5</f>
        <v>83.4</v>
      </c>
      <c r="F6" s="2">
        <v>0</v>
      </c>
      <c r="G6" s="2">
        <f xml:space="preserve"> 3.6 + 56.4 + 13.6 + 4.6</f>
        <v>78.199999999999989</v>
      </c>
      <c r="H6" s="2">
        <f xml:space="preserve"> 13 + 3.5 + 24.5 + 13.5 + 0.9 + 8.5 + 0.1  + 11 + 2 + 33</f>
        <v>110</v>
      </c>
      <c r="I6" s="2">
        <f xml:space="preserve"> 1.8 + 41 + 2.7 + 3.4 + 32.4 + 0.6  + 10.5 + 2.6 + 6 + 11.2 + 30.1 + 8 + 6.6 + 8.9</f>
        <v>165.79999999999998</v>
      </c>
      <c r="J6" s="2">
        <f xml:space="preserve"> 2.6 + 3.2 + 5.4 + 27 + 5.6 +4.4 + 13.8 + 17.6 + 1.4 + 34.8</f>
        <v>115.8</v>
      </c>
      <c r="K6" s="2">
        <f xml:space="preserve"> 9 + 6 + 9.5 + 11.5 + 41.2 + 52+ 8.5 + 1.8 + 3.5 + 4.2 + 2.9 + 5.5 + 5.5</f>
        <v>161.1</v>
      </c>
      <c r="L6" s="2">
        <v>127.4</v>
      </c>
      <c r="M6" s="2">
        <f>7.6 + 1 + 6.4 + 32 + 2 + 23.4 + 17.2 + 7.2 + 6.6 + 1 + 3.2 + 3.6 + 1 + 18.2 + 12 + 3.4 + 2.4 + 5.2</f>
        <v>153.4</v>
      </c>
      <c r="N6" s="2">
        <f xml:space="preserve"> 12.2 + 3.8 + 34 + 1 + 23.2 + 1.2 + 0.4</f>
        <v>75.800000000000011</v>
      </c>
      <c r="O6" s="2">
        <f xml:space="preserve"> 29.8 + 34.6 + 5.4</f>
        <v>69.800000000000011</v>
      </c>
      <c r="P6" s="2">
        <f>22.4+1+3.8+10.4+56.8+4.4+19.2+3.8+2.2</f>
        <v>124.00000000000001</v>
      </c>
      <c r="Q6" s="2">
        <f xml:space="preserve"> 58 + 30 + 7 + 7 + 6 + 4.5 + 4 + 1 + 6 + 5</f>
        <v>128.5</v>
      </c>
      <c r="R6">
        <f xml:space="preserve"> 23.3 + 35.1 + 20.2 + 9.5 + 4</f>
        <v>92.100000000000009</v>
      </c>
      <c r="S6" s="2">
        <f xml:space="preserve"> 8 + 28.3 + 22 + 21.3 + 7.1 + 4.3 + 6.1 + 2.4 + 2.1 + 12.2 + 19.4</f>
        <v>133.19999999999999</v>
      </c>
      <c r="T6">
        <f xml:space="preserve"> 40.3 + 5.1 + 5.4 + 50.2 + 2.3 + 8.2 + 4.2 + 4.1 + 2.1 + 5.2 + 2.1</f>
        <v>129.19999999999999</v>
      </c>
      <c r="U6" s="2">
        <f xml:space="preserve"> 13.3 + 1.1 + 15.1 + 18.2 + 3  + 30.5</f>
        <v>81.2</v>
      </c>
      <c r="V6">
        <f xml:space="preserve"> 13 + 3 + 25 + 18.8 + 27</f>
        <v>86.8</v>
      </c>
      <c r="W6" s="2">
        <f xml:space="preserve"> 35 + 40 + 44 + 4 + 1.8 + 5 + 49</f>
        <v>178.8</v>
      </c>
      <c r="X6" s="2">
        <f xml:space="preserve"> 6.2 + 10.7 + 26 + 13.5 + 2.5 +2 + 44.5 + 11 + 10.5 + 47.3+4.5 + 3.4 + 7</f>
        <v>189.1</v>
      </c>
      <c r="Y6" s="2">
        <f xml:space="preserve"> 2.3 + 44.7 + 3.8 + 5.7 + 0.5 + 21.3 + 14.8 + 5.7 + 2.6 + 6.5</f>
        <v>107.89999999999999</v>
      </c>
      <c r="Z6" s="2">
        <f xml:space="preserve"> 10 + 22 + 16.5 + 3 + 21 + 3 + 8 + 2</f>
        <v>85.5</v>
      </c>
      <c r="AA6" s="2">
        <v>0</v>
      </c>
      <c r="AB6" s="2">
        <f xml:space="preserve"> 27.6 + 13.8 + 4.2 + 27.8 + 4.4</f>
        <v>77.800000000000011</v>
      </c>
      <c r="AC6" s="2">
        <f xml:space="preserve"> 52.2 + 5.2 + 16.2 + 10.2</f>
        <v>83.800000000000011</v>
      </c>
      <c r="AD6" s="2">
        <f xml:space="preserve"> 32 + 22.7 + 2.4 + 8</f>
        <v>65.099999999999994</v>
      </c>
      <c r="AE6" s="2">
        <f xml:space="preserve"> 3 + 13.5 + 2.2 + 64.5 + 35.2 + 3.8 + 1 + 5 + 3.5 + 5.6</f>
        <v>137.29999999999998</v>
      </c>
      <c r="AF6" s="2">
        <f xml:space="preserve"> 19 + 19 + 0.4 + 3</f>
        <v>41.4</v>
      </c>
    </row>
    <row r="7" spans="1:32" x14ac:dyDescent="0.3">
      <c r="A7" s="1">
        <v>43466</v>
      </c>
      <c r="B7">
        <v>121.7</v>
      </c>
      <c r="C7" s="3">
        <v>0</v>
      </c>
      <c r="D7">
        <f xml:space="preserve"> 0</f>
        <v>0</v>
      </c>
      <c r="E7" s="2">
        <v>0</v>
      </c>
      <c r="F7" s="2">
        <v>0</v>
      </c>
      <c r="G7" s="2">
        <f xml:space="preserve"> 56.4 + 16.6 + 4.2 + 13.6 + 8.6 + 3.8 + 1.8 + 13.7 + 44</f>
        <v>162.69999999999999</v>
      </c>
      <c r="H7" s="2">
        <f xml:space="preserve"> 5 + 10 + 7 + 9 + 3.5 + 4.5 + 7 + 6.5 + 30 + 13 + 12 + 3.5 + 10.5</f>
        <v>121.5</v>
      </c>
      <c r="I7" s="2">
        <v>115.8</v>
      </c>
      <c r="J7" s="2">
        <v>108.4</v>
      </c>
      <c r="K7" s="2">
        <f xml:space="preserve"> 20 + 34 + 37 + 4.5 + 12 + 15.8 + 5 + 6.8 + 0.5 + 17 + 17.5 + 45 + 8.5 + 0.4</f>
        <v>224.00000000000003</v>
      </c>
      <c r="L7" s="2">
        <f xml:space="preserve"> 6 + 27.6 + 26.4 + 16.6 + 33.4 + 22.6 + 7.2 + 1 + 11</f>
        <v>151.79999999999998</v>
      </c>
      <c r="M7" s="2">
        <f xml:space="preserve"> 13 + 24.8 + 11 + 24.8 + 1 + 50.6 + 19.4 + 1.6 + 30 + 3.6 + 1.2</f>
        <v>180.99999999999997</v>
      </c>
      <c r="N7" s="2">
        <f xml:space="preserve"> 7.2 + 33.8 + 7.8 + 16.8 + 0.4 + 8.8 + 27.2 + 12.6 + 1.6</f>
        <v>116.19999999999999</v>
      </c>
      <c r="O7" s="2">
        <f xml:space="preserve"> 55.1 + 23.2 + 7.6 + 19.2</f>
        <v>105.1</v>
      </c>
      <c r="P7" s="2">
        <f xml:space="preserve"> 15 + 58.8 + 0.4 + 4+ 15 + 11 + 14.6 + 3.2 + 4 + 30.6 + 18.8 + 8.4 + 3.4</f>
        <v>187.20000000000002</v>
      </c>
      <c r="Q7" s="2">
        <f xml:space="preserve"> 26 + 85 + 30 + 24 + 7 + 14 + 5 + 23 + 18 + 1 + 8 + 26 + 22 + 20 + 8 + 1 + 1.3</f>
        <v>319.3</v>
      </c>
      <c r="R7">
        <f xml:space="preserve"> 10 + 61 + 4 + 8.1 + 6 + 0.2 + 15.4 + 31 + 4.3 + 1.2 + 46.6 + 2 + 4.6</f>
        <v>194.39999999999998</v>
      </c>
      <c r="S7" s="2">
        <f xml:space="preserve"> 26 + 111 + 4.4 + 1.2 + 11.3 + 13.4 + 2.4 + 12 + 13.2 + 7.3 + 25 + 13</f>
        <v>240.20000000000002</v>
      </c>
      <c r="T7">
        <f xml:space="preserve"> 18.3 + 104.3 + 3.1 + 3.6 + 16.4 + 10.3 + 13.3 + 2.4 + 2.3 + 25.2 + 14.4 + 6.1</f>
        <v>219.70000000000002</v>
      </c>
      <c r="U7" s="2">
        <f xml:space="preserve"> 10 + 36 + 7 + 2.1 + 5.4 + 2.9 + 20 + 2.5 + 36 + 3.5</f>
        <v>125.4</v>
      </c>
      <c r="V7">
        <f xml:space="preserve"> 9.4 + 1 + 17 + 17 + 17.6 + 6.4</f>
        <v>68.400000000000006</v>
      </c>
      <c r="W7" s="2">
        <f xml:space="preserve"> 60 + 1.5 + 1.5 + 1.5 + 16 + 2.8</f>
        <v>83.3</v>
      </c>
      <c r="X7" s="2">
        <f xml:space="preserve">  25.5 + 3+ 15.5 + 30.9 + 9 + 3 + 7 + 1.5 + 12</f>
        <v>107.4</v>
      </c>
      <c r="Y7" s="2">
        <f xml:space="preserve"> 26.3 + 5.5 + 3 + 13 + 3.1 + 1.1 + 32.1</f>
        <v>84.1</v>
      </c>
      <c r="Z7" s="2">
        <f xml:space="preserve"> 15.6 + 7 + 4 + 7 + 2.5 + 15 + 7.5 + 7 + 30 + 5.5 + 7.5</f>
        <v>108.6</v>
      </c>
      <c r="AA7" s="2">
        <v>0</v>
      </c>
      <c r="AB7" s="2">
        <f xml:space="preserve"> 10.1 + 2.2 + 3 + 3.4 + 16.4</f>
        <v>35.099999999999994</v>
      </c>
      <c r="AC7" s="2">
        <f xml:space="preserve"> 32.5 + 18</f>
        <v>50.5</v>
      </c>
      <c r="AD7" s="2">
        <f xml:space="preserve"> 13 + 38 + 1+ 27 + 13 + 7.5 + 36 + 2.4</f>
        <v>137.9</v>
      </c>
      <c r="AE7" s="2">
        <f xml:space="preserve"> 32.1 + 8 + 0.9 + 4.2 + 13.2 + 16.2 + 3.8 + 2.5 + 6.8 + 4.2 + 0.6 + 0.5</f>
        <v>93</v>
      </c>
      <c r="AF7" s="2">
        <f xml:space="preserve"> 36 + 20.5 + 6.5 + 4 + 5 + 1.5</f>
        <v>73.5</v>
      </c>
    </row>
    <row r="8" spans="1:32" x14ac:dyDescent="0.3">
      <c r="A8" s="1">
        <v>43497</v>
      </c>
      <c r="B8">
        <v>248.2</v>
      </c>
      <c r="C8" s="3">
        <v>0</v>
      </c>
      <c r="D8">
        <v>0</v>
      </c>
      <c r="E8" s="2">
        <v>0</v>
      </c>
      <c r="F8" s="2">
        <v>0</v>
      </c>
      <c r="G8" s="2">
        <f xml:space="preserve"> 14.6 + 8.2 + 12.6 + 40.8 + 44.3 + 10 + 3.4</f>
        <v>133.9</v>
      </c>
      <c r="H8" s="2">
        <f xml:space="preserve"> 0.3 + 12 + 11.5 + 0.6 + 27.1 + 15.1 + 3 + 24 + 2 + 22.2 + 13</f>
        <v>130.80000000000001</v>
      </c>
      <c r="I8" s="2">
        <f xml:space="preserve"> 4.4 + 7 + 14.3 + 13.5 + 2.8 + 3 + 4.4 + 16.1</f>
        <v>65.5</v>
      </c>
      <c r="J8" s="2">
        <v>97.8</v>
      </c>
      <c r="K8" s="2">
        <f xml:space="preserve"> 1.5 + 1.5 + 1 + 9.5 + 23 + 2.5 + 16.5 + 10</f>
        <v>65.5</v>
      </c>
      <c r="L8" s="2">
        <f xml:space="preserve"> 21.3 + 6.8 + 4.2 + 4.6 + 3 + 1.6 + 4 + 4.4 + 3.4</f>
        <v>53.300000000000004</v>
      </c>
      <c r="M8" s="2">
        <f xml:space="preserve"> 19.4 + 3.4 + 1.2 + 4.8 + 7.4 + 1 + 1 + 21.6 + 3 + 2.2 + 43.3</f>
        <v>108.3</v>
      </c>
      <c r="N8" s="2">
        <f xml:space="preserve"> 10.5 + 6.2 + 24 + 14.2</f>
        <v>54.900000000000006</v>
      </c>
      <c r="O8" s="2">
        <f xml:space="preserve"> 93 + 4.2</f>
        <v>97.2</v>
      </c>
      <c r="P8" s="2">
        <f xml:space="preserve"> 23.4 + 5.4 + 1.6 + 1.6 + 28.8 + 2.4 + 61 + 5.4 + 3.4 + 7</f>
        <v>140</v>
      </c>
      <c r="Q8" s="2">
        <f xml:space="preserve"> 4 + 26 + 3 + 90 + 50 + 35 + 10 + 2+ 8 + 14 + 14 + 13</f>
        <v>269</v>
      </c>
      <c r="R8">
        <f xml:space="preserve"> 31 + 0.2 + 5 + 1.2 + 73.1 + 31.1 + 3.5 + 11.4 + 3.2 + 7.6 + 2 + 2.5</f>
        <v>171.79999999999998</v>
      </c>
      <c r="S8" s="2">
        <f xml:space="preserve"> 2.3 + 10.2 + 1.3 + 1.4 + 33 + 77 + 16.4 + 19.2 + 3.2 + 4.2 + 4.2 + 34.2</f>
        <v>206.59999999999997</v>
      </c>
      <c r="T8">
        <f xml:space="preserve"> 1.1 + 20.4 + 0.5 + 87.2 + 45.1 + 28.2 + 39.2 + 3.4 + 1.2 + 21</f>
        <v>247.29999999999998</v>
      </c>
      <c r="U8" s="2">
        <f xml:space="preserve"> 4.5 + 49 + 39 + 35 + 12 + 15 + 0.3 + 0.9 + 8.3</f>
        <v>164.00000000000003</v>
      </c>
      <c r="V8">
        <f xml:space="preserve"> 6.7 + 1.2 + 2.4 + 13.4+ 1.2 + 6 + 2.8 + 4.5</f>
        <v>38.200000000000003</v>
      </c>
      <c r="W8" s="2">
        <f xml:space="preserve"> 6.1 + 6.2 + 21 + 10 + 4.7</f>
        <v>48</v>
      </c>
      <c r="X8" s="2">
        <f xml:space="preserve"> 31+ 1 + 11 + 5 + 2 + 14</f>
        <v>64</v>
      </c>
      <c r="Y8" s="2">
        <f xml:space="preserve"> 5.5 + 78.5 + 7 + 1.5 + 6.5</f>
        <v>99</v>
      </c>
      <c r="Z8" s="2">
        <f xml:space="preserve"> 5.5 + 5.5 + 9 + 10 + 4</f>
        <v>34</v>
      </c>
      <c r="AA8" s="2">
        <v>0</v>
      </c>
      <c r="AB8" s="2">
        <f xml:space="preserve"> 44 + 8 + 132 + 6 + 7.6 + 4.3</f>
        <v>201.9</v>
      </c>
      <c r="AC8" s="2">
        <f xml:space="preserve"> 12 + 2.3 + 1.3 + 5.1 + 166 + 2.1 + 13.3</f>
        <v>202.1</v>
      </c>
      <c r="AD8" s="2">
        <f xml:space="preserve"> 56.5 + 154 + 17 + 6 + 5 + 17.3</f>
        <v>255.8</v>
      </c>
      <c r="AE8" s="2">
        <f xml:space="preserve"> 29.7 + 4.6 + 0.5 + 79 + 23 + 24 + 2.5 + 26.5 + 6.6 + 19</f>
        <v>215.4</v>
      </c>
      <c r="AF8" s="2">
        <f xml:space="preserve"> 29 + 5.2 + 48 + 15 + 26 + 32 + 0.5 + 5.5 + 0.5</f>
        <v>161.69999999999999</v>
      </c>
    </row>
    <row r="9" spans="1:32" x14ac:dyDescent="0.3">
      <c r="A9" s="1">
        <v>43525</v>
      </c>
      <c r="B9">
        <v>31.2</v>
      </c>
      <c r="C9" s="3">
        <f xml:space="preserve"> 22 + 34 + 2 + 3 + 5.5</f>
        <v>66.5</v>
      </c>
      <c r="D9">
        <v>0</v>
      </c>
      <c r="E9" s="2">
        <v>0</v>
      </c>
      <c r="F9" s="2">
        <v>0</v>
      </c>
      <c r="G9" s="2">
        <f xml:space="preserve"> 21.6 + 1.6 + 3.4</f>
        <v>26.6</v>
      </c>
      <c r="H9" s="2">
        <f xml:space="preserve"> 2.5 + 1.3 + 29.5 + 1.5 + 20.4</f>
        <v>55.199999999999996</v>
      </c>
      <c r="I9" s="2">
        <f xml:space="preserve"> 1 + 13.3 + 3.1</f>
        <v>17.400000000000002</v>
      </c>
      <c r="J9" s="2">
        <f xml:space="preserve"> 16.6 + 2.8 + 5.2</f>
        <v>24.6</v>
      </c>
      <c r="K9" s="2">
        <f xml:space="preserve"> 58.5 + 11.5 + 37.5 + 26 + 8</f>
        <v>141.5</v>
      </c>
      <c r="L9" s="2">
        <f xml:space="preserve"> 0.2 + 6.4 + 1</f>
        <v>7.6000000000000005</v>
      </c>
      <c r="M9" s="2">
        <f xml:space="preserve"> 2.2 + 3 + 2.4 + 30 + 12 + 2.4 + 3.4 + 1.4</f>
        <v>56.8</v>
      </c>
      <c r="N9" s="2">
        <f xml:space="preserve"> 9.8 + 0.4 + 1.9 + 19.8 + 2</f>
        <v>33.900000000000006</v>
      </c>
      <c r="O9" s="2">
        <f xml:space="preserve"> 33.8+0.4+ 4.8</f>
        <v>38.999999999999993</v>
      </c>
      <c r="P9" s="2">
        <f xml:space="preserve"> 5.4 + 1 + 2.6 + 2.4 + 6.4 + 1.8</f>
        <v>19.600000000000001</v>
      </c>
      <c r="Q9" s="2">
        <f xml:space="preserve"> 11 + 0.1 + 14 + 0.1 + 2 + 5 + 3 + 2 + 2 + 1.5 + 4 + 1 + 2.2 + 10 + 18 + 7 + 5 + 2</f>
        <v>89.9</v>
      </c>
      <c r="R9">
        <f xml:space="preserve"> 3.6 + 2.8 + 12 + 10 + 1.5 + 1.2 + 1.2 + 2.7 + 6.4 + 0.8 + 7.2 + 14 + 2 + 5 + 0.1</f>
        <v>70.5</v>
      </c>
      <c r="S9" s="2">
        <f xml:space="preserve"> 3.2 + 10.4 + 5.4 + 8.4 + 4 + 4 + 2.1 + 4.8 + 15 + 7.1</f>
        <v>64.399999999999991</v>
      </c>
      <c r="T9">
        <f xml:space="preserve"> 36.5 + 0.5 + 35.7 + 1.5 + 2.7 + 1.2 + 2.5 + 2.5 + 0.7 + 17.8 + 2.5 + 4.2 + 0.5</f>
        <v>108.80000000000001</v>
      </c>
      <c r="U9" s="2">
        <f xml:space="preserve"> 2.9 + 1</f>
        <v>3.9</v>
      </c>
      <c r="V9">
        <f xml:space="preserve"> 3 + 22</f>
        <v>25</v>
      </c>
      <c r="W9" s="2">
        <f xml:space="preserve"> 1.3</f>
        <v>1.3</v>
      </c>
      <c r="X9" s="2">
        <f xml:space="preserve"> 5.4 + 4 + 0.6</f>
        <v>10</v>
      </c>
      <c r="Y9" s="2">
        <f xml:space="preserve"> 0.5</f>
        <v>0.5</v>
      </c>
      <c r="Z9" s="2">
        <f xml:space="preserve"> 5.5 + 13.5</f>
        <v>19</v>
      </c>
      <c r="AA9" s="2">
        <v>0</v>
      </c>
      <c r="AB9" s="2">
        <f xml:space="preserve"> 62 + 20</f>
        <v>82</v>
      </c>
      <c r="AC9" s="2">
        <f xml:space="preserve"> 3 + 4.3 + 1.4</f>
        <v>8.6999999999999993</v>
      </c>
      <c r="AD9" s="2">
        <f xml:space="preserve"> 19 + 6</f>
        <v>25</v>
      </c>
      <c r="AE9" s="2">
        <f xml:space="preserve"> 8.8 + 0.7 + 1.7 + 1.3 + 0.7 + 0.5</f>
        <v>13.7</v>
      </c>
      <c r="AF9" s="2">
        <f xml:space="preserve"> 12.5</f>
        <v>12.5</v>
      </c>
    </row>
    <row r="10" spans="1:32" x14ac:dyDescent="0.3">
      <c r="A10" s="1">
        <v>43556</v>
      </c>
      <c r="B10">
        <v>100.4</v>
      </c>
      <c r="C10" s="3">
        <f xml:space="preserve"> 30 +19.5 + 10 + 11 + 3 + 5.3 + 12</f>
        <v>90.8</v>
      </c>
      <c r="D10">
        <v>0</v>
      </c>
      <c r="E10" s="2">
        <v>0</v>
      </c>
      <c r="F10" s="2">
        <v>0</v>
      </c>
      <c r="G10" s="2">
        <v>65.3</v>
      </c>
      <c r="H10" s="2">
        <f xml:space="preserve"> 18 + 3.2 + 10.5 + 12.5 + 1 + 0.5 + 0.5 + 5.5 + 2.5 + 17.5</f>
        <v>71.7</v>
      </c>
      <c r="I10" s="2">
        <f xml:space="preserve"> 5 + 3.6 + 18 + 5.5 + 1 + 4 + 0.3</f>
        <v>37.4</v>
      </c>
      <c r="J10" s="2">
        <f xml:space="preserve"> 36.4 + 2.8 + 18.6 + 3.8 + 18 + 9.6</f>
        <v>89.199999999999989</v>
      </c>
      <c r="K10" s="2">
        <f xml:space="preserve"> 7.5 + 3.5 + 24 + 0.4 + 7 + 20 + 1</f>
        <v>63.4</v>
      </c>
      <c r="L10" s="2">
        <f xml:space="preserve"> 17 + 30 + 9.6 + 6.2 + 9.2 + 0.2 + 1.8</f>
        <v>74</v>
      </c>
      <c r="M10" s="2">
        <f xml:space="preserve"> 20.4 + 1.2 + 40.4 + 2.4 + 4.2 + 5</f>
        <v>73.600000000000009</v>
      </c>
      <c r="N10" s="2">
        <f xml:space="preserve"> 0.6 + 16.1 + 24.4 + 3.2 + 1.4 + 10</f>
        <v>55.7</v>
      </c>
      <c r="O10" s="2">
        <f xml:space="preserve"> 27 + 8.8 + 8 + 12.4</f>
        <v>56.199999999999996</v>
      </c>
      <c r="P10" s="2">
        <f xml:space="preserve"> 2.6 + 60.4 + 10 + 26.8 + 1.2 + 31.4 + 1 + 8.4 + 2</f>
        <v>143.80000000000001</v>
      </c>
      <c r="Q10" s="2">
        <f xml:space="preserve"> 24 + 43.5 + 7 + 55 + 10 + 1 + 2 + 3 + 4.5 + 1+ 5.9 + 0.3 + 2.7 + 0.5 + 1 + 1.8</f>
        <v>163.20000000000002</v>
      </c>
      <c r="R10">
        <f xml:space="preserve"> 2 + 11.1 + 2.1 + 16.2 + 1.8 + 0.4 + 0.8 + 1.2 + 0.4 + 6 + 0.1 + 1.2</f>
        <v>43.3</v>
      </c>
      <c r="S10" s="2">
        <f xml:space="preserve"> 98.1 + 32.1 + 4.3 + 62 + 3.4 + 13 + 3.1 + 19</f>
        <v>235</v>
      </c>
      <c r="T10">
        <f>10.2 + 23.4 + 6.4 + 30.1 + 5.1 + 2.3 + 5.3 + 5.1 + 14 + 2.4 + 4.1</f>
        <v>108.39999999999998</v>
      </c>
      <c r="U10" s="2">
        <f xml:space="preserve"> 5 + 1.5 + 25 + 54 + 1.3 + 2 + 1.8</f>
        <v>90.6</v>
      </c>
      <c r="V10">
        <f xml:space="preserve"> 29.5 + 14</f>
        <v>43.5</v>
      </c>
      <c r="W10" s="2">
        <f xml:space="preserve"> 37 + 19 + 9.5 + 0.6</f>
        <v>66.099999999999994</v>
      </c>
      <c r="X10" s="2">
        <f xml:space="preserve"> 21.3 + 4 + 20.6 + 1.8 + 4 + 2.2 + 6 + 3 + 3 + 2 + 5 + 1</f>
        <v>73.900000000000006</v>
      </c>
      <c r="Y10" s="2">
        <f xml:space="preserve"> 32 + 3.2 + 1.5 + 16.7 + 0.5</f>
        <v>53.900000000000006</v>
      </c>
      <c r="Z10" s="2">
        <f xml:space="preserve"> 5 + 4 + 12</f>
        <v>21</v>
      </c>
      <c r="AA10" s="2">
        <v>0</v>
      </c>
      <c r="AB10" s="2">
        <f>20.4+1.4</f>
        <v>21.799999999999997</v>
      </c>
      <c r="AC10" s="2">
        <f xml:space="preserve"> 1</f>
        <v>1</v>
      </c>
      <c r="AD10" s="2">
        <f xml:space="preserve"> 14 + 2</f>
        <v>16</v>
      </c>
      <c r="AE10" s="2">
        <f xml:space="preserve"> 1.5 + 4.1 + 0.6 + 3 + 12.5 + 33.2 + 4.1 + 2 + 0.5 + 3</f>
        <v>64.5</v>
      </c>
      <c r="AF10" s="2">
        <f xml:space="preserve"> 1.8 + 4.9 + 2.2 + 4.2</f>
        <v>13.100000000000001</v>
      </c>
    </row>
    <row r="11" spans="1:32" x14ac:dyDescent="0.3">
      <c r="A11" s="1">
        <v>43586</v>
      </c>
      <c r="B11">
        <v>0</v>
      </c>
      <c r="C11" s="3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 xml:space="preserve"> 1</f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>
        <f xml:space="preserve"> 0</f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f xml:space="preserve"> 0.5</f>
        <v>0.5</v>
      </c>
      <c r="AF11" s="2">
        <v>0</v>
      </c>
    </row>
    <row r="12" spans="1:32" x14ac:dyDescent="0.3">
      <c r="A12" s="1">
        <v>43617</v>
      </c>
      <c r="B12">
        <v>0</v>
      </c>
      <c r="C12" s="3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>1</f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f xml:space="preserve"> 1.6 + 2.4</f>
        <v>4</v>
      </c>
      <c r="S12" s="2">
        <f xml:space="preserve"> 11.4</f>
        <v>11.4</v>
      </c>
      <c r="T12" s="2">
        <f xml:space="preserve"> 0.4 + 0.5 + 3+ 7.5</f>
        <v>11.4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f xml:space="preserve"> 3</f>
        <v>3</v>
      </c>
      <c r="AF12" s="2">
        <v>0</v>
      </c>
    </row>
    <row r="13" spans="1:32" x14ac:dyDescent="0.3">
      <c r="A13" s="1">
        <v>43647</v>
      </c>
      <c r="B13">
        <v>0</v>
      </c>
      <c r="C13" s="3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>0</f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x14ac:dyDescent="0.3">
      <c r="A14" t="s">
        <v>3</v>
      </c>
      <c r="B14">
        <f t="shared" ref="B14:E14" si="0">SUM(B2:B13)</f>
        <v>650.30000000000007</v>
      </c>
      <c r="C14">
        <f t="shared" si="0"/>
        <v>209.8</v>
      </c>
      <c r="D14" s="2">
        <f t="shared" si="0"/>
        <v>57</v>
      </c>
      <c r="E14" s="2">
        <f t="shared" si="0"/>
        <v>103.2</v>
      </c>
      <c r="F14" s="2">
        <v>0</v>
      </c>
      <c r="G14" s="2">
        <f t="shared" ref="G14:P14" si="1" xml:space="preserve"> SUM(G2:G13)</f>
        <v>587.79999999999995</v>
      </c>
      <c r="H14" s="2">
        <f t="shared" si="1"/>
        <v>623.80000000000007</v>
      </c>
      <c r="I14" s="2">
        <f t="shared" si="1"/>
        <v>439.99999999999994</v>
      </c>
      <c r="J14" s="2">
        <f t="shared" si="1"/>
        <v>506.6</v>
      </c>
      <c r="K14" s="2">
        <f t="shared" si="1"/>
        <v>774.4</v>
      </c>
      <c r="L14" s="2">
        <f t="shared" si="1"/>
        <v>536.79999999999995</v>
      </c>
      <c r="M14" s="2">
        <f t="shared" si="1"/>
        <v>669.09999999999991</v>
      </c>
      <c r="N14" s="2">
        <f t="shared" si="1"/>
        <v>358.59999999999997</v>
      </c>
      <c r="O14" s="2">
        <f t="shared" si="1"/>
        <v>412.8</v>
      </c>
      <c r="P14" s="2">
        <f t="shared" si="1"/>
        <v>716.40000000000009</v>
      </c>
      <c r="Q14" s="2">
        <f t="shared" ref="Q14" si="2" xml:space="preserve"> SUM(Q2:Q13)</f>
        <v>993.30000000000007</v>
      </c>
      <c r="R14" s="2">
        <f xml:space="preserve"> SUM(R2:R13)</f>
        <v>719.3</v>
      </c>
      <c r="S14" s="2">
        <f t="shared" ref="S14:U14" si="3" xml:space="preserve"> SUM(S2:S13)</f>
        <v>1027</v>
      </c>
      <c r="T14" s="2">
        <f t="shared" si="3"/>
        <v>977.93999999999983</v>
      </c>
      <c r="U14" s="2">
        <f t="shared" si="3"/>
        <v>517.1</v>
      </c>
      <c r="V14" s="2">
        <f xml:space="preserve"> SUM(V2:V13)</f>
        <v>283.7</v>
      </c>
      <c r="W14" s="2">
        <f t="shared" ref="W14:AA14" si="4" xml:space="preserve"> SUM(W2:W13)</f>
        <v>380</v>
      </c>
      <c r="X14" s="2">
        <f t="shared" si="4"/>
        <v>487.4</v>
      </c>
      <c r="Y14" s="2">
        <f t="shared" si="4"/>
        <v>396</v>
      </c>
      <c r="Z14" s="2">
        <f t="shared" si="4"/>
        <v>322.60000000000002</v>
      </c>
      <c r="AA14" s="2">
        <f t="shared" si="4"/>
        <v>0</v>
      </c>
      <c r="AB14" s="2">
        <f xml:space="preserve"> SUM(AB2:AB13)</f>
        <v>469.40000000000003</v>
      </c>
      <c r="AC14" s="2">
        <f xml:space="preserve"> SUM(AC2:AC13)</f>
        <v>388.8</v>
      </c>
      <c r="AD14" s="2">
        <f xml:space="preserve"> SUM(AD2:AD13)</f>
        <v>660.8</v>
      </c>
      <c r="AE14" s="2">
        <f xml:space="preserve"> SUM(AE2:AE13)</f>
        <v>613.5</v>
      </c>
      <c r="AF14" s="2">
        <f xml:space="preserve"> SUM(AF2:AF13)</f>
        <v>403.3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22BF-583F-4387-A031-8E528EDEDAD4}">
  <dimension ref="A1:AM14"/>
  <sheetViews>
    <sheetView topLeftCell="Y1" zoomScale="95" workbookViewId="0">
      <selection activeCell="AB1" sqref="AB1:AB1048576"/>
    </sheetView>
  </sheetViews>
  <sheetFormatPr defaultRowHeight="14.4" x14ac:dyDescent="0.3"/>
  <cols>
    <col min="1" max="1" width="10.88671875" customWidth="1"/>
    <col min="2" max="4" width="17.44140625" customWidth="1"/>
    <col min="5" max="5" width="14" customWidth="1"/>
    <col min="6" max="8" width="14.6640625" customWidth="1"/>
    <col min="9" max="9" width="8.88671875" style="2"/>
    <col min="10" max="10" width="11.88671875" customWidth="1"/>
    <col min="11" max="13" width="11.88671875" style="2" customWidth="1"/>
    <col min="14" max="14" width="12.77734375" style="2" customWidth="1"/>
    <col min="15" max="15" width="8.88671875" style="2"/>
    <col min="16" max="18" width="14.77734375" style="2" customWidth="1"/>
    <col min="19" max="19" width="14.6640625" style="2" customWidth="1"/>
    <col min="20" max="20" width="11.21875" style="2" customWidth="1"/>
    <col min="21" max="21" width="18.6640625" style="2" customWidth="1"/>
    <col min="22" max="22" width="8.88671875" style="2"/>
    <col min="23" max="23" width="10.88671875" style="2" customWidth="1"/>
    <col min="24" max="24" width="11.33203125" style="2" customWidth="1"/>
    <col min="25" max="25" width="11.77734375" customWidth="1"/>
    <col min="26" max="26" width="16.6640625" style="2" customWidth="1"/>
    <col min="27" max="27" width="11.21875" customWidth="1"/>
    <col min="28" max="28" width="14.109375" style="2" customWidth="1"/>
    <col min="29" max="29" width="12.77734375" style="2" customWidth="1"/>
    <col min="30" max="30" width="8.88671875" style="2"/>
    <col min="31" max="31" width="15.33203125" style="2" customWidth="1"/>
    <col min="32" max="32" width="12" style="2" customWidth="1"/>
    <col min="33" max="33" width="12.77734375" style="2" customWidth="1"/>
    <col min="34" max="34" width="11" style="2" customWidth="1"/>
    <col min="35" max="35" width="8.88671875" style="2"/>
    <col min="36" max="36" width="9.6640625" style="2" customWidth="1"/>
    <col min="37" max="38" width="12.109375" style="2" customWidth="1"/>
    <col min="39" max="39" width="13.44140625" style="2" customWidth="1"/>
  </cols>
  <sheetData>
    <row r="1" spans="1:39" x14ac:dyDescent="0.3">
      <c r="A1" t="s">
        <v>0</v>
      </c>
      <c r="B1" t="s">
        <v>43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s="2" t="s">
        <v>12</v>
      </c>
      <c r="J1" s="7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40</v>
      </c>
      <c r="AM1" s="2" t="s">
        <v>42</v>
      </c>
    </row>
    <row r="2" spans="1:39" x14ac:dyDescent="0.3">
      <c r="A2" s="1">
        <v>43678</v>
      </c>
      <c r="B2" s="8" t="s">
        <v>4</v>
      </c>
      <c r="C2" s="8" t="s">
        <v>4</v>
      </c>
      <c r="D2" s="8" t="s">
        <v>4</v>
      </c>
      <c r="E2" s="2">
        <v>0</v>
      </c>
      <c r="F2">
        <v>0</v>
      </c>
      <c r="G2" s="8" t="s">
        <v>4</v>
      </c>
      <c r="H2" s="8" t="s">
        <v>4</v>
      </c>
      <c r="I2" s="2">
        <v>0</v>
      </c>
      <c r="J2">
        <v>0</v>
      </c>
      <c r="K2" s="2">
        <v>0</v>
      </c>
      <c r="L2" s="2" t="s">
        <v>4</v>
      </c>
      <c r="M2" s="2" t="s">
        <v>4</v>
      </c>
      <c r="N2" s="2">
        <f xml:space="preserve"> 0</f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f xml:space="preserve"> 4.6</f>
        <v>4.5999999999999996</v>
      </c>
      <c r="X2" s="2">
        <v>0</v>
      </c>
      <c r="Y2" s="2">
        <f xml:space="preserve"> 1.9 + 1</f>
        <v>2.9</v>
      </c>
      <c r="Z2" s="2">
        <v>0</v>
      </c>
      <c r="AA2" s="2">
        <f xml:space="preserve"> 0.5 + 3.1 + 3.2 + 0.7 + 0.5 + 1.1</f>
        <v>9.1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</row>
    <row r="3" spans="1:39" x14ac:dyDescent="0.3">
      <c r="A3" s="1">
        <v>43709</v>
      </c>
      <c r="B3" s="8" t="s">
        <v>4</v>
      </c>
      <c r="C3" s="8" t="s">
        <v>4</v>
      </c>
      <c r="D3" s="8" t="s">
        <v>4</v>
      </c>
      <c r="E3" s="2">
        <v>0</v>
      </c>
      <c r="F3">
        <v>0</v>
      </c>
      <c r="G3" s="8" t="s">
        <v>4</v>
      </c>
      <c r="H3" s="8" t="s">
        <v>4</v>
      </c>
      <c r="I3" s="2">
        <f xml:space="preserve"> 1.3</f>
        <v>1.3</v>
      </c>
      <c r="J3">
        <v>0</v>
      </c>
      <c r="K3" s="2">
        <v>0</v>
      </c>
      <c r="L3" s="2" t="s">
        <v>4</v>
      </c>
      <c r="M3" s="2" t="s">
        <v>4</v>
      </c>
      <c r="N3" s="2">
        <v>0</v>
      </c>
      <c r="O3" s="2">
        <v>0</v>
      </c>
      <c r="P3" s="2">
        <v>0</v>
      </c>
      <c r="Q3" s="2">
        <v>0</v>
      </c>
      <c r="R3" s="2">
        <f xml:space="preserve"> 2 + 3.5</f>
        <v>5.5</v>
      </c>
      <c r="S3" s="2">
        <v>0</v>
      </c>
      <c r="T3" s="2">
        <v>0</v>
      </c>
      <c r="U3" s="2">
        <v>1</v>
      </c>
      <c r="V3" s="2">
        <v>0</v>
      </c>
      <c r="W3" s="2">
        <f xml:space="preserve"> 4.6 + 1.4 + 1.2+ 4.8</f>
        <v>12</v>
      </c>
      <c r="X3" s="2">
        <v>0</v>
      </c>
      <c r="Y3">
        <f xml:space="preserve"> 7.1 + 0.3 + 0.3 + 0.4</f>
        <v>8.1</v>
      </c>
      <c r="Z3" s="2">
        <f xml:space="preserve"> 4 + 4.6</f>
        <v>8.6</v>
      </c>
      <c r="AA3">
        <f xml:space="preserve"> 16.5 + 2.5 + 5 + 3.5</f>
        <v>27.5</v>
      </c>
      <c r="AB3" s="2">
        <f xml:space="preserve"> 2 + 10</f>
        <v>12</v>
      </c>
      <c r="AC3" s="2">
        <v>0</v>
      </c>
      <c r="AD3" s="2">
        <v>0</v>
      </c>
      <c r="AE3" s="2">
        <v>0</v>
      </c>
      <c r="AF3" s="2">
        <v>0</v>
      </c>
      <c r="AG3" s="2" t="s">
        <v>4</v>
      </c>
      <c r="AH3" s="2">
        <v>0</v>
      </c>
      <c r="AI3" s="2">
        <v>0</v>
      </c>
      <c r="AJ3" s="2">
        <v>0</v>
      </c>
      <c r="AK3" s="2">
        <v>0</v>
      </c>
      <c r="AL3" s="2">
        <f xml:space="preserve"> 2 + 3.7 + 0.6 + 8.7 + 8.7 + 2.1</f>
        <v>25.8</v>
      </c>
      <c r="AM3" s="2" t="s">
        <v>4</v>
      </c>
    </row>
    <row r="4" spans="1:39" x14ac:dyDescent="0.3">
      <c r="A4" s="1">
        <v>43739</v>
      </c>
      <c r="B4" s="8" t="s">
        <v>4</v>
      </c>
      <c r="C4" s="8" t="s">
        <v>4</v>
      </c>
      <c r="D4" s="8" t="s">
        <v>4</v>
      </c>
      <c r="E4" s="2">
        <v>0</v>
      </c>
      <c r="F4">
        <v>0</v>
      </c>
      <c r="G4" s="8" t="s">
        <v>4</v>
      </c>
      <c r="H4" s="8" t="s">
        <v>4</v>
      </c>
      <c r="I4" s="2">
        <f xml:space="preserve"> 0</f>
        <v>0</v>
      </c>
      <c r="J4">
        <v>0</v>
      </c>
      <c r="K4" s="2" t="s">
        <v>4</v>
      </c>
      <c r="L4" s="2" t="s">
        <v>4</v>
      </c>
      <c r="M4" s="2" t="s">
        <v>4</v>
      </c>
      <c r="N4" s="2">
        <v>0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>
        <f xml:space="preserve"> 17.5</f>
        <v>17.5</v>
      </c>
      <c r="Y4">
        <f xml:space="preserve"> 1 + 0.1 + 0.3 + 2 + 3.5 + 2.1 + 0.4 + 6.5</f>
        <v>15.9</v>
      </c>
      <c r="Z4" s="2">
        <f xml:space="preserve"> 7 + 5.6 + 4 + 8 + 8.8</f>
        <v>33.400000000000006</v>
      </c>
      <c r="AA4">
        <f xml:space="preserve"> 1 + 3 + 1.5 + 2 + 3.5 + 0.8 + 0.6 + 1 + 5.7</f>
        <v>19.100000000000001</v>
      </c>
      <c r="AB4" s="2">
        <f xml:space="preserve"> 0.4</f>
        <v>0.4</v>
      </c>
      <c r="AC4" s="2">
        <f xml:space="preserve"> 42</f>
        <v>42</v>
      </c>
      <c r="AD4" s="2">
        <v>0</v>
      </c>
      <c r="AE4" s="2">
        <f xml:space="preserve"> 0.2</f>
        <v>0.2</v>
      </c>
      <c r="AF4" s="2">
        <f xml:space="preserve"> 6.2</f>
        <v>6.2</v>
      </c>
      <c r="AG4" s="2" t="s">
        <v>4</v>
      </c>
      <c r="AH4" s="2">
        <v>0</v>
      </c>
      <c r="AI4" s="2">
        <f xml:space="preserve"> 2</f>
        <v>2</v>
      </c>
      <c r="AJ4" s="2" t="s">
        <v>4</v>
      </c>
      <c r="AK4" s="2">
        <v>0</v>
      </c>
      <c r="AL4" s="2">
        <f xml:space="preserve"> 4.4 + 0.4 + 2.4 + 4.3</f>
        <v>11.5</v>
      </c>
      <c r="AM4" s="2">
        <f xml:space="preserve"> 3</f>
        <v>3</v>
      </c>
    </row>
    <row r="5" spans="1:39" x14ac:dyDescent="0.3">
      <c r="A5" s="1">
        <v>43770</v>
      </c>
      <c r="B5" s="8" t="s">
        <v>4</v>
      </c>
      <c r="C5" s="8" t="s">
        <v>4</v>
      </c>
      <c r="D5" s="8" t="s">
        <v>4</v>
      </c>
      <c r="E5" s="2" t="s">
        <v>4</v>
      </c>
      <c r="F5">
        <f xml:space="preserve"> 33 + 56 + 40.2 + 15 + 3 + 26 + 7</f>
        <v>180.2</v>
      </c>
      <c r="G5" s="8" t="s">
        <v>4</v>
      </c>
      <c r="H5" s="8" t="s">
        <v>4</v>
      </c>
      <c r="I5" s="2">
        <f xml:space="preserve"> 20.7 + 4.7 + 10 + 4.9 + 22.2 + 8.1 + 3.6 + 11.6 + 7 + 5.3</f>
        <v>98.09999999999998</v>
      </c>
      <c r="J5">
        <f xml:space="preserve"> 53 + 6 + 30.5 + 16.6 + 1.7</f>
        <v>107.8</v>
      </c>
      <c r="K5" s="2" t="s">
        <v>4</v>
      </c>
      <c r="L5" s="2" t="s">
        <v>4</v>
      </c>
      <c r="M5" s="2" t="s">
        <v>4</v>
      </c>
      <c r="N5" s="2">
        <f xml:space="preserve"> 34.8 + 55.6 + 11.6 + 11.6</f>
        <v>113.6</v>
      </c>
      <c r="O5" s="2" t="s">
        <v>4</v>
      </c>
      <c r="P5" s="2" t="s">
        <v>4</v>
      </c>
      <c r="Q5" s="2" t="s">
        <v>4</v>
      </c>
      <c r="R5" s="2" t="s">
        <v>4</v>
      </c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>
        <f xml:space="preserve"> 17.5 + 5.5 + 10 + 23 + 1 + 1 + 5 + 0.7 + 45 + 4 + 33 + 9.1</f>
        <v>154.79999999999998</v>
      </c>
      <c r="Y5">
        <f xml:space="preserve"> 1 + 7.1 + 5.2 + 24 + 4.4 + 2.2 + 1.4 + 2.2 + 1.4 + 33.6 + 0.2 + 20.2 + 8 + 11.9</f>
        <v>122.80000000000001</v>
      </c>
      <c r="Z5" s="2">
        <f xml:space="preserve"> 2.8 + 7.2 + 12.2 + 24.4 + 2 + 6.2 + 30 + 14 + 14 + 12</f>
        <v>124.8</v>
      </c>
      <c r="AA5">
        <f xml:space="preserve"> 2.7 + 4.1 + 12.2 + 0.5 + 16 + 2.5 + 5.2 +5.1 + 3 + 2.2 + 47.5 + 0.8 + 3 + 20 + 3</f>
        <v>127.8</v>
      </c>
      <c r="AB5" s="2">
        <f xml:space="preserve"> 13 + 19.5 + 4 + 6.5 +15.6+18.8+2 + 5.6 + 2.4</f>
        <v>87.4</v>
      </c>
      <c r="AC5" s="2">
        <f xml:space="preserve"> 19 + 0.8 + 11 + 6 + 8</f>
        <v>44.8</v>
      </c>
      <c r="AD5" s="2" t="s">
        <v>4</v>
      </c>
      <c r="AE5" s="2">
        <f xml:space="preserve"> 5 + 0.5 + 1</f>
        <v>6.5</v>
      </c>
      <c r="AF5" s="2">
        <f xml:space="preserve"> 13.5 + 25.2 + 85.8 + 6.5 + 21.6 + 3.2 + 62</f>
        <v>217.79999999999998</v>
      </c>
      <c r="AG5" s="2">
        <f xml:space="preserve"> 4.5 + 1.5 + 17 + 1 + 4 + 13.5 + 22 + 12 + 30.5 + 19 + 100 + 3.5</f>
        <v>228.5</v>
      </c>
      <c r="AH5" s="2">
        <v>0</v>
      </c>
      <c r="AI5" s="2">
        <f xml:space="preserve"> 15 + 27 + 15 + 1.4</f>
        <v>58.4</v>
      </c>
      <c r="AJ5" s="2">
        <f xml:space="preserve"> 4.4 + 0.4  + 2.1 + 10.2 + 18 + 2.3</f>
        <v>37.4</v>
      </c>
      <c r="AK5" s="2">
        <f xml:space="preserve"> 10 + 12.3 + 12.7 + 21.4 + 28 + 8.3 + 4.5</f>
        <v>97.2</v>
      </c>
      <c r="AL5" s="2">
        <f xml:space="preserve"> 2.2 + 9.6 + 1 + 7.7 + 4.7 + 20.3 + 33.2 + 4.2 + 30.1 + 20 + 1.5 + 4.3</f>
        <v>138.80000000000001</v>
      </c>
      <c r="AM5" s="2">
        <f xml:space="preserve"> 0.4 + 0.5 + 3 + 4 + 4 + 4 + 11.4 + 6.8 + 3.5</f>
        <v>37.6</v>
      </c>
    </row>
    <row r="6" spans="1:39" x14ac:dyDescent="0.3">
      <c r="A6" s="1">
        <v>43800</v>
      </c>
      <c r="B6" s="8" t="s">
        <v>4</v>
      </c>
      <c r="C6" s="8" t="s">
        <v>4</v>
      </c>
      <c r="D6" s="8" t="s">
        <v>4</v>
      </c>
      <c r="E6" s="2" t="s">
        <v>4</v>
      </c>
      <c r="F6">
        <f xml:space="preserve"> 44 + 52 + 117.2 + 56.4 + 60.3 + 10.2</f>
        <v>340.09999999999997</v>
      </c>
      <c r="G6" s="8" t="s">
        <v>4</v>
      </c>
      <c r="H6" s="8" t="s">
        <v>4</v>
      </c>
      <c r="I6" s="2">
        <f xml:space="preserve"> 3.7 + 59.7 + 21 + 7.7 + 9.8 + 22.8 + 29 + 6.6 + 25 + 4.7 + 9.1 + 4.4 + 5 + 6.2 + 6 + 7.7</f>
        <v>228.39999999999995</v>
      </c>
      <c r="J6">
        <f xml:space="preserve"> 15.4 + 26.5 + 15.1 + 37.9 + 15.6 + 8.4</f>
        <v>118.9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>
        <f xml:space="preserve"> 4 + 16 + 4 + 7.8 + 11 + 20.5 + 10 + 8.2 + 0.1+ 4.8 + 4.8 + 3.3 + 4 + 1.2+ 12.5</f>
        <v>112.19999999999999</v>
      </c>
      <c r="Y6">
        <f xml:space="preserve"> 5.5 + 2.2 + 23.5 + 10.7 + 25 + 21.2 + 2.6 + 1.8 + 0.1</f>
        <v>92.6</v>
      </c>
      <c r="Z6" s="2">
        <f xml:space="preserve"> 7.8 + 30 + 14 + 10 + 24.3 + 5.8 + 5.6 + 22 + 9.2</f>
        <v>128.69999999999999</v>
      </c>
      <c r="AA6">
        <f xml:space="preserve"> 1.5 + 16 + 1.5 + 21.5 + 13.5 + 24.2 + 16.5 + 8.5 + 7.1 + 8.5 + 3 + 0.5 + 1.5 + 12</f>
        <v>135.80000000000001</v>
      </c>
      <c r="AB6" s="2">
        <f xml:space="preserve"> 5.6 + 8.9</f>
        <v>14.5</v>
      </c>
      <c r="AC6" s="2" t="s">
        <v>4</v>
      </c>
      <c r="AD6" s="2" t="s">
        <v>4</v>
      </c>
      <c r="AE6" s="2">
        <f xml:space="preserve"> 24 + 21.5 + 7 + 8.2 + 28 + 5.5 + 1 + 55 + 9</f>
        <v>159.19999999999999</v>
      </c>
      <c r="AF6" s="2">
        <f xml:space="preserve"> 25.5 + 8.6 + 4.7</f>
        <v>38.800000000000004</v>
      </c>
      <c r="AG6" s="2" t="s">
        <v>4</v>
      </c>
      <c r="AH6" s="2">
        <v>0</v>
      </c>
      <c r="AI6" s="2">
        <f xml:space="preserve"> 18 + 60 + 19 + 73 + 5.1</f>
        <v>175.1</v>
      </c>
      <c r="AJ6" s="2">
        <f xml:space="preserve"> 9 + 131 + 44.4 + 5.3</f>
        <v>189.70000000000002</v>
      </c>
      <c r="AK6" s="2">
        <f xml:space="preserve"> 24.7 + 22+ 126 + 0.2</f>
        <v>172.89999999999998</v>
      </c>
      <c r="AL6" s="2">
        <f xml:space="preserve"> 2.4 + 22.4 + 3.6 + 19.4 + 31.5 + 72.5 + 0.5</f>
        <v>152.30000000000001</v>
      </c>
      <c r="AM6" s="2">
        <f xml:space="preserve"> 9 + 3 + 10 + 9.1 + 24.2 + 63.2 + 6.1 + 12.5 + 2.5</f>
        <v>139.6</v>
      </c>
    </row>
    <row r="7" spans="1:39" x14ac:dyDescent="0.3">
      <c r="A7" s="1">
        <v>43831</v>
      </c>
      <c r="B7" s="8" t="s">
        <v>4</v>
      </c>
      <c r="C7" s="8" t="s">
        <v>4</v>
      </c>
      <c r="D7" s="8" t="s">
        <v>4</v>
      </c>
      <c r="E7" s="2" t="s">
        <v>4</v>
      </c>
      <c r="F7">
        <f xml:space="preserve"> 11 + 4.2 + 37.6 + 3 + 17 + 16.4 + 8 + 17.2</f>
        <v>114.39999999999999</v>
      </c>
      <c r="G7" s="8" t="s">
        <v>4</v>
      </c>
      <c r="H7" s="8" t="s">
        <v>4</v>
      </c>
      <c r="I7" s="2" t="s">
        <v>4</v>
      </c>
      <c r="J7">
        <f xml:space="preserve"> 17.2 + 26.3 + 1.1 + 0.5 + 0.5 + 2.5 + 39 + 30.3 + 43.1</f>
        <v>160.5</v>
      </c>
      <c r="K7" s="2" t="s">
        <v>4</v>
      </c>
      <c r="L7" s="2" t="s">
        <v>4</v>
      </c>
      <c r="M7" s="2" t="s">
        <v>4</v>
      </c>
      <c r="N7" s="2">
        <f xml:space="preserve"> 7.8 + 28.8 + 68.6 + 33.6 + 29 + 12.6 + 12.6</f>
        <v>192.99999999999997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  <c r="X7" s="2">
        <f xml:space="preserve"> 0.6 + 17 + 48 + 50 + 10 + 36 + 16 + 3.5 + 2</f>
        <v>183.1</v>
      </c>
      <c r="Y7">
        <f xml:space="preserve"> 57.1 + 14 + 47.1 + 2.1 + 77 + 7.4 + 1 + 1 + 4.1</f>
        <v>210.79999999999998</v>
      </c>
      <c r="Z7" s="2" t="s">
        <v>4</v>
      </c>
      <c r="AA7">
        <f xml:space="preserve"> 4.5 + 25 + 29 + 0.3 + 1.2 + 5.4 + 0.6 + 6.5 + 2 + 4.5 + 0.5 + 1</f>
        <v>80.5</v>
      </c>
      <c r="AB7" s="2">
        <f xml:space="preserve"> 2.5 + 43.8 + 13.1 + 0.4 + 13 + 3</f>
        <v>75.8</v>
      </c>
      <c r="AC7" s="2" t="s">
        <v>4</v>
      </c>
      <c r="AD7" s="2" t="s">
        <v>4</v>
      </c>
      <c r="AE7" s="2">
        <f>16.5 + 14 + 7 + 9 + 1 + 1 + 4.5 + 12.5</f>
        <v>65.5</v>
      </c>
      <c r="AF7" s="2">
        <f xml:space="preserve"> 35.8 + 2.5 + 3 + 4.5</f>
        <v>45.8</v>
      </c>
      <c r="AG7" s="2" t="s">
        <v>4</v>
      </c>
      <c r="AH7" s="2">
        <v>0</v>
      </c>
      <c r="AI7" s="2">
        <f xml:space="preserve"> 40.2 + 4.2</f>
        <v>44.400000000000006</v>
      </c>
      <c r="AJ7" s="2">
        <f xml:space="preserve"> 52.2</f>
        <v>52.2</v>
      </c>
      <c r="AK7" s="2">
        <f xml:space="preserve"> 30 + 5 + 17 + 80 + 18 + 0.9</f>
        <v>150.9</v>
      </c>
      <c r="AL7" s="2">
        <f xml:space="preserve"> 72.4 + 1 + 1.1 + 96 + 50 + 1 + 17 + 0.5</f>
        <v>239</v>
      </c>
      <c r="AM7" s="2">
        <f xml:space="preserve"> 15.6 + 122 + 34.5 + 0.5</f>
        <v>172.6</v>
      </c>
    </row>
    <row r="8" spans="1:39" x14ac:dyDescent="0.3">
      <c r="A8" s="1">
        <v>43862</v>
      </c>
      <c r="B8" s="8" t="s">
        <v>4</v>
      </c>
      <c r="C8" s="8" t="s">
        <v>4</v>
      </c>
      <c r="D8" s="8" t="s">
        <v>4</v>
      </c>
      <c r="E8" s="2" t="s">
        <v>4</v>
      </c>
      <c r="F8">
        <f xml:space="preserve"> 33.4 + 9.4</f>
        <v>42.8</v>
      </c>
      <c r="G8" s="8" t="s">
        <v>4</v>
      </c>
      <c r="H8" s="8" t="s">
        <v>4</v>
      </c>
      <c r="I8" s="2" t="s">
        <v>4</v>
      </c>
      <c r="J8" s="2">
        <f xml:space="preserve"> 4.5 + 8.6 + 18.3 + 55.3</f>
        <v>86.699999999999989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>
        <f xml:space="preserve"> 3 + 47 + 95 + 12 + 33 + 27 + 4 + 5.5 + 6.5 + 9.5</f>
        <v>242.5</v>
      </c>
      <c r="Y8">
        <f xml:space="preserve"> 37.1 + 42.1 + 54.2 + 45.1 + 24.2 + 2.1 + 5.6 + 10.6</f>
        <v>220.99999999999997</v>
      </c>
      <c r="Z8" s="2" t="s">
        <v>4</v>
      </c>
      <c r="AA8">
        <f xml:space="preserve"> 4.5 + 100 + 15 + 78 + 45 + 52 + 1 + 5 + 0.6 + 12.8 + 10 + 30 + 0.6</f>
        <v>354.50000000000006</v>
      </c>
      <c r="AB8" s="2">
        <f xml:space="preserve"> 3.5 + 56 + 58 + 38 + 26.5 + 11 + 11 + 9.5</f>
        <v>213.5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2">
        <v>0</v>
      </c>
      <c r="AI8" s="2">
        <f xml:space="preserve"> 13.3 + 72.1 + 6 + 1.4 + 0.3</f>
        <v>93.1</v>
      </c>
      <c r="AJ8" s="2">
        <f xml:space="preserve"> 5.4 + 11.1 + 11.4 + 12</f>
        <v>39.9</v>
      </c>
      <c r="AK8" s="2">
        <f>7+45+36+69+14+11.6</f>
        <v>182.6</v>
      </c>
      <c r="AL8" s="2">
        <f xml:space="preserve"> 5 + 27 + 72 + 53.5 + 48.2 + 18.4 + 2 + 2 + 50.1</f>
        <v>278.2</v>
      </c>
      <c r="AM8" s="2">
        <f xml:space="preserve"> 10 + 5 + 1.4 + 1 + 11.5 + 12.7 + 42.5 + 6 + 2 + 43.5</f>
        <v>135.6</v>
      </c>
    </row>
    <row r="9" spans="1:39" x14ac:dyDescent="0.3">
      <c r="A9" s="1">
        <v>43891</v>
      </c>
      <c r="B9" s="8" t="s">
        <v>4</v>
      </c>
      <c r="C9" s="8" t="s">
        <v>4</v>
      </c>
      <c r="D9" s="8" t="s">
        <v>4</v>
      </c>
      <c r="E9" s="2" t="s">
        <v>4</v>
      </c>
      <c r="F9">
        <f xml:space="preserve"> 11.6 + 40.6 + 5.2 + 13 + 9</f>
        <v>79.400000000000006</v>
      </c>
      <c r="G9" s="8" t="s">
        <v>4</v>
      </c>
      <c r="H9" s="8" t="s">
        <v>4</v>
      </c>
      <c r="I9" s="2" t="s">
        <v>4</v>
      </c>
      <c r="J9">
        <f xml:space="preserve"> 51.4 + 2.7</f>
        <v>54.1</v>
      </c>
      <c r="K9" s="2" t="s">
        <v>4</v>
      </c>
      <c r="L9" s="2" t="s">
        <v>4</v>
      </c>
      <c r="M9" s="2" t="s">
        <v>4</v>
      </c>
      <c r="N9" s="2">
        <f xml:space="preserve"> 37 + 25 + 36.8</f>
        <v>98.8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>
        <f xml:space="preserve"> 20.5 + 8 + 3 + 2 + 52 + 4</f>
        <v>89.5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</row>
    <row r="10" spans="1:39" x14ac:dyDescent="0.3">
      <c r="A10" s="1">
        <v>43922</v>
      </c>
      <c r="B10" s="8" t="s">
        <v>4</v>
      </c>
      <c r="C10" s="8" t="s">
        <v>4</v>
      </c>
      <c r="D10" s="8" t="s">
        <v>4</v>
      </c>
      <c r="E10" s="2" t="s">
        <v>4</v>
      </c>
      <c r="F10">
        <f xml:space="preserve"> 60.4 + 21 + 24</f>
        <v>105.4</v>
      </c>
      <c r="G10" s="8" t="s">
        <v>4</v>
      </c>
      <c r="H10" s="8" t="s">
        <v>4</v>
      </c>
      <c r="I10" s="2" t="s">
        <v>4</v>
      </c>
      <c r="J10">
        <f xml:space="preserve"> 20.8 + 31.1 + 11.3 + 2 + 28.2 + 6</f>
        <v>99.4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</row>
    <row r="11" spans="1:39" x14ac:dyDescent="0.3">
      <c r="A11" s="1">
        <v>43952</v>
      </c>
      <c r="B11" s="8" t="s">
        <v>4</v>
      </c>
      <c r="C11" s="8" t="s">
        <v>4</v>
      </c>
      <c r="D11" s="8" t="s">
        <v>4</v>
      </c>
      <c r="E11" s="2" t="s">
        <v>4</v>
      </c>
      <c r="F11">
        <v>0</v>
      </c>
      <c r="G11" s="8" t="s">
        <v>4</v>
      </c>
      <c r="H11" s="8" t="s">
        <v>4</v>
      </c>
      <c r="I11" s="2" t="s">
        <v>4</v>
      </c>
      <c r="J11" s="2">
        <v>0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4</v>
      </c>
      <c r="Z11" s="2" t="s">
        <v>4</v>
      </c>
      <c r="AA11" s="2" t="s">
        <v>4</v>
      </c>
      <c r="AB11" s="2" t="s">
        <v>4</v>
      </c>
      <c r="AC11" s="2" t="s">
        <v>4</v>
      </c>
      <c r="AD11" s="2" t="s">
        <v>4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</row>
    <row r="12" spans="1:39" x14ac:dyDescent="0.3">
      <c r="A12" s="1">
        <v>43983</v>
      </c>
      <c r="B12" s="8" t="s">
        <v>4</v>
      </c>
      <c r="C12" s="8" t="s">
        <v>4</v>
      </c>
      <c r="D12" s="8" t="s">
        <v>4</v>
      </c>
      <c r="E12" s="2" t="s">
        <v>4</v>
      </c>
      <c r="F12">
        <v>0</v>
      </c>
      <c r="G12" s="8" t="s">
        <v>4</v>
      </c>
      <c r="H12" s="8" t="s">
        <v>4</v>
      </c>
      <c r="I12" s="2" t="s">
        <v>4</v>
      </c>
      <c r="J12" s="2">
        <v>0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4</v>
      </c>
      <c r="AA12" s="2" t="s">
        <v>4</v>
      </c>
      <c r="AB12" s="2" t="s">
        <v>4</v>
      </c>
      <c r="AC12" s="2" t="s">
        <v>4</v>
      </c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4</v>
      </c>
      <c r="AM12" s="2" t="s">
        <v>4</v>
      </c>
    </row>
    <row r="13" spans="1:39" x14ac:dyDescent="0.3">
      <c r="A13" s="1">
        <v>44013</v>
      </c>
      <c r="B13" s="8" t="s">
        <v>4</v>
      </c>
      <c r="C13" s="8" t="s">
        <v>4</v>
      </c>
      <c r="D13" s="8" t="s">
        <v>4</v>
      </c>
      <c r="E13" s="2" t="s">
        <v>4</v>
      </c>
      <c r="F13" s="2">
        <v>0</v>
      </c>
      <c r="G13" s="8" t="s">
        <v>4</v>
      </c>
      <c r="H13" s="8" t="s">
        <v>4</v>
      </c>
      <c r="I13" s="2" t="s">
        <v>4</v>
      </c>
      <c r="J13" s="2">
        <v>0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</row>
    <row r="14" spans="1:39" x14ac:dyDescent="0.3">
      <c r="A14" t="s">
        <v>3</v>
      </c>
      <c r="B14" s="8" t="s">
        <v>4</v>
      </c>
      <c r="C14" s="8" t="s">
        <v>4</v>
      </c>
      <c r="D14" s="8" t="s">
        <v>4</v>
      </c>
      <c r="E14">
        <f>SUM(E2:E13)</f>
        <v>0</v>
      </c>
      <c r="F14">
        <f>SUM(F2:F13)</f>
        <v>862.29999999999984</v>
      </c>
      <c r="G14" s="8" t="s">
        <v>4</v>
      </c>
      <c r="H14" s="8" t="s">
        <v>4</v>
      </c>
      <c r="I14" s="2">
        <f>SUM(I2:I13)</f>
        <v>327.79999999999995</v>
      </c>
      <c r="J14" s="2">
        <f>SUM(J2:J13)</f>
        <v>627.4</v>
      </c>
      <c r="K14" s="2">
        <f>SUM(K2:K13)</f>
        <v>0</v>
      </c>
      <c r="L14" s="2" t="s">
        <v>4</v>
      </c>
      <c r="M14" s="2" t="s">
        <v>4</v>
      </c>
      <c r="N14" s="2">
        <f t="shared" ref="N14:W14" si="0" xml:space="preserve"> SUM(N2:N13)</f>
        <v>405.4</v>
      </c>
      <c r="O14" s="2">
        <f t="shared" si="0"/>
        <v>0</v>
      </c>
      <c r="P14" s="2">
        <f t="shared" si="0"/>
        <v>0</v>
      </c>
      <c r="Q14" s="2">
        <f t="shared" si="0"/>
        <v>0</v>
      </c>
      <c r="R14" s="2">
        <f t="shared" si="0"/>
        <v>5.5</v>
      </c>
      <c r="S14" s="2">
        <f t="shared" si="0"/>
        <v>0</v>
      </c>
      <c r="T14" s="2">
        <f t="shared" si="0"/>
        <v>0</v>
      </c>
      <c r="U14" s="2">
        <f t="shared" si="0"/>
        <v>1</v>
      </c>
      <c r="V14" s="2">
        <f t="shared" si="0"/>
        <v>0</v>
      </c>
      <c r="W14" s="2">
        <f t="shared" si="0"/>
        <v>16.600000000000001</v>
      </c>
      <c r="X14" s="2">
        <f t="shared" ref="X14" si="1" xml:space="preserve"> SUM(X2:X13)</f>
        <v>710.1</v>
      </c>
      <c r="Y14" s="2">
        <f xml:space="preserve"> SUM(Y2:Y13)</f>
        <v>674.1</v>
      </c>
      <c r="Z14" s="2">
        <f t="shared" ref="Z14:AB14" si="2" xml:space="preserve"> SUM(Z2:Z13)</f>
        <v>295.5</v>
      </c>
      <c r="AA14" s="2">
        <f t="shared" si="2"/>
        <v>754.30000000000007</v>
      </c>
      <c r="AB14" s="2">
        <f t="shared" si="2"/>
        <v>403.6</v>
      </c>
      <c r="AC14" s="2">
        <f xml:space="preserve"> SUM(AC2:AC13)</f>
        <v>86.8</v>
      </c>
      <c r="AD14" s="2">
        <f t="shared" ref="AD14:AH14" si="3" xml:space="preserve"> SUM(AD2:AD13)</f>
        <v>0</v>
      </c>
      <c r="AE14" s="2">
        <f t="shared" si="3"/>
        <v>320.89999999999998</v>
      </c>
      <c r="AF14" s="2">
        <f t="shared" si="3"/>
        <v>308.59999999999997</v>
      </c>
      <c r="AG14" s="2">
        <f t="shared" si="3"/>
        <v>228.5</v>
      </c>
      <c r="AH14" s="2">
        <f t="shared" si="3"/>
        <v>0</v>
      </c>
      <c r="AI14" s="2">
        <f xml:space="preserve"> SUM(AI2:AI13)</f>
        <v>373</v>
      </c>
      <c r="AJ14" s="2">
        <f xml:space="preserve"> SUM(AJ2:AJ13)</f>
        <v>319.2</v>
      </c>
      <c r="AK14" s="2">
        <f xml:space="preserve"> SUM(AK2:AK13)</f>
        <v>603.6</v>
      </c>
      <c r="AL14" s="2">
        <f xml:space="preserve"> SUM(AL2:AL13)</f>
        <v>845.60000000000014</v>
      </c>
      <c r="AM14" s="2">
        <f xml:space="preserve"> SUM(AM2:AM13)</f>
        <v>488.4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1006-287C-4040-8DEA-12014DDA5F4D}">
  <dimension ref="A1:AF14"/>
  <sheetViews>
    <sheetView zoomScale="98" workbookViewId="0">
      <selection activeCell="A5" sqref="A5"/>
    </sheetView>
  </sheetViews>
  <sheetFormatPr defaultRowHeight="14.4" x14ac:dyDescent="0.3"/>
  <cols>
    <col min="1" max="1" width="14.33203125" customWidth="1"/>
    <col min="2" max="2" width="18" customWidth="1"/>
    <col min="4" max="4" width="11.88671875" customWidth="1"/>
    <col min="5" max="5" width="8.88671875" style="2"/>
    <col min="6" max="6" width="11.88671875" customWidth="1"/>
    <col min="7" max="7" width="12.77734375" customWidth="1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customWidth="1"/>
    <col min="26" max="26" width="12.77734375" style="2" customWidth="1"/>
    <col min="27" max="27" width="11" style="2" customWidth="1"/>
    <col min="29" max="29" width="9.6640625" customWidth="1"/>
    <col min="30" max="30" width="12.109375" customWidth="1"/>
    <col min="31" max="31" width="11.5546875" customWidth="1"/>
    <col min="32" max="32" width="13.44140625" style="2" customWidth="1"/>
  </cols>
  <sheetData>
    <row r="1" spans="1:32" s="6" customFormat="1" x14ac:dyDescent="0.3">
      <c r="A1" s="6" t="s">
        <v>0</v>
      </c>
      <c r="B1" s="6" t="s">
        <v>1</v>
      </c>
      <c r="C1" s="6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40391</v>
      </c>
      <c r="B2">
        <v>0</v>
      </c>
      <c r="C2">
        <v>0</v>
      </c>
      <c r="D2">
        <v>0</v>
      </c>
      <c r="E2" s="2">
        <v>0</v>
      </c>
      <c r="F2">
        <v>0</v>
      </c>
      <c r="G2">
        <f xml:space="preserve"> 0</f>
        <v>0</v>
      </c>
      <c r="H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 xml:space="preserve"> 8</f>
        <v>8</v>
      </c>
      <c r="R2">
        <v>0</v>
      </c>
      <c r="S2" s="2">
        <f xml:space="preserve"> 2.8 + 1</f>
        <v>3.8</v>
      </c>
      <c r="T2">
        <v>0</v>
      </c>
      <c r="U2" s="2">
        <v>0</v>
      </c>
      <c r="V2">
        <v>0</v>
      </c>
      <c r="W2">
        <v>0</v>
      </c>
      <c r="X2">
        <v>0</v>
      </c>
      <c r="Y2">
        <v>0</v>
      </c>
      <c r="Z2" s="2">
        <v>0</v>
      </c>
      <c r="AA2" s="2">
        <v>0</v>
      </c>
      <c r="AB2">
        <v>0</v>
      </c>
      <c r="AC2">
        <v>0</v>
      </c>
      <c r="AD2">
        <v>0</v>
      </c>
      <c r="AE2">
        <f xml:space="preserve"> 0.2 + 13</f>
        <v>13.2</v>
      </c>
      <c r="AF2" s="2">
        <v>0</v>
      </c>
    </row>
    <row r="3" spans="1:32" x14ac:dyDescent="0.3">
      <c r="A3" s="1">
        <v>40422</v>
      </c>
      <c r="B3">
        <v>0</v>
      </c>
      <c r="C3">
        <v>0</v>
      </c>
      <c r="D3">
        <v>0</v>
      </c>
      <c r="E3" s="2">
        <v>0</v>
      </c>
      <c r="F3">
        <v>0</v>
      </c>
      <c r="G3">
        <v>0</v>
      </c>
      <c r="H3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f xml:space="preserve"> 4 + 2.4</f>
        <v>6.4</v>
      </c>
      <c r="Q3" s="2">
        <f xml:space="preserve"> 3 + 2 + 2.6 + 4.8 + 2</f>
        <v>14.399999999999999</v>
      </c>
      <c r="R3">
        <f xml:space="preserve"> 1.1</f>
        <v>1.1000000000000001</v>
      </c>
      <c r="S3" s="2">
        <v>0</v>
      </c>
      <c r="T3">
        <f xml:space="preserve"> 4.2 + 2.1 + 0.6</f>
        <v>6.9</v>
      </c>
      <c r="U3" s="2">
        <v>0</v>
      </c>
      <c r="V3">
        <v>0</v>
      </c>
      <c r="W3">
        <v>0</v>
      </c>
      <c r="X3">
        <v>0</v>
      </c>
      <c r="Y3">
        <v>0</v>
      </c>
      <c r="Z3" s="2">
        <v>0</v>
      </c>
      <c r="AA3" s="2">
        <v>0</v>
      </c>
      <c r="AB3">
        <v>0</v>
      </c>
      <c r="AC3">
        <v>0</v>
      </c>
      <c r="AD3">
        <v>0</v>
      </c>
      <c r="AE3">
        <f xml:space="preserve"> 0.5</f>
        <v>0.5</v>
      </c>
      <c r="AF3" s="2">
        <f xml:space="preserve"> 4  + 1</f>
        <v>5</v>
      </c>
    </row>
    <row r="4" spans="1:32" x14ac:dyDescent="0.3">
      <c r="A4" s="1">
        <v>40452</v>
      </c>
      <c r="B4">
        <v>0</v>
      </c>
      <c r="C4">
        <v>35.299999999999997</v>
      </c>
      <c r="D4">
        <f xml:space="preserve"> 2.4</f>
        <v>2.4</v>
      </c>
      <c r="E4" s="2">
        <f xml:space="preserve"> 3.4 + 1.1</f>
        <v>4.5</v>
      </c>
      <c r="F4">
        <f xml:space="preserve"> 3 + 7 + 1 + 1 + 8 + 2 + 11 + 1 + 2 + 17</f>
        <v>53</v>
      </c>
      <c r="G4">
        <f xml:space="preserve"> 7.2 + 1.6 + 7.8 + 7.6</f>
        <v>24.200000000000003</v>
      </c>
      <c r="H4">
        <f xml:space="preserve"> 2.5 + 6.5 + 2 + 7.5 + 23.5</f>
        <v>42</v>
      </c>
      <c r="I4" s="2">
        <v>7.8</v>
      </c>
      <c r="J4" s="2">
        <f xml:space="preserve"> 2.2 + 4.2 + 1.4 + 2.4 + 40.4</f>
        <v>50.6</v>
      </c>
      <c r="K4" s="2">
        <f xml:space="preserve"> 1.8 + 1.8  + 0.5 + 1 + 1.8 + 18.6 + 12</f>
        <v>37.5</v>
      </c>
      <c r="L4" s="2">
        <f xml:space="preserve"> 13.5 + 40.6</f>
        <v>54.1</v>
      </c>
      <c r="M4" s="2">
        <f xml:space="preserve"> 2.8 + 4 + 26</f>
        <v>32.799999999999997</v>
      </c>
      <c r="N4" s="2">
        <v>14.5</v>
      </c>
      <c r="O4" s="2">
        <f xml:space="preserve"> 7.6 + 1.4</f>
        <v>9</v>
      </c>
      <c r="P4" s="2">
        <f xml:space="preserve"> 3.6 + 3.8 + 5.1 + 1 + 5.2 + 1.4+ 6.4</f>
        <v>26.5</v>
      </c>
      <c r="Q4" s="2">
        <f xml:space="preserve"> 5 + 4 + 4 + 2 + 2 + 2.1 + 28.5 + 0.2 + 0.6 + 6.8 + 54.6</f>
        <v>109.80000000000001</v>
      </c>
      <c r="R4">
        <f xml:space="preserve"> 3 + 0.1 + 0.5 + 10.2</f>
        <v>13.799999999999999</v>
      </c>
      <c r="S4" s="2">
        <f xml:space="preserve"> 1.4 + 39 +2 + 39 + 8.8 + 39 + 39+ 39</f>
        <v>207.2</v>
      </c>
      <c r="T4">
        <f xml:space="preserve"> 1.3 + 4.8 + 3.2 + 6.2 + 3.9</f>
        <v>19.399999999999999</v>
      </c>
      <c r="U4" s="2">
        <f xml:space="preserve"> 10 + 0.5</f>
        <v>10.5</v>
      </c>
      <c r="V4">
        <v>0</v>
      </c>
      <c r="W4">
        <f xml:space="preserve"> 1.5 + 1 + 52</f>
        <v>54.5</v>
      </c>
      <c r="X4">
        <f xml:space="preserve"> 14.6 + 75.6</f>
        <v>90.199999999999989</v>
      </c>
      <c r="Y4">
        <f xml:space="preserve"> 13 + 2 + 7.1</f>
        <v>22.1</v>
      </c>
      <c r="Z4" s="2">
        <f xml:space="preserve"> 28.5 + 4.5 + 3 + 15 + 1 + 13</f>
        <v>65</v>
      </c>
      <c r="AA4" s="2">
        <f xml:space="preserve"> 0.1 + 1 + 0.3 + 0.5 + 1.6 + 0.6 + 17.5</f>
        <v>21.6</v>
      </c>
      <c r="AB4">
        <v>0</v>
      </c>
      <c r="AC4">
        <f xml:space="preserve"> 1</f>
        <v>1</v>
      </c>
      <c r="AD4">
        <f xml:space="preserve"> 2.4</f>
        <v>2.4</v>
      </c>
      <c r="AE4">
        <f xml:space="preserve"> 0.1 + 0.1 + 31.5 + 0.6</f>
        <v>32.299999999999997</v>
      </c>
      <c r="AF4" s="2">
        <f xml:space="preserve"> 0</f>
        <v>0</v>
      </c>
    </row>
    <row r="5" spans="1:32" x14ac:dyDescent="0.3">
      <c r="A5" s="1">
        <v>40483</v>
      </c>
      <c r="B5">
        <v>47.7</v>
      </c>
      <c r="C5">
        <v>39.4</v>
      </c>
      <c r="D5">
        <f xml:space="preserve"> 6.7 + 10.6 + 26 + 18.4 + 8.8</f>
        <v>70.5</v>
      </c>
      <c r="E5" s="2">
        <f xml:space="preserve"> 0</f>
        <v>0</v>
      </c>
      <c r="F5">
        <f xml:space="preserve"> 3 + 8 + 2 + 20 + 5 + 3 + 1 + 4 + 25 + 22 + 2</f>
        <v>95</v>
      </c>
      <c r="G5">
        <f xml:space="preserve"> 2.2 + 2.8 + 20 + 2 + 8 + 5.2 + 15.6 + 3.2 + 0.4 + 2.6</f>
        <v>62.000000000000007</v>
      </c>
      <c r="H5">
        <f xml:space="preserve"> 4.5 + 6.5 + 62 + 5.5 + 19 + 12.5</f>
        <v>110</v>
      </c>
      <c r="I5" s="2">
        <f xml:space="preserve"> 8 + 1.8 + 3.4 + 3 + 1.9 + 12.4</f>
        <v>30.5</v>
      </c>
      <c r="J5" s="2">
        <f xml:space="preserve"> 2.4 + 9.2 + 11.2 + 6.4 + 9.8 + 5.2 + 11.2</f>
        <v>55.400000000000006</v>
      </c>
      <c r="K5" s="2">
        <f xml:space="preserve"> 17 + 3.5 + 10 + 35.4 + 9.6 + 22.5 + 7 + 2</f>
        <v>107</v>
      </c>
      <c r="L5" s="2">
        <f xml:space="preserve"> 27 + 3.5 + 8 + 2.2 + 17.2 + 50.2 + 4.1</f>
        <v>112.2</v>
      </c>
      <c r="M5" s="2">
        <f xml:space="preserve"> 8.8 + 6 + 11.2 + 22 + 4.4 + 20.8 + 5 + 40 + 18.4</f>
        <v>136.6</v>
      </c>
      <c r="N5" s="2">
        <f xml:space="preserve"> 1.4 + 5.6 + 9.1 + 4.3 + 103 + 2.2 + 0.4 + 0.3</f>
        <v>126.30000000000001</v>
      </c>
      <c r="O5" s="2">
        <f xml:space="preserve"> 6.4 + 16.4 + 15.8 +52</f>
        <v>90.6</v>
      </c>
      <c r="P5" s="2">
        <f xml:space="preserve"> 21.2 + 2.4 + 3.4 + 2.4 + 33 + 5 + 1 + 47.8 + 3.2 +1</f>
        <v>120.39999999999999</v>
      </c>
      <c r="Q5" s="2">
        <f xml:space="preserve"> 40 + 21.2 + 5.6 + 3.3 + 17.5 + 20 + 6.2 + 65 + 9.5 + 0.5 + 25.5 + 3.5 + 0.6</f>
        <v>218.4</v>
      </c>
      <c r="R5">
        <f xml:space="preserve"> 1.3 + 5.7 + 58.7 + 4 + 42 + 2.5 + 0.5 + 63.77 + 1.2+ 5.2</f>
        <v>184.86999999999998</v>
      </c>
      <c r="S5" s="2">
        <f xml:space="preserve"> 39 + 39 + 39 + 39</f>
        <v>156</v>
      </c>
      <c r="T5">
        <f xml:space="preserve"> 3.3 + 8.4 + 82.9 + 2.1 + 3.5 + 53.2 + 4.9 + 0.9 + 62.4 + 2.9 + 12.6</f>
        <v>237.10000000000002</v>
      </c>
      <c r="U5" s="2">
        <f xml:space="preserve"> 4 + 15 + 2 + 1.1 + 1.1 + 26 + 7.5 + 7.1+ 2.1</f>
        <v>65.900000000000006</v>
      </c>
      <c r="V5">
        <f xml:space="preserve"> 1.2 + 2.8 + 1.8 + 34 + 4.8</f>
        <v>44.599999999999994</v>
      </c>
      <c r="W5">
        <f xml:space="preserve"> 4.5 +3 + 2.5 + 1 + 15 + 5.5 + 7</f>
        <v>38.5</v>
      </c>
      <c r="X5">
        <f xml:space="preserve"> 14.5 + 3.3 + 4 + 23.2 + 14.5 + 3 + 16.7 + 2.4</f>
        <v>81.600000000000009</v>
      </c>
      <c r="Y5">
        <f xml:space="preserve"> 22 + 18.5 + 10.2 + 2.1 + 8.9</f>
        <v>61.7</v>
      </c>
      <c r="Z5" s="2">
        <f xml:space="preserve"> 1 + 6.5 + 3 + 10.5 + 22.5 + 5.5 + 7.5 + 4.5</f>
        <v>61</v>
      </c>
      <c r="AA5" s="2">
        <f xml:space="preserve"> 1.3 + 28.5 + 2.5 + 43.3 + 7 + 5.2 + 0.6</f>
        <v>88.399999999999991</v>
      </c>
      <c r="AB5">
        <f xml:space="preserve"> 5.2 + 19.2 + 3 + 6+ 9.2</f>
        <v>42.599999999999994</v>
      </c>
      <c r="AC5">
        <f xml:space="preserve"> 6.2 + 17 + 3.1 + 22.2 + 20</f>
        <v>68.5</v>
      </c>
      <c r="AD5">
        <f xml:space="preserve"> 4.8 + 5.2 + 36.4 + 24.8 + 4.6 + 0.6</f>
        <v>76.399999999999991</v>
      </c>
      <c r="AE5">
        <f xml:space="preserve"> 2.7 + 12.3 + 0.5 + 5.9 + 14.1 + 73 + 4.5 + 27 + 6.6 + 6 + 5.6 + 1.7 + 11.4</f>
        <v>171.29999999999998</v>
      </c>
      <c r="AF5" s="2">
        <f xml:space="preserve"> 0.4 + 3 + 26.4 + 1 + 5.4 + 8.6 + 6.8 + 31.4 + 3.4 + 0.4 + 3.6</f>
        <v>90.4</v>
      </c>
    </row>
    <row r="6" spans="1:32" x14ac:dyDescent="0.3">
      <c r="A6" s="1">
        <v>40513</v>
      </c>
      <c r="B6">
        <v>221.5</v>
      </c>
      <c r="C6">
        <v>173.3</v>
      </c>
      <c r="D6">
        <f xml:space="preserve"> 9.2 + 2.8</f>
        <v>12</v>
      </c>
      <c r="E6" s="2">
        <v>0</v>
      </c>
      <c r="F6">
        <f xml:space="preserve"> 30 + 2 + 50 + 10 + 22 + 26 + 1 + 34 + 3 + 20 + 20 + 30 + 2 + 5 + 6 + 3</f>
        <v>264</v>
      </c>
      <c r="G6">
        <f xml:space="preserve"> 10.4 + 12.8 + 2 + 0.6 + 15.8 + 4 + 4.2 + 40.2 + 45 + 49.2 + 2.4 + 19 + 1.4 + 1.2 + 3 + 3.8 + 10.8</f>
        <v>225.8</v>
      </c>
      <c r="H6">
        <f xml:space="preserve"> 22 + 3.5 + 1.5 + 7.5 + 25 + 21 + 114.5 + 5.5 + 4 + 11 + 23 +9.5 + 7.5 + 2</f>
        <v>257.5</v>
      </c>
      <c r="I6" s="2">
        <f xml:space="preserve"> 19.7 + 17.3 + 17.5 + 30 + 12.5 + 1.7 + 7.4 + 5.7 + 16.8 + 3.7 + 16.6 + 29.1</f>
        <v>178</v>
      </c>
      <c r="J6" s="2">
        <f xml:space="preserve"> 16.6 + 12.8 + 2.4 + 23.4 + 2.8 + 10.8 + 6.8 + 10.2 + 44.6 + 20.4</f>
        <v>150.80000000000001</v>
      </c>
      <c r="K6" s="2">
        <f xml:space="preserve"> 13 + 20 + 1.8 + 26 + 1.5 + 16 + 4.2 + 9.5 + 11.6 + 10.9 +5.5 + 0.3</f>
        <v>120.3</v>
      </c>
      <c r="L6" s="2">
        <f xml:space="preserve"> 7.6 + 19.5 + 15.8 + 1.6 + 1.9 + 0.4 + 0.4 + 42.4 + 2.1 + 6.6 + 1.8</f>
        <v>100.09999999999998</v>
      </c>
      <c r="M6" s="2">
        <f xml:space="preserve"> 40 + 14 + 34 + 3.2 + 15.6 + 34.6 + 3.4 + 34.2 + 38.8 + 1.8</f>
        <v>219.60000000000002</v>
      </c>
      <c r="N6" s="2">
        <f>16.7+15.2+10.5+6.2+2.8+4.6</f>
        <v>56</v>
      </c>
      <c r="O6" s="2">
        <f xml:space="preserve"> 59 + 52.5 + 23+15.8</f>
        <v>150.30000000000001</v>
      </c>
      <c r="P6" s="2">
        <f xml:space="preserve"> 44.6 + 64.8 + 85.8 + 6.2 + 5.6 + 3.1 + 15.8 + 96 + 14.6 + 5.6 + 12.2</f>
        <v>354.3</v>
      </c>
      <c r="Q6" s="2">
        <f xml:space="preserve"> 2 + 49.5 + 39.5 + 25.5 + 48.5 + 25.5 + 2.8 + 30 + 15 + 18 + 24 + 6 + 16 + 6.5 + 2.5 + 0.5 + 1 + 23 + 6 + 3+ 22</f>
        <v>366.8</v>
      </c>
      <c r="R6">
        <f xml:space="preserve"> 46.1 + 16.2 + 14.1 + 18.1 + 7.5 + 43 + 2.4 + 58.4 + 19.4 + 0.2 + 54.8 + 56+10.5</f>
        <v>346.7</v>
      </c>
      <c r="S6" s="2">
        <f xml:space="preserve"> 2.2 + 21.8 + 6.3 + 43.8 + 31.6 + 10.2 + 1.8 + 16.8 + 45.6 + 7.8 + 1.8 + 7.6 + 7.2 + 9.6 + 2.4 + 3.6</f>
        <v>220.1</v>
      </c>
      <c r="T6">
        <f xml:space="preserve"> 183 + 34 + 4.9 + 15.3 + 20.2 + 11.8 + 3.3 + 32.2 + 32.4 + 23.6 + 1.6 + 11.6 + 3.2 + 1.4 + 163.6 + 1.6</f>
        <v>543.70000000000005</v>
      </c>
      <c r="U6" s="2">
        <f xml:space="preserve"> 3 + 30.5 + 20 + 24.1 + 7.5 + 14.1 + 20.5 + 31 + 4.5 + 0.8 + 3</f>
        <v>159</v>
      </c>
      <c r="V6">
        <f>9.8+1.6+18+114+85+2</f>
        <v>230.4</v>
      </c>
      <c r="W6">
        <f xml:space="preserve"> 3 + 24 + 11.2 + 26 + 10.5 + 0.5 + 6.4 + 4.2 + 7.2</f>
        <v>93.000000000000014</v>
      </c>
      <c r="X6">
        <f xml:space="preserve"> 3.6 + 6 + 22 + 64 + 8.6 + 1.1 + 3.5 + 0.5 + 7.6 + 28 + 17.4 + 16.5 + 13</f>
        <v>191.79999999999998</v>
      </c>
      <c r="Y6">
        <f xml:space="preserve"> 5.1 + 6 + 6.4 + 28 + 7.2 + 22 + 5.1 + 6.3</f>
        <v>86.1</v>
      </c>
      <c r="Z6" s="2">
        <f xml:space="preserve"> 10 + 9.5 + 4 + 43 + 9 + 19.5 + 25 + 4 + 4.5 + 15 + 16</f>
        <v>159.5</v>
      </c>
      <c r="AA6" s="2">
        <f xml:space="preserve"> 15 + 2.7 + 0.8 + 3.4 + 0.1 + 4 + 1.6 + 0.1 + 4.6 + 10.8 + 9 + 26.4</f>
        <v>78.5</v>
      </c>
      <c r="AB6">
        <f xml:space="preserve"> 10 + 1 + 0.8 + 14 + 6.6 + 6</f>
        <v>38.4</v>
      </c>
      <c r="AC6">
        <f xml:space="preserve"> 38 + 11.2 + 2.4 + 3.1 + 12 + 4.1 + 23.4 + 2</f>
        <v>96.199999999999989</v>
      </c>
      <c r="AD6">
        <f xml:space="preserve"> 17.6 + 31.6 + 7.2 + 0.1 + 2.4 + 11 + 90.2 + 4.4 + 4.6 + 24.4</f>
        <v>193.50000000000003</v>
      </c>
      <c r="AE6">
        <f xml:space="preserve"> 83 + 76 + 19 + 63 + 13 + 47 + 12.5 + 59.3 + 22 + 13.2 + 0.2 + 20.1 + 3 + 0.5</f>
        <v>431.8</v>
      </c>
      <c r="AF6" s="2">
        <f xml:space="preserve"> 2 + 15.6 + 15.4 + 8 + 2 + 29 + 73 + 5 + 23 + 0.2 + 8.4 + 24</f>
        <v>205.6</v>
      </c>
    </row>
    <row r="7" spans="1:32" x14ac:dyDescent="0.3">
      <c r="A7" s="1">
        <v>40544</v>
      </c>
      <c r="B7">
        <v>232.9</v>
      </c>
      <c r="C7">
        <v>159.19999999999999</v>
      </c>
      <c r="D7">
        <v>0</v>
      </c>
      <c r="E7" s="2">
        <v>0</v>
      </c>
      <c r="F7">
        <f xml:space="preserve"> 12 + 40 + 20 + 3 + 7 + 22 + 1 + 12 + 8 + 36</f>
        <v>161</v>
      </c>
      <c r="G7">
        <f xml:space="preserve"> 13.8 + 91.4 + 7.8 + 14.8 + 1.2 + 11.8 + 14.4 + 3.2 + 0.8 + 5.8 + 17.6 + 18.4 + 4.4 + 10.4 + 1.6 + 43.8</f>
        <v>261.20000000000005</v>
      </c>
      <c r="H7">
        <f xml:space="preserve"> 11.5 + 3 + 18.5 + 3 + 2 + 5.5 + 5 + 1- + 8.5 + 5 + 5 + 29 + 1.5 + 8 + 10</f>
        <v>99.5</v>
      </c>
      <c r="I7" s="2">
        <f xml:space="preserve"> 16.2 + 7.6 + 21.9 + 2.5 + 2.8 + 3.8 + 14.6 +10.8 + 39.4 + 12.5 + 5.2 + 4.3 + 38</f>
        <v>179.6</v>
      </c>
      <c r="J7" s="2">
        <f xml:space="preserve"> 36 + 22 + 48 + 66 + 16.2 + 24 + 24 + 35.6 + 37</f>
        <v>308.8</v>
      </c>
      <c r="K7" s="2">
        <v>112.4</v>
      </c>
      <c r="L7" s="2">
        <v>96.8</v>
      </c>
      <c r="M7" s="2">
        <v>79.400000000000006</v>
      </c>
      <c r="N7" s="2">
        <v>85.3</v>
      </c>
      <c r="O7" s="2">
        <v>118.7</v>
      </c>
      <c r="P7" s="2">
        <v>67.900000000000006</v>
      </c>
      <c r="Q7" s="2">
        <f xml:space="preserve"> 10 + 6 + 28 + 3 + 37 + 14 + 4 + 4.8 + 9.8 + 4 + 1.8 + 2 + 5 + 20 + 38 + 9 + 80 + 24 + 2.2 + 43 + 30 + 2.8 + 98 + 38 + 3 + 20 + 20 + 0.5</f>
        <v>557.9</v>
      </c>
      <c r="R7">
        <f xml:space="preserve"> 18.2 + 65 + 5.6 + 1.4 + 24.1 + 34.2 + 31.7 + 31.3 + 8.4 + 0.4 + 32.9 + 60.1 + 66.3 + 3.3 + 1.1+ 3.2</f>
        <v>387.20000000000005</v>
      </c>
      <c r="S7" s="2">
        <f xml:space="preserve"> 6.8 + 50.8 + 2.6 + 38.2 + 13.2 + 11.4 + 11.4 + 25.8 + 1.8 + 14.6 + 54.8 + 60 + 35.4 + 94.2 + 37.2 + 4.3 + 27.8 + 41.8 + 1 + 182.6 + 13.2+ 13</f>
        <v>741.90000000000009</v>
      </c>
      <c r="T7">
        <f xml:space="preserve"> 1.5 + 7.4 + 17.8 + 1.4 + 45.4 + 3.3 + 3.2 + 9.1 + 9.2 + 7.2 + 0.5 + 19.4 + 80.6 + 29.6 + 30.4 + 42.3 + 22.6 + 1.4 + 25.8 + 105 + 2 + 210.7 + 12.9 + 11.2 + 7.8 + 4.9 + 1.6 + 6.1</f>
        <v>720.3</v>
      </c>
      <c r="U7" s="2">
        <f xml:space="preserve"> 6 + 0.5 + 37 + 14 + 0.5 + 59 + 34 + 16 + 12 + 15 + 16 + 2 + 10.1 + 0.1 + 2 + 0.5</f>
        <v>224.7</v>
      </c>
      <c r="V7">
        <f xml:space="preserve"> 41 + 6.2 + 3 + 5 + 28.8 + 2 + 8.4 + 10 + 16.4 + 13 + 16 + 3.6 + 2 + 2 + 10</f>
        <v>167.4</v>
      </c>
      <c r="W7">
        <f xml:space="preserve"> 1.2 + 1.2 + 45 + 10 + 31 + 12.4 + 12.5 + 9.5 + 10 + 7.1 + 3 + 28 + 10 + 3.2 + 37 + 11.5</f>
        <v>232.6</v>
      </c>
      <c r="X7">
        <f xml:space="preserve"> 9.2 + 34 + 25 + 11 + 13.8 + 6.5 + 1.5 + 12.5 + 33 + 15.3 + 25 + 1 + 4 + 1 + 4 + 7 + 23</f>
        <v>226.8</v>
      </c>
      <c r="Y7">
        <f xml:space="preserve"> 2.5 + 40.4 + 14.4 + 11 + 11.4 + 12</f>
        <v>91.7</v>
      </c>
      <c r="Z7" s="2">
        <f xml:space="preserve"> 38 + 5.5 + 15 + 1.5 + 5 + 1.5 + 5 + 1 + 14 + 4 + 2</f>
        <v>92.5</v>
      </c>
      <c r="AA7" s="2">
        <f xml:space="preserve"> 3.8 + 18 + 1.2 + 5.9 + 8.6 + 1 + 36 + 1.3 + 12.2 + 0.1 + 3.8 + 1.5</f>
        <v>93.399999999999991</v>
      </c>
      <c r="AB7">
        <v>0</v>
      </c>
      <c r="AC7">
        <f xml:space="preserve"> 8.4 + 1 + 2.3 + 2.1 + 29.3 + 8.4 + 9 + 4.3 + 8 + 9.4 + 9.4 + 8 + 4.4</f>
        <v>104.00000000000001</v>
      </c>
      <c r="AD7">
        <f xml:space="preserve"> 14.2 + 4 + 12.8 + 16 + 32 + 1.9 + 52.2 + 46 + 6.2 + 5 + 24.6 + 0.7 + 44.4 + 2.2 + 18.2</f>
        <v>280.39999999999998</v>
      </c>
      <c r="AE7">
        <f xml:space="preserve"> 6.7 + 20.4 + 6.6 + 19.5 + 15.5 + 1.4 + 0.8 + 0.4 + 0.9 + 4.7 + 43.7 + 0.2 + 47.1 + 10.5 + 31.8 + 1.6 + 5.5 + 0.5 + 0.5 + 8.5</f>
        <v>226.8</v>
      </c>
      <c r="AF7" s="2">
        <f xml:space="preserve"> 24.4 + 1.2 + 6.8 + 0.4 + 2.6 + 8.2 + 15.6 + 14.4 + 11.6 + 16.2 + 3.4 + 2.2 + 19.6 + 4.6 + 0.2 + 1.6 + 15.8 + 0.8 + 1.9</f>
        <v>151.5</v>
      </c>
    </row>
    <row r="8" spans="1:32" x14ac:dyDescent="0.3">
      <c r="A8" s="1">
        <v>40575</v>
      </c>
      <c r="B8">
        <v>147.1</v>
      </c>
      <c r="C8">
        <v>82.8</v>
      </c>
      <c r="D8">
        <v>0</v>
      </c>
      <c r="E8" s="2">
        <v>0</v>
      </c>
      <c r="F8">
        <f xml:space="preserve"> 0</f>
        <v>0</v>
      </c>
      <c r="G8" s="2">
        <f xml:space="preserve"> 7.4 + 4.8 + 2 + 16.4  + 1 + 3.2 + 6.2 + 5.2</f>
        <v>46.2</v>
      </c>
      <c r="H8">
        <f xml:space="preserve"> 13 + 5.5 + 2 + 2.5 + 20 + 2 + 2 + 14.5 + 16.5</f>
        <v>78</v>
      </c>
      <c r="I8" s="2">
        <f xml:space="preserve"> 7 + 5.8 + 6.1 + 1.5 + 6.8 + 7.4</f>
        <v>34.6</v>
      </c>
      <c r="J8" s="2">
        <f xml:space="preserve"> 19.4 + 22.6 + 9.2</f>
        <v>51.2</v>
      </c>
      <c r="K8" s="2">
        <f xml:space="preserve"> 0.3 + 4.4 + 7 + 50.5 + 25.5 + 1</f>
        <v>88.7</v>
      </c>
      <c r="L8" s="2">
        <f xml:space="preserve"> 13.2 + 35.6 + 6.9 + 3</f>
        <v>58.699999999999996</v>
      </c>
      <c r="M8" s="2">
        <f xml:space="preserve"> 1 + 3 + 6.4 + 4.2 + 15.4</f>
        <v>30</v>
      </c>
      <c r="N8" s="2">
        <f xml:space="preserve"> 2.3 + 26.2 + 8.7 + 7</f>
        <v>44.2</v>
      </c>
      <c r="O8" s="2">
        <v>34.4</v>
      </c>
      <c r="P8" s="2">
        <f xml:space="preserve"> 2.8 + 5.6 + 1.6 + 3 + 19.6 + 11</f>
        <v>43.6</v>
      </c>
      <c r="Q8" s="2">
        <f xml:space="preserve"> 30 + 9 + 2+ 2 + 3.5 + 1 + 1.8 + 2.2 + 1 + 22 + 2+ 1</f>
        <v>77.5</v>
      </c>
      <c r="R8">
        <f xml:space="preserve"> 14.2 + 0.4 + 6.2 + 5.1 + 5.2 + 4.1</f>
        <v>35.199999999999996</v>
      </c>
      <c r="S8" s="2">
        <f xml:space="preserve"> 2.2 + 9.8 + 1.2 + 1 + 5.2 + 6.8 + 9.7 + 57.4 + 1.8 + 15.8 + 7.4 + 23.6 + 4</f>
        <v>145.9</v>
      </c>
      <c r="T8">
        <f xml:space="preserve"> 5.1 + 4.7 + 1.9 + 3.9 + 0.5 + 0.7 + 1.6 + 6.5 + 4.6 + 2.3 + 4.6 + 4.5 + 17.6 + 1.2 + 4.8 + 25.1 + 4.9 + 4.6</f>
        <v>99.1</v>
      </c>
      <c r="U8" s="2">
        <f xml:space="preserve"> 16 + 5.8 + 0.5 + 0.5</f>
        <v>22.8</v>
      </c>
      <c r="V8">
        <f xml:space="preserve"> 13 + 5 + 1.4</f>
        <v>19.399999999999999</v>
      </c>
      <c r="W8">
        <f xml:space="preserve"> 27 + 40 + 4 + 4.5</f>
        <v>75.5</v>
      </c>
      <c r="X8">
        <f xml:space="preserve"> 13 + 8.7 + 3</f>
        <v>24.7</v>
      </c>
      <c r="Y8">
        <f xml:space="preserve"> 6.2 + 9.1</f>
        <v>15.3</v>
      </c>
      <c r="Z8" s="2">
        <f xml:space="preserve"> 1.5 + 8 + 6.5</f>
        <v>16</v>
      </c>
      <c r="AA8" s="2">
        <f xml:space="preserve"> 1.2 + 5.9 + 8.6 + 1 + 10.5 + 2.7 + 2 + 1.8 + 3</f>
        <v>36.699999999999996</v>
      </c>
      <c r="AB8">
        <f xml:space="preserve"> 40</f>
        <v>40</v>
      </c>
      <c r="AC8">
        <v>0</v>
      </c>
      <c r="AD8">
        <f xml:space="preserve"> 2.3 + 5.8</f>
        <v>8.1</v>
      </c>
      <c r="AE8">
        <f xml:space="preserve"> 1.2 + 16.1 + 0.2 + 0.2 + 2.4 + 0.4 + 1.5 + 0.7 + 1.2</f>
        <v>23.899999999999995</v>
      </c>
      <c r="AF8" s="2">
        <f xml:space="preserve"> 6.8 + 0.2 + 3.2</f>
        <v>10.199999999999999</v>
      </c>
    </row>
    <row r="9" spans="1:32" x14ac:dyDescent="0.3">
      <c r="A9" s="1">
        <v>40603</v>
      </c>
      <c r="B9">
        <v>94.6</v>
      </c>
      <c r="C9">
        <v>193.5</v>
      </c>
      <c r="D9">
        <v>0</v>
      </c>
      <c r="E9" s="2">
        <v>0</v>
      </c>
      <c r="F9">
        <f xml:space="preserve">  2 + 50 + 6 + 3 + 10 + 1 + 25 + 24</f>
        <v>121</v>
      </c>
      <c r="G9">
        <f xml:space="preserve"> 15.6 + 8.6 + 46.4 + 3 + 1.2 + 7.4 + 3.8 + 2.6 + 1.8 + 2.6</f>
        <v>92.999999999999986</v>
      </c>
      <c r="H9">
        <f xml:space="preserve"> 9 + 4 + 11 + 3 + 8 + 2</f>
        <v>37</v>
      </c>
      <c r="I9" s="2">
        <f xml:space="preserve"> 7.4 + 1.7 + 6.9 + 37.6 + 0.5 + 6.2</f>
        <v>60.300000000000004</v>
      </c>
      <c r="J9" s="2">
        <f xml:space="preserve"> 7.6 + 2.6</f>
        <v>10.199999999999999</v>
      </c>
      <c r="K9" s="2">
        <f xml:space="preserve"> 10 + 4.6 + 36 + 29.4 + 5.4 + 3.2</f>
        <v>88.600000000000009</v>
      </c>
      <c r="L9" s="2">
        <f xml:space="preserve"> 27.2 + 1.6 + 4.8 + 0.4 + 5.5 + 57.8</f>
        <v>97.3</v>
      </c>
      <c r="M9" s="2">
        <f xml:space="preserve"> 1 + 16.6 + 25.8 + 6.6 + 4.2 + 6 + 5.4 + 19.4</f>
        <v>85</v>
      </c>
      <c r="N9" s="2">
        <f xml:space="preserve"> 14.8 + 7.4 + 3.3</f>
        <v>25.500000000000004</v>
      </c>
      <c r="O9" s="2">
        <v>11.4</v>
      </c>
      <c r="P9" s="2">
        <f xml:space="preserve"> 6.4 + 6.6 + 3.6 + 2.8</f>
        <v>19.400000000000002</v>
      </c>
      <c r="Q9" s="2">
        <f xml:space="preserve"> 60.2 + 20 + 14 + 7 + 11.2 + 2 + 4</f>
        <v>118.4</v>
      </c>
      <c r="R9">
        <f xml:space="preserve"> 52.3 + 5.5 + 1.7 + 5.6</f>
        <v>65.099999999999994</v>
      </c>
      <c r="S9" s="2">
        <f xml:space="preserve"> 87.8 + 8.2 + 17.8 + 13.3 + 5.5 + 26.8 + 18 + 60 + 70 + 1</f>
        <v>308.39999999999998</v>
      </c>
      <c r="T9">
        <f xml:space="preserve"> 58.8 + 4 + 17.6 + 5.2 + 6.8 + 5.1 + 0.5 + 1.1 + 6.1 + 3.9</f>
        <v>109.1</v>
      </c>
      <c r="U9" s="2">
        <f xml:space="preserve"> 3.7 + 1.3 + 1.2 + 0.5 + 1.5 +0.5</f>
        <v>8.6999999999999993</v>
      </c>
      <c r="V9">
        <f xml:space="preserve"> 7 + 69 + 23 + 1 + 82 + 3</f>
        <v>185</v>
      </c>
      <c r="W9">
        <f xml:space="preserve"> 5 + 17.5 + 1.5 + 5</f>
        <v>29</v>
      </c>
      <c r="X9">
        <f xml:space="preserve"> 4.2 + 18.4 + 4 + 1 + 4 + 7</f>
        <v>38.599999999999994</v>
      </c>
      <c r="Y9">
        <v>0</v>
      </c>
      <c r="Z9" s="2">
        <f xml:space="preserve"> 10 + 37 + 78.5 + 5.5 + 12.5</f>
        <v>143.5</v>
      </c>
      <c r="AA9" s="2">
        <f xml:space="preserve"> 6 + 18.9 + 2.4 + 1.2 +0.1</f>
        <v>28.599999999999998</v>
      </c>
      <c r="AB9">
        <f xml:space="preserve"> 20 + 14 + 13 + 2</f>
        <v>49</v>
      </c>
      <c r="AC9">
        <f xml:space="preserve"> 12.4 + 2.3 + 3.1 + 34.1</f>
        <v>51.900000000000006</v>
      </c>
      <c r="AD9">
        <f xml:space="preserve"> 1 + 79.6 + 5.8 + 2 + 1.3</f>
        <v>89.699999999999989</v>
      </c>
      <c r="AE9">
        <f xml:space="preserve"> 9.5 + 6.5 + 0.9 + 6.8 + 0.7 + 1.5</f>
        <v>25.9</v>
      </c>
      <c r="AF9" s="2">
        <f xml:space="preserve"> 32 + 2.6</f>
        <v>34.6</v>
      </c>
    </row>
    <row r="10" spans="1:32" x14ac:dyDescent="0.3">
      <c r="A10" s="1">
        <v>40634</v>
      </c>
      <c r="B10">
        <v>104</v>
      </c>
      <c r="C10">
        <v>43.1</v>
      </c>
      <c r="D10">
        <f xml:space="preserve"> 4.9 + 4.9 + 3.5 + 3 + 4.4 + 12.5 + 3.2 + 4.6</f>
        <v>41.000000000000007</v>
      </c>
      <c r="E10" s="2">
        <v>0</v>
      </c>
      <c r="F10">
        <f xml:space="preserve"> 1 + 6 + 1 + 2 + 20 + 34 + 4 + 3 + 14 + 3 + 5 + 18</f>
        <v>111</v>
      </c>
      <c r="G10">
        <f xml:space="preserve"> 3.4 + 3.2 + 1.2 + 2 + 1.6 + 3.4 + 9.8 + 6.2 + 2.8 + 8.4</f>
        <v>42</v>
      </c>
      <c r="H10">
        <f xml:space="preserve"> 5 + 2 + 16.5 + 6.5 + 13 + 19 + 22.5</f>
        <v>84.5</v>
      </c>
      <c r="I10" s="2">
        <f xml:space="preserve"> 2.4 + 51.9 + 17.4 + 2 + 13 + 3.1 + 11.3</f>
        <v>101.09999999999998</v>
      </c>
      <c r="J10" s="2">
        <f xml:space="preserve"> 8.4 + 8 + 7 + 11.4 + 4.8 + 6.4 + 39</f>
        <v>85</v>
      </c>
      <c r="K10" s="2">
        <f xml:space="preserve"> 20 + 13 + 23 + 7.5 + 4.5 + 27 + 6 + 3 + 12</f>
        <v>116</v>
      </c>
      <c r="L10" s="2">
        <f xml:space="preserve"> 3.3 + 1.5 + 26.2 + 3.6 + 7.2 + 0.6 + 2.2 + 32.3</f>
        <v>76.900000000000006</v>
      </c>
      <c r="M10" s="2">
        <f xml:space="preserve"> 3 + 4 + 8 + 8.4 + 3.4 + 30.8 + 2 + 9</f>
        <v>68.599999999999994</v>
      </c>
      <c r="N10" s="2">
        <f xml:space="preserve"> 0.5 + 22.5 + 4.7 + 2.4 + 6.9 + 2.8 + 12.4 + 26.6 + 2.4 + 2.6</f>
        <v>83.8</v>
      </c>
      <c r="O10" s="2">
        <v>30.9</v>
      </c>
      <c r="P10" s="2">
        <f xml:space="preserve"> 53.8 + 65.6 + 13.4 + 40.8 + 1.6 + 41.6 + 21 +  4.6</f>
        <v>242.39999999999995</v>
      </c>
      <c r="Q10" s="2">
        <f xml:space="preserve"> 30 + 80.5 + 49.5 + 10 + 4 + 1.4 + 20 + 15 + 4+34 + 34 + 26 + 1.8 + 4 + 1 + 1.2 + 10.6</f>
        <v>327</v>
      </c>
      <c r="R10">
        <f xml:space="preserve"> 43.7 + 120.9+ 6 + 5.5 + 15.5 + 4.5 + 14.5 + 1.8 + 27.9 + 14.4 + 7.4 + 0.7 + 3.5 + 10.2</f>
        <v>276.5</v>
      </c>
      <c r="S10" s="2">
        <f xml:space="preserve"> 10.6 + 47.2 + 35.2 + 1.4 + 4.6 + 8.4 + 3.2 + 11.4 + 4.4 + 4.6 + 1.6 + 40 + 50 + 2 + 10.2</f>
        <v>234.8</v>
      </c>
      <c r="T10">
        <f xml:space="preserve"> 26.3 + 96.4 + 16.4 + 1 + 14.2 + 1.1 + 11.5 + 8.8 + 7.4 + 1.6 + 21.5 + 15.3 + 4.2 + 5.2</f>
        <v>230.89999999999998</v>
      </c>
      <c r="U10" s="2">
        <f xml:space="preserve"> 24.5 + 32 + 9.5 + 4.9 + 0.6 + 0.5 + 14 + 0.6 + 1 + 4.6 + 0.6</f>
        <v>92.799999999999983</v>
      </c>
      <c r="V10">
        <f xml:space="preserve"> 3.2 + 3.9 + 43 + 9.2 + 2 + 15 + 7+ 29 + 7</f>
        <v>119.3</v>
      </c>
      <c r="W10">
        <f xml:space="preserve"> 8 + 2 + 20 + 0.8 + 7</f>
        <v>37.799999999999997</v>
      </c>
      <c r="X10">
        <f xml:space="preserve"> 19 + 12 + 3.1 + 37 + 5 + 8.5 + 1.3 + 24.5 + 1.2 + 7.4</f>
        <v>119</v>
      </c>
      <c r="Y10">
        <f xml:space="preserve"> 8 + 8.5 + 2 + 19.3 + 3 + 2 + 9.2</f>
        <v>52</v>
      </c>
      <c r="Z10" s="2">
        <f xml:space="preserve"> 28.4 + 5.2 + 18 + 25 + 23 + 1.5 + 8 + 1.4 + 2</f>
        <v>112.5</v>
      </c>
      <c r="AA10" s="2">
        <f xml:space="preserve"> 0.5 + 72 + 7.6 + 10 + 0.3 + 0.5 + 7.8 + 1.9</f>
        <v>100.6</v>
      </c>
      <c r="AB10">
        <f xml:space="preserve"> 6 + 5</f>
        <v>11</v>
      </c>
      <c r="AC10">
        <f xml:space="preserve"> 6 + 5 + 20.4 + 6</f>
        <v>37.4</v>
      </c>
      <c r="AD10">
        <f xml:space="preserve"> 6.4 + 0.5 + 4.4 + 1.2 + 7.2 + 6</f>
        <v>25.7</v>
      </c>
      <c r="AE10">
        <f xml:space="preserve"> 1 + 24.5 + 6.2 + 0.2 + 16.4 + 7.2 + 1.3 + 0.8 + 30 + 10.1 + 1.3 + 0.5</f>
        <v>99.499999999999986</v>
      </c>
      <c r="AF10" s="2">
        <f xml:space="preserve"> 50 + 9 + 9 + 3.2 + 0.2 + 0.1 + 3.4 + 10.8 + 7.2+ 5.2</f>
        <v>98.100000000000009</v>
      </c>
    </row>
    <row r="11" spans="1:32" x14ac:dyDescent="0.3">
      <c r="A11" s="1">
        <v>40664</v>
      </c>
      <c r="B11">
        <v>2.6</v>
      </c>
      <c r="C11">
        <v>2</v>
      </c>
      <c r="D11">
        <f xml:space="preserve"> 8.2</f>
        <v>8.1999999999999993</v>
      </c>
      <c r="E11" s="2">
        <v>0</v>
      </c>
      <c r="F11">
        <f xml:space="preserve"> 2</f>
        <v>2</v>
      </c>
      <c r="G11">
        <f xml:space="preserve"> 3.6</f>
        <v>3.6</v>
      </c>
      <c r="H11">
        <f xml:space="preserve"> 5</f>
        <v>5</v>
      </c>
      <c r="I11" s="2">
        <v>0</v>
      </c>
      <c r="J11" s="2">
        <v>0</v>
      </c>
      <c r="K11" s="2">
        <f xml:space="preserve"> 0.5 + 2.5 + 1.5</f>
        <v>4.5</v>
      </c>
      <c r="L11" s="2">
        <f xml:space="preserve"> 1+0.6 + 0.5</f>
        <v>2.1</v>
      </c>
      <c r="M11" s="2">
        <v>0</v>
      </c>
      <c r="N11" s="2">
        <f xml:space="preserve"> 3 + 1.8</f>
        <v>4.8</v>
      </c>
      <c r="O11" s="2">
        <v>0</v>
      </c>
      <c r="P11" s="2">
        <f xml:space="preserve"> 16 + 6.4 + 15.1 + 55</f>
        <v>92.5</v>
      </c>
      <c r="Q11" s="2">
        <f xml:space="preserve"> 7 + 3.4+ 7 + 3.5 + 5</f>
        <v>25.9</v>
      </c>
      <c r="R11">
        <f xml:space="preserve"> 2.7</f>
        <v>2.7</v>
      </c>
      <c r="S11" s="2">
        <f xml:space="preserve"> 3.2+ 9.7 + 1.2 + 6.8</f>
        <v>20.9</v>
      </c>
      <c r="T11">
        <f xml:space="preserve"> 12.3 + 4.2 + 6.8 + 2.1 + 1.3</f>
        <v>26.700000000000003</v>
      </c>
      <c r="U11" s="2">
        <f xml:space="preserve"> 2 + 0.3 + 0.6</f>
        <v>2.9</v>
      </c>
      <c r="V11">
        <f xml:space="preserve"> 1.8 + 4 + 2 + 1</f>
        <v>8.8000000000000007</v>
      </c>
      <c r="W11">
        <f xml:space="preserve"> 2.4 + 1 + 2</f>
        <v>5.4</v>
      </c>
      <c r="X11">
        <f xml:space="preserve"> 1.7 + 1 + 5.3</f>
        <v>8</v>
      </c>
      <c r="Y11">
        <v>0</v>
      </c>
      <c r="Z11" s="2">
        <f xml:space="preserve"> 1.8</f>
        <v>1.8</v>
      </c>
      <c r="AA11" s="2">
        <f xml:space="preserve"> 11.5 + 18.4</f>
        <v>29.9</v>
      </c>
      <c r="AB11">
        <f xml:space="preserve"> 14</f>
        <v>14</v>
      </c>
      <c r="AC11">
        <f xml:space="preserve"> 6.1</f>
        <v>6.1</v>
      </c>
      <c r="AD11">
        <v>0</v>
      </c>
      <c r="AE11">
        <f xml:space="preserve"> 2.2 + 0.5+ 27.4 + 1.4</f>
        <v>31.499999999999996</v>
      </c>
      <c r="AF11" s="2">
        <f xml:space="preserve"> 30.6</f>
        <v>30.6</v>
      </c>
    </row>
    <row r="12" spans="1:32" x14ac:dyDescent="0.3">
      <c r="A12" s="1">
        <v>40695</v>
      </c>
      <c r="B12">
        <v>44</v>
      </c>
      <c r="C12">
        <v>15.3</v>
      </c>
      <c r="D12">
        <f xml:space="preserve"> 34</f>
        <v>34</v>
      </c>
      <c r="E12" s="2">
        <f xml:space="preserve"> 36.5</f>
        <v>36.5</v>
      </c>
      <c r="F12">
        <f xml:space="preserve"> 1</f>
        <v>1</v>
      </c>
      <c r="G12">
        <f xml:space="preserve"> 2.6</f>
        <v>2.6</v>
      </c>
      <c r="H12">
        <v>0</v>
      </c>
      <c r="I12" s="2">
        <f xml:space="preserve"> 1.5 + 4.7</f>
        <v>6.2</v>
      </c>
      <c r="J12" s="2">
        <v>0</v>
      </c>
      <c r="K12" s="2">
        <f xml:space="preserve"> 0</f>
        <v>0</v>
      </c>
      <c r="L12" s="2">
        <f xml:space="preserve"> 1.5 + 5.9</f>
        <v>7.4</v>
      </c>
      <c r="M12" s="2">
        <v>0</v>
      </c>
      <c r="N12" s="2">
        <v>0</v>
      </c>
      <c r="O12" s="2">
        <v>0</v>
      </c>
      <c r="P12" s="2">
        <f xml:space="preserve"> 1.4</f>
        <v>1.4</v>
      </c>
      <c r="Q12" s="2">
        <f xml:space="preserve"> 2.6 + 3 + 2</f>
        <v>7.6</v>
      </c>
      <c r="R12">
        <f xml:space="preserve"> 2.1</f>
        <v>2.1</v>
      </c>
      <c r="S12" s="2">
        <v>0</v>
      </c>
      <c r="T12">
        <v>0</v>
      </c>
      <c r="U12" s="2">
        <f xml:space="preserve"> 16</f>
        <v>16</v>
      </c>
      <c r="V12">
        <f xml:space="preserve"> 10.5</f>
        <v>10.5</v>
      </c>
      <c r="W12">
        <f xml:space="preserve"> 2</f>
        <v>2</v>
      </c>
      <c r="X12">
        <f xml:space="preserve"> 2.4 + 3.2</f>
        <v>5.6</v>
      </c>
      <c r="Y12">
        <v>0</v>
      </c>
      <c r="Z12" s="2">
        <f xml:space="preserve"> 0.3</f>
        <v>0.3</v>
      </c>
      <c r="AA12" s="2">
        <v>0</v>
      </c>
      <c r="AB12">
        <f xml:space="preserve"> 8</f>
        <v>8</v>
      </c>
      <c r="AC12">
        <f xml:space="preserve"> 2</f>
        <v>2</v>
      </c>
      <c r="AD12">
        <f xml:space="preserve"> 0.4 + 2</f>
        <v>2.4</v>
      </c>
      <c r="AE12">
        <f xml:space="preserve"> 5.8</f>
        <v>5.8</v>
      </c>
      <c r="AF12" s="2">
        <v>0</v>
      </c>
    </row>
    <row r="13" spans="1:32" x14ac:dyDescent="0.3">
      <c r="A13" s="1">
        <v>40725</v>
      </c>
      <c r="B13">
        <v>0</v>
      </c>
      <c r="C13">
        <v>0</v>
      </c>
      <c r="D13">
        <v>0</v>
      </c>
      <c r="E13" s="2">
        <f xml:space="preserve"> 0</f>
        <v>0</v>
      </c>
      <c r="F13">
        <f xml:space="preserve"> 0</f>
        <v>0</v>
      </c>
      <c r="G13" s="2">
        <v>0</v>
      </c>
      <c r="H13">
        <v>0</v>
      </c>
      <c r="I13" s="2">
        <v>0</v>
      </c>
      <c r="J13" s="2">
        <v>0</v>
      </c>
      <c r="K13" s="2">
        <f xml:space="preserve"> 25</f>
        <v>25</v>
      </c>
      <c r="L13" s="2">
        <v>0</v>
      </c>
      <c r="M13" s="2">
        <v>11.6</v>
      </c>
      <c r="N13" s="2">
        <v>1.2</v>
      </c>
      <c r="O13" s="2">
        <v>0</v>
      </c>
      <c r="P13" s="2">
        <f xml:space="preserve"> 2.2</f>
        <v>2.2000000000000002</v>
      </c>
      <c r="Q13" s="2">
        <f xml:space="preserve"> 2 + 12 + 4.5+ 2.5</f>
        <v>21</v>
      </c>
      <c r="R13">
        <f xml:space="preserve"> 1.3 + 1.4 + 3</f>
        <v>5.7</v>
      </c>
      <c r="S13" s="2">
        <v>0</v>
      </c>
      <c r="T13">
        <f xml:space="preserve"> 8.6</f>
        <v>8.6</v>
      </c>
      <c r="U13" s="2">
        <f xml:space="preserve"> 2 + 2.2 + 0.1</f>
        <v>4.3</v>
      </c>
      <c r="V13">
        <f xml:space="preserve"> 6</f>
        <v>6</v>
      </c>
      <c r="W13">
        <v>0</v>
      </c>
      <c r="X13">
        <v>0</v>
      </c>
      <c r="Y13">
        <v>0</v>
      </c>
      <c r="Z13" s="2">
        <v>0</v>
      </c>
      <c r="AA13" s="2">
        <v>0</v>
      </c>
      <c r="AB13">
        <v>0</v>
      </c>
      <c r="AC13">
        <f xml:space="preserve"> 0.6 + 0.1</f>
        <v>0.7</v>
      </c>
      <c r="AD13">
        <f xml:space="preserve"> 5.3 + 1.1</f>
        <v>6.4</v>
      </c>
      <c r="AE13">
        <f xml:space="preserve"> 0.5 + 5.5 + 31.4</f>
        <v>37.4</v>
      </c>
      <c r="AF13" s="2">
        <f xml:space="preserve"> 7.4 + 0.1</f>
        <v>7.5</v>
      </c>
    </row>
    <row r="14" spans="1:32" x14ac:dyDescent="0.3">
      <c r="A14" s="2" t="s">
        <v>3</v>
      </c>
      <c r="B14">
        <f t="shared" ref="B14:C14" si="0">SUM(B2:B13)</f>
        <v>894.40000000000009</v>
      </c>
      <c r="C14">
        <f t="shared" si="0"/>
        <v>743.9</v>
      </c>
      <c r="D14" s="2">
        <f t="shared" ref="D14:O14" si="1" xml:space="preserve"> SUM(D2:D13)</f>
        <v>168.1</v>
      </c>
      <c r="E14" s="2">
        <f t="shared" si="1"/>
        <v>41</v>
      </c>
      <c r="F14" s="2">
        <f t="shared" si="1"/>
        <v>808</v>
      </c>
      <c r="G14" s="2">
        <f t="shared" si="1"/>
        <v>760.60000000000014</v>
      </c>
      <c r="H14" s="2">
        <f t="shared" si="1"/>
        <v>713.5</v>
      </c>
      <c r="I14" s="2">
        <f t="shared" si="1"/>
        <v>598.1</v>
      </c>
      <c r="J14" s="2">
        <f t="shared" si="1"/>
        <v>712.00000000000011</v>
      </c>
      <c r="K14" s="2">
        <f t="shared" si="1"/>
        <v>700</v>
      </c>
      <c r="L14" s="2">
        <f t="shared" si="1"/>
        <v>605.59999999999991</v>
      </c>
      <c r="M14" s="2">
        <f t="shared" si="1"/>
        <v>663.6</v>
      </c>
      <c r="N14" s="2">
        <f t="shared" si="1"/>
        <v>441.6</v>
      </c>
      <c r="O14" s="2">
        <f t="shared" si="1"/>
        <v>445.29999999999995</v>
      </c>
      <c r="P14" s="2">
        <f t="shared" ref="P14" si="2" xml:space="preserve"> SUM(P2:P13)</f>
        <v>977</v>
      </c>
      <c r="Q14" s="2">
        <f t="shared" ref="Q14" si="3" xml:space="preserve"> SUM(Q2:Q13)</f>
        <v>1852.7000000000003</v>
      </c>
      <c r="R14" s="2">
        <f xml:space="preserve"> SUM(R2:R13)</f>
        <v>1320.97</v>
      </c>
      <c r="S14" s="2">
        <f t="shared" ref="S14:AA14" si="4" xml:space="preserve"> SUM(S2:S13)</f>
        <v>2039.0000000000002</v>
      </c>
      <c r="T14" s="2">
        <f t="shared" si="4"/>
        <v>2001.8</v>
      </c>
      <c r="U14" s="2">
        <f t="shared" si="4"/>
        <v>607.59999999999991</v>
      </c>
      <c r="V14" s="2">
        <f t="shared" si="4"/>
        <v>791.39999999999986</v>
      </c>
      <c r="W14" s="2">
        <f t="shared" si="4"/>
        <v>568.29999999999995</v>
      </c>
      <c r="X14" s="2">
        <f t="shared" si="4"/>
        <v>786.30000000000018</v>
      </c>
      <c r="Y14" s="2">
        <f t="shared" si="4"/>
        <v>328.90000000000003</v>
      </c>
      <c r="Z14" s="2">
        <f t="shared" si="4"/>
        <v>652.09999999999991</v>
      </c>
      <c r="AA14" s="2">
        <f t="shared" si="4"/>
        <v>477.69999999999993</v>
      </c>
      <c r="AB14" s="2">
        <f xml:space="preserve"> SUM(AB2:AB13)</f>
        <v>203</v>
      </c>
      <c r="AC14" s="2">
        <f xml:space="preserve"> SUM(AC2:AC13)</f>
        <v>367.8</v>
      </c>
      <c r="AD14" s="2">
        <f xml:space="preserve"> SUM(AD2:AD13)</f>
        <v>685</v>
      </c>
      <c r="AE14" s="2">
        <f xml:space="preserve"> SUM(AE2:AE13)</f>
        <v>1099.9000000000001</v>
      </c>
      <c r="AF14" s="2">
        <f xml:space="preserve"> SUM(AF2:AF13)</f>
        <v>633.5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13C2-3F6A-4A61-8904-AA8077CD3968}">
  <dimension ref="A1:AF14"/>
  <sheetViews>
    <sheetView workbookViewId="0">
      <selection activeCell="AD7" sqref="AD7"/>
    </sheetView>
  </sheetViews>
  <sheetFormatPr defaultRowHeight="14.4" x14ac:dyDescent="0.3"/>
  <cols>
    <col min="1" max="1" width="15.109375" customWidth="1"/>
    <col min="2" max="2" width="19.109375" customWidth="1"/>
    <col min="4" max="4" width="11.88671875" customWidth="1"/>
    <col min="5" max="5" width="8.88671875" style="2"/>
    <col min="6" max="6" width="11.88671875" customWidth="1"/>
    <col min="7" max="7" width="12.77734375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customWidth="1"/>
    <col min="26" max="26" width="12.77734375" style="2" customWidth="1"/>
    <col min="27" max="27" width="11" style="2" customWidth="1"/>
    <col min="29" max="29" width="9.6640625" customWidth="1"/>
    <col min="30" max="30" width="12.109375" customWidth="1"/>
    <col min="31" max="31" width="11.5546875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40756</v>
      </c>
      <c r="B2">
        <v>0</v>
      </c>
      <c r="C2">
        <v>0</v>
      </c>
      <c r="D2">
        <v>0</v>
      </c>
      <c r="E2" s="2">
        <v>0</v>
      </c>
      <c r="F2">
        <f xml:space="preserve"> 8 + 18</f>
        <v>26</v>
      </c>
      <c r="G2">
        <f xml:space="preserve"> 0.4 + 25</f>
        <v>25.4</v>
      </c>
      <c r="H2" s="2">
        <v>0</v>
      </c>
      <c r="I2" s="2">
        <f xml:space="preserve"> 6.4</f>
        <v>6.4</v>
      </c>
      <c r="J2" s="2">
        <f xml:space="preserve"> 6.2</f>
        <v>6.2</v>
      </c>
      <c r="K2" s="2">
        <f xml:space="preserve"> 7.2</f>
        <v>7.2</v>
      </c>
      <c r="L2" s="2">
        <f xml:space="preserve"> 4.6</f>
        <v>4.5999999999999996</v>
      </c>
      <c r="M2" s="2">
        <v>0</v>
      </c>
      <c r="N2" s="2">
        <f xml:space="preserve"> 8.1</f>
        <v>8.1</v>
      </c>
      <c r="O2" s="2">
        <v>0</v>
      </c>
      <c r="P2" s="2">
        <f xml:space="preserve"> 10.4</f>
        <v>10.4</v>
      </c>
      <c r="Q2" s="2">
        <v>0</v>
      </c>
      <c r="R2">
        <f xml:space="preserve"> 0.8 + 0.6 + 7.5 + 0.4 + 2.1</f>
        <v>11.4</v>
      </c>
      <c r="S2" s="2">
        <f xml:space="preserve"> 1 + 16.4 + 1.8 + 5.2</f>
        <v>24.4</v>
      </c>
      <c r="T2">
        <f xml:space="preserve"> 0.5 + 0.5 + 0.7 + 10.7 + 1.4 + 3.9</f>
        <v>17.7</v>
      </c>
      <c r="U2" s="2">
        <v>0</v>
      </c>
      <c r="V2">
        <v>0</v>
      </c>
      <c r="W2">
        <f xml:space="preserve"> 3.5</f>
        <v>3.5</v>
      </c>
      <c r="X2">
        <f xml:space="preserve"> 16.2</f>
        <v>16.2</v>
      </c>
      <c r="Y2">
        <v>0</v>
      </c>
      <c r="Z2" s="2">
        <v>0</v>
      </c>
      <c r="AA2" s="2">
        <f xml:space="preserve"> 19.5</f>
        <v>19.5</v>
      </c>
      <c r="AB2">
        <v>0</v>
      </c>
      <c r="AC2">
        <v>0</v>
      </c>
      <c r="AD2">
        <f xml:space="preserve"> 0.5 + 1.8</f>
        <v>2.2999999999999998</v>
      </c>
      <c r="AE2">
        <f xml:space="preserve"> 0.5 + 12.5 + 0.5</f>
        <v>13.5</v>
      </c>
      <c r="AF2" s="2">
        <v>0</v>
      </c>
    </row>
    <row r="3" spans="1:32" x14ac:dyDescent="0.3">
      <c r="A3" s="1">
        <v>40787</v>
      </c>
      <c r="B3">
        <v>0</v>
      </c>
      <c r="C3">
        <v>0</v>
      </c>
      <c r="D3">
        <v>0</v>
      </c>
      <c r="E3" s="2">
        <v>0</v>
      </c>
      <c r="F3">
        <f xml:space="preserve"> 0.2</f>
        <v>0.2</v>
      </c>
      <c r="G3">
        <f xml:space="preserve"> 0</f>
        <v>0</v>
      </c>
      <c r="H3" s="2">
        <v>0</v>
      </c>
      <c r="I3" s="2">
        <v>0</v>
      </c>
      <c r="J3" s="2">
        <v>0</v>
      </c>
      <c r="K3" s="2">
        <f xml:space="preserve"> 15</f>
        <v>15</v>
      </c>
      <c r="L3" s="2">
        <f xml:space="preserve"> 0</f>
        <v>0</v>
      </c>
      <c r="M3" s="2">
        <f xml:space="preserve"> 36.4</f>
        <v>36.4</v>
      </c>
      <c r="N3" s="2">
        <v>2.4</v>
      </c>
      <c r="O3" s="2">
        <v>5.7</v>
      </c>
      <c r="P3" s="2">
        <f xml:space="preserve"> 0.8 + 2.4 + 0.6</f>
        <v>3.8000000000000003</v>
      </c>
      <c r="Q3" s="2">
        <f xml:space="preserve"> 10 + 10 + 1.6</f>
        <v>21.6</v>
      </c>
      <c r="R3">
        <f xml:space="preserve"> 3.4</f>
        <v>3.4</v>
      </c>
      <c r="S3" s="2">
        <f xml:space="preserve"> 1.6 + 3.6 + 8.2</f>
        <v>13.399999999999999</v>
      </c>
      <c r="T3">
        <f xml:space="preserve"> 4.7 + 3.6 + 0.3</f>
        <v>8.6000000000000014</v>
      </c>
      <c r="U3" s="2">
        <v>0</v>
      </c>
      <c r="V3">
        <v>0</v>
      </c>
      <c r="W3">
        <v>0</v>
      </c>
      <c r="X3">
        <v>0</v>
      </c>
      <c r="Y3">
        <f xml:space="preserve"> 1</f>
        <v>1</v>
      </c>
      <c r="Z3" s="2">
        <v>0</v>
      </c>
      <c r="AA3" s="2">
        <f xml:space="preserve"> 1.3</f>
        <v>1.3</v>
      </c>
      <c r="AB3">
        <v>0</v>
      </c>
      <c r="AC3">
        <v>0</v>
      </c>
      <c r="AD3">
        <v>0</v>
      </c>
      <c r="AE3">
        <f xml:space="preserve"> 3.7 + 2.4</f>
        <v>6.1</v>
      </c>
      <c r="AF3" s="2">
        <v>0</v>
      </c>
    </row>
    <row r="4" spans="1:32" x14ac:dyDescent="0.3">
      <c r="A4" s="1">
        <v>40817</v>
      </c>
      <c r="B4">
        <v>109.2</v>
      </c>
      <c r="C4">
        <v>45.6</v>
      </c>
      <c r="D4">
        <f xml:space="preserve"> 7</f>
        <v>7</v>
      </c>
      <c r="E4" s="2">
        <f xml:space="preserve"> 9.5</f>
        <v>9.5</v>
      </c>
      <c r="F4">
        <f xml:space="preserve"> 11 + 5 + 2 + 1 + 6 + 7 + 10 + 14 + 8</f>
        <v>64</v>
      </c>
      <c r="G4">
        <f xml:space="preserve"> 15.8 + 16.6 + 21.8+ 12.8 + 12.8 + 2.4 + 1.8</f>
        <v>84</v>
      </c>
      <c r="H4" s="2">
        <v>13.9</v>
      </c>
      <c r="I4" s="2">
        <f xml:space="preserve"> 16.1 + 2.9 + 3.3+ 4.9 + 6.2 + 16.6 + 6.3 + 0.5</f>
        <v>56.800000000000004</v>
      </c>
      <c r="J4" s="2">
        <f xml:space="preserve"> 13.2 + 4.4 + 5.2 + 10.2 + 20.2 + 0.6 + 1.2</f>
        <v>55.000000000000007</v>
      </c>
      <c r="K4" s="2">
        <f xml:space="preserve"> 0.2 + 0.4 + 0.7 + 11 + 20 + 7 + 16 + 1 + 0.2 + 0.2</f>
        <v>56.7</v>
      </c>
      <c r="L4" s="2">
        <f xml:space="preserve"> 2.8 + 3.2 + 7.4 + 1.7 + 6.8 + 30 + 12.4 + 1.4</f>
        <v>65.7</v>
      </c>
      <c r="M4" s="2">
        <f xml:space="preserve"> 5.2 + 7.6 + 6.4 + 14.4 + 3 +  16 + 3 + 12.2 + 4.8</f>
        <v>72.599999999999994</v>
      </c>
      <c r="N4" s="2">
        <f xml:space="preserve"> 1.8 + 9.4 + 2.7 + 1.4 + 2.9 + 5.1 + 7.6 + 2 + 3 + 24.4+ 7.6</f>
        <v>67.900000000000006</v>
      </c>
      <c r="O4" s="2">
        <v>25.8</v>
      </c>
      <c r="P4" s="2">
        <f xml:space="preserve"> 22.2 + 3.2 + 8.6 + 13.6 + 5.2 + 9 + 12.8 + 11.4</f>
        <v>86.000000000000014</v>
      </c>
      <c r="Q4" s="2">
        <f xml:space="preserve"> 16 + 16 + 4+ 2 + 40 + 10 + 1 + 3.5 + 26.5 + 5 + 58</f>
        <v>182</v>
      </c>
      <c r="R4">
        <f xml:space="preserve"> 25.4 + 10.5 + 45.5 + 0.8 + 33.6 + 6.2 + 14.7</f>
        <v>136.70000000000002</v>
      </c>
      <c r="S4" s="2">
        <v>0</v>
      </c>
      <c r="T4">
        <f xml:space="preserve"> 0.3 + 18.8 + 0.9 + 23.6 + 29.8 + 1.3 + 11.5 + 8.6 + 17.1</f>
        <v>111.9</v>
      </c>
      <c r="U4" s="2">
        <f xml:space="preserve"> 15 + 5.8 + 12 + 0.4 + 13.4 + 1 + 4.5</f>
        <v>52.099999999999994</v>
      </c>
      <c r="V4">
        <f xml:space="preserve"> 6 + 3 + 27</f>
        <v>36</v>
      </c>
      <c r="W4">
        <f xml:space="preserve"> 25.5 + 2 + 9.5 + 16 + 19.6 + 0.9 + 1</f>
        <v>74.5</v>
      </c>
      <c r="X4">
        <f xml:space="preserve"> 10.5 + 3 + 17.2 + 11.4 + 2.5 + 5.4 + 22 + 1.6</f>
        <v>73.599999999999994</v>
      </c>
      <c r="Y4">
        <f xml:space="preserve"> 6 + 33 + 25.5 + 53.2 + 2 + 6.1</f>
        <v>125.8</v>
      </c>
      <c r="Z4" s="2">
        <f xml:space="preserve"> 15 + 8 + 2.2 + 11 + 10 + 20</f>
        <v>66.2</v>
      </c>
      <c r="AA4" s="2">
        <f xml:space="preserve"> 1.2 + 2.6 + 3.5 + 8.8 + 11+ 0.8 + 11 + 19.7 + 17.1</f>
        <v>75.700000000000017</v>
      </c>
      <c r="AB4">
        <f xml:space="preserve"> 14.5 + 1 + 11 + 3 + 4</f>
        <v>33.5</v>
      </c>
      <c r="AC4">
        <f xml:space="preserve"> 11.4 + 26.1</f>
        <v>37.5</v>
      </c>
      <c r="AD4">
        <f xml:space="preserve"> 2.9 + 8.8 + 18.2 + 1.6 + 3.1</f>
        <v>34.6</v>
      </c>
      <c r="AE4">
        <f xml:space="preserve"> 13.1 + 0.6 + 2.6 + 7 + 0.4 + 3.2 + 17 + 0.5 + 0.2</f>
        <v>44.6</v>
      </c>
      <c r="AF4" s="2">
        <f xml:space="preserve"> 25.6 + 3.4 + 7.3+ 6.7</f>
        <v>43</v>
      </c>
    </row>
    <row r="5" spans="1:32" x14ac:dyDescent="0.3">
      <c r="A5" s="1">
        <v>40848</v>
      </c>
      <c r="B5">
        <v>121.6</v>
      </c>
      <c r="C5">
        <v>2.7</v>
      </c>
      <c r="D5">
        <f xml:space="preserve"> 38 + 3</f>
        <v>41</v>
      </c>
      <c r="E5" s="2">
        <f xml:space="preserve"> 9 + 39.5 + 11.5 + 38</f>
        <v>98</v>
      </c>
      <c r="F5">
        <f xml:space="preserve"> 13 + 16 + 1 + 6 + 3 + 20 + 6 +4 + 2 + 2 + 2</f>
        <v>75</v>
      </c>
      <c r="G5">
        <f xml:space="preserve"> 5 + 13.6 + 13.8 + 2.8 + 16.8 + 5.6 + 2.2</f>
        <v>59.800000000000004</v>
      </c>
      <c r="H5" s="2">
        <v>47.6</v>
      </c>
      <c r="I5" s="2">
        <f xml:space="preserve"> 7 + 2.7 + 9.3 + 5.5 + 2 + 0.8</f>
        <v>27.3</v>
      </c>
      <c r="J5" s="2">
        <f xml:space="preserve"> 22 + 14.1</f>
        <v>36.1</v>
      </c>
      <c r="K5" s="2">
        <f xml:space="preserve"> 2 + 10 + 28 + 0.2 + 13 + 6 + 1 + 5</f>
        <v>65.2</v>
      </c>
      <c r="L5" s="2">
        <f xml:space="preserve"> 3.6 + 0.7 + 18 + 0.2 + 2.6 + 0.6</f>
        <v>25.700000000000003</v>
      </c>
      <c r="M5" s="2">
        <f xml:space="preserve"> 18 + 10 + 8.4 + 9.2 + 13.4 + 11</f>
        <v>70</v>
      </c>
      <c r="N5" s="2">
        <f xml:space="preserve"> 1.2 + 1.1 + 18.5 + 1.9 + 16.1 + 7.6</f>
        <v>46.4</v>
      </c>
      <c r="O5" s="2">
        <v>52.7</v>
      </c>
      <c r="P5" s="2">
        <f xml:space="preserve"> 13.8 + 15.4 + 13.2 +3.8 + 27.4 + 9.2 + 5.8 +2.6</f>
        <v>91.199999999999989</v>
      </c>
      <c r="Q5" s="2">
        <f xml:space="preserve"> 21+ 12.5 + 4 + 22 + 1 + 5 + 42 + 16 + 98 + 10 + 9 + 1+ 1</f>
        <v>242.5</v>
      </c>
      <c r="R5">
        <f xml:space="preserve"> 23.3 +11.7 + 5.9</f>
        <v>40.9</v>
      </c>
      <c r="S5" s="2">
        <v>0</v>
      </c>
      <c r="T5">
        <f xml:space="preserve"> 31 + 2.3 + 5.2 + 6.7 + 0.5 + 3.2 + 75.6 + 7.2 + 0.5 + 9.4 + 8.5 + 0.5</f>
        <v>150.6</v>
      </c>
      <c r="U5" s="2">
        <f xml:space="preserve"> 33 + 5.9 + 6.2 + 39 + 2.5 + 8</f>
        <v>94.6</v>
      </c>
      <c r="V5">
        <f xml:space="preserve"> 5.2 + 9.2 + 8 + 1.4</f>
        <v>23.799999999999997</v>
      </c>
      <c r="W5">
        <f xml:space="preserve"> 8 + 90.5 + 2 + 0.5 + 6.5 + 37 + 9 + 1</f>
        <v>154.5</v>
      </c>
      <c r="X5">
        <f>16.5+1+6.3+2+19+1+1.3+2.5</f>
        <v>49.599999999999994</v>
      </c>
      <c r="Y5">
        <f xml:space="preserve"> 3.5 + 3.9 + 19.5</f>
        <v>26.9</v>
      </c>
      <c r="Z5" s="2">
        <f xml:space="preserve"> 7.5 + 5 + 3 + 19 +2.5 + 23 + 23</f>
        <v>83</v>
      </c>
      <c r="AA5" s="2">
        <f xml:space="preserve"> 2 + 12.1 + 4.7 + 17.8 + 4.4</f>
        <v>41</v>
      </c>
      <c r="AB5">
        <f xml:space="preserve"> 8 + 19 + 8 + 68 + 4 + 9 + 100</f>
        <v>216</v>
      </c>
      <c r="AC5">
        <f xml:space="preserve"> 20 + 14.2 + 89.1 + 18.4 + 28.1</f>
        <v>169.79999999999998</v>
      </c>
      <c r="AD5">
        <f xml:space="preserve"> 3.5 + 22 + 80 + 4.2 + 14</f>
        <v>123.7</v>
      </c>
      <c r="AE5">
        <f xml:space="preserve"> 16.1  + 1.1 + 2.4 + 1.6 + 12.2 + 3.8 + 0.3 + 9.3 + 3.7</f>
        <v>50.5</v>
      </c>
      <c r="AF5" s="2">
        <f xml:space="preserve"> 8 + 12.3 + 30 + 20 + 14</f>
        <v>84.3</v>
      </c>
    </row>
    <row r="6" spans="1:32" x14ac:dyDescent="0.3">
      <c r="A6" s="1">
        <v>40878</v>
      </c>
      <c r="B6">
        <v>120.8</v>
      </c>
      <c r="C6">
        <v>108</v>
      </c>
      <c r="D6">
        <f xml:space="preserve"> 8 + 3 + 5 + 22 + 4 + 20 + 0.5 + 5.5 + 8</f>
        <v>76</v>
      </c>
      <c r="E6" s="2">
        <f xml:space="preserve"> 1.5 + 10 + 5.4 + 26.5 + 9.1 + 6.5 + 7.5 + 12.6 + 21</f>
        <v>100.1</v>
      </c>
      <c r="F6">
        <f xml:space="preserve"> 0.2 + 0.3 + 0.5 + 0.4 + 0.2 + 14 + 0.3 + 15 + 0.5 + 10 + 0.3 + 13 + 24</f>
        <v>78.699999999999989</v>
      </c>
      <c r="G6">
        <f xml:space="preserve"> 3 + 3.4 + 13.2 + 37.2 + 13.2 + 23.6 + 25.8</f>
        <v>119.39999999999999</v>
      </c>
      <c r="H6" s="2">
        <v>107.2</v>
      </c>
      <c r="I6" s="2">
        <f xml:space="preserve"> 1.5 + 2.3 + 0.7 + 4.6 + 4.6 + 14.5 + 6.5 + 4.6 + 24.7 + 4.3 + 18.8 + 4.6 + 6.7</f>
        <v>98.399999999999991</v>
      </c>
      <c r="J6" s="2">
        <f xml:space="preserve"> 13.2 + 16 + 7.2 + 1.2 + 36.4 + 4 + 84.2 + 3.2 + 4.8 + 3.2 + 2.4</f>
        <v>175.79999999999998</v>
      </c>
      <c r="K6" s="2">
        <f xml:space="preserve"> 0.5 + 24 + 0.5 + 5 + 13 + 19 + 7 + 17 + 69 + 7.5 + 9.5 + 1 + 10.5 + 4 + 11</f>
        <v>198.5</v>
      </c>
      <c r="L6" s="2">
        <f xml:space="preserve"> 0.4 + 14 + 4.9 + 0.9 + 0.4 + 87.1 + 11.6 + 0.9 + 6.4 +0.5 + 10.4</f>
        <v>137.5</v>
      </c>
      <c r="M6" s="2">
        <v>187</v>
      </c>
      <c r="N6" s="2">
        <f xml:space="preserve"> 2.1 + 39.2 + 24 + 7.8 + 42 + 15 + 18.4 + 18 + 6.2</f>
        <v>172.70000000000002</v>
      </c>
      <c r="O6" s="2">
        <v>118.3</v>
      </c>
      <c r="P6" s="2">
        <f xml:space="preserve"> 13.6 + 7.8 + 0.8 + 6.4 + 1.8 + 3.2 + 4.2 + 2.2+ 14.4 + 22 + 27 + 4.6 + 10.2 + 3.4 + 20.6</f>
        <v>142.20000000000002</v>
      </c>
      <c r="Q6" s="2">
        <f xml:space="preserve"> 1 +12+ 4 + 1 + 2 + 4.2 + 5 + 5.2 + 0.4 + 4 + 22 + 12.5 + 4.2 + 11 + 14 + 31 + 36 + 1.1 + 5 + 12 + 13</f>
        <v>200.6</v>
      </c>
      <c r="R6">
        <f xml:space="preserve"> 2 + 2.6 + 4.1 + 2.1 + 10 + 17 + 1.1 + 25 + 6.5 +1 + 14 +2.5 + 1</f>
        <v>88.9</v>
      </c>
      <c r="S6" s="2">
        <f xml:space="preserve"> 31.8 + 4.2 + 4.6 + 8.6 + 7.2+ 2.2 + 5.8 + 13.8 + 64.7 + 4.3 + 10.8 + 9.2 + 4.2 + 22.4 + 1.2 + 6.7 + 4.8</f>
        <v>206.5</v>
      </c>
      <c r="T6">
        <f xml:space="preserve"> 0.3 + 17.3 + 5.9 + 2.8 + 1 + 6.1 + 2.4 + 1.9 + 8 + 54.3 + 2.9 + 3.6 + 13.7 + 18.2 + 37.6 +1.9 + 17.3 + 9.5 + 0.8 + 5.8</f>
        <v>211.30000000000004</v>
      </c>
      <c r="U6" s="2">
        <f xml:space="preserve"> 1.2 + 12 + 2.4 + 0.5 + 7.5 + 4.2 + 6.1 + 7.9 + 10.1 + 0.8 + 57</f>
        <v>109.69999999999999</v>
      </c>
      <c r="V6">
        <f xml:space="preserve"> 9 + 10 + 7 + 18.1 + 1 + 4 + 1 + 6 + 19 + 22</f>
        <v>97.1</v>
      </c>
      <c r="W6">
        <f xml:space="preserve"> 1.5 + 12 + 9 + 2 + 1.9 + 19 + 28.5 + 272.4 + 59 + 85 + 29.8 + 14 + 26</f>
        <v>560.09999999999991</v>
      </c>
      <c r="X6">
        <f xml:space="preserve"> 38 + 22 + 6.5 + 1 + 3.2 + 15.3 + 9.2 + 14.5 + 7 + 48 + 17.6 + 4 + 10</f>
        <v>196.29999999999998</v>
      </c>
      <c r="Y6">
        <f xml:space="preserve"> 17.2 + 63.4 + 5.5 + 43.4 + 16 + 3 + 8.4 + 8.5</f>
        <v>165.4</v>
      </c>
      <c r="Z6" s="2">
        <f xml:space="preserve"> 1.3 + 38 + 5 + 20 + 36 + 30 + 15 + 5.5 + 25.6 + 8 + 11</f>
        <v>195.4</v>
      </c>
      <c r="AA6" s="2">
        <f xml:space="preserve"> 19 + 13 + 2 + 1.9 + 15.5 + 4.4 + 8.8 + 24.7 + 9.4 + 0.6</f>
        <v>99.3</v>
      </c>
      <c r="AB6">
        <f xml:space="preserve"> 3 + 2 + 16 + 8 + 50 + 2 + 56</f>
        <v>137</v>
      </c>
      <c r="AC6">
        <f xml:space="preserve"> 2.3 + 2.2 + 3 + 1 + 15.3</f>
        <v>23.8</v>
      </c>
      <c r="AD6">
        <f xml:space="preserve"> 0.6 + 2.5 + 13.9 + 25.4 + 7 + 10 + 12 + 16.2 + 16</f>
        <v>103.60000000000001</v>
      </c>
      <c r="AE6">
        <f xml:space="preserve"> 2.5 + 21 + 4 + 2 + 4 + 0.5 + 19 + 4.4 + 2.1 + 0.8 + 2.5 + 4.8 + 0.2 + 3.2 + 0.3 + 0.4</f>
        <v>71.7</v>
      </c>
      <c r="AF6" s="2">
        <f xml:space="preserve"> 6.5 + 2.7 + 0.4 + 0.8 + 0.5 + 1.9 + 2 + 4.9 + 3.4 + 56 + 32 + 1.4</f>
        <v>112.5</v>
      </c>
    </row>
    <row r="7" spans="1:32" x14ac:dyDescent="0.3">
      <c r="A7" s="1">
        <v>40909</v>
      </c>
      <c r="B7">
        <v>65.099999999999994</v>
      </c>
      <c r="C7">
        <v>5.5</v>
      </c>
      <c r="D7">
        <f xml:space="preserve"> 8 + 3 + 9 + 65 + 20</f>
        <v>105</v>
      </c>
      <c r="E7" s="2">
        <f xml:space="preserve"> 5.5 + 35.7 + 9.5 + 5.5</f>
        <v>56.2</v>
      </c>
      <c r="F7">
        <f xml:space="preserve"> 4 + 2 + 12 + 2 + 3 + 17 + 7 + 3 + 3 + 5 + 3 + 32 + 1 + 1 + 11</f>
        <v>106</v>
      </c>
      <c r="G7">
        <f xml:space="preserve"> 9.2 + 4 + 13.6 + 1.8 + 15.4 + 1.4 + 5.4 + 35.2 + 5.2 + 1</f>
        <v>92.2</v>
      </c>
      <c r="H7" s="2">
        <v>137</v>
      </c>
      <c r="I7" s="2">
        <f xml:space="preserve"> 2.5 + 12.7 + 36.1 + 4.6 + 19.8 + 0.6 + 0.6 + 10.8 + 11 + 4.3 + 2.9</f>
        <v>105.89999999999999</v>
      </c>
      <c r="J7" s="2">
        <f xml:space="preserve"> 12 + 34 + 1.5 + 1.8 + 2.6 + 9.6 + 0.6 + 9.2 + 36 + 4.8 + 3.2</f>
        <v>115.3</v>
      </c>
      <c r="K7" s="2">
        <f xml:space="preserve"> 4 + 60 + 2 + 8.5 + 42.5 + 54.5 + 1.5 + 5.5 + 3</f>
        <v>181.5</v>
      </c>
      <c r="L7" s="2">
        <f xml:space="preserve"> 2.5 + 1.2 + 8.6 + 16 + 20.6 + 0.6 + 8.8 + 6.4 + 15.1 + 16</f>
        <v>95.800000000000011</v>
      </c>
      <c r="M7" s="2">
        <f xml:space="preserve"> 26.4 + 60 + 1.2 + 8 + 23.2 + 102.8 + 69.4 + 6 + 1 + 35.2 + 1.4</f>
        <v>334.59999999999997</v>
      </c>
      <c r="N7" s="2">
        <f xml:space="preserve"> 9.1 + 71.3 + 8.1</f>
        <v>88.499999999999986</v>
      </c>
      <c r="O7" s="2">
        <v>78.3</v>
      </c>
      <c r="P7" s="2">
        <f xml:space="preserve"> 17.2 + 2.2 + 3.8 + 62.8 + 42.8 + 16.8 + 2 + 6 + 2 + 2.4</f>
        <v>158.00000000000003</v>
      </c>
      <c r="Q7" s="2">
        <f xml:space="preserve"> 18 + 40 + 2.2 + 70 + 145 + 2.5 + 1.4 + 9 + 1.1 + 0.5 + 17 + 7 + 0.6 + 2 + 1.5</f>
        <v>317.8</v>
      </c>
      <c r="R7">
        <f xml:space="preserve"> 4.5 + 13 + 65.3 + 79.2 + 10.1 + 0.3</f>
        <v>172.4</v>
      </c>
      <c r="S7" s="2">
        <f xml:space="preserve"> 2.3 + 4.2 + 11.4 + 1.2 + 1 + 111.2 + 4.4 + 1.7 + 1.7 + 20.8 + 7.8 + 1.1</f>
        <v>168.8</v>
      </c>
      <c r="T7">
        <f xml:space="preserve"> 12.6 + 25.7 + 56.4 + 94.3 + 1.4 + 0.5 + 23.5 + 7.4 + 3.4 + 2.5 + 0.5</f>
        <v>228.20000000000002</v>
      </c>
      <c r="U7" s="2">
        <f xml:space="preserve"> 2.9 + 12.5 + 67 + 45 + 2.1 + 19</f>
        <v>148.5</v>
      </c>
      <c r="V7">
        <f xml:space="preserve"> 9 + 12 + 3 + 9.3 + 1.2 + 2 + 9 + 100 + 50 + 1.6 + 40</f>
        <v>237.1</v>
      </c>
      <c r="W7">
        <f xml:space="preserve"> 4.9 + 8.8 + 47 + 0.5 + 24.7 + 4.5 + 21 + 0.5 + 67 + 3.5</f>
        <v>182.4</v>
      </c>
      <c r="X7">
        <f xml:space="preserve"> 1 + 8.6 + 3.2 + 7 + 6 + 14 + 21.5 + 14 + 3.6</f>
        <v>78.899999999999991</v>
      </c>
      <c r="Y7">
        <f xml:space="preserve"> 15 + 34 + 2 + 40 + 47 + 1</f>
        <v>139</v>
      </c>
      <c r="Z7" s="2">
        <f xml:space="preserve"> 23 + 1 + 5 + 6 + 5 + 4.5 + 1 + 5 + 3.5 + 7 + 14</f>
        <v>75</v>
      </c>
      <c r="AA7" s="2">
        <f xml:space="preserve"> 14.6 + 16 + 4 + 0.4 + 5.9 + 10.2+ 5.5 + 5.1 + 6</f>
        <v>67.699999999999989</v>
      </c>
      <c r="AB7">
        <f xml:space="preserve"> 8 + 7 + 12 + 10</f>
        <v>37</v>
      </c>
      <c r="AC7">
        <f xml:space="preserve"> 2.3 + 17 + 29</f>
        <v>48.3</v>
      </c>
      <c r="AD7">
        <f xml:space="preserve"> 4.2 + 32.8 + 88.2 + 1 + 22</f>
        <v>148.19999999999999</v>
      </c>
      <c r="AE7">
        <f xml:space="preserve"> 1.4 + 34 + 62.5 + 11.7 + 1.6 + 0.3 + 27.5</f>
        <v>139</v>
      </c>
      <c r="AF7" s="2">
        <f xml:space="preserve"> 25.2 + 19.2 + 0.2 + 27.7</f>
        <v>72.3</v>
      </c>
    </row>
    <row r="8" spans="1:32" x14ac:dyDescent="0.3">
      <c r="A8" s="1">
        <v>40940</v>
      </c>
      <c r="B8">
        <v>50.4</v>
      </c>
      <c r="C8">
        <v>42.9</v>
      </c>
      <c r="D8">
        <f xml:space="preserve"> 4</f>
        <v>4</v>
      </c>
      <c r="E8" s="2">
        <f xml:space="preserve"> 0</f>
        <v>0</v>
      </c>
      <c r="F8">
        <f xml:space="preserve"> 3 + 2 + 30 + 13 + 7 + 14</f>
        <v>69</v>
      </c>
      <c r="G8" s="2">
        <f xml:space="preserve"> 2.4 + 3.2 + 0.4 + 78.6</f>
        <v>84.6</v>
      </c>
      <c r="H8" s="2">
        <v>44</v>
      </c>
      <c r="I8" s="2">
        <v>28.8</v>
      </c>
      <c r="J8" s="2">
        <v>41.1</v>
      </c>
      <c r="K8" s="2">
        <f xml:space="preserve"> 2 + 14 + 16 + 0.3 + 2.5 + 5</f>
        <v>39.799999999999997</v>
      </c>
      <c r="L8" s="2">
        <f xml:space="preserve"> 13.1 + 0.3 + 6.8 + 11.6 + 7 + 0.8 + 2.6 + 0.6 + 21</f>
        <v>63.8</v>
      </c>
      <c r="M8" s="2">
        <f xml:space="preserve"> 3 + 1.6 + 1.6 + 39 + 26 + 49.2</f>
        <v>120.4</v>
      </c>
      <c r="N8" s="2" t="s">
        <v>4</v>
      </c>
      <c r="O8" s="2">
        <f xml:space="preserve"> 11.4 + 24</f>
        <v>35.4</v>
      </c>
      <c r="P8" s="2">
        <f xml:space="preserve"> 1.1 + 3 + 13.8 + 1.8 + 5.2 + 0.4 + 18 + 13.6 + 4</f>
        <v>60.9</v>
      </c>
      <c r="Q8" s="2">
        <f xml:space="preserve"> 6 + 18 + 4 + 2 + 2.5 + 15 + 18 + 9 + 0.5 + 1 + 2 + 8 + 0.5 + 1 + 0.8</f>
        <v>88.3</v>
      </c>
      <c r="R8">
        <f xml:space="preserve"> 15 + 7.6 + 1.3</f>
        <v>23.900000000000002</v>
      </c>
      <c r="S8" s="2">
        <f xml:space="preserve"> 1.6 + 2.6 + 14 + 3.2 + 14.4 + 15.5 + 25 + 1.8 + 67.4 + 2.5 + 4.9 + 5.4 + 1</f>
        <v>159.30000000000001</v>
      </c>
      <c r="T8">
        <f xml:space="preserve"> 39.5 + 0.6 + 0.6 + 0.6 + 6.3 + 17.3 + 6.4 + 8+ 3.3 + 0.5</f>
        <v>83.100000000000009</v>
      </c>
      <c r="U8" s="2">
        <f>35+4.4+77+3.4+1</f>
        <v>120.80000000000001</v>
      </c>
      <c r="V8">
        <f xml:space="preserve"> 7 + 17</f>
        <v>24</v>
      </c>
      <c r="W8">
        <f xml:space="preserve"> 9.5 + 5 + 1</f>
        <v>15.5</v>
      </c>
      <c r="X8">
        <f xml:space="preserve"> 2.5 + 26.4 + 5</f>
        <v>33.9</v>
      </c>
      <c r="Y8">
        <f xml:space="preserve"> 5.2</f>
        <v>5.2</v>
      </c>
      <c r="Z8" s="2">
        <f xml:space="preserve"> 9.5 + 0.1 + 4 + 5 + 20 + 3</f>
        <v>41.6</v>
      </c>
      <c r="AA8" s="2">
        <f xml:space="preserve"> 16.6 + 5.8</f>
        <v>22.400000000000002</v>
      </c>
      <c r="AB8">
        <f xml:space="preserve"> 2 + 20 + 32</f>
        <v>54</v>
      </c>
      <c r="AC8">
        <f xml:space="preserve"> 3 + 41 + 48 + 1.2</f>
        <v>93.2</v>
      </c>
      <c r="AD8">
        <f xml:space="preserve"> 9.2 + 2 + 46 + 12.8  + 4.4 + 6.8</f>
        <v>81.2</v>
      </c>
      <c r="AE8">
        <f xml:space="preserve"> 6.4 + 0.5 + 2.5 + 15.5 + 29.6 + 4.2 + 2.1 + 1.3+ 0.8</f>
        <v>62.9</v>
      </c>
      <c r="AF8" s="2">
        <f xml:space="preserve"> 2.1 + 0.5 + 14.5 + 3.4 + 4.6 + 8</f>
        <v>33.1</v>
      </c>
    </row>
    <row r="9" spans="1:32" x14ac:dyDescent="0.3">
      <c r="A9" s="1">
        <v>40969</v>
      </c>
      <c r="B9">
        <v>65.3</v>
      </c>
      <c r="C9">
        <v>66</v>
      </c>
      <c r="D9">
        <f xml:space="preserve"> 16 + 27 + 38</f>
        <v>81</v>
      </c>
      <c r="E9" s="2">
        <f xml:space="preserve"> 44.6 + 16.8 + 32.3 + 1.9 + 27.7</f>
        <v>123.30000000000001</v>
      </c>
      <c r="F9">
        <f xml:space="preserve"> 16 + 10 + 5 + 1 + 1 + 10 + 8 + 12 + 20</f>
        <v>83</v>
      </c>
      <c r="G9">
        <f xml:space="preserve"> 11.8 + 3.6 + 1.8 + 20 + 28</f>
        <v>65.2</v>
      </c>
      <c r="H9" s="2">
        <f xml:space="preserve"> 8 + 5 + 2  + 4 + 7 + 7.5 + 27</f>
        <v>60.5</v>
      </c>
      <c r="I9" s="2">
        <v>60.4</v>
      </c>
      <c r="J9" s="2">
        <f xml:space="preserve"> 2 + 4.6 + 5.6 + 2.4 + 8.4 + 42.8</f>
        <v>65.8</v>
      </c>
      <c r="K9" s="2">
        <v>75.599999999999994</v>
      </c>
      <c r="L9" s="2">
        <f xml:space="preserve"> 0.1 + 0.6 + 47.3</f>
        <v>48</v>
      </c>
      <c r="M9" s="2">
        <f xml:space="preserve"> 10.2 + 14.8 + 2.2 + 8.2 + 36.1</f>
        <v>71.5</v>
      </c>
      <c r="N9" s="2" t="s">
        <v>4</v>
      </c>
      <c r="O9" s="2">
        <f xml:space="preserve"> 9.4</f>
        <v>9.4</v>
      </c>
      <c r="P9" s="2">
        <f xml:space="preserve"> 4.6 + 22.4 + 2.6 + 17.8 + 3.8 + 5.2 + 30.2</f>
        <v>86.600000000000009</v>
      </c>
      <c r="Q9" s="2">
        <f xml:space="preserve"> 5 + 3 + 1.8 + 29 + 2 + 1.2+ 3 + 8.5 + 48</f>
        <v>101.5</v>
      </c>
      <c r="R9">
        <f xml:space="preserve"> 9 + 44.2 + 62.7</f>
        <v>115.9</v>
      </c>
      <c r="S9" s="2">
        <f xml:space="preserve"> 1.2 + 20.4 + 39.5 + 1 + 11.2+ 69.4</f>
        <v>142.69999999999999</v>
      </c>
      <c r="T9">
        <f xml:space="preserve"> 3.7 + 0.5 + 1.4 + 23.2 + 0.5 + 38.5 + 64.2</f>
        <v>132</v>
      </c>
      <c r="U9" s="2">
        <f xml:space="preserve"> 0.5 + 8.5 + 13 +  0.8 +8.5 + 13</f>
        <v>44.3</v>
      </c>
      <c r="V9">
        <f>3 + 24 + 32 + 2 + 30 + 10</f>
        <v>101</v>
      </c>
      <c r="W9">
        <f xml:space="preserve"> 6 + 2 + 1 + 6.5 + 7.5 + 35.5 + 34.5</f>
        <v>93</v>
      </c>
      <c r="X9">
        <f xml:space="preserve"> 8+ 6.3 + 1.6 + 5.3 + 4</f>
        <v>25.2</v>
      </c>
      <c r="Y9">
        <f xml:space="preserve"> 6.7 + 3.7 + 33.2</f>
        <v>43.6</v>
      </c>
      <c r="Z9" s="2">
        <f xml:space="preserve"> 27 + 3.4 + 12 + 15 + 24 + 30 + 32</f>
        <v>143.4</v>
      </c>
      <c r="AA9" s="2">
        <f xml:space="preserve"> 4 + 0.1 + 2 + 21.5 + 18.2 + 0.2 + 0.1+ 0.2 + 18.5 + 7.2</f>
        <v>72.000000000000014</v>
      </c>
      <c r="AB9">
        <v>0</v>
      </c>
      <c r="AC9">
        <f xml:space="preserve"> 1.1 + 0.2 + 1</f>
        <v>2.2999999999999998</v>
      </c>
      <c r="AD9">
        <f xml:space="preserve"> 2.8+ 6.9 + 1.9</f>
        <v>11.6</v>
      </c>
      <c r="AE9">
        <f xml:space="preserve"> 0.8 + 4.4 + 1.8 + 0.7 + 0.2 + 7.1 + 2.3 + 6</f>
        <v>23.3</v>
      </c>
      <c r="AF9" s="2">
        <f xml:space="preserve"> 3.2</f>
        <v>3.2</v>
      </c>
    </row>
    <row r="10" spans="1:32" x14ac:dyDescent="0.3">
      <c r="A10" s="1">
        <v>41000</v>
      </c>
      <c r="B10">
        <v>10.5</v>
      </c>
      <c r="C10">
        <v>9</v>
      </c>
      <c r="D10">
        <v>0</v>
      </c>
      <c r="E10" s="2">
        <f xml:space="preserve"> 3.6</f>
        <v>3.6</v>
      </c>
      <c r="F10">
        <f>5 + 10</f>
        <v>15</v>
      </c>
      <c r="G10">
        <f xml:space="preserve"> 2.6 + 11.6</f>
        <v>14.2</v>
      </c>
      <c r="H10" s="2">
        <f>8 + 4 + 10</f>
        <v>22</v>
      </c>
      <c r="I10" s="2">
        <f xml:space="preserve"> 3.2 + 3.2 + 1.2 + 1.2</f>
        <v>8.8000000000000007</v>
      </c>
      <c r="J10" s="2">
        <f xml:space="preserve"> 16.8</f>
        <v>16.8</v>
      </c>
      <c r="K10" s="2">
        <f xml:space="preserve"> 5 + 16 + 0.3 + 25.5</f>
        <v>46.8</v>
      </c>
      <c r="L10" s="2">
        <f xml:space="preserve">  0</f>
        <v>0</v>
      </c>
      <c r="M10" s="2">
        <f xml:space="preserve"> 3 + 17 + 19</f>
        <v>39</v>
      </c>
      <c r="N10" s="2">
        <v>0</v>
      </c>
      <c r="O10" s="2">
        <f xml:space="preserve"> 22.4 + 16.4</f>
        <v>38.799999999999997</v>
      </c>
      <c r="P10" s="2">
        <f xml:space="preserve"> 3.4 + 1.6 + 4.2 + 1.6 + 3.2</f>
        <v>14</v>
      </c>
      <c r="Q10" s="2">
        <f xml:space="preserve"> 0.2 + 0.2 + 3.5 + 4.5 + 20.2 + 2.5</f>
        <v>31.1</v>
      </c>
      <c r="R10">
        <f xml:space="preserve"> 3.1 + 14.5 + 0.5</f>
        <v>18.100000000000001</v>
      </c>
      <c r="S10" s="2">
        <f>1.8+6.2+7.2+16.4+1.3</f>
        <v>32.9</v>
      </c>
      <c r="T10">
        <f xml:space="preserve"> 2.3 + 1.9 + 5.3 + 21.1 + 2.3</f>
        <v>32.9</v>
      </c>
      <c r="U10" s="2">
        <f xml:space="preserve"> 0.4 + 0.6 + 5.6 + 1</f>
        <v>7.6</v>
      </c>
      <c r="V10">
        <f xml:space="preserve"> 2.6 + 1.6</f>
        <v>4.2</v>
      </c>
      <c r="W10">
        <v>0</v>
      </c>
      <c r="X10">
        <v>0</v>
      </c>
      <c r="Y10">
        <f xml:space="preserve"> 1.9</f>
        <v>1.9</v>
      </c>
      <c r="Z10" s="2">
        <f xml:space="preserve"> 2 + 8</f>
        <v>10</v>
      </c>
      <c r="AA10" s="2">
        <v>0</v>
      </c>
      <c r="AB10">
        <v>0</v>
      </c>
      <c r="AC10">
        <v>0</v>
      </c>
      <c r="AD10">
        <f xml:space="preserve"> 0.4</f>
        <v>0.4</v>
      </c>
      <c r="AE10">
        <f xml:space="preserve"> 0.2 + 0.2 + 0.6 + 13 + 1</f>
        <v>15</v>
      </c>
      <c r="AF10" s="2">
        <v>0</v>
      </c>
    </row>
    <row r="11" spans="1:32" x14ac:dyDescent="0.3">
      <c r="A11" s="1">
        <v>41030</v>
      </c>
      <c r="B11">
        <v>0</v>
      </c>
      <c r="C11">
        <v>0</v>
      </c>
      <c r="D11">
        <v>0</v>
      </c>
      <c r="E11" s="2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 xml:space="preserve"> 8 + 6 + 2.3</f>
        <v>16.3</v>
      </c>
      <c r="O11" s="2">
        <v>0</v>
      </c>
      <c r="P11" s="2">
        <v>0</v>
      </c>
      <c r="Q11" s="2">
        <v>0</v>
      </c>
      <c r="R11">
        <f xml:space="preserve"> 1</f>
        <v>1</v>
      </c>
      <c r="S11" s="2">
        <f xml:space="preserve"> 2.4</f>
        <v>2.4</v>
      </c>
      <c r="T11">
        <f xml:space="preserve"> 0.5 + 0.5</f>
        <v>1</v>
      </c>
      <c r="U11" s="2">
        <v>0</v>
      </c>
      <c r="V11">
        <v>0</v>
      </c>
      <c r="W11">
        <f xml:space="preserve"> 0.6</f>
        <v>0.6</v>
      </c>
      <c r="X11">
        <v>0</v>
      </c>
      <c r="Y11">
        <v>0</v>
      </c>
      <c r="Z11" s="2">
        <v>0</v>
      </c>
      <c r="AA11" s="2">
        <v>0</v>
      </c>
      <c r="AB11">
        <v>0</v>
      </c>
      <c r="AC11">
        <v>0</v>
      </c>
      <c r="AD11">
        <v>0</v>
      </c>
      <c r="AE11">
        <v>0</v>
      </c>
      <c r="AF11" s="2">
        <v>0</v>
      </c>
    </row>
    <row r="12" spans="1:32" x14ac:dyDescent="0.3">
      <c r="A12" s="1">
        <v>41061</v>
      </c>
      <c r="B12">
        <v>0</v>
      </c>
      <c r="C12">
        <v>0</v>
      </c>
      <c r="D12">
        <v>0</v>
      </c>
      <c r="E12" s="2">
        <v>0</v>
      </c>
      <c r="F12">
        <v>0</v>
      </c>
      <c r="G1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2.6</v>
      </c>
      <c r="Q12" s="2">
        <v>1</v>
      </c>
      <c r="R12" s="2">
        <v>0</v>
      </c>
      <c r="S12" s="2">
        <f xml:space="preserve"> 2.4</f>
        <v>2.4</v>
      </c>
      <c r="T12">
        <f xml:space="preserve"> 1</f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3">
      <c r="A13" s="1">
        <v>41091</v>
      </c>
      <c r="B13">
        <v>0</v>
      </c>
      <c r="C13">
        <v>0</v>
      </c>
      <c r="D13">
        <v>0</v>
      </c>
      <c r="E13" s="2">
        <v>0</v>
      </c>
      <c r="F13">
        <v>0</v>
      </c>
      <c r="G13" s="2">
        <f>0</f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f xml:space="preserve"> 1.2 + 6.2 + 1.8</f>
        <v>9.2000000000000011</v>
      </c>
      <c r="Q13" s="2">
        <v>0</v>
      </c>
      <c r="R13" s="2">
        <v>0</v>
      </c>
      <c r="S13" s="2">
        <f xml:space="preserve"> 1.2</f>
        <v>1.2</v>
      </c>
      <c r="T13">
        <f xml:space="preserve"> 0.5</f>
        <v>0.5</v>
      </c>
      <c r="U13" s="2">
        <v>1.5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>
        <f>0.7</f>
        <v>0.7</v>
      </c>
      <c r="AF13" s="2">
        <v>0</v>
      </c>
    </row>
    <row r="14" spans="1:32" x14ac:dyDescent="0.3">
      <c r="A14" s="2" t="s">
        <v>3</v>
      </c>
      <c r="B14">
        <f t="shared" ref="B14:C14" si="0">SUM(B2:B13)</f>
        <v>542.9</v>
      </c>
      <c r="C14">
        <f t="shared" si="0"/>
        <v>279.70000000000005</v>
      </c>
      <c r="D14" s="2">
        <f>SUM(D2:D13)</f>
        <v>314</v>
      </c>
      <c r="E14" s="2">
        <f t="shared" ref="E14:N14" si="1" xml:space="preserve"> SUM(E2:E13)</f>
        <v>390.70000000000005</v>
      </c>
      <c r="F14" s="2">
        <f t="shared" si="1"/>
        <v>516.9</v>
      </c>
      <c r="G14" s="2">
        <f t="shared" si="1"/>
        <v>544.80000000000007</v>
      </c>
      <c r="H14" s="2">
        <f t="shared" si="1"/>
        <v>432.2</v>
      </c>
      <c r="I14" s="2">
        <f t="shared" si="1"/>
        <v>392.79999999999995</v>
      </c>
      <c r="J14" s="2">
        <f t="shared" si="1"/>
        <v>512.1</v>
      </c>
      <c r="K14" s="2">
        <f t="shared" si="1"/>
        <v>686.3</v>
      </c>
      <c r="L14" s="2">
        <f t="shared" si="1"/>
        <v>441.1</v>
      </c>
      <c r="M14" s="2">
        <f t="shared" si="1"/>
        <v>931.49999999999989</v>
      </c>
      <c r="N14" s="2">
        <f t="shared" si="1"/>
        <v>402.3</v>
      </c>
      <c r="O14" s="2">
        <f t="shared" ref="O14" si="2" xml:space="preserve"> SUM(O2:O13)</f>
        <v>364.4</v>
      </c>
      <c r="P14" s="2">
        <f t="shared" ref="P14" si="3" xml:space="preserve"> SUM(P2:P13)</f>
        <v>664.90000000000009</v>
      </c>
      <c r="Q14" s="2">
        <f t="shared" ref="Q14" si="4" xml:space="preserve"> SUM(Q2:Q13)</f>
        <v>1186.3999999999999</v>
      </c>
      <c r="R14" s="2">
        <f xml:space="preserve"> SUM(R2:R13)</f>
        <v>612.6</v>
      </c>
      <c r="S14" s="2">
        <f t="shared" ref="S14:U14" si="5" xml:space="preserve"> SUM(S2:S13)</f>
        <v>754.00000000000011</v>
      </c>
      <c r="T14" s="2">
        <f t="shared" si="5"/>
        <v>978.80000000000007</v>
      </c>
      <c r="U14" s="2">
        <f t="shared" si="5"/>
        <v>579.1</v>
      </c>
      <c r="V14" s="2">
        <f xml:space="preserve"> SUM(V2:V13)</f>
        <v>523.20000000000005</v>
      </c>
      <c r="W14" s="2">
        <f t="shared" ref="W14:AA14" si="6" xml:space="preserve"> SUM(W2:W13)</f>
        <v>1084.0999999999999</v>
      </c>
      <c r="X14" s="2">
        <f t="shared" si="6"/>
        <v>473.69999999999987</v>
      </c>
      <c r="Y14" s="2">
        <f t="shared" si="6"/>
        <v>508.8</v>
      </c>
      <c r="Z14" s="2">
        <f t="shared" si="6"/>
        <v>614.6</v>
      </c>
      <c r="AA14" s="2">
        <f t="shared" si="6"/>
        <v>398.9</v>
      </c>
      <c r="AB14" s="2">
        <f xml:space="preserve"> SUM(AB2:AB13)</f>
        <v>477.5</v>
      </c>
      <c r="AC14" s="2">
        <f xml:space="preserve"> SUM(AC2:AC13)</f>
        <v>374.9</v>
      </c>
      <c r="AD14" s="2">
        <f xml:space="preserve"> SUM(AD2:AD13)</f>
        <v>505.59999999999997</v>
      </c>
      <c r="AE14" s="2">
        <f xml:space="preserve"> SUM(AE2:AE13)</f>
        <v>427.29999999999995</v>
      </c>
      <c r="AF14" s="2">
        <f xml:space="preserve"> SUM(AF2:AF13)</f>
        <v>348.40000000000003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4A06-4C0F-4E9C-9F49-7FDDF30AEA7C}">
  <dimension ref="A1:AE14"/>
  <sheetViews>
    <sheetView topLeftCell="Q1" workbookViewId="0">
      <selection activeCell="AE10" sqref="AE10"/>
    </sheetView>
  </sheetViews>
  <sheetFormatPr defaultRowHeight="14.4" x14ac:dyDescent="0.3"/>
  <cols>
    <col min="1" max="1" width="11.109375" customWidth="1"/>
    <col min="2" max="2" width="19.88671875" customWidth="1"/>
    <col min="4" max="4" width="8.88671875" style="2"/>
    <col min="5" max="5" width="11.88671875" customWidth="1"/>
    <col min="6" max="6" width="12.77734375" customWidth="1"/>
    <col min="7" max="7" width="8.88671875" style="2"/>
    <col min="8" max="10" width="14.77734375" style="2" customWidth="1"/>
    <col min="11" max="11" width="14.6640625" style="2" customWidth="1"/>
    <col min="12" max="12" width="11.21875" style="2" customWidth="1"/>
    <col min="13" max="13" width="18.6640625" style="2" customWidth="1"/>
    <col min="14" max="14" width="8.88671875" style="2"/>
    <col min="15" max="15" width="10.88671875" style="2" customWidth="1"/>
    <col min="16" max="16" width="11.33203125" style="2" customWidth="1"/>
    <col min="17" max="17" width="11.77734375" customWidth="1"/>
    <col min="18" max="18" width="16.6640625" style="2" customWidth="1"/>
    <col min="19" max="19" width="11.21875" customWidth="1"/>
    <col min="20" max="20" width="14.109375" style="2" customWidth="1"/>
    <col min="21" max="21" width="12.77734375" customWidth="1"/>
    <col min="23" max="23" width="15.33203125" customWidth="1"/>
    <col min="24" max="24" width="12" style="2" customWidth="1"/>
    <col min="25" max="25" width="12.77734375" style="2" customWidth="1"/>
    <col min="26" max="26" width="11" style="2" customWidth="1"/>
    <col min="27" max="27" width="8.88671875" style="2"/>
    <col min="28" max="28" width="9.6640625" style="2" customWidth="1"/>
    <col min="29" max="29" width="12.109375" style="2" customWidth="1"/>
    <col min="30" max="30" width="11.5546875" style="2" customWidth="1"/>
    <col min="31" max="31" width="13.44140625" style="2" customWidth="1"/>
  </cols>
  <sheetData>
    <row r="1" spans="1:31" s="6" customFormat="1" x14ac:dyDescent="0.3">
      <c r="A1" s="6" t="s">
        <v>0</v>
      </c>
      <c r="B1" s="6" t="s">
        <v>45</v>
      </c>
      <c r="C1" s="6" t="s">
        <v>6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46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</row>
    <row r="2" spans="1:31" x14ac:dyDescent="0.3">
      <c r="A2" s="1">
        <v>41122</v>
      </c>
      <c r="B2">
        <v>0</v>
      </c>
      <c r="C2">
        <v>0</v>
      </c>
      <c r="D2" s="2">
        <v>0</v>
      </c>
      <c r="E2">
        <v>0</v>
      </c>
      <c r="F2">
        <f xml:space="preserve"> 0</f>
        <v>0</v>
      </c>
      <c r="G2" s="2">
        <f xml:space="preserve"> 0</f>
        <v>0</v>
      </c>
      <c r="H2" s="2">
        <v>0</v>
      </c>
      <c r="I2" s="2">
        <v>0</v>
      </c>
      <c r="J2" s="2">
        <v>0</v>
      </c>
      <c r="K2" s="2">
        <v>0</v>
      </c>
      <c r="L2" s="2">
        <f xml:space="preserve"> 0</f>
        <v>0</v>
      </c>
      <c r="M2" s="2">
        <v>0</v>
      </c>
      <c r="N2" s="2">
        <v>0</v>
      </c>
      <c r="O2" s="2">
        <v>0</v>
      </c>
      <c r="P2" s="2">
        <v>0</v>
      </c>
      <c r="Q2">
        <f xml:space="preserve"> 2.2</f>
        <v>2.2000000000000002</v>
      </c>
      <c r="R2" s="2">
        <f xml:space="preserve"> 4.7</f>
        <v>4.7</v>
      </c>
      <c r="S2">
        <f xml:space="preserve"> 3.7</f>
        <v>3.7</v>
      </c>
      <c r="T2" s="2">
        <f xml:space="preserve"> 5 + 5 + 8</f>
        <v>18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f xml:space="preserve"> 9 + 6</f>
        <v>15</v>
      </c>
      <c r="AB2" s="2">
        <v>0</v>
      </c>
      <c r="AC2" s="2">
        <f xml:space="preserve"> 1.2</f>
        <v>1.2</v>
      </c>
      <c r="AD2" s="2">
        <v>0</v>
      </c>
      <c r="AE2" s="2">
        <v>0</v>
      </c>
    </row>
    <row r="3" spans="1:31" x14ac:dyDescent="0.3">
      <c r="A3" s="1">
        <v>41153</v>
      </c>
      <c r="B3">
        <v>40.799999999999997</v>
      </c>
      <c r="C3">
        <f xml:space="preserve"> 9 + 37 + 5 +24 + 5.5 + 0.8</f>
        <v>81.3</v>
      </c>
      <c r="D3" s="2">
        <f xml:space="preserve"> 6.5 + 3.3</f>
        <v>9.8000000000000007</v>
      </c>
      <c r="E3">
        <f xml:space="preserve"> 10 + 50 + 5 +3</f>
        <v>68</v>
      </c>
      <c r="F3">
        <f xml:space="preserve"> 10.4 + 86.6 + 13 + 2.6 + 24.6 + 22 + 1.4</f>
        <v>160.6</v>
      </c>
      <c r="G3" s="2">
        <f xml:space="preserve"> 9 + 54.5 + 9 + 17</f>
        <v>89.5</v>
      </c>
      <c r="H3" s="2">
        <f xml:space="preserve"> 60.6 + 17.4 + 9</f>
        <v>87</v>
      </c>
      <c r="I3" s="2">
        <f xml:space="preserve"> 65.6 + 18 + 11.2</f>
        <v>94.8</v>
      </c>
      <c r="J3" s="2">
        <f xml:space="preserve"> 4 + 45 + 26 + 12</f>
        <v>87</v>
      </c>
      <c r="K3" s="2">
        <f xml:space="preserve"> 57.4 + 18.4 + 8.8 + 1.6</f>
        <v>86.199999999999989</v>
      </c>
      <c r="L3" s="2">
        <f xml:space="preserve"> 5 + 11.4 + 33 + 25.4</f>
        <v>74.8</v>
      </c>
      <c r="M3" s="2">
        <f xml:space="preserve"> 1.9 + 22.4 + 26 + 5.3 + 6.3 + 8.1 + 2.7</f>
        <v>72.699999999999989</v>
      </c>
      <c r="N3" s="2">
        <f xml:space="preserve"> 30.8</f>
        <v>30.8</v>
      </c>
      <c r="O3" s="2">
        <f>9.4+23.2+101+27.6+2.4+3.8+1.2</f>
        <v>168.6</v>
      </c>
      <c r="P3" s="2">
        <f xml:space="preserve"> 0.3 + 1 + 3 + 3.2 + 38 + 0.2 + 16 + 6 + 6.2 + 3 + 8+9+1.8 + 3 + 5.4 + 3.2</f>
        <v>107.30000000000001</v>
      </c>
      <c r="Q3">
        <f xml:space="preserve"> 13.7 + 92.5 + 4.9 + 4.5</f>
        <v>115.60000000000001</v>
      </c>
      <c r="R3" s="2">
        <f xml:space="preserve"> 5.2 + 5 + 72 + 20 + 17.9 + 25.4 + 1.9</f>
        <v>147.4</v>
      </c>
      <c r="S3">
        <f xml:space="preserve"> 16.7 + 85.9 + 9.4 + 0.5 + 1.4 + 0.5 + 10.2 + 14.8 + 0.5 + 0.5</f>
        <v>140.40000000000003</v>
      </c>
      <c r="T3" s="2">
        <f xml:space="preserve"> 1.5 + 6.9 + 15 + 46.5 + 1.5 + 2</f>
        <v>73.400000000000006</v>
      </c>
      <c r="U3">
        <v>0</v>
      </c>
      <c r="V3">
        <f xml:space="preserve"> 0.6 + 13.4 + 0.3</f>
        <v>14.3</v>
      </c>
      <c r="W3">
        <f xml:space="preserve"> 105 + 17</f>
        <v>122</v>
      </c>
      <c r="X3" s="2">
        <f xml:space="preserve"> 4.5 + 11.8 + 16.3</f>
        <v>32.6</v>
      </c>
      <c r="Y3" s="2">
        <f xml:space="preserve"> 80 + 60</f>
        <v>140</v>
      </c>
      <c r="Z3" s="2">
        <f xml:space="preserve"> 7.8 + 7.6</f>
        <v>15.399999999999999</v>
      </c>
      <c r="AA3" s="2">
        <f xml:space="preserve"> 9 + 6</f>
        <v>15</v>
      </c>
      <c r="AB3" s="2">
        <f xml:space="preserve"> 7.4</f>
        <v>7.4</v>
      </c>
      <c r="AC3" s="2">
        <f xml:space="preserve"> 12.6 + 8</f>
        <v>20.6</v>
      </c>
      <c r="AD3" s="2">
        <f xml:space="preserve"> 2.2 + 4.9 + 24.2 + 8.2 + 16.4 + 15.1 + 0.5 + 0.9</f>
        <v>72.400000000000006</v>
      </c>
      <c r="AE3" s="2">
        <f xml:space="preserve"> 1.7 + 6.5 + 2.5 + 7.5 + 9</f>
        <v>27.2</v>
      </c>
    </row>
    <row r="4" spans="1:31" x14ac:dyDescent="0.3">
      <c r="A4" s="1">
        <v>41183</v>
      </c>
      <c r="B4">
        <v>169</v>
      </c>
      <c r="C4">
        <f xml:space="preserve"> 29.5 +28.5 +13.2 +3 +3.8 +4 +5.8 +9 +5 +2.4 +5 + 4.3 +1.7</f>
        <v>115.2</v>
      </c>
      <c r="D4" s="2">
        <f xml:space="preserve"> 1.1 + 27 + 5.8 + 6.5 + 12.7 + 2.6</f>
        <v>55.699999999999996</v>
      </c>
      <c r="E4">
        <f xml:space="preserve"> 50 + 24 + 24 + 1 + 8 + 5 + 2 + 1</f>
        <v>115</v>
      </c>
      <c r="F4">
        <f xml:space="preserve"> 22.2 + 34.2 + 26 + 6.6 + 5.3 + 2 + 8 + 3.2 + 5.5 + 2.2</f>
        <v>115.2</v>
      </c>
      <c r="G4" s="2">
        <f xml:space="preserve"> 36.5 + 33 + 21 + 10.5 + 2</f>
        <v>103</v>
      </c>
      <c r="H4" s="2">
        <f xml:space="preserve"> 24 + 19.3 + 33.8 + 11.3 + 3.4 + 0.7 + 11.5 + 10 + 3.1</f>
        <v>117.1</v>
      </c>
      <c r="I4" s="2">
        <f xml:space="preserve"> 16.6 + 1.2 + 2.6 + 26.4 + 2.2 + 10.8</f>
        <v>59.8</v>
      </c>
      <c r="J4" s="2">
        <f xml:space="preserve"> 3 + 42 + 16 + 39 + 5 + 10</f>
        <v>115</v>
      </c>
      <c r="K4" s="2">
        <f xml:space="preserve">  0.1 + 1.4 + 18.2 + 9.8</f>
        <v>29.5</v>
      </c>
      <c r="L4" s="2">
        <f xml:space="preserve"> 2 + 2.2 + 37.2 + 19.2 + 6.4 + 24.2 + 2</f>
        <v>93.200000000000017</v>
      </c>
      <c r="M4" s="2">
        <f xml:space="preserve"> 44 + 8.8 + 3 + 26.6 + 5.4</f>
        <v>87.800000000000011</v>
      </c>
      <c r="N4" s="2">
        <f xml:space="preserve"> 39.8 + 24.6</f>
        <v>64.400000000000006</v>
      </c>
      <c r="O4" s="2">
        <f xml:space="preserve"> 38.4 + 2.6 + 16.8 + 3.4 + 1.2 + 1.6 + 1.8 + 8.8</f>
        <v>74.599999999999994</v>
      </c>
      <c r="P4" s="2">
        <f xml:space="preserve"> 0.3 + 1 + 3 + 3.2 + 38 + 0.2+ 16 + 6 + 6.2 + 3 + 8 + 9 + 1.8 + 3 + 5.4 + 3.2 + 20.2</f>
        <v>127.50000000000001</v>
      </c>
      <c r="Q4">
        <f xml:space="preserve"> 32.5 + 17.3 + 2.2 + 6.7 + 0.5 + 4 + 6.5 + 2 + 5.1 + 14.8</f>
        <v>91.6</v>
      </c>
      <c r="R4" s="2">
        <f xml:space="preserve"> 3.6 + 2.5 + 1.4 + 18.4 + 1.1 + 8.4 + 8.4 + 14.8 + 2.6 + 1.2 + 3.4 + 3+ 14.4</f>
        <v>83.2</v>
      </c>
      <c r="S4">
        <f xml:space="preserve"> 0.2 + 2.7 + 1.4 + 32.2 + 0.2 + 14.6 + 0.6 + 4.8 + 0.5 + 17.3 + 9.1 + 0.8 + 0.8 + 8.5 + 1.7</f>
        <v>95.399999999999991</v>
      </c>
      <c r="T4" s="2">
        <f xml:space="preserve"> 10 + 6.8 + 20 + 0.5 + 3.5 + 13</f>
        <v>53.8</v>
      </c>
      <c r="U4">
        <f xml:space="preserve"> 2 + 6.6 + 16 + 2 + 4.6 + 9.4 + 14</f>
        <v>54.6</v>
      </c>
      <c r="V4">
        <f xml:space="preserve"> 0.2 + 3.8 + 0.7 + 15.6 + 0.2 + 5.3 + 22.8 + 5.3 + 0.1 + 2.4 + 0.2 + 3.4 + 0.5 + 12.5 + 0.5</f>
        <v>73.5</v>
      </c>
      <c r="W4">
        <f xml:space="preserve"> 26.5 + 11.2 + 6 + 8.4 + 18.6</f>
        <v>70.7</v>
      </c>
      <c r="X4" s="2">
        <f xml:space="preserve"> 6.5 + 2 + 7.9 + 14.4 + 1.6 + 1.4 + 6.2 + 35 + 25.9</f>
        <v>100.9</v>
      </c>
      <c r="Y4" s="2">
        <f xml:space="preserve"> 17 +2 + 18 + 1 + 25 + 1 +4 + 8 + 19</f>
        <v>95</v>
      </c>
      <c r="Z4" s="2">
        <f xml:space="preserve"> 0.1 + 26.5 + 10.7 + 25.5 + 3.4 + 3.5 + 1.2 + 12 + 5</f>
        <v>87.9</v>
      </c>
      <c r="AA4" s="2">
        <f xml:space="preserve"> 4 + 1 + 6 + 6 + 23 + 4</f>
        <v>44</v>
      </c>
      <c r="AB4" s="2">
        <f xml:space="preserve"> 8.4 + 9.4 + 5 + 0.2 + 20 + 3</f>
        <v>46</v>
      </c>
      <c r="AC4" s="2">
        <v>70.099999999999994</v>
      </c>
      <c r="AD4" s="2">
        <f xml:space="preserve"> 1.6 + 6.4 + 10 + 0.1 + 20 + 7 + 1 + 7 + 30 + 6 + 0.5 + 2 + 12.6</f>
        <v>104.19999999999999</v>
      </c>
      <c r="AE4" s="2">
        <f xml:space="preserve"> 1.5 + 23 + 6.8</f>
        <v>31.3</v>
      </c>
    </row>
    <row r="5" spans="1:31" x14ac:dyDescent="0.3">
      <c r="A5" s="1">
        <v>41214</v>
      </c>
      <c r="B5">
        <v>110.1</v>
      </c>
      <c r="C5">
        <f xml:space="preserve"> 5 + 1.2 + 2.8 + 22 +24 + 46.5</f>
        <v>101.5</v>
      </c>
      <c r="D5" s="2">
        <f xml:space="preserve"> 18.5 + 23.5 + 0.6 + 1.3</f>
        <v>43.9</v>
      </c>
      <c r="E5">
        <f xml:space="preserve"> 12 + 22 + 5 + 4 + 1 + 3 + 8 + 20 + 3</f>
        <v>78</v>
      </c>
      <c r="F5">
        <f xml:space="preserve"> 1.4 + 16 + 0.2 + 15.2 + 8 + 7 + 25.2</f>
        <v>73</v>
      </c>
      <c r="G5" s="2">
        <f xml:space="preserve"> 11 + 18.5 + 22.5 + 1</f>
        <v>53</v>
      </c>
      <c r="H5" s="2">
        <v>63</v>
      </c>
      <c r="I5" s="2">
        <f xml:space="preserve"> 18 + 17 + 13.6 + 8.4 + 16.4</f>
        <v>73.400000000000006</v>
      </c>
      <c r="J5" s="2">
        <f xml:space="preserve"> 6 + 22 + 1 + 3 + 3 + 7 + 12 + 2</f>
        <v>56</v>
      </c>
      <c r="K5" s="2">
        <f xml:space="preserve"> 0</f>
        <v>0</v>
      </c>
      <c r="L5" s="2">
        <f xml:space="preserve"> 1 + 14.4 + 28.4 + 4 + 17 + 30 + 27.8 + 33.6 + 16 + 16</f>
        <v>188.2</v>
      </c>
      <c r="M5" s="2">
        <f xml:space="preserve"> 13.1 + 4 + 2 + 0.3 + 42.8</f>
        <v>62.2</v>
      </c>
      <c r="N5" s="2">
        <f xml:space="preserve"> 26.6 + 3</f>
        <v>29.6</v>
      </c>
      <c r="O5" s="2">
        <f xml:space="preserve"> 10 + 16.8 + 0.8 + 2.2 + 11.2 + 13.2 + 1.6 + 2.2 + 2.2 + 17.2 + 2.8 + 2.4</f>
        <v>82.600000000000009</v>
      </c>
      <c r="P5" s="2">
        <f xml:space="preserve"> 11.4 + 10 + 40 + 3.5 + 4.8 + 1.8 + 0.5 + 0.6 + 0.4 + 0.8 + 18 + 3.5 + 28 + 13 + 5+ 1.5</f>
        <v>142.80000000000001</v>
      </c>
      <c r="Q5">
        <f xml:space="preserve"> 12 + 28.7 + 4.2 + 8.2 + 11.5 + 31 + 1</f>
        <v>96.600000000000009</v>
      </c>
      <c r="R5" s="2">
        <f>17.2+31.6+1+5.4+ 4.6 + 1.8 + 15.2 + 3.2+ 25 + 13 + 2.4 + 18.2</f>
        <v>138.6</v>
      </c>
      <c r="S5">
        <f xml:space="preserve"> 15.7 + 35.2 + 1.1 + 3.3 + 0.6+11.1 + 15.6 + 20 + 3.7</f>
        <v>106.3</v>
      </c>
      <c r="T5" s="2">
        <f xml:space="preserve"> 9 + 4 + 0.5 + 1.2 + 7 + 4.5 + 0.8 + 0.5</f>
        <v>27.5</v>
      </c>
      <c r="U5">
        <f xml:space="preserve"> 3.6 + 1 + 3 + 4 + 42 + 5.2</f>
        <v>58.800000000000004</v>
      </c>
      <c r="V5">
        <f xml:space="preserve"> 0.1 + 3.1 + 7.9 + 0.3 + 0.2 + 4.3 + 0.4 + 10.2 + 36.8 + 3.5 + 81.5</f>
        <v>148.30000000000001</v>
      </c>
      <c r="W5">
        <f xml:space="preserve"> 7.5 + 4 + 16.3 + 17.5</f>
        <v>45.3</v>
      </c>
      <c r="X5" s="2">
        <f xml:space="preserve"> 7.2 + 16 + 1 + 2.2 + 2</f>
        <v>28.4</v>
      </c>
      <c r="Y5" s="2">
        <f xml:space="preserve"> 25 + 7 + 20 + 12 + 8 + 15 + 18 + 5</f>
        <v>110</v>
      </c>
      <c r="Z5" s="2">
        <f xml:space="preserve"> 30.7 + 8.2 + 4.7 + 17 + 13.8</f>
        <v>74.400000000000006</v>
      </c>
      <c r="AA5" s="2">
        <f xml:space="preserve"> 5 + 9 + 2</f>
        <v>16</v>
      </c>
      <c r="AB5" s="2">
        <f xml:space="preserve"> 9.1 + 18.2 + 6.4 + 4</f>
        <v>37.699999999999996</v>
      </c>
      <c r="AC5" s="2">
        <f xml:space="preserve"> 4.2 + 0.4 + 11 + 0.5 + 5.8 + 0.5</f>
        <v>22.400000000000002</v>
      </c>
      <c r="AD5" s="2">
        <v>67.2</v>
      </c>
      <c r="AE5" s="2">
        <f xml:space="preserve"> 2.6 + 0.5 + 10.9 + 1 + 35 + 6.6 + 26.8</f>
        <v>83.4</v>
      </c>
    </row>
    <row r="6" spans="1:31" x14ac:dyDescent="0.3">
      <c r="A6" s="1">
        <v>41244</v>
      </c>
      <c r="B6">
        <v>119</v>
      </c>
      <c r="C6">
        <f xml:space="preserve"> 6.2 + 3.6 +7.2 +13.8 +39 +5.5 +14.8 +2.3</f>
        <v>92.399999999999991</v>
      </c>
      <c r="D6" s="2">
        <f xml:space="preserve"> 29 + 11.5 + 4.2 + 3 + 5.5 + 23 + 6 + 2.5 + 3.4 + 1 + 3 + 5 + 1.5</f>
        <v>98.600000000000009</v>
      </c>
      <c r="E6">
        <f xml:space="preserve"> 7 + 10 + 4 + 14 + 1 + 1 + 8 + 3 + 1 + 5 + 10 + 2</f>
        <v>66</v>
      </c>
      <c r="F6">
        <f xml:space="preserve"> 7.6 + 12.6 + 8.2 + 9.2 + 6.8 + 1.6 + 1.2 + 7.2 + 6 + 6.8 + 19.6 + 8</f>
        <v>94.800000000000011</v>
      </c>
      <c r="G6" s="2">
        <f xml:space="preserve"> 7 + 24.5 + 2 + 16 + 12.5 +8+0.5 + 11.5 +11</f>
        <v>93</v>
      </c>
      <c r="H6" s="2">
        <v>96.3</v>
      </c>
      <c r="I6" s="2">
        <f xml:space="preserve"> 35.4 + 4.6 + 11 + 8.4 + 32.8 + 7 + 3.8</f>
        <v>102.99999999999999</v>
      </c>
      <c r="J6" s="2">
        <f xml:space="preserve"> 3.5 + 11.5 + 4.5 + 8 + 17 + 3 + 31 + 0.2 + 3 + 1.5 + 54.5 + 8 + 0.4 + 10.5</f>
        <v>156.6</v>
      </c>
      <c r="K6" s="2">
        <f xml:space="preserve"> 8 + 1.9 + 2.3 + 1 + 5.6 + 23.2 + 11.2 + 2.4</f>
        <v>55.6</v>
      </c>
      <c r="L6" s="2">
        <v>144.6</v>
      </c>
      <c r="M6" s="2">
        <f xml:space="preserve"> 21.3 + 3.9 + 1.3 + 2 + 2.2 + 0.3 + 1.8 + 34.8 + 5.8</f>
        <v>73.399999999999991</v>
      </c>
      <c r="N6" s="2">
        <f xml:space="preserve"> 54.6 + 122.2 + 58.2</f>
        <v>235</v>
      </c>
      <c r="O6" s="2">
        <f xml:space="preserve"> 11.8 + 8.2 + 11.6 + 2.6 + 1.4 + 0.8 + 18.4 + 1.2 + 5.2 + 45 + 35</f>
        <v>141.19999999999999</v>
      </c>
      <c r="P6" s="2">
        <f xml:space="preserve"> 15 + 1 + 26 + 0.7 + 24 + 24 + 16 + 1.2 + 19.5 + 0.1 + 1.5 + 1.5 + 10 + 24 + 1 + 1.2 + 4.7</f>
        <v>171.39999999999998</v>
      </c>
      <c r="Q6">
        <f xml:space="preserve"> 7.5 + 9.4 + 12.7 + 33 + 3.3 + 47.3 + 43.2 + 0.8</f>
        <v>157.19999999999999</v>
      </c>
      <c r="R6" s="2">
        <f xml:space="preserve"> 19 + 2.2 + 84.2 + 17 + 19.8 + 1 + 29.4 + 17.9+ 2 + 1 + 1.4 + 13 + 25 + 2.9 + 2.7 + 6.6</f>
        <v>245.10000000000002</v>
      </c>
      <c r="S6">
        <f xml:space="preserve"> 8.5 + 13.6 + 3.4 + 2.7 + 25.4 + 18.4 + 9.8 + 1.2 + 32.4 + 42.7 + 0.5 + 2.9 + 3.3 + 4.6</f>
        <v>169.40000000000003</v>
      </c>
      <c r="T6" s="2">
        <v>34.9</v>
      </c>
      <c r="U6">
        <f xml:space="preserve"> 8.6 + 3 + 3.4 + 40 + 28 + 36.7 + 9 + 5.2 + 3.6</f>
        <v>137.49999999999997</v>
      </c>
      <c r="V6">
        <f xml:space="preserve"> 0.5 + 11.2 + 2.9 + 2.9 +67.8 + 4.3 +0.1 + 1.7+ 3.5</f>
        <v>94.899999999999991</v>
      </c>
      <c r="W6">
        <f xml:space="preserve"> 8.5 + 3 + 2.3 + 2.4 + 6.5 + 3.5 + 25 + 4.3</f>
        <v>55.5</v>
      </c>
      <c r="X6" s="2">
        <f xml:space="preserve"> 24.3 + 1.2 + 3.8 + 18.3 + 1.3 + 14.2</f>
        <v>63.099999999999994</v>
      </c>
      <c r="Y6" s="2">
        <f xml:space="preserve"> 23 + 24 + 48 + 14 + 100 + 6 + 17 + 4</f>
        <v>236</v>
      </c>
      <c r="Z6" s="2">
        <f xml:space="preserve"> 2 + 0.1 + 37.7 + 3.5 + 22.3 + 4.5 + 0.1 + 4.5</f>
        <v>74.7</v>
      </c>
      <c r="AA6" s="2">
        <f xml:space="preserve"> 7.6 + 16.4 + 7.6 + 4.2</f>
        <v>35.800000000000004</v>
      </c>
      <c r="AB6" s="2">
        <f xml:space="preserve"> 18.3 + 0.2 + 20.3 + 0.4 + 1.1 + 0.4 + 9 + 3</f>
        <v>52.699999999999996</v>
      </c>
      <c r="AC6" s="2">
        <f xml:space="preserve"> 3.8 + 2.4 + 7.6 + 26.8 + 6 + 0.6 + 12.6</f>
        <v>59.800000000000004</v>
      </c>
      <c r="AD6" s="2">
        <f xml:space="preserve"> 0.1 + 1.1 + 2 + 0.3 + 4 + 14.8 + 9.8 + 0.8 + 17.2 + 18 + 1.5 + 0.5 + 2.4</f>
        <v>72.5</v>
      </c>
      <c r="AE6" s="2">
        <f xml:space="preserve"> 16.2 + 4.7 + 3 + 8.4</f>
        <v>32.299999999999997</v>
      </c>
    </row>
    <row r="7" spans="1:31" x14ac:dyDescent="0.3">
      <c r="A7" s="1">
        <v>41275</v>
      </c>
      <c r="B7">
        <v>134.5</v>
      </c>
      <c r="C7">
        <f xml:space="preserve"> 12.5 + 4.3 + 4.7 +11.5 +9.7 +1.5 +2.6 +9.2 +23 +3.2</f>
        <v>82.2</v>
      </c>
      <c r="D7" s="2">
        <f xml:space="preserve"> 5 + 3 + 21.5 + 12.5 + 3 + 4 + 15 + 15 + 0.3</f>
        <v>79.3</v>
      </c>
      <c r="E7">
        <f xml:space="preserve"> 11 + 40 + 6 + 3 + 18 + 2 + 18 + 8 + 3 + 2 + 3 + 5</f>
        <v>119</v>
      </c>
      <c r="F7">
        <f xml:space="preserve"> 47.2 + 8.8 + 5.2 + 15.2 + 12.8 + 1.6 + 4.6 + 21.2 + 12.2</f>
        <v>128.79999999999998</v>
      </c>
      <c r="G7" s="2">
        <f xml:space="preserve"> 24.5 + 8 + 6 + 14.5 + 2.5 + 8.5 + 2 + 18.5</f>
        <v>84.5</v>
      </c>
      <c r="H7" s="2">
        <f xml:space="preserve"> 0.7 + 21 + 14.3 + 24 + 2.2 + 0.1 + 2.9 + 5.2 + 3.7</f>
        <v>74.100000000000009</v>
      </c>
      <c r="I7" s="2">
        <f xml:space="preserve"> 14.8 + 67.2 + 16 + 16.4 + 3.2 + 3.8</f>
        <v>121.4</v>
      </c>
      <c r="J7" s="2">
        <f xml:space="preserve"> 1.5 + 2 + 16.5 + 1.5 + 2 + 7.5 + 14 + 10 + 9 + 2 +9</f>
        <v>75</v>
      </c>
      <c r="K7" s="2">
        <f xml:space="preserve"> 22.6 + 2.8 + 6 + 2.8 + 15.2 + 11 + 5 + 2.1</f>
        <v>67.5</v>
      </c>
      <c r="L7" s="2">
        <v>38.799999999999997</v>
      </c>
      <c r="M7" s="2">
        <f xml:space="preserve"> 13.6 + 1.8 + 38.3 + 48 + 5.1 + 26 + 12 + 20.4 + 36.8</f>
        <v>202</v>
      </c>
      <c r="N7" s="2">
        <f xml:space="preserve"> 110 + 189.6</f>
        <v>299.60000000000002</v>
      </c>
      <c r="O7" s="2">
        <f xml:space="preserve"> 12.2 + 8.4 + 10.8 + 4.8 + 66 + 63.4 + 29.6 + 11.6 + 54.4 + 55.6 + 34.4 + 1.8</f>
        <v>353</v>
      </c>
      <c r="P7" s="2">
        <f xml:space="preserve"> 30 + 0.5 + 10 + 3 + 1.8 + 24 + 100 + 100 + 100 + 30 + 64 + 21+ 0.6 + 1.8 + 4</f>
        <v>490.70000000000005</v>
      </c>
      <c r="Q7">
        <f xml:space="preserve"> 33 + 18.5 + 6.2 + 2.2 + 2.9 + 139.5 + 58.3 + 37.2 + 127.4 + 127.4 + 128.3 + 2.2 + 18.2 + 0.5 + 1.5 + 9.5</f>
        <v>712.80000000000018</v>
      </c>
      <c r="R7" s="2">
        <f xml:space="preserve"> 21.2 + 15 + 5.2 + 5.4 + 17.6 + 4.2 + 94.4 + 226.6 + 72 + 6 + 29.8 + 69.7 + 90.6 + 2.5+ 7.5 + 6 + 2 + 4.1</f>
        <v>679.80000000000007</v>
      </c>
      <c r="S7">
        <f xml:space="preserve"> 11 + 16.3 + 2.9 + 3.7 + 13.5 + 1.6 + 53.2 + 135.6 + 78.2 + 0.5+ 51.1 + 75.5 + 101.5 + 4.5 + 2.7 + 1.5 + 1.2 + 31.4 + 2.7</f>
        <v>588.60000000000014</v>
      </c>
      <c r="T7" s="2">
        <f xml:space="preserve"> 12.5 + 7.3 + 5.1 + 0.5 + 4.5 + 6.3 + 7.5 + 2.7 + 6.3 + 9.4 + 10.7+2 +10.2</f>
        <v>85</v>
      </c>
      <c r="U7">
        <f xml:space="preserve"> 22 + 3.6 + 6.2 + 18 + 12 + 32</f>
        <v>93.8</v>
      </c>
      <c r="V7">
        <f xml:space="preserve"> 81.5 + 0.5 + 11.2 + 2.9 + 2.9 + 67.8 + 4.3 + 0.1 + 1.7</f>
        <v>172.9</v>
      </c>
      <c r="W7">
        <f xml:space="preserve"> 27 + 1 + 32 + 35 + 24 + 4 + 2.5 + 28.5 + 3 + 5</f>
        <v>162</v>
      </c>
      <c r="X7" s="2">
        <f xml:space="preserve"> 52 + 19 + 3 + 20 + 27 + 1.2 + 61 + 45.4 + 9 + 5.5 + 5.5</f>
        <v>248.6</v>
      </c>
      <c r="Y7" s="2">
        <f xml:space="preserve"> 7 + 51 + 21 + 6 + 72 +2 + 8</f>
        <v>167</v>
      </c>
      <c r="Z7" s="2">
        <f xml:space="preserve"> 7.7 + 1.5 + 3.5 + 5.8 + 8.7 + 3 + 15.5 + 38 + 32 + 32.8 + 10</f>
        <v>158.5</v>
      </c>
      <c r="AA7" s="2">
        <f xml:space="preserve"> 7  + 42.6 + 42 + 16 + 6 + 60 + 69 + 16</f>
        <v>258.60000000000002</v>
      </c>
      <c r="AB7" s="2">
        <f xml:space="preserve"> 11.4 + 14 + 0.2 + 40 + 53.3 + 28.1 + 1.4 + 60 + 97.4 + 9.4 + 45.2</f>
        <v>360.4</v>
      </c>
      <c r="AC7" s="2">
        <f xml:space="preserve"> 49.2 + 12.2 + 5.8 + 10 + 67 + 107 + 33.2 + 116.2 + 122 + 6.8 + 3.4 + 12</f>
        <v>544.79999999999984</v>
      </c>
      <c r="AD7" s="2">
        <f xml:space="preserve"> 32.3 + 11.1 + 4.2 + 14.4 + 7.1 + 11.4 + 55.1 + 141.1 + 46.1 + 0.5 + 30.5 + 80.5 + 140.6 + 0.8 + 2 + 2.5 + 0.5</f>
        <v>580.69999999999993</v>
      </c>
      <c r="AE7" s="2">
        <f xml:space="preserve"> 7.4 + 7.4 + 6.2 + 6.2 + 14 + 52.4 + 114 + 38.2 + 36.6 + 170.3 + 188 + 40</f>
        <v>680.7</v>
      </c>
    </row>
    <row r="8" spans="1:31" x14ac:dyDescent="0.3">
      <c r="A8" s="1">
        <v>41306</v>
      </c>
      <c r="B8">
        <v>37.5</v>
      </c>
      <c r="C8">
        <f>1.3 +4.9 +6.5 +2.5</f>
        <v>15.2</v>
      </c>
      <c r="D8" s="2">
        <f xml:space="preserve"> 17 + 0.2 + 7 + 9 + 36</f>
        <v>69.2</v>
      </c>
      <c r="E8">
        <f xml:space="preserve"> 18 + 4 + 6 + 14 + 5 + 8</f>
        <v>55</v>
      </c>
      <c r="F8" s="2">
        <f xml:space="preserve"> 8.2 + 2.8 + 8 + 27.4 + 4.6</f>
        <v>51</v>
      </c>
      <c r="G8" s="2">
        <f xml:space="preserve"> 13 + 2.5 + 14 + 8 + 1.7</f>
        <v>39.200000000000003</v>
      </c>
      <c r="H8" s="2">
        <f xml:space="preserve"> 1.3 + 2.1 + 7.5 + 3.5 + 2.9 + 9.8</f>
        <v>27.1</v>
      </c>
      <c r="I8" s="2">
        <f xml:space="preserve"> 3.2 + 5.8</f>
        <v>9</v>
      </c>
      <c r="J8" s="2">
        <f xml:space="preserve"> 14.5 + 14 + 2 + 3 + 0.2 + 10.5 + 3 + 4 + 42.5 + 5</f>
        <v>98.7</v>
      </c>
      <c r="K8" s="2">
        <f xml:space="preserve"> 5.7 + 0.8 + 1.8 + 1.4 + 1.4</f>
        <v>11.100000000000001</v>
      </c>
      <c r="L8" s="2">
        <v>21.6</v>
      </c>
      <c r="M8" s="2">
        <f xml:space="preserve"> 7 + 7.8 + 0.5 + 4.6 + 5.1 + 3</f>
        <v>28</v>
      </c>
      <c r="N8" s="2">
        <f xml:space="preserve"> 44.4 +2.8 + 4.6 + 16.6</f>
        <v>68.400000000000006</v>
      </c>
      <c r="O8" s="2">
        <f xml:space="preserve"> 1.2 + 16.4 + 6 + 0.6 + 3.2 + 4.8 + 7.2 + 7 + 7</f>
        <v>53.4</v>
      </c>
      <c r="P8" s="2">
        <v>0</v>
      </c>
      <c r="Q8">
        <f xml:space="preserve"> 35.4 + 4.5 + 18.1 + 5.3 + 4 + 39.4</f>
        <v>106.69999999999999</v>
      </c>
      <c r="R8" s="2">
        <v>0</v>
      </c>
      <c r="S8">
        <f xml:space="preserve"> 1.4 + 98.7 + 8.5 + 8.8 + 25.2 + 8.2 + 1.1 + 3.5 + 0.5 + 27.6 + 2.7 + 3.2 + 0.5</f>
        <v>189.89999999999995</v>
      </c>
      <c r="T8" s="2">
        <v>0</v>
      </c>
      <c r="U8">
        <f xml:space="preserve"> 2 + 14 + 3.7 + 1 + 1</f>
        <v>21.7</v>
      </c>
      <c r="V8">
        <f xml:space="preserve"> 0.6 + 13.9 + 11.2 + 0.1 + 1.9</f>
        <v>27.7</v>
      </c>
      <c r="W8">
        <v>0</v>
      </c>
      <c r="X8" s="2">
        <f xml:space="preserve"> 8.4 + 1.3 + 3.2 + 4.5</f>
        <v>17.400000000000002</v>
      </c>
      <c r="Y8" s="2">
        <f xml:space="preserve"> 1.5 + 2 + 14 + 3 + 1.5 + 11 + 7.5</f>
        <v>40.5</v>
      </c>
      <c r="Z8" s="2">
        <f xml:space="preserve"> 0.4 + 0.6 + 15 + 0.6 + 1.7</f>
        <v>18.3</v>
      </c>
      <c r="AA8" s="2">
        <f xml:space="preserve"> 6</f>
        <v>6</v>
      </c>
      <c r="AB8" s="2">
        <v>13.4</v>
      </c>
      <c r="AC8" s="2">
        <f xml:space="preserve"> 0.3 + 0.5 + 11.9 + 0.5 + 12.5 + 0.1 + 3.3</f>
        <v>29.100000000000005</v>
      </c>
      <c r="AD8" s="2">
        <f xml:space="preserve"> 7.2 + 4 + 32 + 0.5 + 0.3 + 0.5</f>
        <v>44.5</v>
      </c>
      <c r="AE8" s="2">
        <f xml:space="preserve"> 27.7 + 10.5 +7.6 + 0.5</f>
        <v>46.300000000000004</v>
      </c>
    </row>
    <row r="9" spans="1:31" x14ac:dyDescent="0.3">
      <c r="A9" s="1">
        <v>41334</v>
      </c>
      <c r="B9">
        <v>0</v>
      </c>
      <c r="C9">
        <f xml:space="preserve"> 1.8 + 12</f>
        <v>13.8</v>
      </c>
      <c r="D9" s="2">
        <f xml:space="preserve"> 9.5 + 4 + 8.5 + 0.4 + 1 + 3 + 2  + 0.5</f>
        <v>28.9</v>
      </c>
      <c r="E9">
        <f xml:space="preserve"> 42 + 2 + 8 + 1 + 2 + 24 + 3</f>
        <v>82</v>
      </c>
      <c r="F9">
        <f xml:space="preserve"> 3.2 + 5.6 + 0.8 + 3.6 + 13.2</f>
        <v>26.4</v>
      </c>
      <c r="G9" s="2">
        <f xml:space="preserve"> 1.8 + 6 + 10 + 12</f>
        <v>29.8</v>
      </c>
      <c r="H9" s="2">
        <v>24.6</v>
      </c>
      <c r="I9" s="2">
        <v>34.1</v>
      </c>
      <c r="J9" s="2">
        <f xml:space="preserve">  5 + 15.5 + 0.4 + 24 + 1.5 + 16.5</f>
        <v>62.9</v>
      </c>
      <c r="K9" s="2">
        <f>25</f>
        <v>25</v>
      </c>
      <c r="L9" s="2">
        <v>33</v>
      </c>
      <c r="M9" s="2">
        <f xml:space="preserve"> 8.1 + 0.7 + 34.6 + 1.4 + 5.3 + 1.3</f>
        <v>51.399999999999991</v>
      </c>
      <c r="N9" s="2">
        <f xml:space="preserve"> 26.6 + 6.2</f>
        <v>32.800000000000004</v>
      </c>
      <c r="O9" s="2">
        <f xml:space="preserve"> 11.8+ 3.2 + 12.4 + 1 + 1.2 + 3 + 0.8 + 6.2 + 5</f>
        <v>44.599999999999994</v>
      </c>
      <c r="P9" s="2">
        <v>0</v>
      </c>
      <c r="Q9">
        <f xml:space="preserve"> 2.9 + 0.5+ 7.5 + 0.1 + 1.9 + 5.9 + 0.5</f>
        <v>19.3</v>
      </c>
      <c r="R9" s="2">
        <f xml:space="preserve"> 9.4 + 3.2 + 1.9 + 4.4 + 14.2 + 6.4 + 3.8 + 6.8 + 2.6 + 2.2 + 4.4 + 16.9 + 3.5 + 4 + 7.8 + 2.4 + 4.9 + 3.6 + 1.6 + 1.2</f>
        <v>105.19999999999999</v>
      </c>
      <c r="S9">
        <f xml:space="preserve"> 5.3 + 3.2 + 2.5 + 3.7 + 2.4 + 13.5 + 0.5 + 2.5 + 2.5 + 2.5 + 4.5 + 6.5</f>
        <v>49.599999999999994</v>
      </c>
      <c r="T9" s="2">
        <f xml:space="preserve"> 1.2 + 6.7 + 1 + 0.5 + 6.4 +1.6 + 2.5 + 0.7 + 0.9</f>
        <v>21.5</v>
      </c>
      <c r="U9">
        <f xml:space="preserve"> 22 + 6 + 2 + 2.4+2</f>
        <v>34.4</v>
      </c>
      <c r="V9">
        <f xml:space="preserve"> 12.2 + 3 + 5.5 + 19.5 + 8.2</f>
        <v>48.400000000000006</v>
      </c>
      <c r="W9">
        <v>0</v>
      </c>
      <c r="X9" s="2">
        <f xml:space="preserve"> 22 + 28.5</f>
        <v>50.5</v>
      </c>
      <c r="Y9" s="2">
        <f xml:space="preserve"> 5 + 25 + 16.5 + 50 + 17.5 + 6 + 4 + 5 + 5</f>
        <v>134</v>
      </c>
      <c r="Z9" s="2">
        <f xml:space="preserve"> 4.2 + 1.8 + 23.4 + 1.6 + 3.6</f>
        <v>34.6</v>
      </c>
      <c r="AA9" s="2">
        <f xml:space="preserve"> 14.6</f>
        <v>14.6</v>
      </c>
      <c r="AB9" s="2">
        <f xml:space="preserve"> 3.2 + 1.2 + 2.1 + 4.3 + 2</f>
        <v>12.8</v>
      </c>
      <c r="AC9" s="2">
        <f xml:space="preserve"> 3.4 + 82 + 12.5</f>
        <v>97.9</v>
      </c>
      <c r="AD9" s="2">
        <f xml:space="preserve"> 2.5 + 2.5 + 10 + 1 + 13.5 + 7.5 + 7.5 + 2.1 + 1.1 + 0.8</f>
        <v>48.5</v>
      </c>
      <c r="AE9" s="2">
        <v>75.2</v>
      </c>
    </row>
    <row r="10" spans="1:31" x14ac:dyDescent="0.3">
      <c r="A10" s="1">
        <v>41365</v>
      </c>
      <c r="B10">
        <v>118.7</v>
      </c>
      <c r="C10">
        <f xml:space="preserve"> 32.5 + 10 + 38 + 15</f>
        <v>95.5</v>
      </c>
      <c r="D10" s="2">
        <f xml:space="preserve"> 0.5 + 4.5 + 9.4 + 4.5 + 20</f>
        <v>38.9</v>
      </c>
      <c r="E10">
        <f xml:space="preserve"> 6 + 17 + 1 + 1 + 12 + 20</f>
        <v>57</v>
      </c>
      <c r="F10">
        <f xml:space="preserve"> 23.4 + 8.2 + 7 + 3.8 + 51.4 + 10.4</f>
        <v>104.19999999999999</v>
      </c>
      <c r="G10" s="2">
        <f xml:space="preserve"> 22.5 + 6 + 24.5</f>
        <v>53</v>
      </c>
      <c r="H10" s="2">
        <f xml:space="preserve"> 27.5 + 13 + 47.2 + 15.2</f>
        <v>102.9</v>
      </c>
      <c r="I10" s="2">
        <f xml:space="preserve"> 10 + 48 + 11 + 23 + 26</f>
        <v>118</v>
      </c>
      <c r="J10" s="2">
        <f xml:space="preserve"> 37.5 + 0.5 + 22.5 + 33.5 + 25</f>
        <v>119</v>
      </c>
      <c r="K10" s="2">
        <f xml:space="preserve"> 52 + 1.2 + 22.4 + 18.8</f>
        <v>94.399999999999991</v>
      </c>
      <c r="L10" s="2">
        <v>87.9</v>
      </c>
      <c r="M10" s="2">
        <f xml:space="preserve"> 33.6 + 0.7 + 12 + 41</f>
        <v>87.300000000000011</v>
      </c>
      <c r="N10" s="2">
        <f xml:space="preserve"> 3.4 + 37 + 56.2</f>
        <v>96.6</v>
      </c>
      <c r="O10" s="2">
        <f xml:space="preserve"> 46 + 6.8 + 2 + 35.4 + 35.4</f>
        <v>125.6</v>
      </c>
      <c r="P10" s="2">
        <f xml:space="preserve"> 4 + 58 + 22 + 1 + 4.1 + 9.2 + 1.8 + 22 + 1.2 + 10 + 80 +0.5 + 0.6</f>
        <v>214.4</v>
      </c>
      <c r="Q10">
        <f xml:space="preserve"> 51.7 + 16.5 + 0.7 + 1.5 + 4.3 + 56.3 + 29.8</f>
        <v>160.80000000000001</v>
      </c>
      <c r="R10" s="2">
        <f xml:space="preserve"> 52.8 + 16.2 + 6.4 + 8 + 14.1 + 36 + 40.8</f>
        <v>174.3</v>
      </c>
      <c r="S10">
        <f xml:space="preserve"> 64.3 + 17.7 + 3.1 + 3.3 + 0.5 + 3.8 + 5.6 + 77.4 + 1 + 0.5</f>
        <v>177.2</v>
      </c>
      <c r="T10" s="2">
        <f xml:space="preserve"> 34.5 + 10.5 + 2.5 + 5</f>
        <v>52.5</v>
      </c>
      <c r="U10">
        <f>16+20+3.2+32.2</f>
        <v>71.400000000000006</v>
      </c>
      <c r="V10">
        <f xml:space="preserve"> 4 + 46 + 8.8 + 37.5</f>
        <v>96.3</v>
      </c>
      <c r="W10">
        <f xml:space="preserve"> 29 + 18 + 42.5 + 24.6</f>
        <v>114.1</v>
      </c>
      <c r="X10" s="2">
        <v>34.1</v>
      </c>
      <c r="Y10" s="2">
        <v>11.8</v>
      </c>
      <c r="Z10" s="2">
        <f xml:space="preserve"> 18.5 + 13 + 6.4 + 23.4 + 28.9</f>
        <v>90.199999999999989</v>
      </c>
      <c r="AA10" s="2">
        <f xml:space="preserve"> 16.4 + 2.4 + 11.2</f>
        <v>29.999999999999996</v>
      </c>
      <c r="AB10" s="2">
        <v>14.5</v>
      </c>
      <c r="AC10" s="2">
        <f xml:space="preserve"> 25 + 1.1 + 27</f>
        <v>53.1</v>
      </c>
      <c r="AD10" s="2">
        <f xml:space="preserve"> 57.4 + 9.5 + 5.8 + 0.5 + 7 + 34.2 + 0.5</f>
        <v>114.9</v>
      </c>
      <c r="AE10" s="2">
        <f xml:space="preserve"> 42 + 3 + 19</f>
        <v>64</v>
      </c>
    </row>
    <row r="11" spans="1:31" x14ac:dyDescent="0.3">
      <c r="A11" s="1">
        <v>41395</v>
      </c>
      <c r="B11">
        <v>0</v>
      </c>
      <c r="C11">
        <v>0</v>
      </c>
      <c r="D11" s="2">
        <v>0</v>
      </c>
      <c r="E11">
        <v>0</v>
      </c>
      <c r="F11" s="2">
        <f xml:space="preserve"> 17.8</f>
        <v>17.8</v>
      </c>
      <c r="G11" s="2">
        <f xml:space="preserve"> 7.5 + 9.5</f>
        <v>17</v>
      </c>
      <c r="H11" s="2">
        <f xml:space="preserve"> 2.2</f>
        <v>2.2000000000000002</v>
      </c>
      <c r="I11" s="2">
        <v>0</v>
      </c>
      <c r="J11" s="2">
        <f xml:space="preserve"> 18.5</f>
        <v>18.5</v>
      </c>
      <c r="K11" s="2">
        <v>0</v>
      </c>
      <c r="L11" s="2">
        <v>1.6</v>
      </c>
      <c r="M11" s="2">
        <f xml:space="preserve"> 1.2 + 3.2 + 0.2</f>
        <v>4.6000000000000005</v>
      </c>
      <c r="N11" s="2">
        <f xml:space="preserve"> 11.8</f>
        <v>11.8</v>
      </c>
      <c r="O11" s="2">
        <f xml:space="preserve"> 1.2 + 4</f>
        <v>5.2</v>
      </c>
      <c r="P11" s="2">
        <f xml:space="preserve"> 0.1 + 0.4 + 0.2 + 9</f>
        <v>9.6999999999999993</v>
      </c>
      <c r="Q11">
        <f xml:space="preserve"> 1.5</f>
        <v>1.5</v>
      </c>
      <c r="R11" s="2">
        <f xml:space="preserve"> 1.8 + 2.1 + 11</f>
        <v>14.9</v>
      </c>
      <c r="S11">
        <f xml:space="preserve"> 1 + 6.9 + 3.3 + 1.3 + 3.9</f>
        <v>16.399999999999999</v>
      </c>
      <c r="T11" s="2">
        <v>11.2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f xml:space="preserve"> 3 + 2.4</f>
        <v>5.4</v>
      </c>
      <c r="AE11" s="2">
        <f xml:space="preserve"> 1</f>
        <v>1</v>
      </c>
    </row>
    <row r="12" spans="1:31" x14ac:dyDescent="0.3">
      <c r="A12" s="1">
        <v>41426</v>
      </c>
      <c r="B12">
        <v>0</v>
      </c>
      <c r="C12">
        <v>0</v>
      </c>
      <c r="D12" s="2">
        <v>0</v>
      </c>
      <c r="E12">
        <v>0</v>
      </c>
      <c r="F12">
        <f>0</f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f xml:space="preserve"> 8</f>
        <v>8</v>
      </c>
      <c r="Q12" s="2">
        <f xml:space="preserve"> 0.7</f>
        <v>0.7</v>
      </c>
      <c r="R12" s="2">
        <f xml:space="preserve"> 2.8</f>
        <v>2.8</v>
      </c>
      <c r="S12">
        <f xml:space="preserve"> 1.5 + 3.4</f>
        <v>4.9000000000000004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3">
      <c r="A13" s="1">
        <v>41456</v>
      </c>
      <c r="B13">
        <v>0</v>
      </c>
      <c r="C13">
        <v>0</v>
      </c>
      <c r="D13" s="2">
        <v>0</v>
      </c>
      <c r="E13">
        <v>0</v>
      </c>
      <c r="F13" s="2">
        <f xml:space="preserve"> 0</f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f xml:space="preserve"> 2 + 4 + 1 + 1 + 22 + 6 + 1</f>
        <v>37</v>
      </c>
      <c r="Q13" s="2">
        <f xml:space="preserve"> 1.9 + 3.4 + 3.9</f>
        <v>9.1999999999999993</v>
      </c>
      <c r="R13" s="2">
        <f>1.2+1.2 + 8.4 +5.2+1.1+2.1</f>
        <v>19.200000000000003</v>
      </c>
      <c r="S13">
        <f xml:space="preserve"> 3.7 + 11.2 + 1.5 + 2.5 + 0.5</f>
        <v>19.399999999999999</v>
      </c>
      <c r="T13" s="2">
        <f xml:space="preserve"> 5 + 2.5 + 2</f>
        <v>9.5</v>
      </c>
      <c r="U13" s="2">
        <f xml:space="preserve"> 5</f>
        <v>5</v>
      </c>
      <c r="V13" s="2">
        <v>0</v>
      </c>
      <c r="W13" s="2">
        <v>0</v>
      </c>
      <c r="X13" s="2">
        <v>0</v>
      </c>
      <c r="Y13" s="2">
        <v>0</v>
      </c>
      <c r="Z13" s="2">
        <f xml:space="preserve"> 0.4</f>
        <v>0.4</v>
      </c>
      <c r="AA13" s="2">
        <v>0</v>
      </c>
      <c r="AB13" s="2">
        <f xml:space="preserve"> 1.2</f>
        <v>1.2</v>
      </c>
      <c r="AC13" s="2">
        <f xml:space="preserve"> 5.2</f>
        <v>5.2</v>
      </c>
      <c r="AD13" s="2">
        <f xml:space="preserve"> 2.3 + 6 + 4 + 3 + 3</f>
        <v>18.3</v>
      </c>
      <c r="AE13" s="2">
        <v>0</v>
      </c>
    </row>
    <row r="14" spans="1:31" x14ac:dyDescent="0.3">
      <c r="A14" t="s">
        <v>3</v>
      </c>
      <c r="B14">
        <f t="shared" ref="B14:C14" si="0">SUM(B2:B13)</f>
        <v>729.6</v>
      </c>
      <c r="C14">
        <f t="shared" si="0"/>
        <v>597.09999999999991</v>
      </c>
      <c r="D14" s="2">
        <f t="shared" ref="D14:P14" si="1" xml:space="preserve"> SUM(D2:D13)</f>
        <v>424.29999999999995</v>
      </c>
      <c r="E14" s="2">
        <f t="shared" si="1"/>
        <v>640</v>
      </c>
      <c r="F14" s="2">
        <f t="shared" si="1"/>
        <v>771.8</v>
      </c>
      <c r="G14" s="2">
        <f t="shared" si="1"/>
        <v>562</v>
      </c>
      <c r="H14" s="2">
        <f t="shared" si="1"/>
        <v>594.30000000000018</v>
      </c>
      <c r="I14" s="2">
        <f t="shared" si="1"/>
        <v>613.5</v>
      </c>
      <c r="J14" s="2">
        <f t="shared" si="1"/>
        <v>788.7</v>
      </c>
      <c r="K14" s="2">
        <f t="shared" si="1"/>
        <v>369.29999999999995</v>
      </c>
      <c r="L14" s="2">
        <f t="shared" si="1"/>
        <v>683.69999999999993</v>
      </c>
      <c r="M14" s="2">
        <f t="shared" si="1"/>
        <v>669.4</v>
      </c>
      <c r="N14" s="2">
        <f t="shared" si="1"/>
        <v>869</v>
      </c>
      <c r="O14" s="2">
        <f t="shared" si="1"/>
        <v>1048.8</v>
      </c>
      <c r="P14" s="2">
        <f t="shared" si="1"/>
        <v>1308.8000000000002</v>
      </c>
      <c r="Q14" s="2">
        <f xml:space="preserve"> SUM(Q2:Q13)</f>
        <v>1474.2000000000003</v>
      </c>
      <c r="R14" s="2">
        <f t="shared" ref="R14:T14" si="2" xml:space="preserve"> SUM(R2:R13)</f>
        <v>1615.2000000000003</v>
      </c>
      <c r="S14" s="2">
        <f t="shared" si="2"/>
        <v>1561.2000000000003</v>
      </c>
      <c r="T14" s="2">
        <f t="shared" si="2"/>
        <v>387.3</v>
      </c>
      <c r="U14" s="2">
        <f xml:space="preserve"> SUM(U2:U13)</f>
        <v>477.19999999999993</v>
      </c>
      <c r="V14" s="2">
        <f t="shared" ref="V14:Z14" si="3" xml:space="preserve"> SUM(V2:V13)</f>
        <v>676.3</v>
      </c>
      <c r="W14" s="2">
        <f t="shared" si="3"/>
        <v>569.6</v>
      </c>
      <c r="X14" s="2">
        <f t="shared" si="3"/>
        <v>575.6</v>
      </c>
      <c r="Y14" s="2">
        <f t="shared" si="3"/>
        <v>934.3</v>
      </c>
      <c r="Z14" s="2">
        <f t="shared" si="3"/>
        <v>554.4</v>
      </c>
      <c r="AA14" s="2">
        <f xml:space="preserve"> SUM(AA2:AA13)</f>
        <v>435.00000000000006</v>
      </c>
      <c r="AB14" s="2">
        <f xml:space="preserve"> SUM(AB2:AB13)</f>
        <v>546.09999999999991</v>
      </c>
      <c r="AC14" s="2">
        <f xml:space="preserve"> SUM(AC2:AC13)</f>
        <v>904.19999999999993</v>
      </c>
      <c r="AD14" s="2">
        <f xml:space="preserve"> SUM(AD2:AD13)</f>
        <v>1128.6000000000001</v>
      </c>
      <c r="AE14" s="2">
        <f xml:space="preserve"> SUM(AE2:AE13)</f>
        <v>1041.4000000000001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751F-A0AD-4EE0-935F-74C622D17093}">
  <dimension ref="A1:AF14"/>
  <sheetViews>
    <sheetView topLeftCell="Q1" workbookViewId="0">
      <selection activeCell="AG13" sqref="AG13"/>
    </sheetView>
  </sheetViews>
  <sheetFormatPr defaultRowHeight="14.4" x14ac:dyDescent="0.3"/>
  <cols>
    <col min="1" max="1" width="11" customWidth="1"/>
    <col min="2" max="2" width="18" customWidth="1"/>
    <col min="4" max="4" width="11.88671875" customWidth="1"/>
    <col min="5" max="5" width="8.88671875" style="2"/>
    <col min="6" max="6" width="11.88671875" customWidth="1"/>
    <col min="7" max="7" width="12.77734375" customWidth="1"/>
    <col min="8" max="8" width="8.88671875" style="2"/>
    <col min="9" max="10" width="14.77734375" style="2" customWidth="1"/>
    <col min="11" max="11" width="12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41487</v>
      </c>
      <c r="B2">
        <v>4.5</v>
      </c>
      <c r="C2">
        <v>0</v>
      </c>
      <c r="D2">
        <v>0</v>
      </c>
      <c r="E2" s="2">
        <v>0</v>
      </c>
      <c r="F2" s="2">
        <v>0</v>
      </c>
      <c r="G2">
        <f xml:space="preserve"> 0.4</f>
        <v>0.4</v>
      </c>
      <c r="H2" s="2">
        <v>0</v>
      </c>
      <c r="I2" s="2">
        <v>0</v>
      </c>
      <c r="J2" s="2">
        <v>0</v>
      </c>
      <c r="K2" s="2">
        <f xml:space="preserve"> 0.5</f>
        <v>0.5</v>
      </c>
      <c r="L2" s="2">
        <v>0</v>
      </c>
      <c r="M2" s="2">
        <v>0</v>
      </c>
      <c r="N2" s="2">
        <f xml:space="preserve"> 10.8 + 11 + 0.4 + 0.8</f>
        <v>23</v>
      </c>
      <c r="O2" s="2">
        <f xml:space="preserve"> 5.6</f>
        <v>5.6</v>
      </c>
      <c r="P2" s="2">
        <v>0</v>
      </c>
      <c r="Q2" s="2">
        <f xml:space="preserve"> 0.2 + 5 + 4.5 + 0.2 + 4 + 3.8 + 0.1 + 7.5 + 12 + 8 + 3</f>
        <v>48.3</v>
      </c>
      <c r="R2">
        <f xml:space="preserve"> 4.3 + 2.5</f>
        <v>6.8</v>
      </c>
      <c r="S2" s="2">
        <f xml:space="preserve"> 14.6 + 3.6 + 3.2 + 6.1 + 1.2</f>
        <v>28.7</v>
      </c>
      <c r="T2">
        <f xml:space="preserve"> 3.7 + 0.5 + 0.5 + 1.5 + 0.1 + 2.1 + 6.2 + 1.5 + 0.5</f>
        <v>16.600000000000001</v>
      </c>
      <c r="U2" s="2">
        <f xml:space="preserve"> 0.7</f>
        <v>0.7</v>
      </c>
      <c r="V2">
        <v>0</v>
      </c>
      <c r="W2">
        <v>0</v>
      </c>
      <c r="X2">
        <v>0</v>
      </c>
      <c r="Y2" s="2">
        <v>0</v>
      </c>
      <c r="Z2" s="2">
        <v>0</v>
      </c>
      <c r="AA2" s="2">
        <v>0</v>
      </c>
      <c r="AB2" s="2">
        <v>0</v>
      </c>
      <c r="AC2" s="2">
        <f xml:space="preserve"> 6</f>
        <v>6</v>
      </c>
      <c r="AD2" s="2">
        <f xml:space="preserve"> 4</f>
        <v>4</v>
      </c>
      <c r="AE2" s="2">
        <f>3.4+4+0.5+2.6+2+9</f>
        <v>21.5</v>
      </c>
      <c r="AF2" s="2">
        <f xml:space="preserve"> 14.6 + 2</f>
        <v>16.600000000000001</v>
      </c>
    </row>
    <row r="3" spans="1:32" x14ac:dyDescent="0.3">
      <c r="A3" s="1">
        <v>41518</v>
      </c>
      <c r="B3">
        <v>0</v>
      </c>
      <c r="C3">
        <v>0</v>
      </c>
      <c r="D3">
        <v>0</v>
      </c>
      <c r="E3" s="2">
        <v>0</v>
      </c>
      <c r="F3">
        <f xml:space="preserve"> 1 + 10</f>
        <v>11</v>
      </c>
      <c r="G3" s="2">
        <v>0</v>
      </c>
      <c r="H3" s="2">
        <f xml:space="preserve"> 9</f>
        <v>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27</v>
      </c>
      <c r="P3" s="2">
        <v>0</v>
      </c>
      <c r="Q3" s="2">
        <f xml:space="preserve"> 1 + 10 + 22 + 2</f>
        <v>35</v>
      </c>
      <c r="R3">
        <f xml:space="preserve"> 5.5 + 10</f>
        <v>15.5</v>
      </c>
      <c r="S3" s="2">
        <f xml:space="preserve"> 2.1 + 8.8 + 10 + 22.2</f>
        <v>43.099999999999994</v>
      </c>
      <c r="T3">
        <f xml:space="preserve"> 3.2 + 7.3 + 16.3</f>
        <v>26.8</v>
      </c>
      <c r="U3" s="2">
        <f xml:space="preserve"> 10</f>
        <v>10</v>
      </c>
      <c r="V3">
        <f xml:space="preserve"> 4</f>
        <v>4</v>
      </c>
      <c r="W3">
        <v>0</v>
      </c>
      <c r="X3">
        <f xml:space="preserve"> 1.4</f>
        <v>1.4</v>
      </c>
      <c r="Y3" s="2">
        <v>0</v>
      </c>
      <c r="Z3" s="2">
        <v>0</v>
      </c>
      <c r="AA3" s="2">
        <f xml:space="preserve"> 0.1</f>
        <v>0.1</v>
      </c>
      <c r="AB3" s="2">
        <v>0</v>
      </c>
      <c r="AC3" s="2">
        <f xml:space="preserve"> 1.2 + 2.4</f>
        <v>3.5999999999999996</v>
      </c>
      <c r="AD3" s="2">
        <v>0</v>
      </c>
      <c r="AE3" s="2">
        <f xml:space="preserve"> 3.8 + 8 + 4.8</f>
        <v>16.600000000000001</v>
      </c>
      <c r="AF3" s="2">
        <f xml:space="preserve"> 3.5 + 21</f>
        <v>24.5</v>
      </c>
    </row>
    <row r="4" spans="1:32" x14ac:dyDescent="0.3">
      <c r="A4" s="1">
        <v>41548</v>
      </c>
      <c r="B4">
        <v>0</v>
      </c>
      <c r="C4">
        <f xml:space="preserve"> 3.2 + 7 +10 + 7</f>
        <v>27.2</v>
      </c>
      <c r="D4">
        <v>0</v>
      </c>
      <c r="E4" s="2">
        <f xml:space="preserve"> 14 + 2.5 + 3</f>
        <v>19.5</v>
      </c>
      <c r="F4">
        <f xml:space="preserve"> 21 + 1 + 11 + 11 + 36 + 7 + 8 + 4 + 24 + 1 + 13 + 5</f>
        <v>142</v>
      </c>
      <c r="G4" s="2">
        <v>18</v>
      </c>
      <c r="H4" s="2">
        <v>13</v>
      </c>
      <c r="I4" s="2">
        <v>28</v>
      </c>
      <c r="J4" s="2">
        <v>12.5</v>
      </c>
      <c r="K4" s="2">
        <v>22.4</v>
      </c>
      <c r="L4" s="2">
        <v>45.8</v>
      </c>
      <c r="M4" s="2">
        <v>0</v>
      </c>
      <c r="N4" s="2">
        <v>56.4</v>
      </c>
      <c r="O4" s="2">
        <v>43.9</v>
      </c>
      <c r="P4" s="2">
        <f xml:space="preserve"> 2 + 2.2 + 11.2 + 4 + 1.2 + 13.4 + 0.8 + 16.6</f>
        <v>51.4</v>
      </c>
      <c r="Q4" s="2">
        <f xml:space="preserve"> 6 + 1.1 + 5 + 3.2 + 7 + 1.2 + 5 + 0.8 + 6 + 2.2  + 0.5 + 1 + 16 + 30 + 0.5 + 10 + 20</f>
        <v>115.5</v>
      </c>
      <c r="R4">
        <f xml:space="preserve"> 0.6+ 1.5 + 3.6 + 2.7 + 4.5 + 5.6 + 25.5 + 7.4 + 6.4</f>
        <v>57.8</v>
      </c>
      <c r="S4" s="2">
        <f xml:space="preserve"> 8.2 + 2.1 + 1.9 + 3.4 + 1.6 + 3.2 + 2 + 3 + 5 + 10 + 12.2 + 20.8 + 11.7 + 16.3</f>
        <v>101.39999999999999</v>
      </c>
      <c r="T4">
        <f xml:space="preserve"> 60 + 11.9</f>
        <v>71.900000000000006</v>
      </c>
      <c r="U4" s="2">
        <f xml:space="preserve"> 5 + 6 + 12.9 + 41.5 + 31.5 + 7</f>
        <v>103.9</v>
      </c>
      <c r="V4">
        <f xml:space="preserve"> 14.5 + 9.2 + 18</f>
        <v>41.7</v>
      </c>
      <c r="W4">
        <f xml:space="preserve"> 5.5 + 6.5 + 3.2 + 7.5 + 55 + 1.5 + 3</f>
        <v>82.2</v>
      </c>
      <c r="X4">
        <f xml:space="preserve"> 3 + 5.8 + 13.4 + 3 + 6.8 + 9.5 + 37 + 7.3 + 1.1</f>
        <v>86.899999999999991</v>
      </c>
      <c r="Y4" s="2">
        <f xml:space="preserve"> 4.3 + 1 + 6 + 12.9</f>
        <v>24.200000000000003</v>
      </c>
      <c r="Z4" s="2">
        <f xml:space="preserve"> 56.3</f>
        <v>56.3</v>
      </c>
      <c r="AA4" s="2">
        <f xml:space="preserve"> 1.5 + 2.8 + 0.7 + 0.4 + 8.5 + 12+ 16.5</f>
        <v>42.4</v>
      </c>
      <c r="AB4" s="2">
        <f xml:space="preserve"> 3.4 + 2</f>
        <v>5.4</v>
      </c>
      <c r="AC4" s="2">
        <f xml:space="preserve"> 1.1 + 3.3 + 1.4</f>
        <v>5.8000000000000007</v>
      </c>
      <c r="AD4" s="2">
        <f xml:space="preserve"> 2 + 1 + 8.2</f>
        <v>11.2</v>
      </c>
      <c r="AE4" s="2">
        <f xml:space="preserve"> 0.6 + 0.6 + 4.8 + 5.3 + 2.3 + 3.2 + 6.7 + 7.8</f>
        <v>31.3</v>
      </c>
      <c r="AF4" s="2">
        <f xml:space="preserve"> 0.5 + 6 + 1.8 + 18.5</f>
        <v>26.8</v>
      </c>
    </row>
    <row r="5" spans="1:32" x14ac:dyDescent="0.3">
      <c r="A5" s="1">
        <v>41579</v>
      </c>
      <c r="B5">
        <v>80.400000000000006</v>
      </c>
      <c r="C5">
        <f xml:space="preserve"> 8 +5 +1.3 + 10 +13 + 10 + 3.5 +8.5 +15</f>
        <v>74.3</v>
      </c>
      <c r="D5">
        <v>0</v>
      </c>
      <c r="E5" s="2">
        <f xml:space="preserve"> 5.5 + 30</f>
        <v>35.5</v>
      </c>
      <c r="F5" s="2">
        <v>73.8</v>
      </c>
      <c r="G5">
        <f xml:space="preserve"> 8.6 + 2.8 + 38.6 + 2.6 + 24.2 + 1 + 31.6 + 13.6</f>
        <v>123</v>
      </c>
      <c r="H5" s="2">
        <f xml:space="preserve"> 3 + 4 + 9.2 + 41.5 + 22 + 13.6 + 39.2 + 6</f>
        <v>138.5</v>
      </c>
      <c r="I5" s="2">
        <f xml:space="preserve"> 6.6 + 23.6 + 2.4 + 48.3 + 1.9 + 1.2 + 6.3 + 7.6</f>
        <v>97.9</v>
      </c>
      <c r="J5" s="2">
        <f xml:space="preserve"> 2.6 + 6.8 + 1.8 + 56 + 6.6 + 2.6 + 29 + 8</f>
        <v>113.39999999999999</v>
      </c>
      <c r="K5" s="2">
        <f xml:space="preserve"> 8.5 + 8 + 10.5 + 58 + 29 + 9 + 18.5 + 23.5</f>
        <v>165</v>
      </c>
      <c r="L5" s="2">
        <f xml:space="preserve"> 0.4 + 2.8 + 3.8 + 27.4 + 2.8 + 28.6 + 0.2 + 1.4 + 15.3 + 24.7</f>
        <v>107.4</v>
      </c>
      <c r="M5" s="2">
        <f xml:space="preserve"> 11 + 8.2 + 22.4 + 42.4 + 24 + 21 + 6.2 + 28 + 6.4</f>
        <v>169.6</v>
      </c>
      <c r="N5" s="2">
        <f xml:space="preserve"> 4 + 28.8 + 42.4 + 2 + 3.4 + 6.4 + 6.9</f>
        <v>93.9</v>
      </c>
      <c r="O5" s="2">
        <f xml:space="preserve"> 31.8 +1 + 31.2</f>
        <v>64</v>
      </c>
      <c r="P5" s="2">
        <f xml:space="preserve"> 2.2 + 4 + 1.8 + 2.8 + 33.8 + 4 + 44 + 3.4 + 3.8 + 4.6 + 1 + 15.4</f>
        <v>120.8</v>
      </c>
      <c r="Q5" s="2">
        <f xml:space="preserve"> 1.8 + 1 + 17 + 9 + 4 + 28 + 7.2 + 26 + 18 + 0.8 + 4 + 2 + 12 + 5 + 7</f>
        <v>142.80000000000001</v>
      </c>
      <c r="R5">
        <f xml:space="preserve"> 26.2 + 3.5 + 1 + 9.2 + 13.5 + 57 + 2.2 + 0.4 + 12.2 + 1.2 + 6.2 + 2 + 7.5</f>
        <v>142.10000000000002</v>
      </c>
      <c r="S5" s="2">
        <f xml:space="preserve"> 4.4 + 13.4 + 5.8 + 4 + 4.3 + 17.8 + 9.2 + 10 + 14.2 + 2.1 + 1.8 + 6.2+12+17.4</f>
        <v>122.6</v>
      </c>
      <c r="T5">
        <f xml:space="preserve"> 0.5 + 1.7 + 9.3 + 5.4 + 2.4 + 2.1 + 12.2 + 4.2 + 1 + 2.8 + 5.3 + 6.6</f>
        <v>53.499999999999993</v>
      </c>
      <c r="U5" s="2">
        <f xml:space="preserve"> 20 + 21 + 20.5 + 27 + 17 + 10 + 3 + 2+ 5</f>
        <v>125.5</v>
      </c>
      <c r="V5">
        <f xml:space="preserve"> 18.2 + 25 + 2</f>
        <v>45.2</v>
      </c>
      <c r="W5">
        <f xml:space="preserve"> 1.5 + 19.5</f>
        <v>21</v>
      </c>
      <c r="X5">
        <f xml:space="preserve"> 7.7</f>
        <v>7.7</v>
      </c>
      <c r="Y5" s="2">
        <f xml:space="preserve"> 8.2 + 11.1 + 0.7 + 2.1 + 8.5</f>
        <v>30.599999999999998</v>
      </c>
      <c r="Z5" s="2">
        <f xml:space="preserve"> 11.8 + 5.1 + 7.5 + 32.4 + 1.6 + 14.9 + 4</f>
        <v>77.3</v>
      </c>
      <c r="AA5" s="2">
        <f xml:space="preserve"> 2 + 6.4 + 66 + 1.5 + 0.8 + 34.5</f>
        <v>111.2</v>
      </c>
      <c r="AB5" s="2">
        <f xml:space="preserve"> 13 + 20</f>
        <v>33</v>
      </c>
      <c r="AC5" s="2">
        <f xml:space="preserve"> 1.1 + 11.2 + 26.2 + 10.2 + 1.4 + 32.2</f>
        <v>82.300000000000011</v>
      </c>
      <c r="AD5" s="2">
        <f xml:space="preserve"> 5.7 + 41.2 + 21 + 2.8 + 5.4</f>
        <v>76.100000000000009</v>
      </c>
      <c r="AE5" s="2">
        <f xml:space="preserve"> 2.5 + 2 + 1 + 1.5 + 6.7 + 23.3 + 22.6 + 10.8 + 1 + 1</f>
        <v>72.400000000000006</v>
      </c>
      <c r="AF5" s="2">
        <f xml:space="preserve"> 47.2 + 29.3 + 6.8</f>
        <v>83.3</v>
      </c>
    </row>
    <row r="6" spans="1:32" x14ac:dyDescent="0.3">
      <c r="A6" s="1">
        <v>41609</v>
      </c>
      <c r="B6">
        <v>131</v>
      </c>
      <c r="C6">
        <f>83 + 7 + 8.2 +13 + 25 + 3.5 + 34 + 30 +3.8 + 14 + 5 + 11</f>
        <v>237.5</v>
      </c>
      <c r="D6">
        <v>0</v>
      </c>
      <c r="E6" s="2">
        <f xml:space="preserve"> 2 + 21.5 + 43.5 + 15 + 4.5 + 4 + 9.5</f>
        <v>100</v>
      </c>
      <c r="F6" s="2">
        <v>95</v>
      </c>
      <c r="G6">
        <f xml:space="preserve"> 3.6 + 8.4 + 4.2 + 2.8 + 5.7 + 20.2 + 5.8 + 1.2 + 5.2 + 5.8 + 2.2 + 11.2 + 3.2</f>
        <v>79.5</v>
      </c>
      <c r="H6" s="2">
        <f xml:space="preserve"> 7.5 + 11.5 + 3 + 24 + 10 + 5.5 + 17 + 1.5 +5 + 4.5 + 23.5 + 3.5</f>
        <v>116.5</v>
      </c>
      <c r="I6" s="2">
        <f xml:space="preserve"> 2.1 + 9.2 + 2.6 + 8.8 + 23.8 + 6.3+ 2.9 + 28.4 + 1.7 + 1.9 + 17.6 + 27.6</f>
        <v>132.9</v>
      </c>
      <c r="J6" s="2">
        <f xml:space="preserve"> 15.6 + 17.2 + 21.6 + 19.2 + 7.4 + 4.2 + 59.4 + 25.6</f>
        <v>170.2</v>
      </c>
      <c r="K6" s="2">
        <f xml:space="preserve"> 35.5 + 8.3 + 5.5 + 35 + 2 + 5 + 10.3 + 12.5 + 10.5 + 10</f>
        <v>134.6</v>
      </c>
      <c r="L6" s="2">
        <v>107</v>
      </c>
      <c r="M6" s="2">
        <f xml:space="preserve"> 2.6 + 11 + 36 + 2 + 2 + 30.6 + 2.2 + 3 + 1.4 + 3.2 + 3.2 + 4.4</f>
        <v>101.60000000000002</v>
      </c>
      <c r="N6" s="2">
        <f xml:space="preserve"> 0.5 + 4.8 + 3.4 + 1.4 + 29.9 + 0.8 + 27 + 0.1 + 2.8 + 38.8 + 23.4 + 28.8</f>
        <v>161.69999999999999</v>
      </c>
      <c r="O6" s="2">
        <f xml:space="preserve"> 63 + 8.2 + 63.2 + 139.6</f>
        <v>274</v>
      </c>
      <c r="P6" s="2">
        <f xml:space="preserve"> 2.2 + 4.6 + 6.4 + 5.4 + 3.2 + 26.8 + 1 + 56.2 + 5 + 3.2 + 2 + 0.8 +1 + 6.8 + 244 + 24.2 + 41.2</f>
        <v>434</v>
      </c>
      <c r="Q6" s="2">
        <f xml:space="preserve"> 23 + 8.5 + 2 + 18 + 8 + 9 + 0.4 + 0.8 + 30 + 5.6 + 170 + 120 + 17 + 10 + 8 + 4 + 6 + 1 + 0.4 + 20 + 28 + 14 + 46 + 22 + 1.2</f>
        <v>572.90000000000009</v>
      </c>
      <c r="R6">
        <f xml:space="preserve"> 5 + 0.7 + 63.2 + 9.4 + 2.1 + 20.5 + 2.3 + 2.6 + 62.2 + 72.4 + 32.5 + 7.2</f>
        <v>280.09999999999997</v>
      </c>
      <c r="S6" s="2">
        <f xml:space="preserve"> 8 + 25.4 + 15.2 + 11.2 + 43.6 + 12.3 + 6.5 + 37.2 + 8.5 + 2 + 2.6 + 21.3 + 4.5 + 57.2 + 25.6</f>
        <v>281.10000000000002</v>
      </c>
      <c r="T6">
        <f xml:space="preserve"> 3.9 + 4.2 + 19.2+ 7 + 14.6 + 3.2 + 40 + 1.2 + 7.1 + 14.8 + 54.8 + 6.3 + 3.1 + 2.9 + 72.3 + 29.6 + 22.1 + 37.2</f>
        <v>343.50000000000006</v>
      </c>
      <c r="U6" s="2">
        <f xml:space="preserve"> 7 + 63 + 2.5 + 2.8 + 10.2 + 10 + 4.5 + 0.5 + 1 + 2 + 4.5 + 36 + 6</f>
        <v>150</v>
      </c>
      <c r="V6">
        <f xml:space="preserve"> 4 + 3.2 + 22 + 31.2 + 56 + 10 + 38 + 2 + 1.2</f>
        <v>167.6</v>
      </c>
      <c r="W6">
        <f xml:space="preserve"> 11.5 + 56.5 + 10.1 + 5.5 + 3 + 7.5 + 11 + 26.5 + 4</f>
        <v>135.6</v>
      </c>
      <c r="X6">
        <f xml:space="preserve"> 11 + 70 + 37 + 9.6 + 10.5 + 3 + 4.5 + 91.5 + 3.5 + 5</f>
        <v>245.6</v>
      </c>
      <c r="Y6" s="2">
        <f xml:space="preserve"> 4.2 + 1.2 + 11 + 2 + 1.9 + 2.6 + 15.1 + 22 + 3.9</f>
        <v>63.9</v>
      </c>
      <c r="Z6" s="2">
        <f xml:space="preserve"> 4.2 + 22.5 + 2.9 + 34.5 + 2.7 + 16.3 + 0.2 + 0.3 + 6.7 + 28.1 + 2.2</f>
        <v>120.60000000000001</v>
      </c>
      <c r="AA6" s="2">
        <f xml:space="preserve"> 3 + 3.8 + 38.4 + 21.3 + 10.1 + 1 + 21.2 + 26.4 + 15.1 + 2 + 0.2</f>
        <v>142.49999999999997</v>
      </c>
      <c r="AB6" s="2">
        <f xml:space="preserve"> 25 + 17 + 10 + 3 + 7</f>
        <v>62</v>
      </c>
      <c r="AC6" s="2">
        <f xml:space="preserve"> 1 + 24 + 2.1</f>
        <v>27.1</v>
      </c>
      <c r="AD6" s="2">
        <f xml:space="preserve"> 11.2 + 13.2 + 7 + 5.2 + 8.4 + 2.4</f>
        <v>47.4</v>
      </c>
      <c r="AE6" s="2">
        <f xml:space="preserve"> 15.3 + 1 + 10 + 3.9 + 10.5 + 6.6 + 2.4 + 1.6 + 45.5+ 29</f>
        <v>125.80000000000001</v>
      </c>
      <c r="AF6" s="2">
        <f xml:space="preserve"> 2 + 3 + 5 + 40 + 22.5 + 40</f>
        <v>112.5</v>
      </c>
    </row>
    <row r="7" spans="1:32" x14ac:dyDescent="0.3">
      <c r="A7" s="1">
        <v>41640</v>
      </c>
      <c r="B7">
        <v>55.9</v>
      </c>
      <c r="C7">
        <f xml:space="preserve"> 33  + 34 + 44</f>
        <v>111</v>
      </c>
      <c r="D7">
        <f xml:space="preserve"> 25.2 + 3.5 + 8.9 + 33 + 24.6 + 45.4 + 23.2</f>
        <v>163.79999999999998</v>
      </c>
      <c r="E7" s="2">
        <f xml:space="preserve"> 18.5 + 2.5 + 7.5 + 8.5 + 3 + 25 + 12.5</f>
        <v>77.5</v>
      </c>
      <c r="F7">
        <f xml:space="preserve"> 6 + 9 + 1 + 5 + 1 + 24 + 5 + 6 + 1</f>
        <v>58</v>
      </c>
      <c r="G7">
        <f xml:space="preserve"> 18 + 8.2 + 23.3</f>
        <v>49.5</v>
      </c>
      <c r="H7" s="2">
        <f xml:space="preserve"> 2 + 3.5 + 6 + 10 + 1.5 + 4 + 37</f>
        <v>64</v>
      </c>
      <c r="I7" s="2">
        <f xml:space="preserve"> 7.6 + 6.7 + 4.5 + 3.5 + 21 + 0.7</f>
        <v>44</v>
      </c>
      <c r="J7" s="2">
        <f xml:space="preserve"> 0</f>
        <v>0</v>
      </c>
      <c r="K7" s="2">
        <f xml:space="preserve"> 17 + 20 + 0.8 + 1.5 + 2.5 + 2.5 + 16.5</f>
        <v>60.8</v>
      </c>
      <c r="L7" s="2">
        <f xml:space="preserve"> 4.8 + 5.6 + 3.5</f>
        <v>13.899999999999999</v>
      </c>
      <c r="M7" s="2">
        <v>28.5</v>
      </c>
      <c r="N7" s="2">
        <f xml:space="preserve"> 24 + 1.2 + 1.3 + 11 + 2.2 + 0.4 + 2.2 + 0.2 + 6.3 + 4.5 + 0.8 + 8.8 + 14.8</f>
        <v>77.7</v>
      </c>
      <c r="O7" s="2">
        <f xml:space="preserve"> 10.8 + 38.8 + 27.8</f>
        <v>77.399999999999991</v>
      </c>
      <c r="P7" s="2">
        <f xml:space="preserve"> 6.8 + 5 + 1 + 1.8 + 3 + 2 + 3 + 6.8 +4.2 + 12.6 + 31.6 + 16.6 + 32.8 + 35.8 + 7</f>
        <v>170</v>
      </c>
      <c r="Q7" s="2">
        <f xml:space="preserve"> 2 + 20 + 0.5 + 3.5 + 2.5 + 18 + 1.8 + 7 + 10 + 2 + 0.5  + 2.5 + 4 + 1.2 + 8 + 48 + 83 + 43 + 26 + 40 + 36</f>
        <v>359.5</v>
      </c>
      <c r="R7">
        <f xml:space="preserve"> 25.2 + 7.5 + 5.2 + 22.5 + 0.9 + 0.9 + 33.5 + 47.5 + 15 + 17 + 44 + 14.5</f>
        <v>233.7</v>
      </c>
      <c r="S7" s="2">
        <f xml:space="preserve"> 3.2 + 36 + 1.8 + 3.6 + 6.2 + 14.8+ 9.2 + 2.1 + 2.3 + 7.4 + 1 + 17.2 + 74.3 + 110.5 + 80.4 + 14.6 + 47.6 + 20.6</f>
        <v>452.80000000000007</v>
      </c>
      <c r="T7">
        <f xml:space="preserve"> 6.5 + 20.8 + 3.7 + 3.5 + 3.4 + 4.7 + 1.8 + 7.5 + 32.7 + 45.5 + 28.5 + 9.5 + 24.9</f>
        <v>193</v>
      </c>
      <c r="U7" s="2">
        <f xml:space="preserve"> 56 + 4 + 99 + 3 + 10.2 + 1 + 10 + 3.8 + 5.1 + 11 + 3 + 2.5 + 21</f>
        <v>229.6</v>
      </c>
      <c r="V7">
        <f xml:space="preserve"> 3 + 6.6 + 10.4 + 5 + 8 + 2.4 + 12</f>
        <v>47.4</v>
      </c>
      <c r="W7">
        <f xml:space="preserve"> 4.5 + 0.7 + 21 + 46 + 1.5 + 15 + 42 + 18 + 1.5 + 2 + 1</f>
        <v>153.19999999999999</v>
      </c>
      <c r="X7">
        <f xml:space="preserve"> 5.5 + 13 + 5.1 + 38 + 7 + 1 + 12</f>
        <v>81.599999999999994</v>
      </c>
      <c r="Y7" s="2">
        <f xml:space="preserve"> 62 + 3 + 17.1 + 8.6 + 6 + 4.3 + 18.2 + 7.8</f>
        <v>126.99999999999999</v>
      </c>
      <c r="Z7" s="2">
        <f xml:space="preserve"> 2 + 12 + 13 + 4.5</f>
        <v>31.5</v>
      </c>
      <c r="AA7" s="2">
        <f xml:space="preserve"> 7.6 + 16.5 + 30 + 2.3 + 23.5 + 16 + 0.7 + 1 +3 + 1.4 + 6.5</f>
        <v>108.50000000000001</v>
      </c>
      <c r="AB7" s="2">
        <f xml:space="preserve"> 22 + 32 + 2 + 1.6 + 2 + 13</f>
        <v>72.599999999999994</v>
      </c>
      <c r="AC7" s="2">
        <f xml:space="preserve"> 1 + 6.4 + 20 + 1.2 + 7 + 3.1 + 17.4 + 9.2 + 3 + 11.3 + 12</f>
        <v>91.6</v>
      </c>
      <c r="AD7" s="2">
        <f xml:space="preserve"> 49 + 52 + 5.4 + 12.7 + 26 + 21.8 + 4.2 + 119.3 + 59.4</f>
        <v>349.8</v>
      </c>
      <c r="AE7" s="2">
        <f xml:space="preserve"> 0.7 + 17.6 + 17.6 + 76.8 + 3.5 + 2.3 + 3.5 + 0.7 + 76.5 + 6.7 + 4.7 + 40.5 + 48.1</f>
        <v>299.2</v>
      </c>
      <c r="AF7" s="2">
        <f xml:space="preserve"> 38 + 25.5 + 6 + 14 + 17</f>
        <v>100.5</v>
      </c>
    </row>
    <row r="8" spans="1:32" x14ac:dyDescent="0.3">
      <c r="A8" s="1">
        <v>41671</v>
      </c>
      <c r="B8">
        <v>150.80000000000001</v>
      </c>
      <c r="C8">
        <f xml:space="preserve"> 3 + 10.5 + 38 +16 +11 + 6 +1 +7.3</f>
        <v>92.8</v>
      </c>
      <c r="D8">
        <f>55 + 29.5 + 14 + 21 + 60 + 11.5 + 5.8</f>
        <v>196.8</v>
      </c>
      <c r="E8" s="2">
        <f xml:space="preserve"> 45 + 6.5 + 4.5 + 10.5 + 93 + 2.5 + 2 + 7 + 20 + 2.5</f>
        <v>193.5</v>
      </c>
      <c r="F8">
        <v>0</v>
      </c>
      <c r="G8" s="2">
        <f xml:space="preserve"> 23.3 + 9.8 + 44 + 7.6 + 8.8</f>
        <v>93.499999999999986</v>
      </c>
      <c r="H8" s="2">
        <f xml:space="preserve"> 21 + 27 + 3 + 11</f>
        <v>62</v>
      </c>
      <c r="I8" s="2">
        <v>85.6</v>
      </c>
      <c r="J8" s="2">
        <v>98.1</v>
      </c>
      <c r="K8" s="2">
        <f xml:space="preserve">  13.5 + 34</f>
        <v>47.5</v>
      </c>
      <c r="L8" s="2">
        <v>93.5</v>
      </c>
      <c r="M8" s="2">
        <v>107.6</v>
      </c>
      <c r="N8" s="2">
        <f xml:space="preserve"> 1 + 26.1 + 9 + 2.4 + 0.3 + 3.2 + 3.9 + 0.3 + 4.2 + 2.1 + 21.5</f>
        <v>74</v>
      </c>
      <c r="O8" s="2">
        <f xml:space="preserve"> 37.6 + 9.6 + 32</f>
        <v>79.2</v>
      </c>
      <c r="P8" s="2">
        <f xml:space="preserve"> 1.2 + 24.8 + 9 + 5.6 + 7.2 + 1.8 + 28 + 3 + 1.8 + 1.2 + 1.1</f>
        <v>84.699999999999989</v>
      </c>
      <c r="Q8" s="2">
        <f xml:space="preserve"> 14.8+ 40 + 3.5 + 4.6 + 10  + 1 + 0.5 + 22 + 4 + 6 + 14 + 12 + 2 + 0.5 + 34 + 2.2</f>
        <v>171.1</v>
      </c>
      <c r="R8">
        <f xml:space="preserve"> 14 + 14.5 + 3.2 + 33.7 + 11+ 5.2 + 25.3 + 14.3 + 6.5</f>
        <v>127.7</v>
      </c>
      <c r="S8" s="2">
        <f xml:space="preserve"> 42.1 + 44.7 + 4 + 8.4 + 18.4 + 23.4 + 13.8 + 4.6 + 1.1 + 1.6 + 11.6 + 9.2 + 1.4 + 21.6 + 1.6</f>
        <v>207.5</v>
      </c>
      <c r="T8">
        <f xml:space="preserve"> 4.4 + 24.4 + 4.2 + 18.4 + 8.5 + 0.5 + 18.8 + 6.4 + 4.6 + 9.2 + 9.4 + 3.9 + 1.7 + 11.9 + 7.9</f>
        <v>134.20000000000002</v>
      </c>
      <c r="U8" s="2">
        <f xml:space="preserve"> 2.5 + 10.1 + 6.3 + 15.6 + 10.6 + 8.5 + 1.9 + 1.6 + 0.5 + 1 + 0.5</f>
        <v>59.1</v>
      </c>
      <c r="V8">
        <f xml:space="preserve"> 8 + 22 + 2.4</f>
        <v>32.4</v>
      </c>
      <c r="W8">
        <v>0</v>
      </c>
      <c r="X8">
        <f xml:space="preserve"> 13 + 5.6 + 3 + 53 + 3</f>
        <v>77.599999999999994</v>
      </c>
      <c r="Y8" s="2">
        <f xml:space="preserve"> 10.4 + 53.2 + 22.4</f>
        <v>86</v>
      </c>
      <c r="Z8" s="2">
        <f xml:space="preserve"> 7 + 2.5 + 10.5</f>
        <v>20</v>
      </c>
      <c r="AA8" s="2">
        <f xml:space="preserve"> 5.1 + 1.5 + 1.4</f>
        <v>8</v>
      </c>
      <c r="AB8" s="2">
        <f xml:space="preserve"> 1 + 9 + 11 + 28 + 11 + 1</f>
        <v>61</v>
      </c>
      <c r="AC8" s="2">
        <f xml:space="preserve"> 10 + 3.2 + 67.2 + 42 + 13.2 + 1 + 5.1 + 2</f>
        <v>143.69999999999999</v>
      </c>
      <c r="AD8" s="2">
        <f xml:space="preserve"> 72 + 47 + 14 + 43 + 38.3 + 3 + 15.5</f>
        <v>232.8</v>
      </c>
      <c r="AE8" s="2">
        <f xml:space="preserve"> 2 + 76.5 + 5.4 + 1.5 + 31.2 + 1.4 + 1 + 2.5 + 28.1 + 7.3 + 1.6 + 7 + 14 + 4</f>
        <v>183.50000000000003</v>
      </c>
      <c r="AF8" s="2">
        <f xml:space="preserve"> 13.3 + 8 + 11 + 43.3 + 2 + 4.4</f>
        <v>82</v>
      </c>
    </row>
    <row r="9" spans="1:32" x14ac:dyDescent="0.3">
      <c r="A9" s="1">
        <v>41699</v>
      </c>
      <c r="B9">
        <v>186</v>
      </c>
      <c r="C9">
        <f xml:space="preserve"> 14 +65 + 34.3 +4 + 1.2 + 21.5 +48.5 +21.3 + 2.8 + 3.8 + 2 + 3</f>
        <v>221.40000000000003</v>
      </c>
      <c r="D9">
        <f xml:space="preserve"> 13.5 + 7 + 2.5 + 13 + 38 + 8.5 + 29 + 9 +19.5 + 4+ 2.4</f>
        <v>146.4</v>
      </c>
      <c r="E9" s="2">
        <f xml:space="preserve"> 11 + 4.5 + 20.2 + 5 + 7.5 + 12 + 3 + 28 + 6 + 8.5 + 5.5 + 0.3</f>
        <v>111.5</v>
      </c>
      <c r="F9">
        <v>0</v>
      </c>
      <c r="G9" s="2">
        <v>68</v>
      </c>
      <c r="H9" s="2">
        <f xml:space="preserve"> 8 + 11 + 9 + 31 + 32 + 17 + 6 + 18.2 + 4 + 27 + 15 + 33 + 45 + 5.5</f>
        <v>261.7</v>
      </c>
      <c r="I9" s="2">
        <v>103</v>
      </c>
      <c r="J9" s="2">
        <v>114.5</v>
      </c>
      <c r="K9" s="2">
        <f xml:space="preserve"> 2.5 + 12.5 + 7.5 + 4.5 + 30 + 7 + 8 + 8.5 + 1 + 17.5 + 0.5 + 13.5</f>
        <v>113</v>
      </c>
      <c r="L9" s="2">
        <f xml:space="preserve"> 33.6 + 10.8 + 35.7 + 1.6 + 46.6 + 22 + 17.3 + 4.2 + 2.6 + 0.3</f>
        <v>174.70000000000002</v>
      </c>
      <c r="M9" s="2">
        <v>103</v>
      </c>
      <c r="N9" s="2">
        <f>42.7 + 40.4 + 38.6 + 50.6 + 15.4 + 1.8 + 6.6 + 4.2 + 1.8 + 11 + 1.4 + 11.8</f>
        <v>226.3</v>
      </c>
      <c r="O9" s="2">
        <f xml:space="preserve"> 51.8 +222.4 +12.6</f>
        <v>286.8</v>
      </c>
      <c r="P9" s="2">
        <f xml:space="preserve"> 24 + 72.8 + 61.2 + 79.4 + 1.4 + 32.8 + 38 + 14.4 + 10.4 + 3 + 1 + 1.2 + 12.4</f>
        <v>351.99999999999994</v>
      </c>
      <c r="Q9" s="2">
        <f xml:space="preserve"> 1.5 + 10.2 + 9 + 48 + 6 + 22 + 20.5 + 24 + 30 + 0.5 + 2.5 + 10 +0.8 + 2 + 1.2 + 1 + 3.9 + 3 + 2 + 1 + 2 + 4</f>
        <v>205.1</v>
      </c>
      <c r="R9">
        <f xml:space="preserve"> 14.7 + 11.5 + 86.2 + 36.4 + 6.1 + 21.2 + 48.1 + 8.4 + 16.2 + 0.8 + 4.4</f>
        <v>254</v>
      </c>
      <c r="S9" s="2">
        <f xml:space="preserve"> 2.5 + 22.4 + 7.4 + 15.4 + 31.6 + 6.5 + 15.8 + 15.8 + 11.6 + 37.8 + 2.2 + 14.3 + 0.6 + 10 + 6 + 2.6 + 3.4 + 1.7 + 1.4 + 1.6 + 6.8 + 2.2+ 6 + 1.4</f>
        <v>227</v>
      </c>
      <c r="T9">
        <f xml:space="preserve"> 0.5 + 19.4 + 5.2 + 21.6 + 52.6 + 10.8 + 14.5 + 22.2 + 42.7 + 31.3 +0.7 + 6.5 + 3.8 + 1.3 + 4.3 + 1.2 + 7.9</f>
        <v>246.50000000000003</v>
      </c>
      <c r="U9" s="2">
        <f xml:space="preserve"> 7.5 + 1.2 + 51.8 + 2.3 + 11.3 + 5.2 + 3.5 + 2.4 + 20.4 + 1 + 0.5 + 27</f>
        <v>134.1</v>
      </c>
      <c r="V9">
        <f xml:space="preserve"> 20 + 8 + 16 + 24 + 2.3 + 18 + 16 + 10.2 + 2 + 7 + 3 + 3.6</f>
        <v>130.1</v>
      </c>
      <c r="W9">
        <f xml:space="preserve"> 10 + 31 + 45.3 + 31.5 + 3.5 + 28 + 3 + 29 + 25.5 + 50.5 + 16 + 25 + 1.5 + 0.4 + 24 + 5</f>
        <v>329.2</v>
      </c>
      <c r="X9">
        <f xml:space="preserve"> 18.1 + 3.3 + 7 + 45.5 + 36 + 2 + 8 + 4.5 + 7.7 + 41.6 + 14 + 18 + 6 + 5 + 20 + 2.5 + 7</f>
        <v>246.2</v>
      </c>
      <c r="Y9" s="2">
        <f xml:space="preserve"> 4 + 16 + 8.2 + 1.2 + 2 + 19.2 + 14.6 + 21 + 10</f>
        <v>96.199999999999989</v>
      </c>
      <c r="Z9" s="2">
        <f xml:space="preserve"> 20 + 11 + 13 + 75 + 25 + 27 + 6 + 1 + 10 + 9.5 + 20 + 2 + 3 + 4 + 17</f>
        <v>243.5</v>
      </c>
      <c r="AA9" s="2">
        <f xml:space="preserve"> 4.4 + 10 + 3.8 + 19.2 + 0.2 + 27.6 + 6.4 + 18 + 0.4 + 3 + 7.2</f>
        <v>100.20000000000002</v>
      </c>
      <c r="AB9" s="2">
        <f xml:space="preserve"> 58 + 33 + 14 + 60 + 53</f>
        <v>218</v>
      </c>
      <c r="AC9" s="2">
        <f xml:space="preserve"> 46 + 6.4 + 43 + 128.4 + 2.3 + 12.1</f>
        <v>238.20000000000002</v>
      </c>
      <c r="AD9" s="2">
        <f xml:space="preserve"> 32 + 32.4 + 17.4 + 64.2 + 28.3 + 20.2 + 6 + 3 + 10</f>
        <v>213.5</v>
      </c>
      <c r="AE9" s="2">
        <f xml:space="preserve"> 1 + 22.2 + 14.5 + 1.5 + 40 + 0.5 + 10.6 + 3.5 + 20.5 + 30.7 + 17.2 + 8 + 6 + 1.9 + 0.6 + 2</f>
        <v>180.7</v>
      </c>
      <c r="AF9" s="2">
        <f xml:space="preserve"> 34.2 + 6 + 18.4 + 4.4 + 13.5 + 44 + 4.4 + 1.3</f>
        <v>126.2</v>
      </c>
    </row>
    <row r="10" spans="1:32" x14ac:dyDescent="0.3">
      <c r="A10" s="1">
        <v>41730</v>
      </c>
      <c r="B10">
        <v>3</v>
      </c>
      <c r="C10">
        <v>8</v>
      </c>
      <c r="D10">
        <v>0</v>
      </c>
      <c r="E10" s="2">
        <f xml:space="preserve"> 36 + 1.5 + 10 + 2 + 1.5</f>
        <v>51</v>
      </c>
      <c r="F10" s="2">
        <v>14</v>
      </c>
      <c r="G10">
        <f xml:space="preserve"> 9 + 3.2 + 2.6</f>
        <v>14.799999999999999</v>
      </c>
      <c r="H10" s="2">
        <f xml:space="preserve"> 6.5 + 8.5 + 6 + 10</f>
        <v>31</v>
      </c>
      <c r="I10" s="2">
        <f xml:space="preserve"> 0.7 + 1.9 + 0.7 + 2.4 + 1.3</f>
        <v>6.9999999999999991</v>
      </c>
      <c r="J10" s="2">
        <f xml:space="preserve"> 4 + 23.2</f>
        <v>27.2</v>
      </c>
      <c r="K10" s="2">
        <f xml:space="preserve"> 12.5 + 7.5 + 60 + 2.5 + 11.2</f>
        <v>93.7</v>
      </c>
      <c r="L10" s="2">
        <f xml:space="preserve"> 68.2 + 3.4 + 20.4</f>
        <v>92</v>
      </c>
      <c r="M10" s="2">
        <f xml:space="preserve"> 1.2 + 2.6 + 1.2 + 4</f>
        <v>9</v>
      </c>
      <c r="N10" s="2">
        <f>2.2 + 4.6</f>
        <v>6.8</v>
      </c>
      <c r="O10" s="2">
        <f xml:space="preserve"> 0.8 +5 + 29</f>
        <v>34.799999999999997</v>
      </c>
      <c r="P10" s="2">
        <f xml:space="preserve"> 2.2 + 1 + 14.4 + 3.8 + 14 + 9</f>
        <v>44.400000000000006</v>
      </c>
      <c r="Q10" s="2">
        <f xml:space="preserve"> 1 + 18 + 4 + 0.2 + 0.8 + 7 + 4 + 0.7 + 1.7 + 0.4 + 2.4 + 38 + 5.2</f>
        <v>83.4</v>
      </c>
      <c r="R10">
        <f xml:space="preserve"> 0.7 + 10.5 + 16.3 + 2.2</f>
        <v>29.7</v>
      </c>
      <c r="S10" s="2">
        <f xml:space="preserve"> 5.2 + 6.4 + 19.6 + 14.4 + 7 + 1.6 + 23 + 16</f>
        <v>93.2</v>
      </c>
      <c r="T10">
        <f xml:space="preserve"> 0.5 + 3.3 + 5.5 + 9.5 + 11.4 + 0.5 + 1.7 + 1 + 27.6 + 4.6</f>
        <v>65.600000000000009</v>
      </c>
      <c r="U10" s="2">
        <f xml:space="preserve"> 2 + 8 + 0.5 + 4.5 + 15 + 5</f>
        <v>35</v>
      </c>
      <c r="V10">
        <f xml:space="preserve"> 63 + 1.5 + 10 + 2 + 1.5</f>
        <v>78</v>
      </c>
      <c r="W10">
        <f xml:space="preserve"> 2 + 8.5</f>
        <v>10.5</v>
      </c>
      <c r="X10">
        <f xml:space="preserve"> 10.6</f>
        <v>10.6</v>
      </c>
      <c r="Y10" s="2">
        <f xml:space="preserve"> 30.4 + 2.4</f>
        <v>32.799999999999997</v>
      </c>
      <c r="Z10" s="2">
        <f xml:space="preserve"> 11.5 + 16.5</f>
        <v>28</v>
      </c>
      <c r="AA10" s="2">
        <f xml:space="preserve"> 10.4 + 1.6 + 17.8 + 4.8</f>
        <v>34.6</v>
      </c>
      <c r="AB10" s="2">
        <f xml:space="preserve"> 0.2</f>
        <v>0.2</v>
      </c>
      <c r="AC10" s="2">
        <f xml:space="preserve"> 1.3</f>
        <v>1.3</v>
      </c>
      <c r="AD10" s="2">
        <f xml:space="preserve"> 3.5 + 1 + 2.8 + 5.2 + 3.6 + 2.8</f>
        <v>18.900000000000002</v>
      </c>
      <c r="AE10" s="2">
        <f xml:space="preserve"> 5.6 + 2 + 5 + 3.1 + 4 + 6.6 + 5.6 + 2.2 + 0.5 + 1.6 + 2 + 0.2</f>
        <v>38.400000000000006</v>
      </c>
      <c r="AF10" s="2">
        <f xml:space="preserve"> 8.6 + 3.2 + 7</f>
        <v>18.8</v>
      </c>
    </row>
    <row r="11" spans="1:32" x14ac:dyDescent="0.3">
      <c r="A11" s="1">
        <v>41760</v>
      </c>
      <c r="B11">
        <v>0</v>
      </c>
      <c r="C11">
        <v>0</v>
      </c>
      <c r="D11">
        <v>0</v>
      </c>
      <c r="E11" s="2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f xml:space="preserve"> 0.6</f>
        <v>0.6</v>
      </c>
      <c r="Q11" s="2">
        <v>0</v>
      </c>
      <c r="R11">
        <f xml:space="preserve"> 1.5</f>
        <v>1.5</v>
      </c>
      <c r="S11" s="2">
        <f xml:space="preserve"> 3.2+ 1.4</f>
        <v>4.5999999999999996</v>
      </c>
      <c r="T11">
        <f>1.9+0.1</f>
        <v>2</v>
      </c>
      <c r="U11" s="2">
        <v>0</v>
      </c>
      <c r="V11">
        <f xml:space="preserve"> 2.6</f>
        <v>2.6</v>
      </c>
      <c r="W11">
        <f xml:space="preserve"> 1</f>
        <v>1</v>
      </c>
      <c r="X11">
        <v>0</v>
      </c>
      <c r="Y11" s="2">
        <v>0</v>
      </c>
      <c r="Z11" s="2">
        <f xml:space="preserve"> 0.5</f>
        <v>0.5</v>
      </c>
      <c r="AA11" s="2">
        <v>0</v>
      </c>
      <c r="AB11" s="2">
        <v>0</v>
      </c>
      <c r="AC11" s="2">
        <v>0</v>
      </c>
      <c r="AD11" s="2">
        <f xml:space="preserve"> 0.2</f>
        <v>0.2</v>
      </c>
      <c r="AE11" s="2">
        <f xml:space="preserve"> 1.5 + 4.3 + 0.5</f>
        <v>6.3</v>
      </c>
      <c r="AF11" s="2">
        <f xml:space="preserve"> 2.5</f>
        <v>2.5</v>
      </c>
    </row>
    <row r="12" spans="1:32" x14ac:dyDescent="0.3">
      <c r="A12" s="1">
        <v>41791</v>
      </c>
      <c r="B12">
        <v>0</v>
      </c>
      <c r="C12">
        <v>0</v>
      </c>
      <c r="D12">
        <v>0</v>
      </c>
      <c r="E12" s="2">
        <v>0</v>
      </c>
      <c r="F12">
        <v>0</v>
      </c>
      <c r="G1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xml:space="preserve"> 1.5 +1</f>
        <v>2.5</v>
      </c>
      <c r="R12" s="2">
        <v>0</v>
      </c>
      <c r="S12" s="2">
        <f xml:space="preserve"> 3.5 + 1.1</f>
        <v>4.5999999999999996</v>
      </c>
      <c r="T12">
        <f xml:space="preserve"> 3.4</f>
        <v>3.4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3">
      <c r="A13" s="1">
        <v>41821</v>
      </c>
      <c r="B13">
        <v>0</v>
      </c>
      <c r="C13">
        <v>0</v>
      </c>
      <c r="D13">
        <v>0</v>
      </c>
      <c r="E13" s="2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xml:space="preserve"> 0.2 + 2.2</f>
        <v>2.4000000000000004</v>
      </c>
      <c r="R13" s="2">
        <f xml:space="preserve"> 0.5</f>
        <v>0.5</v>
      </c>
      <c r="S13" s="2">
        <f xml:space="preserve"> 3.5 + 2.3</f>
        <v>5.8</v>
      </c>
      <c r="T13">
        <f xml:space="preserve"> 1.3 + 1.2 + 0.5</f>
        <v>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x14ac:dyDescent="0.3">
      <c r="A14" t="s">
        <v>3</v>
      </c>
      <c r="B14">
        <f t="shared" ref="B14:D14" si="0">SUM(B2:B13)</f>
        <v>611.6</v>
      </c>
      <c r="C14">
        <f t="shared" si="0"/>
        <v>772.2</v>
      </c>
      <c r="D14" s="2">
        <f t="shared" si="0"/>
        <v>507</v>
      </c>
      <c r="E14" s="2">
        <f t="shared" ref="E14:N14" si="1" xml:space="preserve"> SUM(E2:E13)</f>
        <v>588.5</v>
      </c>
      <c r="F14" s="2">
        <f t="shared" si="1"/>
        <v>393.8</v>
      </c>
      <c r="G14" s="2">
        <f t="shared" si="1"/>
        <v>446.7</v>
      </c>
      <c r="H14" s="2">
        <f t="shared" si="1"/>
        <v>695.7</v>
      </c>
      <c r="I14" s="2">
        <f t="shared" si="1"/>
        <v>498.4</v>
      </c>
      <c r="J14" s="2">
        <f t="shared" si="1"/>
        <v>535.9</v>
      </c>
      <c r="K14" s="2">
        <f t="shared" si="1"/>
        <v>637.5</v>
      </c>
      <c r="L14" s="2">
        <f t="shared" si="1"/>
        <v>634.29999999999995</v>
      </c>
      <c r="M14" s="2">
        <f t="shared" si="1"/>
        <v>519.30000000000007</v>
      </c>
      <c r="N14" s="2">
        <f t="shared" si="1"/>
        <v>719.8</v>
      </c>
      <c r="O14" s="2">
        <f t="shared" ref="O14:P14" si="2" xml:space="preserve"> SUM(O2:O13)</f>
        <v>892.7</v>
      </c>
      <c r="P14" s="2">
        <f t="shared" si="2"/>
        <v>1257.9000000000001</v>
      </c>
      <c r="Q14" s="2">
        <f t="shared" ref="Q14" si="3" xml:space="preserve"> SUM(Q2:Q13)</f>
        <v>1738.5</v>
      </c>
      <c r="R14" s="2">
        <f xml:space="preserve"> SUM(R2:R13)</f>
        <v>1149.4000000000001</v>
      </c>
      <c r="S14" s="2">
        <f t="shared" ref="S14:U14" si="4" xml:space="preserve"> SUM(S2:S13)</f>
        <v>1572.3999999999999</v>
      </c>
      <c r="T14" s="2">
        <f t="shared" si="4"/>
        <v>1160.0000000000002</v>
      </c>
      <c r="U14" s="2">
        <f t="shared" si="4"/>
        <v>847.90000000000009</v>
      </c>
      <c r="V14" s="2">
        <f xml:space="preserve"> SUM(V2:V13)</f>
        <v>549</v>
      </c>
      <c r="W14" s="2">
        <f t="shared" ref="W14:AA14" si="5" xml:space="preserve"> SUM(W2:W13)</f>
        <v>732.7</v>
      </c>
      <c r="X14" s="2">
        <f t="shared" si="5"/>
        <v>757.6</v>
      </c>
      <c r="Y14" s="2">
        <f t="shared" si="5"/>
        <v>460.7</v>
      </c>
      <c r="Z14" s="2">
        <f t="shared" si="5"/>
        <v>577.70000000000005</v>
      </c>
      <c r="AA14" s="2">
        <f t="shared" si="5"/>
        <v>547.5</v>
      </c>
      <c r="AB14" s="2">
        <f xml:space="preserve"> SUM(AB2:AB13)</f>
        <v>452.2</v>
      </c>
      <c r="AC14" s="2">
        <f xml:space="preserve"> SUM(AC2:AC13)</f>
        <v>599.6</v>
      </c>
      <c r="AD14" s="2">
        <f xml:space="preserve"> SUM(AD2:AD13)</f>
        <v>953.9</v>
      </c>
      <c r="AE14" s="2">
        <f xml:space="preserve"> SUM(AE2:AE13)</f>
        <v>975.69999999999993</v>
      </c>
      <c r="AF14" s="2">
        <f xml:space="preserve"> SUM(AF2:AF13)</f>
        <v>593.69999999999993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A4ED-6471-480F-8A12-A66B1C1769A1}">
  <dimension ref="A1:AF14"/>
  <sheetViews>
    <sheetView topLeftCell="S1" workbookViewId="0">
      <selection activeCell="AI10" sqref="AI10"/>
    </sheetView>
  </sheetViews>
  <sheetFormatPr defaultRowHeight="14.4" x14ac:dyDescent="0.3"/>
  <cols>
    <col min="1" max="1" width="12.109375" customWidth="1"/>
    <col min="2" max="2" width="19.88671875" customWidth="1"/>
    <col min="4" max="4" width="11.88671875" customWidth="1"/>
    <col min="5" max="5" width="8.88671875" style="2"/>
    <col min="6" max="6" width="11.88671875" customWidth="1"/>
    <col min="7" max="7" width="12.77734375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41852</v>
      </c>
      <c r="B2">
        <v>0</v>
      </c>
      <c r="C2">
        <v>0</v>
      </c>
      <c r="D2">
        <v>0</v>
      </c>
      <c r="E2" s="2">
        <v>0</v>
      </c>
      <c r="F2" s="2">
        <v>0</v>
      </c>
      <c r="G2">
        <f xml:space="preserve"> 0</f>
        <v>0</v>
      </c>
      <c r="H2" s="2">
        <v>0</v>
      </c>
      <c r="I2" s="2">
        <v>0</v>
      </c>
      <c r="J2" s="2">
        <v>0</v>
      </c>
      <c r="K2" s="2">
        <v>0.2</v>
      </c>
      <c r="L2" s="2">
        <v>0</v>
      </c>
      <c r="M2" s="2">
        <v>0</v>
      </c>
      <c r="N2" s="2">
        <f xml:space="preserve"> 5.8 + 0.3</f>
        <v>6.1</v>
      </c>
      <c r="O2" s="2">
        <f xml:space="preserve"> 7.4</f>
        <v>7.4</v>
      </c>
      <c r="P2" s="2">
        <f xml:space="preserve"> 14</f>
        <v>14</v>
      </c>
      <c r="Q2" s="2">
        <v>0</v>
      </c>
      <c r="R2">
        <f xml:space="preserve"> 5.3 + 0.5</f>
        <v>5.8</v>
      </c>
      <c r="S2" s="2">
        <f xml:space="preserve"> 1.6 + 21.5</f>
        <v>23.1</v>
      </c>
      <c r="T2">
        <f xml:space="preserve"> 1.9 + 7.8 + 3.1</f>
        <v>12.799999999999999</v>
      </c>
      <c r="U2" s="2">
        <f xml:space="preserve"> 2.6 + 0.5</f>
        <v>3.1</v>
      </c>
      <c r="V2">
        <v>0</v>
      </c>
      <c r="W2">
        <v>0</v>
      </c>
      <c r="X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3">
      <c r="A3" s="1">
        <v>41883</v>
      </c>
      <c r="B3">
        <v>0</v>
      </c>
      <c r="C3">
        <v>0</v>
      </c>
      <c r="D3">
        <v>0</v>
      </c>
      <c r="E3" s="2">
        <v>0</v>
      </c>
      <c r="F3">
        <v>0</v>
      </c>
      <c r="G3" s="2">
        <f xml:space="preserve"> 0.2</f>
        <v>0.2</v>
      </c>
      <c r="H3" s="2">
        <v>0</v>
      </c>
      <c r="I3" s="2">
        <f xml:space="preserve"> 6.2</f>
        <v>6.2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f xml:space="preserve"> 10 + 2.5</f>
        <v>12.5</v>
      </c>
      <c r="R3">
        <f xml:space="preserve"> 6.3 + 5.4</f>
        <v>11.7</v>
      </c>
      <c r="S3" s="2">
        <f xml:space="preserve"> 10 + 5</f>
        <v>15</v>
      </c>
      <c r="T3">
        <f xml:space="preserve"> 3.2 + 2.8 + 2.1 + 4.4 + 6</f>
        <v>18.5</v>
      </c>
      <c r="U3" s="2">
        <f xml:space="preserve"> 0.5 + 0.4</f>
        <v>0.9</v>
      </c>
      <c r="V3">
        <v>0</v>
      </c>
      <c r="W3">
        <v>0</v>
      </c>
      <c r="X3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f xml:space="preserve"> 9 + 0.5 + 1.5 + 0.5</f>
        <v>11.5</v>
      </c>
      <c r="AF3" s="2">
        <f xml:space="preserve"> 1 + 1.3</f>
        <v>2.2999999999999998</v>
      </c>
    </row>
    <row r="4" spans="1:32" x14ac:dyDescent="0.3">
      <c r="A4" s="1">
        <v>41913</v>
      </c>
      <c r="B4">
        <v>25</v>
      </c>
      <c r="C4">
        <v>48</v>
      </c>
      <c r="D4">
        <f xml:space="preserve"> 5.5</f>
        <v>5.5</v>
      </c>
      <c r="E4" s="2">
        <f xml:space="preserve"> 2.5</f>
        <v>2.5</v>
      </c>
      <c r="F4">
        <f xml:space="preserve"> 3 + 1 + 6 + 16 + 4 + 6 + 10 + 2 + 2 + 8</f>
        <v>58</v>
      </c>
      <c r="G4" s="2">
        <f xml:space="preserve"> 1.4 + 1.8 + 0.6 + 11.2</f>
        <v>15</v>
      </c>
      <c r="H4" s="2">
        <f xml:space="preserve"> 3.5 + 18.5 + 2.5 + 10 + 2.5 + 10</f>
        <v>47</v>
      </c>
      <c r="I4" s="2">
        <f xml:space="preserve"> 1.7 + 0.5 + 6.6 + 0.5 + 1.5 + 2.8</f>
        <v>13.600000000000001</v>
      </c>
      <c r="J4" s="2">
        <f xml:space="preserve"> 2.4 + 4.4 + 0.1 + 0.1 + 9.2 + 2.4</f>
        <v>18.599999999999998</v>
      </c>
      <c r="K4" s="2">
        <f xml:space="preserve"> 5 + 9 + 3 + 35 + 2.5 + 1.5 + 6.5 + 8.5 + 6.5</f>
        <v>77.5</v>
      </c>
      <c r="L4" s="2">
        <f xml:space="preserve"> 9.4 + 2.1 + 22.1 + 0.3</f>
        <v>33.9</v>
      </c>
      <c r="M4" s="2">
        <f xml:space="preserve"> 6 + 6.8 + 5.8 + 36.2 + 5.2 + 5 + 1.8 + 11.4 + 5</f>
        <v>83.2</v>
      </c>
      <c r="N4" s="2">
        <f xml:space="preserve"> 6 + 0.8 + 4.4 + 15 + 2</f>
        <v>28.2</v>
      </c>
      <c r="O4" s="2">
        <f xml:space="preserve"> 44.2 + 2.8</f>
        <v>47</v>
      </c>
      <c r="P4" s="2">
        <f xml:space="preserve"> 0.4 + 3.2 + 2.2 + 1 + 7.6</f>
        <v>14.4</v>
      </c>
      <c r="Q4" s="2">
        <f xml:space="preserve"> 10.8 + 6 + 12 + 1 + 1 + 0.1 + 5.5 + 12.4+ 0.1</f>
        <v>48.900000000000006</v>
      </c>
      <c r="R4">
        <f xml:space="preserve"> 9.5 + 4.5 + 5.9 + 2.6 + 4.6 + 8.7</f>
        <v>35.799999999999997</v>
      </c>
      <c r="S4" s="2">
        <f xml:space="preserve"> 3.4 + 11.2 + 12.1 + 2.5 + 1.5 + 1.1 + 3.5 + 5.6 + 1.4</f>
        <v>42.3</v>
      </c>
      <c r="T4">
        <f xml:space="preserve"> 3.7 + 2.5 + 1.4 + 2.4 + 6.1 + 1 + 1.2 + 1 + 3.5 + 3.1</f>
        <v>25.900000000000002</v>
      </c>
      <c r="U4" s="2">
        <f xml:space="preserve"> 5 + 1 + 7.8 + 5</f>
        <v>18.8</v>
      </c>
      <c r="V4">
        <f xml:space="preserve"> 3</f>
        <v>3</v>
      </c>
      <c r="W4">
        <f xml:space="preserve"> 2.5 + 2.5</f>
        <v>5</v>
      </c>
      <c r="X4">
        <f>10.5+2+2</f>
        <v>14.5</v>
      </c>
      <c r="Y4" s="2">
        <f xml:space="preserve"> 14</f>
        <v>14</v>
      </c>
      <c r="Z4" s="2">
        <f xml:space="preserve"> 17 + 3.5</f>
        <v>20.5</v>
      </c>
      <c r="AA4" s="2">
        <f xml:space="preserve"> 2.7 + 10.4 + 0.5 + 0.9</f>
        <v>14.500000000000002</v>
      </c>
      <c r="AB4" s="2">
        <f xml:space="preserve"> 7 + 2</f>
        <v>9</v>
      </c>
      <c r="AC4" s="2">
        <f xml:space="preserve"> 6.4 + 3</f>
        <v>9.4</v>
      </c>
      <c r="AD4" s="2">
        <f xml:space="preserve"> 5</f>
        <v>5</v>
      </c>
      <c r="AE4" s="2">
        <f xml:space="preserve"> 7.6 + 0.5 + 0.5 + 0.6</f>
        <v>9.1999999999999993</v>
      </c>
      <c r="AF4" s="2">
        <f xml:space="preserve"> 7.8 + 13.3</f>
        <v>21.1</v>
      </c>
    </row>
    <row r="5" spans="1:32" x14ac:dyDescent="0.3">
      <c r="A5" s="1">
        <v>41944</v>
      </c>
      <c r="B5">
        <v>106</v>
      </c>
      <c r="C5">
        <f xml:space="preserve"> 6.8 + 5 + 13 + 4.6 + 15.9  +24.8 +10.9 +27.6 + 7</f>
        <v>115.6</v>
      </c>
      <c r="D5">
        <f xml:space="preserve"> 3 + 9 + 6 + 3.2 + 12.5</f>
        <v>33.700000000000003</v>
      </c>
      <c r="E5" s="2">
        <f xml:space="preserve"> 2.5 + 25.5 + 0.4 + 1 + 0.2 + 5.5 + 16 + 23.5 + 6 + 30 + 11.5 + 1</f>
        <v>123.1</v>
      </c>
      <c r="F5" s="2">
        <v>80.3</v>
      </c>
      <c r="G5">
        <f xml:space="preserve"> 7.2 + 36.6 + 0.8 + 4.6 + 5.2 + 7.6 + 8.2 + 2.2 + 6.2</f>
        <v>78.600000000000009</v>
      </c>
      <c r="H5" s="2">
        <f xml:space="preserve"> 3 + 1.5 + 2.5 + 17.5 + 0.8 + 10 + 7.5 + 4 + 17.5 + 2.5</f>
        <v>66.8</v>
      </c>
      <c r="I5" s="2">
        <f xml:space="preserve"> 4 + 1.6 + 2.5 + 2 + 2.1 + 2.1 + 5.1 + 0.5 + 9.3 + 4 + 1.7 + 17.8 + 0.4 + 25.5 + 0.7 + 3.9 + 13.3</f>
        <v>96.5</v>
      </c>
      <c r="J5" s="2">
        <f xml:space="preserve"> 4.8 + 8.8 + 11.4 + 9 + 0.1 + 2.2 + 2.2+ 10 + 1.8 + 18.4 +2.4 + 12.4 + 1.4 + 4.2</f>
        <v>89.100000000000023</v>
      </c>
      <c r="K5" s="2">
        <f xml:space="preserve"> 8 + 11 + 1.5 + 6.5 + 1.5 + 4 + 0.2 + 9.5 + 0.5 + 0.7 + 5.5 + 8 + 1.5 + 0.4 + 3  + 16.5</f>
        <v>78.300000000000011</v>
      </c>
      <c r="L5" s="2">
        <f xml:space="preserve"> 8.1 + 13.5 + 7.4 + 3.6 + 0.5 + 2 + 0.4 + 2.6 + 2.6 + 13 + 4 + 5 + 1.8 + 15.2 + 5.6</f>
        <v>85.3</v>
      </c>
      <c r="M5" s="2">
        <f xml:space="preserve"> 4 + 9.4 + 11 + 2 + 11.4 + 8.4</f>
        <v>46.199999999999996</v>
      </c>
      <c r="N5" s="2">
        <f xml:space="preserve"> 9.2 + 1.6 + 12.4 + 2.6</f>
        <v>25.8</v>
      </c>
      <c r="O5" s="2">
        <f xml:space="preserve"> 3.2 + 7.2</f>
        <v>10.4</v>
      </c>
      <c r="P5" s="2">
        <v>41.2</v>
      </c>
      <c r="Q5" s="2">
        <f xml:space="preserve"> 3.8 + 15 + 2.4 + 1.5 + 2 + 1.8 + 14 + 0.4 + 2.2 + 3 + 0.4 + 5.3 + 8 + 19</f>
        <v>78.8</v>
      </c>
      <c r="R5">
        <f xml:space="preserve"> 2.4 + 9.3 + 4.9 + 4.1</f>
        <v>20.700000000000003</v>
      </c>
      <c r="S5" s="2">
        <f xml:space="preserve"> 2.6 + 12.2 + 3.3 + 3.4 + 8.4 + 20.5 + 4.6 + 2.4 + 7</f>
        <v>64.400000000000006</v>
      </c>
      <c r="T5">
        <f xml:space="preserve"> 1.4 + 11.1 + 0.5 + 2.4 + 0.5 + 0.5 + 5 + 16.2 + 17.3 + 0.6 + 3.1 + 2.2 + 4.7 + 22.2 + 21.3</f>
        <v>109</v>
      </c>
      <c r="U5" s="2">
        <f xml:space="preserve"> 0.7 + 13.7 + 3 + 13.1</f>
        <v>30.5</v>
      </c>
      <c r="V5">
        <f xml:space="preserve"> 1.6 + 10 + 6 +3 + 14 + 12 + 2 + 22</f>
        <v>70.599999999999994</v>
      </c>
      <c r="W5">
        <f xml:space="preserve"> 24.5 + 24 + 7.2 + 0.5 + 1.5 + 8 + 5.5 + 1.5 + 0.8 + 4 + 3.5</f>
        <v>81</v>
      </c>
      <c r="X5">
        <f xml:space="preserve"> 10 + 16 + 1 + 22 + 19.9 + 14 + 1 + 6</f>
        <v>89.9</v>
      </c>
      <c r="Y5" s="2">
        <f xml:space="preserve"> 2.9 + 17 + 1.3 + 60.2 + 1 + 2.1 + 8.2</f>
        <v>92.7</v>
      </c>
      <c r="Z5" s="2">
        <f xml:space="preserve"> 6 + 7 + 16.8 + 19 + 3.3 + 4 + 6 + 2.2+ 10</f>
        <v>74.3</v>
      </c>
      <c r="AA5" s="2">
        <f xml:space="preserve"> 3 + 7.5 + 1 + 0.4 + 3.5 + 3 + 0.4+ 0.8 + 6.1</f>
        <v>25.699999999999996</v>
      </c>
      <c r="AB5" s="2">
        <f xml:space="preserve"> 100 + 27 + 3.2 + 3.4 + 7.2</f>
        <v>140.79999999999998</v>
      </c>
      <c r="AC5" s="2">
        <f xml:space="preserve"> 113 + 111 + 1.2</f>
        <v>225.2</v>
      </c>
      <c r="AD5" s="2">
        <f xml:space="preserve"> 10.2 + 3.2 + 2.6 + 5.1 + 5.2 + 10.6</f>
        <v>36.9</v>
      </c>
      <c r="AE5" s="2">
        <f xml:space="preserve"> 1 + 0.5 + 1 + 1 + 0.6 + 8 + 10 + 13 + 10 + 0.7 + 25 + 6.1 + 27</f>
        <v>103.9</v>
      </c>
      <c r="AF5" s="2">
        <f xml:space="preserve"> 9.7 + 8.1 + 1 + 33.5 + 8 + 15.7</f>
        <v>76</v>
      </c>
    </row>
    <row r="6" spans="1:32" x14ac:dyDescent="0.3">
      <c r="A6" s="1">
        <v>41974</v>
      </c>
      <c r="B6">
        <v>146.19999999999999</v>
      </c>
      <c r="C6">
        <f xml:space="preserve"> 1.3 +0.7 + 24.5  + 0.6 +11.8 +4.6 +7.9 +3.2 +17.5 +3.5 +1 + 4.3 +3.8 +19.5 +1.2 +9.7 +26 + 4</f>
        <v>145.10000000000002</v>
      </c>
      <c r="D6">
        <f xml:space="preserve"> 17 + 8 + 3.5</f>
        <v>28.5</v>
      </c>
      <c r="E6" s="2">
        <f xml:space="preserve"> 10 + 2 + 16.5 + 17 + 1.5 + 40 + 4</f>
        <v>91</v>
      </c>
      <c r="F6" s="2">
        <v>64.3</v>
      </c>
      <c r="G6" s="2">
        <v>103</v>
      </c>
      <c r="H6" s="2">
        <v>112.7</v>
      </c>
      <c r="I6" s="2">
        <f xml:space="preserve"> 13.8 + 10 + 11.2 + 4.9 + 13.6 + 4.8 + 5.5 + 1.2 + 0.8 + 17.3 + 19.1 + 4.7</f>
        <v>106.89999999999999</v>
      </c>
      <c r="J6" s="2">
        <f xml:space="preserve"> 15 + 12.4 + 13 + 33.2 + 12.6 + 14.2 + 5.8 + 1.8 + 24.2 + 1.6 + 2.2 + 7.6 + 3.2</f>
        <v>146.79999999999995</v>
      </c>
      <c r="K6" s="2">
        <f xml:space="preserve"> 17 + 25.5 + 1.7 + 1 + 8 + 16.5 + 0.8 + 2 + 23.4 + 13.3 + 1 + 9 + 13.5</f>
        <v>132.69999999999999</v>
      </c>
      <c r="L6" s="2">
        <v>98.3</v>
      </c>
      <c r="M6" s="2">
        <v>94.2</v>
      </c>
      <c r="N6" s="2">
        <v>85.7</v>
      </c>
      <c r="O6" s="2">
        <f xml:space="preserve"> 38 + 10.2 + 16.4</f>
        <v>64.599999999999994</v>
      </c>
      <c r="P6" s="2">
        <f xml:space="preserve"> 3.6 + 7 + 3.6 + 9.2 + 1.2 + 35.6 + 21.4 + 2.4 + 19.2 + 5 + 29.2 + 59.4 + 28.2</f>
        <v>225</v>
      </c>
      <c r="Q6" s="2">
        <f xml:space="preserve"> 1.2 + 1.5 + 2 + 17 + 2 + 1 + 42 + 10 + 22 + 30 + 18 + 1.8 + 22 + 20.3 + 1.2 + 3 + 2 + 30 + 5.3 + 2.1</f>
        <v>234.4</v>
      </c>
      <c r="R6">
        <f xml:space="preserve"> 5.2 + 1.2 + 39.2 + 5.9 + 44.3 + 12.6</f>
        <v>108.39999999999999</v>
      </c>
      <c r="S6" s="2">
        <f xml:space="preserve"> 6.2 + 9.6 + 8.4 + 2.4 + 23.2 + 11.2 + 1.6 + 26.6 + 20.3 + 3.7 + 11.3 + 3 + 42.5 + 2.2 + 39.7 + 11.2 + 9.4</f>
        <v>232.49999999999997</v>
      </c>
      <c r="T6">
        <f xml:space="preserve"> 1.9 + 1.3 + 0.5 + 5.2 + 6.4 + 26.4 + 8.2 + 5.5 + 56.8 + 11.7 + 1.1 + 1.6 + 1.2 + 0.1 + 0.5 + 19.8 + 9.4 + 45.1 + 6.5 + 2.5 + 1.2</f>
        <v>212.89999999999998</v>
      </c>
      <c r="U6" s="2">
        <f xml:space="preserve"> 12.7 + 0.5 + 8 + 18.4 + 0.5 + 1.3 + 15 + 1 + 8 + 3</f>
        <v>68.399999999999991</v>
      </c>
      <c r="V6">
        <f xml:space="preserve"> 2 + 21.2 + 7 + 6.3 + 10.3 + 2.6 + 4.6 + 14 + 1.5 + 1.7</f>
        <v>71.2</v>
      </c>
      <c r="W6">
        <f xml:space="preserve"> 3.9 + 7.2 + 5.2 + 0.6 + 20 + 0.2 + 35.2 + 2.2 + 35.3 + 6.6 + 76 + 6 + 2.5</f>
        <v>200.9</v>
      </c>
      <c r="X6">
        <f xml:space="preserve"> 2 + 16.5 + 11 + 29 + 4 + 52 + 9.5 + 36 + 4 + 2.7 + 21 + 41.4 + 12.9 + 1</f>
        <v>243</v>
      </c>
      <c r="Y6" s="2">
        <f xml:space="preserve"> 2.1 + 1.3 + 20.1 + 15 + 0.5 + 24.6 + 3.3 + 1.5 + 6.8 + 39.5 + 3.5 + 1.2 + 6.2</f>
        <v>125.60000000000001</v>
      </c>
      <c r="Z6" s="2">
        <f xml:space="preserve"> 7.5 + 16 + 3 + 6 + 15 + 10 + 2 + 12 + 8</f>
        <v>79.5</v>
      </c>
      <c r="AA6" s="2">
        <f xml:space="preserve"> 5 + 8.9 + 0.8 + 20.6 + 0.3 + 2.5 + 4.3 + 12 + 26.7 + 3.5 + 49 + 0.5 + 8.1 + 4.6</f>
        <v>146.79999999999998</v>
      </c>
      <c r="AB6" s="2">
        <f xml:space="preserve"> 2.2 + 4.3 + 34 + 8 + 24 + 9.2 + 38.1</f>
        <v>119.80000000000001</v>
      </c>
      <c r="AC6" s="2">
        <f xml:space="preserve"> 2.2 + 20.7 + 26 + 10.1</f>
        <v>59</v>
      </c>
      <c r="AD6" s="2">
        <f xml:space="preserve"> 4.2 + 28.3 + 37.4 + 1.3 + 52.2 + 33.4 + 23.6 + 12</f>
        <v>192.4</v>
      </c>
      <c r="AE6" s="2">
        <f xml:space="preserve"> 0.5 + 1.7 + 7 + 46.2 + 6.3 + 8.5 + 72 + 16 + 26 + 4.6 + 9</f>
        <v>197.79999999999998</v>
      </c>
      <c r="AF6" s="2">
        <f xml:space="preserve"> 8 + 5.8 + 14.8 + 28 + 48 + 10</f>
        <v>114.6</v>
      </c>
    </row>
    <row r="7" spans="1:32" x14ac:dyDescent="0.3">
      <c r="A7" s="1">
        <v>42005</v>
      </c>
      <c r="B7">
        <v>50.8</v>
      </c>
      <c r="C7" s="3">
        <v>29.3</v>
      </c>
      <c r="D7">
        <f xml:space="preserve"> 17 + 12 + 13 + 22 + 11 + 9</f>
        <v>84</v>
      </c>
      <c r="E7" s="2">
        <f xml:space="preserve"> 4 + 3 + 43.5 + 7 + 3 + 2 + 1.5 + 20.5</f>
        <v>84.5</v>
      </c>
      <c r="F7">
        <f xml:space="preserve"> 0.1 + 0.7 + 0.5 + 1 + 0.8 + 0.2 + 1 + 0.8 + 0.7 + 0.3 + 0.7</f>
        <v>6.8</v>
      </c>
      <c r="G7">
        <f xml:space="preserve"> 4.2 + 13</f>
        <v>17.2</v>
      </c>
      <c r="H7" s="2">
        <f xml:space="preserve"> 5.5 + 21.5 + 16.5 + 16 + 13 + 7 + 3.5</f>
        <v>83</v>
      </c>
      <c r="I7" s="2">
        <v>55.9</v>
      </c>
      <c r="J7" s="2">
        <v>78.2</v>
      </c>
      <c r="K7" s="2">
        <f xml:space="preserve"> 8.2 + 5.5 + 3.5 + 8 + 0.7 + 1.8 + 1.5 + 0.8 + 10.5 + 6 + 9</f>
        <v>55.5</v>
      </c>
      <c r="L7" s="2">
        <f xml:space="preserve"> 3.6 + 5.8 + 1.6 + 0.4 + 0.8 + 3.6 + 3.5 + 1.1 + 58.4 + 24.2</f>
        <v>103</v>
      </c>
      <c r="M7" s="2">
        <f xml:space="preserve"> 9.4 + 2 + 6.2 + 5 + 36.6 + 5.6 + 8.4 + 1.2 + 20.2 + 12.4 + 16</f>
        <v>123.00000000000001</v>
      </c>
      <c r="N7" s="2">
        <f xml:space="preserve"> 22 + 2 + 5.2 + 1.6 + 13.8 + 9.8 + 1.4 + 41.6 + 1.4 + 4.4</f>
        <v>103.20000000000002</v>
      </c>
      <c r="O7" s="2">
        <f xml:space="preserve"> 2</f>
        <v>2</v>
      </c>
      <c r="P7" s="2">
        <f xml:space="preserve"> 2.1 + 1.1 + 2 + 8.4 + 16 + 33.2 + 3.2 + 3 + 7.2 + 4.6 + 3 + 17</f>
        <v>100.8</v>
      </c>
      <c r="Q7" s="2">
        <f xml:space="preserve"> 4 + 4+ 3.5 + 30 + 3 + 3 + 6 + 16 + 18 + 14 + 2 + 0.2 + 2 + 140 + 28 + 8</f>
        <v>281.7</v>
      </c>
      <c r="R7">
        <f xml:space="preserve"> 3.5 + 3.2 + 12.3 + 22.3 + 3.5 + 20.2 + 48.3 + 2.1 + 12.1 + 8.6</f>
        <v>136.1</v>
      </c>
      <c r="S7" s="2">
        <v>30.7</v>
      </c>
      <c r="T7">
        <f xml:space="preserve"> 0.5 + 1.3 + 8.8 + 2.2 + 1.2 + 5 + 26.9 + 1.5 + 10.7 + 20.2 + 1.5 + 1.3 + 91 + 30.2 + 14+ 1.5</f>
        <v>217.79999999999998</v>
      </c>
      <c r="U7" s="2">
        <f xml:space="preserve"> 3 + 5.8 + 3.7 + 2 + 1 + 23</f>
        <v>38.5</v>
      </c>
      <c r="V7">
        <f xml:space="preserve"> 3.6 + 4 + 9 + 57 + 12 + 7</f>
        <v>92.6</v>
      </c>
      <c r="W7">
        <f xml:space="preserve"> 2.5 + 5.4 + 3.7 + 10.1 + 2.7 + 2.5 + 5 + 5</f>
        <v>36.900000000000006</v>
      </c>
      <c r="X7">
        <f xml:space="preserve"> 2.5 + 39 + 20.6 + 25 + 6 + 23 + 29</f>
        <v>145.1</v>
      </c>
      <c r="Y7" s="2">
        <f xml:space="preserve"> 73.3 + 10</f>
        <v>83.3</v>
      </c>
      <c r="Z7" s="2">
        <f xml:space="preserve"> 5 + 6 + 17.5 + 8.5 + 2 + 6.5 +2</f>
        <v>47.5</v>
      </c>
      <c r="AA7" s="2">
        <f xml:space="preserve"> 5 + 3 + 0.1+ 3.6 + 7.2 + 4 + 17.5 + 3.2</f>
        <v>43.6</v>
      </c>
      <c r="AB7" s="2">
        <f xml:space="preserve"> 27</f>
        <v>27</v>
      </c>
      <c r="AC7" s="2">
        <f xml:space="preserve"> 10.1</f>
        <v>10.1</v>
      </c>
      <c r="AD7" s="2">
        <f xml:space="preserve"> 22.4 + 4.2 + 3.8</f>
        <v>30.4</v>
      </c>
      <c r="AE7" s="2">
        <f xml:space="preserve"> 2.1 + 9 + 4.4 + 5.1 + 24.2 + 19 + 1.2 + 2.5</f>
        <v>67.5</v>
      </c>
      <c r="AF7" s="2">
        <f xml:space="preserve"> 1.5 + 37 + 10 + 8.2 + 3.6</f>
        <v>60.300000000000004</v>
      </c>
    </row>
    <row r="8" spans="1:32" x14ac:dyDescent="0.3">
      <c r="A8" s="1">
        <v>42036</v>
      </c>
      <c r="B8">
        <v>17.7</v>
      </c>
      <c r="C8">
        <f xml:space="preserve"> 13.3 + 17.8 +1</f>
        <v>32.1</v>
      </c>
      <c r="D8">
        <f xml:space="preserve"> 5.8</f>
        <v>5.8</v>
      </c>
      <c r="E8" s="2">
        <f xml:space="preserve"> 12 + 24 + 3 + 10 + 1.5</f>
        <v>50.5</v>
      </c>
      <c r="F8">
        <f xml:space="preserve"> 25 + 6 + 4 + 3 + 4 + 5 + 1 + 6 + 10 + 1 + 18</f>
        <v>83</v>
      </c>
      <c r="G8" s="2">
        <v>61.2</v>
      </c>
      <c r="H8" s="2">
        <f xml:space="preserve"> 6.5 + 61</f>
        <v>67.5</v>
      </c>
      <c r="I8" s="2">
        <v>45.2</v>
      </c>
      <c r="J8" s="2">
        <v>55.4</v>
      </c>
      <c r="K8" s="2">
        <f xml:space="preserve"> 0.8 + 32 + 2.5 + 1.7 + 4 + 3 + 3.4 + 0.8 + 2.5 + 10.3 + 5</f>
        <v>66</v>
      </c>
      <c r="L8" s="2">
        <f xml:space="preserve"> 2.8 + 29.8 + 8.6 + 1.4 + 1.2 + 0.4</f>
        <v>44.2</v>
      </c>
      <c r="M8" s="2">
        <f xml:space="preserve"> 32.4 +11.2 + 7.6 + 4.2 + 5 + 3 + 1.4</f>
        <v>64.8</v>
      </c>
      <c r="N8" s="2">
        <f xml:space="preserve"> 6.6 + 0.2 + 11.2 + 6.4 + 0.9</f>
        <v>25.299999999999997</v>
      </c>
      <c r="O8" s="2">
        <f xml:space="preserve"> 38.2 + 17.4</f>
        <v>55.6</v>
      </c>
      <c r="P8" s="2">
        <f xml:space="preserve"> 1.8 + 2.2 + 8.2 + 12.2 + 1.6 + 10.8 + 1 + 1.6</f>
        <v>39.4</v>
      </c>
      <c r="Q8" s="2">
        <f xml:space="preserve"> 7 + 1.5 + 18 + 12 + 1 + 2 + 7.5 + 3 + 1 + 4.2 + 5.6 + 2</f>
        <v>64.800000000000011</v>
      </c>
      <c r="R8">
        <f xml:space="preserve"> 14.8 + 9.2 + 5.6</f>
        <v>29.6</v>
      </c>
      <c r="S8" s="2">
        <f xml:space="preserve"> 7.9 + 9.5 + 22.7 + 9.5 + 3.6 + 3.4 + 3.6 + 15.4</f>
        <v>75.599999999999994</v>
      </c>
      <c r="T8">
        <f xml:space="preserve"> 3.1 + 0.5 + 9.4 + 3.1 + 0.5 + 17.9 + 7.2 + 0.5 + 1.6 + 1.4 + 1.3</f>
        <v>46.5</v>
      </c>
      <c r="U8" s="2">
        <f>21+10+9.4+2</f>
        <v>42.4</v>
      </c>
      <c r="V8">
        <f xml:space="preserve"> 5</f>
        <v>5</v>
      </c>
      <c r="W8">
        <f xml:space="preserve"> 31.5 + 7 + 3.5 + 30 + 11 + 1.5 + 1.8 + 7.2 + 14</f>
        <v>107.5</v>
      </c>
      <c r="X8">
        <f xml:space="preserve"> 6 + 8 + 16 + 4.5 + 2 + 20.5 + 9</f>
        <v>66</v>
      </c>
      <c r="Y8" s="2">
        <f xml:space="preserve"> 2.4 + 5 + 0.6</f>
        <v>8</v>
      </c>
      <c r="Z8" s="2">
        <f xml:space="preserve"> 2 + 24 + 18 + 6 + 12 + 2.5</f>
        <v>64.5</v>
      </c>
      <c r="AA8" s="2">
        <f xml:space="preserve"> 23.5 + 1 + 18.5</f>
        <v>43</v>
      </c>
      <c r="AB8" s="2">
        <f>5+1.5+7.4+17.8+12</f>
        <v>43.7</v>
      </c>
      <c r="AC8" s="2">
        <f xml:space="preserve"> 30.2 + 2 + 17.3</f>
        <v>49.5</v>
      </c>
      <c r="AD8" s="2">
        <f xml:space="preserve"> 21.2 + 9.8 + 5 + 16</f>
        <v>52</v>
      </c>
      <c r="AE8" s="2">
        <f>6.5+0.5+5.5+4+3.6+26+5+1+2.8+10.1</f>
        <v>65</v>
      </c>
      <c r="AF8" s="2">
        <f xml:space="preserve"> 5.2 + 40.6 + 0.5 + 10.9</f>
        <v>57.2</v>
      </c>
    </row>
    <row r="9" spans="1:32" x14ac:dyDescent="0.3">
      <c r="A9" s="1">
        <v>42064</v>
      </c>
      <c r="B9">
        <v>84.1</v>
      </c>
      <c r="C9">
        <f xml:space="preserve"> 1 + 6 + 25 + 22 + 22 + 26 +1.5 + 3 + 1.7</f>
        <v>108.2</v>
      </c>
      <c r="D9">
        <f xml:space="preserve"> 13 + 27 + 23</f>
        <v>63</v>
      </c>
      <c r="E9" s="2">
        <f xml:space="preserve"> 6 + 8.5 + 7.5 + 7 + 9 + 8 + 16.5</f>
        <v>62.5</v>
      </c>
      <c r="F9">
        <f xml:space="preserve"> 14 + 1 + 2 + 25 + 50 + 1 + 3 + 10</f>
        <v>106</v>
      </c>
      <c r="G9" s="2">
        <f xml:space="preserve"> 1.6 + 25.6 + 14.8 + 10.4</f>
        <v>52.4</v>
      </c>
      <c r="H9" s="2">
        <f xml:space="preserve"> 1.5 + 8 + 8</f>
        <v>17.5</v>
      </c>
      <c r="I9" s="2">
        <f xml:space="preserve"> 0.4 + 2 + 2.4 + 0.6 + 3.4 + 6.7</f>
        <v>15.5</v>
      </c>
      <c r="J9" s="2">
        <f xml:space="preserve"> 5.2 + 15 + 1</f>
        <v>21.2</v>
      </c>
      <c r="K9" s="2">
        <f xml:space="preserve"> 0.2 + 1 + 2.3 + 2.5 + 12.5 + 25 + 48 + 8.5 + 10 + 1</f>
        <v>111</v>
      </c>
      <c r="L9" s="2">
        <f xml:space="preserve"> 1.4 + 1.2 + 0.4</f>
        <v>2.9999999999999996</v>
      </c>
      <c r="M9" s="2">
        <f xml:space="preserve"> 5 + 2.4 + 21 + 42 + 2.2+ 2.4</f>
        <v>75.000000000000014</v>
      </c>
      <c r="N9" s="2">
        <f xml:space="preserve"> 1.2 + 0.6 + 19.6 + 0.8 + 0.2 + 33.2</f>
        <v>55.600000000000009</v>
      </c>
      <c r="O9" s="2">
        <f xml:space="preserve"> 24 + 29.8 + 5.8</f>
        <v>59.599999999999994</v>
      </c>
      <c r="P9" s="2">
        <f xml:space="preserve"> 12.2 + 2.4 + 2.8 + 1.6 + 4.2 + 12.4 + 8.8 + 3.4</f>
        <v>47.800000000000004</v>
      </c>
      <c r="Q9" s="2">
        <f xml:space="preserve"> 13 + 3.8 + 1 +1 + 12+2.2 + 0.5 + 5.3 + 19 + 6 + 13</f>
        <v>76.8</v>
      </c>
      <c r="R9">
        <f xml:space="preserve"> 5.9 + 15</f>
        <v>20.9</v>
      </c>
      <c r="S9" s="2">
        <v>49.6</v>
      </c>
      <c r="T9">
        <f xml:space="preserve"> 32.1 + 0.5 + 0.5 + 18.1 + 0.5 + 24.2 + 5.6 + 5.8 + 2.3 + 56.7 + 1.5 + 1.5</f>
        <v>149.30000000000001</v>
      </c>
      <c r="U9" s="2">
        <f xml:space="preserve"> 1.2 + 4.5 + 1.5 + 10.7 + 2</f>
        <v>19.899999999999999</v>
      </c>
      <c r="V9">
        <f xml:space="preserve"> 11 + 4.6 + 2.4 + 4.4 + 2 + 3.4</f>
        <v>27.799999999999997</v>
      </c>
      <c r="W9">
        <f xml:space="preserve"> 40 + 1.5 + 3.5 + 11.5 + 0.8 + 1.1 + 1.5 + 4.6</f>
        <v>64.5</v>
      </c>
      <c r="X9">
        <f xml:space="preserve"> 6 + 2 + 0.5 + 1 + 0.5 + 14.5 + 8.5 + 6 + 4</f>
        <v>43</v>
      </c>
      <c r="Y9" s="2">
        <f xml:space="preserve"> 30 + 5.6 + 2.2 + 6.5 + 9 + 9.4</f>
        <v>62.7</v>
      </c>
      <c r="Z9" s="2">
        <f xml:space="preserve"> 9 + 2 + 18 + 26 + 15</f>
        <v>70</v>
      </c>
      <c r="AA9" s="2">
        <f xml:space="preserve"> 4.8 + 4 + 16.4 + 2.5 + 2.4 + 0.4 + 7.6 + 0.5</f>
        <v>38.599999999999994</v>
      </c>
      <c r="AB9" s="2">
        <f xml:space="preserve"> 6  + 4 + 11 + 9</f>
        <v>30</v>
      </c>
      <c r="AC9" s="2">
        <f xml:space="preserve"> 4.2 + 5.4 + 0.3 + 10.3</f>
        <v>20.200000000000003</v>
      </c>
      <c r="AD9" s="2">
        <f xml:space="preserve"> 6.3 + 10 + 24</f>
        <v>40.299999999999997</v>
      </c>
      <c r="AE9" s="2">
        <f xml:space="preserve"> 7.3 + 1 + 0.5 + 5.3 + 4 + + 6.3 + 14.3</f>
        <v>38.700000000000003</v>
      </c>
      <c r="AF9" s="2">
        <f xml:space="preserve"> 53 + 8.5</f>
        <v>61.5</v>
      </c>
    </row>
    <row r="10" spans="1:32" x14ac:dyDescent="0.3">
      <c r="A10" s="1">
        <v>42095</v>
      </c>
      <c r="B10">
        <v>40.5</v>
      </c>
      <c r="C10">
        <f xml:space="preserve"> 2.8 +4 + 1.8</f>
        <v>8.6</v>
      </c>
      <c r="D10">
        <f xml:space="preserve"> 5 + 3</f>
        <v>8</v>
      </c>
      <c r="E10" s="2">
        <f xml:space="preserve"> 2.5 + 9.5 + 12.5 + 4</f>
        <v>28.5</v>
      </c>
      <c r="F10" s="2">
        <v>0.5</v>
      </c>
      <c r="G10" s="2">
        <v>6.6</v>
      </c>
      <c r="H10" s="2">
        <v>4.9000000000000004</v>
      </c>
      <c r="I10" s="2">
        <v>3.9</v>
      </c>
      <c r="J10" s="2">
        <v>9.4</v>
      </c>
      <c r="K10" s="2">
        <f xml:space="preserve"> 4 + 4 + 0.8 + 8.5 + 16.7 + 8.5 + 4 + 13 + 1.5</f>
        <v>61</v>
      </c>
      <c r="L10" s="2">
        <f xml:space="preserve"> 3 + 2 + 24 + 17</f>
        <v>46</v>
      </c>
      <c r="M10" s="2">
        <f xml:space="preserve"> 5 + 8.4 + 7 + 8.4 + 8 + 3.4 + 4.2</f>
        <v>44.4</v>
      </c>
      <c r="N10" s="2">
        <f xml:space="preserve"> 1 + 1.2 + 33.2 + 2 + 2.6 + 13.1</f>
        <v>53.100000000000009</v>
      </c>
      <c r="O10" s="2">
        <v>35.9</v>
      </c>
      <c r="P10" s="2">
        <f xml:space="preserve"> 20 + 2.4 + 24.4 + 2.6 + 1.8 + 18.8 + 2</f>
        <v>72</v>
      </c>
      <c r="Q10" s="2">
        <f xml:space="preserve"> 3.8 + 1 + 0.1 + 1.8 + 14 + 2.5 + 1.5 + 26 + 14 + 6 + 0.5 + 14</f>
        <v>85.2</v>
      </c>
      <c r="R10">
        <f xml:space="preserve"> 3.3 + 7.6 + 7+5 + 2.2 + 3.2 + 2.1 + 14.1</f>
        <v>44.5</v>
      </c>
      <c r="S10" s="2">
        <f xml:space="preserve"> 3.1 + 2.2 + 3.3 + 14.8 + 6.3 + 2 + 30.5 + 5.2 + 2.8 + 7.6 + 9.4 + 13.3</f>
        <v>100.5</v>
      </c>
      <c r="T10">
        <f xml:space="preserve"> 1.4 + 0.5 + 1.5 + 17.3 + 0.8 + 1.6 + 30.8 + 7 + 3.2 + 14.3 + 11.6 + 10.7</f>
        <v>100.7</v>
      </c>
      <c r="U10" s="2">
        <f xml:space="preserve"> 2 + 15 + 9 + 1 + 5 + 2.5</f>
        <v>34.5</v>
      </c>
      <c r="V10">
        <f xml:space="preserve"> 1 + 28</f>
        <v>29</v>
      </c>
      <c r="W10">
        <f xml:space="preserve"> 3.7+ 14.5</f>
        <v>18.2</v>
      </c>
      <c r="X10">
        <f xml:space="preserve"> 4.3 + 3 + 22 + 4.5 + 19.7 + 0.5</f>
        <v>54</v>
      </c>
      <c r="Y10" s="2">
        <f xml:space="preserve"> 0.4 + 9.1 + 18.6 + 1.2</f>
        <v>29.3</v>
      </c>
      <c r="Z10" s="2">
        <f>1+2+0.5</f>
        <v>3.5</v>
      </c>
      <c r="AA10" s="2">
        <f xml:space="preserve"> 3.5 + 3.8 + 14 + 21.9 + 4.5 + 4.8</f>
        <v>52.5</v>
      </c>
      <c r="AB10" s="2">
        <f xml:space="preserve"> 17.4 + 3.2 + 1.2</f>
        <v>21.799999999999997</v>
      </c>
      <c r="AC10" s="2">
        <f xml:space="preserve"> 8</f>
        <v>8</v>
      </c>
      <c r="AD10" s="2">
        <f xml:space="preserve"> 3.2 + 4.1 + 3.8 + 1.8</f>
        <v>12.9</v>
      </c>
      <c r="AE10" s="2">
        <f xml:space="preserve"> 5 + 3.4 + 25.5 + 4.4 + 0.7 + 2 + 4.7 + 0.8</f>
        <v>46.5</v>
      </c>
      <c r="AF10" s="2">
        <f xml:space="preserve"> 8 + 6.2</f>
        <v>14.2</v>
      </c>
    </row>
    <row r="11" spans="1:32" x14ac:dyDescent="0.3">
      <c r="A11" s="1">
        <v>42125</v>
      </c>
      <c r="B11">
        <v>0</v>
      </c>
      <c r="C11">
        <v>0</v>
      </c>
      <c r="D11">
        <v>0</v>
      </c>
      <c r="E11" s="2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 xml:space="preserve"> 11.4</f>
        <v>11.4</v>
      </c>
      <c r="N11" s="2">
        <f xml:space="preserve"> 2.6 + 2.3</f>
        <v>4.9000000000000004</v>
      </c>
      <c r="O11" s="2">
        <f xml:space="preserve"> 7.8 + 1</f>
        <v>8.8000000000000007</v>
      </c>
      <c r="P11" s="2">
        <f xml:space="preserve"> 1.2</f>
        <v>1.2</v>
      </c>
      <c r="Q11" s="2">
        <v>0</v>
      </c>
      <c r="R11">
        <v>0</v>
      </c>
      <c r="S11" s="2">
        <f xml:space="preserve"> 2.8 + 3.4 + 10</f>
        <v>16.2</v>
      </c>
      <c r="T11">
        <f xml:space="preserve"> 1.1</f>
        <v>1.1000000000000001</v>
      </c>
      <c r="U11" s="2">
        <f xml:space="preserve"> 1</f>
        <v>1</v>
      </c>
      <c r="V11">
        <v>0</v>
      </c>
      <c r="W11">
        <v>0</v>
      </c>
      <c r="X11">
        <v>0</v>
      </c>
      <c r="Y11" s="2">
        <f xml:space="preserve"> 2</f>
        <v>2</v>
      </c>
      <c r="Z11" s="2">
        <v>0</v>
      </c>
      <c r="AA11" s="2">
        <f xml:space="preserve"> 0.7</f>
        <v>0.7</v>
      </c>
      <c r="AB11" s="2">
        <v>0</v>
      </c>
      <c r="AC11" s="2">
        <v>0</v>
      </c>
      <c r="AD11" s="2">
        <v>0</v>
      </c>
      <c r="AE11" s="2">
        <f xml:space="preserve"> 6.8</f>
        <v>6.8</v>
      </c>
      <c r="AF11" s="2">
        <f xml:space="preserve"> 1.4</f>
        <v>1.4</v>
      </c>
    </row>
    <row r="12" spans="1:32" x14ac:dyDescent="0.3">
      <c r="A12" s="1">
        <v>42156</v>
      </c>
      <c r="B12">
        <v>0</v>
      </c>
      <c r="C12">
        <v>2.5</v>
      </c>
      <c r="D12">
        <v>0</v>
      </c>
      <c r="E12" s="2">
        <v>0</v>
      </c>
      <c r="F12">
        <v>0</v>
      </c>
      <c r="G12">
        <f xml:space="preserve"> 1.8</f>
        <v>1.8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xml:space="preserve"> 4.2 + 1.5</f>
        <v>5.7</v>
      </c>
      <c r="R12" s="2">
        <v>0</v>
      </c>
      <c r="S12" s="2">
        <f xml:space="preserve"> 3.9 + 1 + 1</f>
        <v>5.9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f xml:space="preserve"> 0.5 + 3.3</f>
        <v>3.8</v>
      </c>
      <c r="AF12" s="2">
        <v>0</v>
      </c>
    </row>
    <row r="13" spans="1:32" x14ac:dyDescent="0.3">
      <c r="A13" s="1">
        <v>42186</v>
      </c>
      <c r="B13">
        <v>10.5</v>
      </c>
      <c r="C13">
        <v>5</v>
      </c>
      <c r="D13">
        <v>0</v>
      </c>
      <c r="E13" s="2">
        <v>0</v>
      </c>
      <c r="F13">
        <v>0</v>
      </c>
      <c r="G13" s="2">
        <f xml:space="preserve"> 5.4 + 3.8</f>
        <v>9.1999999999999993</v>
      </c>
      <c r="H13" s="2">
        <v>1.5</v>
      </c>
      <c r="I13" s="2">
        <v>0</v>
      </c>
      <c r="J13" s="2">
        <v>0</v>
      </c>
      <c r="K13" s="2">
        <f xml:space="preserve"> 3.5</f>
        <v>3.5</v>
      </c>
      <c r="L13" s="2">
        <f xml:space="preserve"> 4.2</f>
        <v>4.2</v>
      </c>
      <c r="M13" s="2">
        <v>1</v>
      </c>
      <c r="N13" s="2">
        <v>0</v>
      </c>
      <c r="O13" s="2">
        <v>0</v>
      </c>
      <c r="P13" s="2">
        <v>0</v>
      </c>
      <c r="Q13" s="2">
        <f xml:space="preserve"> 1 + 5 +0.1</f>
        <v>6.1</v>
      </c>
      <c r="R13" s="2">
        <v>0</v>
      </c>
      <c r="S13" s="2">
        <f xml:space="preserve"> 2 + 1.7 + 1</f>
        <v>4.7</v>
      </c>
      <c r="T13">
        <f xml:space="preserve"> 1.8 + 0.6</f>
        <v>2.4</v>
      </c>
      <c r="U13" s="2">
        <f xml:space="preserve"> 0.5 + 0.5</f>
        <v>1</v>
      </c>
      <c r="V13" s="2">
        <v>0</v>
      </c>
      <c r="W13" s="2">
        <v>0</v>
      </c>
      <c r="X13" s="2">
        <f xml:space="preserve"> 3.5</f>
        <v>3.5</v>
      </c>
      <c r="Y13" s="2">
        <f xml:space="preserve"> 1.9</f>
        <v>1.9</v>
      </c>
      <c r="Z13" s="2">
        <f xml:space="preserve"> 2</f>
        <v>2</v>
      </c>
      <c r="AA13" s="2">
        <f xml:space="preserve"> 2.4</f>
        <v>2.4</v>
      </c>
      <c r="AB13" s="2">
        <v>0</v>
      </c>
      <c r="AC13" s="2">
        <v>0</v>
      </c>
      <c r="AD13" s="2">
        <v>0</v>
      </c>
      <c r="AE13" s="2">
        <f xml:space="preserve"> 1.2</f>
        <v>1.2</v>
      </c>
      <c r="AF13" s="2">
        <v>0</v>
      </c>
    </row>
    <row r="14" spans="1:32" x14ac:dyDescent="0.3">
      <c r="A14" t="s">
        <v>2</v>
      </c>
      <c r="B14">
        <f xml:space="preserve"> SUM(B2:B13)</f>
        <v>480.79999999999995</v>
      </c>
      <c r="C14">
        <f t="shared" ref="C14:D14" si="0">SUM(C2:C13)</f>
        <v>494.40000000000009</v>
      </c>
      <c r="D14" s="2">
        <f t="shared" si="0"/>
        <v>228.5</v>
      </c>
      <c r="E14" s="2">
        <f t="shared" ref="E14:N14" si="1" xml:space="preserve"> SUM(E2:E13)</f>
        <v>442.6</v>
      </c>
      <c r="F14" s="2">
        <f t="shared" si="1"/>
        <v>398.90000000000003</v>
      </c>
      <c r="G14" s="2">
        <f t="shared" si="1"/>
        <v>345.2</v>
      </c>
      <c r="H14" s="2">
        <f t="shared" si="1"/>
        <v>400.9</v>
      </c>
      <c r="I14" s="2">
        <f t="shared" si="1"/>
        <v>343.69999999999993</v>
      </c>
      <c r="J14" s="2">
        <f t="shared" si="1"/>
        <v>418.69999999999993</v>
      </c>
      <c r="K14" s="2">
        <f t="shared" si="1"/>
        <v>585.70000000000005</v>
      </c>
      <c r="L14" s="2">
        <f t="shared" si="1"/>
        <v>417.9</v>
      </c>
      <c r="M14" s="2">
        <f t="shared" si="1"/>
        <v>543.20000000000005</v>
      </c>
      <c r="N14" s="2">
        <f t="shared" si="1"/>
        <v>387.90000000000003</v>
      </c>
      <c r="O14" s="2">
        <f t="shared" ref="O14:P14" si="2" xml:space="preserve"> SUM(O2:O13)</f>
        <v>291.29999999999995</v>
      </c>
      <c r="P14" s="2">
        <f t="shared" si="2"/>
        <v>555.80000000000007</v>
      </c>
      <c r="Q14" s="2">
        <f t="shared" ref="Q14" si="3" xml:space="preserve"> SUM(Q2:Q13)</f>
        <v>894.9</v>
      </c>
      <c r="R14" s="2">
        <f xml:space="preserve"> SUM(R2:R13)</f>
        <v>413.5</v>
      </c>
      <c r="S14" s="2">
        <f t="shared" ref="S14:U14" si="4" xml:space="preserve"> SUM(S2:S13)</f>
        <v>660.5</v>
      </c>
      <c r="T14" s="2">
        <f t="shared" si="4"/>
        <v>896.90000000000009</v>
      </c>
      <c r="U14" s="2">
        <f t="shared" si="4"/>
        <v>259</v>
      </c>
      <c r="V14" s="2">
        <f xml:space="preserve"> SUM(V2:V13)</f>
        <v>299.2</v>
      </c>
      <c r="W14" s="2">
        <f t="shared" ref="W14:AA14" si="5" xml:space="preserve"> SUM(W2:W13)</f>
        <v>514</v>
      </c>
      <c r="X14" s="2">
        <f t="shared" si="5"/>
        <v>659</v>
      </c>
      <c r="Y14" s="2">
        <f t="shared" si="5"/>
        <v>419.5</v>
      </c>
      <c r="Z14" s="2">
        <f t="shared" si="5"/>
        <v>361.8</v>
      </c>
      <c r="AA14" s="2">
        <f t="shared" si="5"/>
        <v>367.7999999999999</v>
      </c>
      <c r="AB14" s="2">
        <f xml:space="preserve"> SUM(AB2:AB13)</f>
        <v>392.1</v>
      </c>
      <c r="AC14" s="2">
        <f xml:space="preserve"> SUM(AC2:AC13)</f>
        <v>381.40000000000003</v>
      </c>
      <c r="AD14" s="2">
        <f xml:space="preserve"> SUM(AD2:AD13)</f>
        <v>369.9</v>
      </c>
      <c r="AE14" s="2">
        <f xml:space="preserve"> SUM(AE2:AE13)</f>
        <v>551.89999999999986</v>
      </c>
      <c r="AF14" s="2">
        <f xml:space="preserve"> SUM(AF2:AF13)</f>
        <v>408.59999999999997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2917-FDEB-4C0D-B747-694BC0CC4560}">
  <dimension ref="A1:AF14"/>
  <sheetViews>
    <sheetView workbookViewId="0">
      <selection activeCell="AI13" sqref="AI13"/>
    </sheetView>
  </sheetViews>
  <sheetFormatPr defaultRowHeight="14.4" x14ac:dyDescent="0.3"/>
  <cols>
    <col min="1" max="1" width="14.21875" customWidth="1"/>
    <col min="2" max="2" width="20.5546875" customWidth="1"/>
    <col min="4" max="4" width="11.88671875" customWidth="1"/>
    <col min="5" max="5" width="8.88671875" style="2"/>
    <col min="6" max="6" width="11.88671875" customWidth="1"/>
    <col min="7" max="7" width="12.77734375" style="2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42217</v>
      </c>
      <c r="B2">
        <v>0</v>
      </c>
      <c r="C2">
        <v>0</v>
      </c>
      <c r="D2">
        <v>0</v>
      </c>
      <c r="E2" s="2">
        <v>0</v>
      </c>
      <c r="F2" s="2">
        <f xml:space="preserve"> 0.2</f>
        <v>0.2</v>
      </c>
      <c r="G2" s="2">
        <v>0</v>
      </c>
      <c r="H2" s="2">
        <v>0</v>
      </c>
      <c r="I2" s="2">
        <v>0</v>
      </c>
      <c r="J2" s="2">
        <v>0</v>
      </c>
      <c r="K2" s="2">
        <f xml:space="preserve"> 1</f>
        <v>1</v>
      </c>
      <c r="L2" s="2">
        <v>0</v>
      </c>
      <c r="M2" s="2">
        <v>0</v>
      </c>
      <c r="N2" s="2">
        <v>0</v>
      </c>
      <c r="O2" s="2">
        <v>0</v>
      </c>
      <c r="P2" s="2">
        <f xml:space="preserve"> 0.4</f>
        <v>0.4</v>
      </c>
      <c r="Q2" s="2">
        <f xml:space="preserve"> 1 + 1</f>
        <v>2</v>
      </c>
      <c r="R2">
        <v>0.1</v>
      </c>
      <c r="S2" s="2">
        <v>0</v>
      </c>
      <c r="T2">
        <f>0.5</f>
        <v>0.5</v>
      </c>
      <c r="U2" s="2">
        <v>0</v>
      </c>
      <c r="V2">
        <v>0</v>
      </c>
      <c r="W2">
        <v>0</v>
      </c>
      <c r="X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f xml:space="preserve"> 0.7</f>
        <v>0.7</v>
      </c>
      <c r="AF2" s="2">
        <v>0</v>
      </c>
    </row>
    <row r="3" spans="1:32" x14ac:dyDescent="0.3">
      <c r="A3" s="1">
        <v>42248</v>
      </c>
      <c r="B3">
        <v>0</v>
      </c>
      <c r="C3">
        <f xml:space="preserve"> 14.3 + 6 + 14</f>
        <v>34.299999999999997</v>
      </c>
      <c r="D3">
        <v>0</v>
      </c>
      <c r="E3" s="2">
        <f xml:space="preserve"> 45.5 + 3 + 2.5</f>
        <v>51</v>
      </c>
      <c r="F3" s="2">
        <v>0</v>
      </c>
      <c r="G3" s="2">
        <v>0</v>
      </c>
      <c r="H3" s="2">
        <f xml:space="preserve"> 3.5 + 12 + 7.4</f>
        <v>22.9</v>
      </c>
      <c r="I3" s="2">
        <v>0</v>
      </c>
      <c r="J3" s="2">
        <v>0</v>
      </c>
      <c r="K3" s="2">
        <f xml:space="preserve"> 13</f>
        <v>13</v>
      </c>
      <c r="L3" s="2">
        <f xml:space="preserve"> 9.2 + 4 + 3.5</f>
        <v>16.7</v>
      </c>
      <c r="M3" s="2">
        <v>0</v>
      </c>
      <c r="N3" s="2">
        <f xml:space="preserve"> 11.6 + 12.4 + 1.5</f>
        <v>25.5</v>
      </c>
      <c r="O3" s="2">
        <f xml:space="preserve"> 32.2</f>
        <v>32.200000000000003</v>
      </c>
      <c r="P3" s="2">
        <v>0</v>
      </c>
      <c r="Q3" s="2">
        <f xml:space="preserve"> 4.8 + 8 + 46 + 27 +1 + 4.5 + 1 + 10 + 6.5 + 12</f>
        <v>120.8</v>
      </c>
      <c r="R3">
        <f xml:space="preserve"> 61.5 + 1.7+ 1.3 + 1.3 + 16.7 + 1.5 + 18.2</f>
        <v>102.2</v>
      </c>
      <c r="S3" s="2">
        <f xml:space="preserve"> 9.1 + 3 + 45.7 + 24.4 + 2.6 + 4.4 + 2.1 + 10.2 + 3.2 + 6.1</f>
        <v>110.8</v>
      </c>
      <c r="T3">
        <f xml:space="preserve"> 3.5 + 3.2 + 60.8 + 9.4 + 0.7 + 4.5 + 1.7 + 15.4 + 37 + 0.5</f>
        <v>136.70000000000002</v>
      </c>
      <c r="U3" s="2">
        <f xml:space="preserve"> 28 + 7 + 2</f>
        <v>37</v>
      </c>
      <c r="V3">
        <f xml:space="preserve"> 27.5</f>
        <v>27.5</v>
      </c>
      <c r="W3">
        <f xml:space="preserve"> 19</f>
        <v>19</v>
      </c>
      <c r="X3">
        <f xml:space="preserve"> 23.5</f>
        <v>23.5</v>
      </c>
      <c r="Y3" s="2">
        <f xml:space="preserve"> 30</f>
        <v>30</v>
      </c>
      <c r="Z3" s="2">
        <f xml:space="preserve"> 12.5</f>
        <v>12.5</v>
      </c>
      <c r="AA3" s="2">
        <f xml:space="preserve"> 23</f>
        <v>23</v>
      </c>
      <c r="AB3" s="2">
        <f xml:space="preserve"> 42</f>
        <v>42</v>
      </c>
      <c r="AC3" s="2">
        <f xml:space="preserve"> 40.2 + 1.2</f>
        <v>41.400000000000006</v>
      </c>
      <c r="AD3" s="2">
        <f xml:space="preserve"> 62</f>
        <v>62</v>
      </c>
      <c r="AE3" s="2">
        <f xml:space="preserve"> 4.1 + 12.5 + 60 + 7.4 + 0.5 + 1.1 + 4 + 12 + 3.1</f>
        <v>104.69999999999999</v>
      </c>
      <c r="AF3" s="2">
        <f xml:space="preserve"> 10 + 52.5 + 14.5 + 2.8 + 0.5</f>
        <v>80.3</v>
      </c>
    </row>
    <row r="4" spans="1:32" x14ac:dyDescent="0.3">
      <c r="A4" s="1">
        <v>42278</v>
      </c>
      <c r="B4">
        <v>0</v>
      </c>
      <c r="C4">
        <f xml:space="preserve"> 2.9 + 9.7 +0.4 + 5.3 + 12.5 + 10</f>
        <v>40.799999999999997</v>
      </c>
      <c r="D4">
        <v>0</v>
      </c>
      <c r="E4" s="2">
        <f xml:space="preserve"> 3</f>
        <v>3</v>
      </c>
      <c r="F4">
        <f xml:space="preserve"> 6 + 1 + 6 + 1 + 8 + 2 + 5 + 2</f>
        <v>31</v>
      </c>
      <c r="G4" s="2">
        <v>29</v>
      </c>
      <c r="H4" s="2">
        <v>11.8</v>
      </c>
      <c r="I4" s="2">
        <v>27</v>
      </c>
      <c r="J4" s="2">
        <v>29.6</v>
      </c>
      <c r="K4" s="2">
        <f xml:space="preserve"> 4 + 4.6 + 3.3 + 5 + 13.6 + 2.5 + 1.1 + 2</f>
        <v>36.1</v>
      </c>
      <c r="L4" s="2">
        <f xml:space="preserve"> 17.5 + 13 + 4 + 1.8 + 8.4 + 1 + 2.4</f>
        <v>48.099999999999994</v>
      </c>
      <c r="M4" s="2">
        <f xml:space="preserve"> 2 + 9.8 + 1 + 10 + 3</f>
        <v>25.8</v>
      </c>
      <c r="N4" s="2">
        <v>43.5</v>
      </c>
      <c r="O4" s="2">
        <v>14.7</v>
      </c>
      <c r="P4" s="2">
        <v>25.4</v>
      </c>
      <c r="Q4" s="2">
        <f xml:space="preserve"> 7 + 10 + 9 + 6 + 0.6 + 50 + 1.2 + 10</f>
        <v>93.8</v>
      </c>
      <c r="R4">
        <f xml:space="preserve"> 11.5 + 5.5</f>
        <v>17</v>
      </c>
      <c r="S4" s="2">
        <f xml:space="preserve"> 5.9 + 1.7  + 9.4 + 3.5 + 54.9 + 1.3 + 18.2</f>
        <v>94.9</v>
      </c>
      <c r="T4">
        <f xml:space="preserve"> 11.2 + 1.8 + 7.6 + 1.6 + 17.2 + 1.3 + 8.6</f>
        <v>49.300000000000004</v>
      </c>
      <c r="U4" s="2">
        <f xml:space="preserve"> 6 + 16 + 5.5</f>
        <v>27.5</v>
      </c>
      <c r="V4">
        <f xml:space="preserve"> 1 + 9</f>
        <v>10</v>
      </c>
      <c r="W4">
        <f xml:space="preserve"> 6 + 5 + 4.5 + 8.5</f>
        <v>24</v>
      </c>
      <c r="X4">
        <f xml:space="preserve"> 30+ 4.5</f>
        <v>34.5</v>
      </c>
      <c r="Y4" s="2">
        <f xml:space="preserve"> 4.1</f>
        <v>4.0999999999999996</v>
      </c>
      <c r="Z4" s="2">
        <f xml:space="preserve"> 12.5 + 12.5 + 1.5 + 18.5</f>
        <v>45</v>
      </c>
      <c r="AA4" s="2">
        <f xml:space="preserve"> 9</f>
        <v>9</v>
      </c>
      <c r="AB4" s="2">
        <f xml:space="preserve"> 4.2</f>
        <v>4.2</v>
      </c>
      <c r="AC4" s="2">
        <f xml:space="preserve"> 4.2</f>
        <v>4.2</v>
      </c>
      <c r="AD4" s="2">
        <f xml:space="preserve"> 2.8 + 6.3</f>
        <v>9.1</v>
      </c>
      <c r="AE4" s="2">
        <f xml:space="preserve"> 5.4 + 1.6 + 0.5 + 1.6</f>
        <v>9.1</v>
      </c>
      <c r="AF4" s="2">
        <f xml:space="preserve"> 6.2 + 2.5</f>
        <v>8.6999999999999993</v>
      </c>
    </row>
    <row r="5" spans="1:32" x14ac:dyDescent="0.3">
      <c r="A5" s="1">
        <v>42309</v>
      </c>
      <c r="B5">
        <v>38.5</v>
      </c>
      <c r="C5">
        <f xml:space="preserve"> 13.8 + 28.5 +20</f>
        <v>62.3</v>
      </c>
      <c r="D5">
        <v>0</v>
      </c>
      <c r="E5" s="2">
        <f xml:space="preserve"> 4.5 + 9.5 + 0.5</f>
        <v>14.5</v>
      </c>
      <c r="F5" s="2">
        <f xml:space="preserve"> 4 + 3 + 8 + 1.4 + 1 + 4</f>
        <v>21.4</v>
      </c>
      <c r="G5" s="2">
        <v>64.900000000000006</v>
      </c>
      <c r="H5" s="2">
        <f xml:space="preserve"> 2.5 + 1.5 + 10 + 4.5 + 4 + 24.8</f>
        <v>47.3</v>
      </c>
      <c r="I5" s="2">
        <f xml:space="preserve"> 0.9 + 2 + 2.8 + 4.3 + 2.3 + 7 + 16.9</f>
        <v>36.200000000000003</v>
      </c>
      <c r="J5" s="2">
        <f xml:space="preserve"> 12.8 + 30</f>
        <v>42.8</v>
      </c>
      <c r="K5" s="2">
        <f xml:space="preserve"> 15.5 + 5 + 5.7 + 36 + 0.5 + 8</f>
        <v>70.7</v>
      </c>
      <c r="L5" s="2">
        <f xml:space="preserve"> 6 + 4.2 + 11 + 15 + 34.4 + 0.1</f>
        <v>70.699999999999989</v>
      </c>
      <c r="M5" s="2">
        <f xml:space="preserve"> 10 + 14.2 + 4.4 + 16.6 + 2.1 + 1</f>
        <v>48.300000000000004</v>
      </c>
      <c r="N5" s="2">
        <v>86.4</v>
      </c>
      <c r="O5" s="2">
        <v>58.9</v>
      </c>
      <c r="P5" s="2">
        <f xml:space="preserve"> 6.2 + 24.6 + 2 + 6 + 19.2 + 13.2 + 2</f>
        <v>73.2</v>
      </c>
      <c r="Q5" s="2">
        <f xml:space="preserve"> 19 + 3 + 9 + 2.5 + 26 + 5 + 14 + 18 + 1 + 1 + 2</f>
        <v>100.5</v>
      </c>
      <c r="R5">
        <f xml:space="preserve"> 4.5 + 16.4 + 53 + 13.5</f>
        <v>87.4</v>
      </c>
      <c r="S5" s="2">
        <f xml:space="preserve"> 46.9 + 2.5 + 12.9 + 2.9 + 26.5 + 2.3 + 25.4 + 8 + 4.1 + 1</f>
        <v>132.5</v>
      </c>
      <c r="T5">
        <f xml:space="preserve"> 2.8 + 9.2+ 4.2 + 46.8 + 28 + 17.4 + 6.8 + 1.7 + 0.5</f>
        <v>117.4</v>
      </c>
      <c r="U5" s="2">
        <f xml:space="preserve"> 36 + 8.7 + 12</f>
        <v>56.7</v>
      </c>
      <c r="V5">
        <f xml:space="preserve"> 22 + 2.6 + 5 + 22</f>
        <v>51.6</v>
      </c>
      <c r="W5">
        <f xml:space="preserve"> 4 + 20 + 1 + 1 + 60</f>
        <v>86</v>
      </c>
      <c r="X5">
        <f xml:space="preserve"> 18 + 12 + 30</f>
        <v>60</v>
      </c>
      <c r="Y5" s="2">
        <f xml:space="preserve"> 17.2 + 23.6 + 17.5 + 19.4</f>
        <v>77.699999999999989</v>
      </c>
      <c r="Z5" s="2">
        <f xml:space="preserve"> 6.5 + 12 + 5.5 + 28.5</f>
        <v>52.5</v>
      </c>
      <c r="AA5" s="2">
        <f xml:space="preserve"> 2.4 + 5.6 + 10.5 + 26.4 + 5.3 + 9.5</f>
        <v>59.699999999999996</v>
      </c>
      <c r="AB5" s="2">
        <f xml:space="preserve"> 0.4 + 12 + 37</f>
        <v>49.4</v>
      </c>
      <c r="AC5" s="2">
        <f xml:space="preserve"> 5.3 + 18.1 + 10.2</f>
        <v>33.6</v>
      </c>
      <c r="AD5" s="2">
        <f xml:space="preserve"> 3 + 11.7 + 15.1</f>
        <v>29.799999999999997</v>
      </c>
      <c r="AE5" s="2">
        <f xml:space="preserve"> 22.7 + 5.2 + 8.2 + 17.5 + 3 + 12.1 + 9.3 + 0.9</f>
        <v>78.899999999999991</v>
      </c>
      <c r="AF5" s="2">
        <f xml:space="preserve"> 11 + 10.5</f>
        <v>21.5</v>
      </c>
    </row>
    <row r="6" spans="1:32" x14ac:dyDescent="0.3">
      <c r="A6" s="1">
        <v>42339</v>
      </c>
      <c r="B6">
        <v>40.5</v>
      </c>
      <c r="C6">
        <f xml:space="preserve"> 26 +11.5 +2</f>
        <v>39.5</v>
      </c>
      <c r="D6">
        <f xml:space="preserve"> 8 + 12</f>
        <v>20</v>
      </c>
      <c r="E6" s="2">
        <f xml:space="preserve"> 0.4 + 5 + 28.5 + 5.5 + 0.5 + 2 + 1</f>
        <v>42.9</v>
      </c>
      <c r="F6" s="2">
        <f xml:space="preserve"> 25 + 18 + 1 + 11 + 2 + 8 + 18 + 4 + 14 + 3</f>
        <v>104</v>
      </c>
      <c r="G6" s="2">
        <f xml:space="preserve"> 8.4 + 9.8 + 36.8 + 0.2 + 10 + 2.8 + 1.6 + 4.2 + 30</f>
        <v>103.8</v>
      </c>
      <c r="H6" s="2">
        <f xml:space="preserve"> 10.5 + 1.5 + 2.7 + 1 + 11.5 + 3 + 3 + 66.3 + 7.4 + 20 + 8.5 + 8.5</f>
        <v>143.9</v>
      </c>
      <c r="I6" s="2">
        <v>87.5</v>
      </c>
      <c r="J6" s="2">
        <v>69.3</v>
      </c>
      <c r="K6" s="2">
        <f xml:space="preserve"> 10.2 + 6 + 1.5 + 30.5 + 6.5 + 4 + 5.5 + 7.7 + 3.6 + 8.5</f>
        <v>84</v>
      </c>
      <c r="L6" s="2">
        <f xml:space="preserve"> 10.5 + 25 + 39.7 + 11.2 + 24.6 + 85.6 + 3.5</f>
        <v>200.1</v>
      </c>
      <c r="M6" s="2">
        <f xml:space="preserve"> 17.4 + 22.6 + 43.2 + 8.8 + 2.2 + 16.6 + 1.2</f>
        <v>112.00000000000001</v>
      </c>
      <c r="N6" s="2">
        <f xml:space="preserve"> 8.6 + 3.6 + 27 + 0.2 + 0.2 + 2.8 + 2.6</f>
        <v>45.000000000000007</v>
      </c>
      <c r="O6" s="2">
        <f xml:space="preserve"> 32.8</f>
        <v>32.799999999999997</v>
      </c>
      <c r="P6" s="2">
        <f xml:space="preserve"> 8.6 + 5 + 22.4 + 9.4 + 34</f>
        <v>79.400000000000006</v>
      </c>
      <c r="Q6" s="2">
        <f xml:space="preserve"> 11 + 8 + 1 + 14.2 + 8 + 18 + 13 + 2 +1 + 0.5</f>
        <v>76.7</v>
      </c>
      <c r="R6">
        <f xml:space="preserve"> 1.3 + 8.1 + 7.3</f>
        <v>16.7</v>
      </c>
      <c r="S6" s="2">
        <f xml:space="preserve"> 8.7 + 1.5 + 7.8 + 7.4 + 15.7 + 1.8 + 2.3</f>
        <v>45.199999999999989</v>
      </c>
      <c r="T6">
        <f xml:space="preserve"> 1.5 + 2.1 + 11.2 + 15.4 + 2.2 + 10.2 + 19.5 + 1.6 + 1.2</f>
        <v>64.899999999999991</v>
      </c>
      <c r="U6" s="2">
        <f xml:space="preserve"> 9</f>
        <v>9</v>
      </c>
      <c r="V6">
        <f xml:space="preserve"> 2.4 + 3.8</f>
        <v>6.1999999999999993</v>
      </c>
      <c r="W6">
        <f xml:space="preserve"> 1 + 35 + 10</f>
        <v>46</v>
      </c>
      <c r="X6">
        <f xml:space="preserve"> 14 + 15 + 6.1 + 15 + 15.5 + 5 + 13</f>
        <v>83.6</v>
      </c>
      <c r="Y6" s="2">
        <f xml:space="preserve"> 1.5 + 4.7</f>
        <v>6.2</v>
      </c>
      <c r="Z6" s="2">
        <f xml:space="preserve"> 27.5 + 0.5 + 7.5 + 17 + 27 + 50</f>
        <v>129.5</v>
      </c>
      <c r="AA6" s="2">
        <f xml:space="preserve"> 1.4 + 2.8 + 11.5 + 2.1 + 16 + 2.3</f>
        <v>36.099999999999994</v>
      </c>
      <c r="AB6" s="2">
        <f xml:space="preserve"> 78.2 + 18.6</f>
        <v>96.800000000000011</v>
      </c>
      <c r="AC6" s="2">
        <f xml:space="preserve"> 0.4 + 127.4 + 16</f>
        <v>143.80000000000001</v>
      </c>
      <c r="AD6" s="2">
        <f xml:space="preserve"> 21.6 + 26.3</f>
        <v>47.900000000000006</v>
      </c>
      <c r="AE6" s="2">
        <f xml:space="preserve"> 18.5 + 1.6 + 11 + 12.5</f>
        <v>43.6</v>
      </c>
      <c r="AF6" s="2">
        <f xml:space="preserve"> 6.8 + 11 + 10.7 +4.3</f>
        <v>32.799999999999997</v>
      </c>
    </row>
    <row r="7" spans="1:32" x14ac:dyDescent="0.3">
      <c r="A7" s="1">
        <v>42370</v>
      </c>
      <c r="B7">
        <v>192.3</v>
      </c>
      <c r="C7" s="3">
        <f xml:space="preserve"> 9.3 + 8.1 + 1.7 + 30.2 +1.9 +1 + 13.3 +2.7 +7.2 + 3 + 25</f>
        <v>103.4</v>
      </c>
      <c r="D7">
        <f xml:space="preserve"> 12 + 10 + 6 + 25 + 9</f>
        <v>62</v>
      </c>
      <c r="E7" s="2">
        <f xml:space="preserve"> 5 + 30 + 10 + 11.5 + 20 + 1.7 + 0.3 + 2.5 + 11.5 + 8</f>
        <v>100.5</v>
      </c>
      <c r="F7">
        <f xml:space="preserve"> 10 + 2 + 16 +5 + 13 + 2 + 6 + 2 + 1 + 7 + 3 + 10</f>
        <v>77</v>
      </c>
      <c r="G7" s="2">
        <f xml:space="preserve"> 14.8 + 2.4 + 30.8 + 9.8 + 1.2 + 33.6 + 7.2 + 12.2 + 11.6 + 28.6 + 3.6 + 0.8 + 12.8 + 8.6</f>
        <v>178</v>
      </c>
      <c r="H7" s="2">
        <f xml:space="preserve"> 21 + 12 + 1 + 5.5 + 13 + 3 + 2 + 12</f>
        <v>69.5</v>
      </c>
      <c r="I7" s="2">
        <f xml:space="preserve"> 7.5 + 4.2 + 11.4 + 34.5 + 21 + 2.5 + 12 + 1.3 + 1 +6</f>
        <v>101.39999999999999</v>
      </c>
      <c r="J7" s="2">
        <f xml:space="preserve"> 1.6 + 10 + 1 + 16 + 24 + 1 + 30 + 35 + 1</f>
        <v>119.6</v>
      </c>
      <c r="K7" s="2">
        <f xml:space="preserve"> 17.5 + 8 + 0.5 + 2 + 48 + 1.5 + 15</f>
        <v>92.5</v>
      </c>
      <c r="L7" s="2">
        <f xml:space="preserve"> 0.8 + 11.6 + 7.8 + 0.6</f>
        <v>20.8</v>
      </c>
      <c r="M7" s="2">
        <f xml:space="preserve"> 38.4 + 1 + 9 + 6.2 + 18.8</f>
        <v>73.400000000000006</v>
      </c>
      <c r="N7" s="2">
        <f xml:space="preserve"> 1.4 + 4.6 + 25.8</f>
        <v>31.8</v>
      </c>
      <c r="O7" s="2">
        <f xml:space="preserve"> 15 + 0.4</f>
        <v>15.4</v>
      </c>
      <c r="P7" s="2">
        <f xml:space="preserve"> 11 + 8 + 5.2 + 1.8 + 10.4</f>
        <v>36.4</v>
      </c>
      <c r="Q7" s="2">
        <f xml:space="preserve"> 8.4 + 2.5 + 4.1 + 3 + 3.8 + 2.9 + 1 + 5.3+ 16 + 14 + 12 + 1.8</f>
        <v>74.8</v>
      </c>
      <c r="R7">
        <f xml:space="preserve"> 3 + 3.6 +19.5</f>
        <v>26.1</v>
      </c>
      <c r="S7" s="2">
        <f xml:space="preserve"> 12.2 + 2.5 + 2 + 12.9 + 5.2 + 34.5 + 21.5 + 8.9 + 3.5 + 3.2 + 4 + 1.2+ 2.4</f>
        <v>114.00000000000003</v>
      </c>
      <c r="T7">
        <f xml:space="preserve"> 1.4 + 1.4 + 3.7 + 33.6 + 10.3 + 5.1 + 0.5 + 1.2 + 8.1 + 3.9</f>
        <v>69.200000000000017</v>
      </c>
      <c r="U7" s="2">
        <f xml:space="preserve"> 2.5 + 0.5 + 1.2 + 27 + 6.5+3 + 23.5</f>
        <v>64.2</v>
      </c>
      <c r="V7">
        <f xml:space="preserve"> 4 + 14.4 + 18 + 31.6 + 3 + 3 + 10.2</f>
        <v>84.2</v>
      </c>
      <c r="W7">
        <f xml:space="preserve"> 16 + 11.5 + 13 + 38.2 + 11.5 + 0.6</f>
        <v>90.8</v>
      </c>
      <c r="X7">
        <f xml:space="preserve"> 5 + 2 + 7+ 1 + 32 + 1</f>
        <v>48</v>
      </c>
      <c r="Y7" s="2">
        <f xml:space="preserve"> 25.4 + 1 + 2.4 + 5.5 + 10.5 + 2.9</f>
        <v>47.699999999999996</v>
      </c>
      <c r="Z7" s="2">
        <f xml:space="preserve"> 3 + 13 + 15 + 10.5 + 3 + 2 + 2</f>
        <v>48.5</v>
      </c>
      <c r="AA7" s="2">
        <f xml:space="preserve"> 4.8 + 3 + 4</f>
        <v>11.8</v>
      </c>
      <c r="AB7" s="2">
        <f xml:space="preserve"> 7.2 + 1.8 + 13.5 + 3.4 + 7</f>
        <v>32.9</v>
      </c>
      <c r="AC7" s="2">
        <f xml:space="preserve"> 3 + 13.1 + 16</f>
        <v>32.1</v>
      </c>
      <c r="AD7" s="2">
        <f xml:space="preserve"> 5.9 + 11.2 + 8 + 44 + 19</f>
        <v>88.1</v>
      </c>
      <c r="AE7" s="2">
        <f xml:space="preserve"> 1.2 + 0.9 + 6.7 + 1.8 + 13.1 + 6.1 + 32.5 + 7.5 + 0.5 + 2.4 + 3.6 + 2 + 5.6</f>
        <v>83.9</v>
      </c>
      <c r="AF7" s="2">
        <f xml:space="preserve"> 56.5 + 30 + 2.8 + 13+ 0.5</f>
        <v>102.8</v>
      </c>
    </row>
    <row r="8" spans="1:32" x14ac:dyDescent="0.3">
      <c r="A8" s="1">
        <v>42401</v>
      </c>
      <c r="B8">
        <v>48.4</v>
      </c>
      <c r="C8">
        <f xml:space="preserve"> 0.4 + 3.2 + 5.2 + 4.6 + 8.6 + 3.6 + 14  + 34.2 + 8.8</f>
        <v>82.600000000000009</v>
      </c>
      <c r="D8">
        <f xml:space="preserve"> 5 + 10 + 15 + 18</f>
        <v>48</v>
      </c>
      <c r="E8" s="2">
        <f xml:space="preserve"> 8.5 + 18 + 3.5 + 5 + 2 + 5.5</f>
        <v>42.5</v>
      </c>
      <c r="F8">
        <f xml:space="preserve"> 4 + 3 + 12 + 1 + 4 + 17 + 16 + 5 + 14 + 2 + 3 + 2 + 1</f>
        <v>84</v>
      </c>
      <c r="G8" s="2">
        <v>37.6</v>
      </c>
      <c r="H8" s="2">
        <f xml:space="preserve"> 1.2 + 4 + 4 + 8 + 6.5 + 18.7 + 0.7 + 4.5 + 5 + 12 + 15.5 + 1.9</f>
        <v>82</v>
      </c>
      <c r="I8" s="2">
        <f xml:space="preserve"> 4.5 + 9.4 + 2 + 7 + 3.5 + 1.8 + 13.8 + 4.5 + 3.4 + 16 + 28</f>
        <v>93.9</v>
      </c>
      <c r="J8" s="2">
        <f xml:space="preserve"> 5 + 5.2 + 8 + 11.2 + 14.2 + 4 + 5 + 32</f>
        <v>84.6</v>
      </c>
      <c r="K8" s="2">
        <f xml:space="preserve">  3 + 3.5 + 18.5 +0.4 + 14.5 + 2 + 0.5 + 6 + 2 + 45.4 + 0.8 + 23.5 + 17.5</f>
        <v>137.6</v>
      </c>
      <c r="L8" s="2">
        <f xml:space="preserve"> 10.6 + 11.6 + 1 + 6.3 + 1.2 + 14</f>
        <v>44.7</v>
      </c>
      <c r="M8" s="2">
        <f xml:space="preserve"> 2 + 2 + 8.4 + 5 + 14 + 10 + 3.4 + 24.4+8.2 + 6.6</f>
        <v>83.999999999999986</v>
      </c>
      <c r="N8" s="2">
        <f xml:space="preserve"> 20.9 + 20 + 11.4 + 1</f>
        <v>53.3</v>
      </c>
      <c r="O8" s="2">
        <f xml:space="preserve"> 11.8 + 26.6</f>
        <v>38.400000000000006</v>
      </c>
      <c r="P8" s="2">
        <f xml:space="preserve"> 1.8 + 6.8 + 2.8 + 6.4 + 0.8 + 6.2 + 1.2 + 2.4</f>
        <v>28.399999999999995</v>
      </c>
      <c r="Q8" s="2">
        <f xml:space="preserve"> 26 + 1 + 4 + 12 + 4 +1+18+3+1.5+8+12+7.5+3</f>
        <v>101</v>
      </c>
      <c r="R8">
        <f xml:space="preserve"> 24.5 + 14.1 + 17 + 1.2 + 25.3 + 7.2</f>
        <v>89.300000000000011</v>
      </c>
      <c r="S8" s="2">
        <f xml:space="preserve"> 5.6 + 16.4 + 5 + 1.4 + 10 + 1.1 + 6.6 + 2.6 + 24.4 + 6.4 + 2.4</f>
        <v>81.900000000000006</v>
      </c>
      <c r="T8">
        <f xml:space="preserve"> 9.7 + 51.7 + 0.5 + 12.4 + 14.1 + 15.6 + 1.1 + 2.1 + 0.8</f>
        <v>107.99999999999999</v>
      </c>
      <c r="U8" s="2">
        <f xml:space="preserve"> 7 + 14 + 10 + 11</f>
        <v>42</v>
      </c>
      <c r="V8">
        <f xml:space="preserve"> 2.6 + 20 + 1.2 + 11.2 + 3.6</f>
        <v>38.6</v>
      </c>
      <c r="W8">
        <f xml:space="preserve"> 4.5 + 9.5 + 4.5 + 12.5 + 10 + 7.5</f>
        <v>48.5</v>
      </c>
      <c r="X8">
        <f xml:space="preserve"> 21 + 1 + 6 + 0.5+3.5 + 5 + 4.5 + 1 + 44 + 11.5 + 10.5</f>
        <v>108.5</v>
      </c>
      <c r="Y8" s="2">
        <f xml:space="preserve"> 6 + 20.5 + 9.5 + 7.5 + 2.5 + 15.2 + 25.5</f>
        <v>86.7</v>
      </c>
      <c r="Z8" s="2">
        <f xml:space="preserve"> 1.5 + 3.5 + 1.5 + 20 + 11 + 20.5</f>
        <v>58</v>
      </c>
      <c r="AA8" s="2">
        <f xml:space="preserve"> 0.5 + 6.1 + 15 + 5.5</f>
        <v>27.1</v>
      </c>
      <c r="AB8" s="2">
        <f xml:space="preserve"> 1 + 19.4 + 10.5 + 4.2</f>
        <v>35.1</v>
      </c>
      <c r="AC8" s="2">
        <f xml:space="preserve"> 21 + 7.1</f>
        <v>28.1</v>
      </c>
      <c r="AD8" s="2">
        <f xml:space="preserve"> 12 + 8.3 + 30 + 48</f>
        <v>98.3</v>
      </c>
      <c r="AE8" s="2">
        <f xml:space="preserve"> 1 + 13.5 + 7 + 0.5 + 8.5 + 18.5 + 6.5</f>
        <v>55.5</v>
      </c>
      <c r="AF8" s="2">
        <f xml:space="preserve"> 2.4 + 2.6 + 13.4 + 2.6 + 0.5</f>
        <v>21.5</v>
      </c>
    </row>
    <row r="9" spans="1:32" x14ac:dyDescent="0.3">
      <c r="A9" s="1">
        <v>42430</v>
      </c>
      <c r="B9">
        <v>157</v>
      </c>
      <c r="C9">
        <f xml:space="preserve"> 1.9 + 149 + 5.6 + 10.2 + 14.5 + 49</f>
        <v>230.2</v>
      </c>
      <c r="D9">
        <v>0</v>
      </c>
      <c r="E9" s="2">
        <f xml:space="preserve"> 3 + 28 + 0.5 + 12.5 + 23 + 19.5</f>
        <v>86.5</v>
      </c>
      <c r="F9">
        <f xml:space="preserve"> 16 + 20 + 14 + 2 + 1 + 3 + 55 + 4 + 7 + 5</f>
        <v>127</v>
      </c>
      <c r="G9" s="2">
        <f xml:space="preserve"> 1.6 + 68 + 16.4 + 14.2 + 48.8</f>
        <v>149</v>
      </c>
      <c r="H9" s="2">
        <f xml:space="preserve"> 17.5 + 13.7 + 19.1 + 0.3 + 17.7 + 2 + 4.2 + 2.9</f>
        <v>77.400000000000006</v>
      </c>
      <c r="I9" s="2">
        <v>76.5</v>
      </c>
      <c r="J9" s="2">
        <v>80.599999999999994</v>
      </c>
      <c r="K9" s="2">
        <f xml:space="preserve"> 20 + 2.5 + 5 + 39  + 2.5 + 4.5 + 48.5 + 0.3</f>
        <v>122.3</v>
      </c>
      <c r="L9" s="2">
        <f xml:space="preserve"> 3.4 + 13.5 + 48 + 9.2</f>
        <v>74.100000000000009</v>
      </c>
      <c r="M9" s="2">
        <v>118.6</v>
      </c>
      <c r="N9" s="2">
        <f xml:space="preserve"> 19.8 + 1.2 + 18.8 + 24 + 22.4 + 30.6</f>
        <v>116.79999999999998</v>
      </c>
      <c r="O9" s="2">
        <f xml:space="preserve"> 19.2 + 106</f>
        <v>125.2</v>
      </c>
      <c r="P9" s="2">
        <f xml:space="preserve"> 36.4 + 32.2 + 9.6 + 58.2 + 2 + 4.4 + 1.4 + 22.2 + 99.6 + 10.4 + 5.4</f>
        <v>281.79999999999995</v>
      </c>
      <c r="Q9" s="2">
        <f xml:space="preserve"> 53+31+24+124+1.2+19+100+2+36+30+3+0.5+8</f>
        <v>431.7</v>
      </c>
      <c r="R9">
        <f xml:space="preserve"> 2 + 35.5 + 7.5 + 0.5 + 0.8</f>
        <v>46.3</v>
      </c>
      <c r="S9" s="2">
        <f xml:space="preserve"> 92 + 6.3 + 58.8 + 2.7 + 16.5 + 85.7 + 1.5 + 63.2 + 23.9 + 1.2 + 19.6 + 4.2</f>
        <v>375.59999999999997</v>
      </c>
      <c r="T9">
        <f xml:space="preserve"> 40.6 + 18.3 + 20.1 + 213.6 + 0.5 + 1.4 + 27.2 + 0.8 + 2.2 + 48.2 + 28.5 + 3.1 + 4.9 + 3.7</f>
        <v>413.09999999999997</v>
      </c>
      <c r="U9" s="2">
        <f xml:space="preserve"> 11 + 65 + 2.3 + 1.8 + 2.5 + 40.6 + 70 + 7.5 + 11.4</f>
        <v>212.1</v>
      </c>
      <c r="V9">
        <f xml:space="preserve"> 1 + 6.4 + 20 + 39.6 + 18 + 121</f>
        <v>206</v>
      </c>
      <c r="W9">
        <f xml:space="preserve"> 4 + 23 + 37 + 10.5 + 3 + 10 + 10</f>
        <v>97.5</v>
      </c>
      <c r="X9">
        <f xml:space="preserve"> 27 + 45 + 11 + 2 + 10 + 21.3 + 6.9</f>
        <v>123.2</v>
      </c>
      <c r="Y9" s="2">
        <f xml:space="preserve"> 34 + 1.8 + 25.6 + 38 + 31.5</f>
        <v>130.9</v>
      </c>
      <c r="Z9" s="2">
        <f xml:space="preserve"> 1 + 30.5 + 41.5 + 1.5 + 2.5 + 12 + 3</f>
        <v>92</v>
      </c>
      <c r="AA9" s="2">
        <f xml:space="preserve"> 9 + 30.2 + 9 + 6.5 + 34 + 7.6 + 3.5</f>
        <v>99.8</v>
      </c>
      <c r="AB9" s="2">
        <v>0</v>
      </c>
      <c r="AC9" s="2">
        <f xml:space="preserve"> 3 + 16 + 22 + 4 + 2</f>
        <v>47</v>
      </c>
      <c r="AD9" s="2">
        <f xml:space="preserve"> 2.5 + 2.2 + 50.6</f>
        <v>55.300000000000004</v>
      </c>
      <c r="AE9" s="2">
        <v>0</v>
      </c>
      <c r="AF9" s="2">
        <f xml:space="preserve"> 5.8 + 4.9 + 27 + 2.9 + 8.2 + 11.5 + 29.5 + 52.5</f>
        <v>142.30000000000001</v>
      </c>
    </row>
    <row r="10" spans="1:32" x14ac:dyDescent="0.3">
      <c r="A10" s="1">
        <v>42461</v>
      </c>
      <c r="B10">
        <v>0</v>
      </c>
      <c r="C10">
        <v>0</v>
      </c>
      <c r="D10">
        <v>0</v>
      </c>
      <c r="E10" s="2">
        <f xml:space="preserve"> 0.5 + 19.5 + 0.7 + 0.5 + 1 + 3.5 + 0.8</f>
        <v>26.5</v>
      </c>
      <c r="F10" s="2">
        <v>35.4</v>
      </c>
      <c r="G10" s="2">
        <f xml:space="preserve"> 20.8</f>
        <v>20.8</v>
      </c>
      <c r="H10" s="2">
        <f xml:space="preserve"> 7</f>
        <v>7</v>
      </c>
      <c r="I10" s="2">
        <f xml:space="preserve"> 22.6</f>
        <v>22.6</v>
      </c>
      <c r="J10" s="2">
        <f xml:space="preserve"> 8.8</f>
        <v>8.8000000000000007</v>
      </c>
      <c r="K10" s="2">
        <f xml:space="preserve"> 0.5 + 2.5</f>
        <v>3</v>
      </c>
      <c r="L10" s="2">
        <f xml:space="preserve"> 0</f>
        <v>0</v>
      </c>
      <c r="M10" s="2">
        <f xml:space="preserve"> 2.2 + 1.2</f>
        <v>3.4000000000000004</v>
      </c>
      <c r="N10" s="2">
        <f xml:space="preserve"> 0.9 + 1.2 + 6.3+ 0.8</f>
        <v>9.2000000000000011</v>
      </c>
      <c r="O10" s="2">
        <v>0</v>
      </c>
      <c r="P10" s="2">
        <v>10.9</v>
      </c>
      <c r="Q10" s="2">
        <f xml:space="preserve"> 3.8 + 3.8 + 5.3 + 1 + 6 +1+ 2</f>
        <v>22.9</v>
      </c>
      <c r="R10">
        <f xml:space="preserve"> 2 + 0.2</f>
        <v>2.2000000000000002</v>
      </c>
      <c r="S10" s="2">
        <f xml:space="preserve"> 2.5 + 8 + 4.4 + 3.5 + 0.4 + 1.2</f>
        <v>19.999999999999996</v>
      </c>
      <c r="T10">
        <f xml:space="preserve"> 3.8 + 0.5 + 1.6 + 0.5 + 2.2 + 2.2</f>
        <v>10.8</v>
      </c>
      <c r="U10" s="2">
        <f xml:space="preserve"> 2.5 + 1.8</f>
        <v>4.3</v>
      </c>
      <c r="V10">
        <f xml:space="preserve"> 30.5</f>
        <v>30.5</v>
      </c>
      <c r="W10">
        <f xml:space="preserve"> 5 + 1 + 0.5</f>
        <v>6.5</v>
      </c>
      <c r="X10">
        <v>0</v>
      </c>
      <c r="Y10" s="2">
        <f xml:space="preserve"> 3</f>
        <v>3</v>
      </c>
      <c r="Z10" s="2">
        <f xml:space="preserve"> 5 + 0.5 + 11</f>
        <v>16.5</v>
      </c>
      <c r="AA10" s="2">
        <f xml:space="preserve"> 0.3 + 4.9 + 0.7</f>
        <v>5.9</v>
      </c>
      <c r="AB10" s="2">
        <v>0</v>
      </c>
      <c r="AC10" s="2">
        <v>0</v>
      </c>
      <c r="AD10" s="2">
        <f xml:space="preserve"> 2.2 + 3.1 + 1.4 + 0.2</f>
        <v>6.9000000000000012</v>
      </c>
      <c r="AE10" s="2">
        <f xml:space="preserve"> 4.4 + 2</f>
        <v>6.4</v>
      </c>
      <c r="AF10" s="2">
        <f xml:space="preserve"> 5.3</f>
        <v>5.3</v>
      </c>
    </row>
    <row r="11" spans="1:32" x14ac:dyDescent="0.3">
      <c r="A11" s="1">
        <v>42491</v>
      </c>
      <c r="B11">
        <v>44</v>
      </c>
      <c r="C11">
        <f xml:space="preserve"> 32 + 14</f>
        <v>46</v>
      </c>
      <c r="D11">
        <v>0</v>
      </c>
      <c r="E11" s="2">
        <f xml:space="preserve"> 40</f>
        <v>40</v>
      </c>
      <c r="F11">
        <f xml:space="preserve"> 5 + 18 + 4</f>
        <v>27</v>
      </c>
      <c r="G11" s="2">
        <v>12</v>
      </c>
      <c r="H11" s="2">
        <v>1.3</v>
      </c>
      <c r="I11" s="2">
        <f xml:space="preserve"> 4.6 + 23.3 + 4.3</f>
        <v>32.199999999999996</v>
      </c>
      <c r="J11" s="2">
        <f xml:space="preserve"> 3.8 + 8.2</f>
        <v>12</v>
      </c>
      <c r="K11" s="2">
        <v>3.5</v>
      </c>
      <c r="L11" s="2">
        <v>2.8</v>
      </c>
      <c r="M11" s="2">
        <f xml:space="preserve"> 1.8 + 3.2</f>
        <v>5</v>
      </c>
      <c r="N11" s="2">
        <f xml:space="preserve"> 1.9 + 1.4 +  4.5 + 0.9</f>
        <v>8.6999999999999993</v>
      </c>
      <c r="O11" s="2">
        <v>5.9</v>
      </c>
      <c r="P11" s="2">
        <v>18.600000000000001</v>
      </c>
      <c r="Q11" s="2">
        <f xml:space="preserve"> 1 + 6 + 3 + 21 + 1.5 + 2 + 0.5 + 24</f>
        <v>59</v>
      </c>
      <c r="R11">
        <f xml:space="preserve"> 0.2 + 17.2 + 5.4 + 7</f>
        <v>29.799999999999997</v>
      </c>
      <c r="S11" s="2">
        <f xml:space="preserve"> 3.1 + 5.5 + 20.4 + 1.5 + 1 + 1.2 + 21.3</f>
        <v>54</v>
      </c>
      <c r="T11">
        <f xml:space="preserve"> 3 + 3.1 + 22.7 + 0.8 + 1.2 + 0.9</f>
        <v>31.699999999999996</v>
      </c>
      <c r="U11" s="2">
        <f xml:space="preserve"> 1 + 11 + 0.5</f>
        <v>12.5</v>
      </c>
      <c r="V11">
        <f xml:space="preserve"> 14 + 6.5</f>
        <v>20.5</v>
      </c>
      <c r="W11">
        <f xml:space="preserve"> 2.2 + 13</f>
        <v>15.2</v>
      </c>
      <c r="X11">
        <v>0</v>
      </c>
      <c r="Y11" s="2">
        <f xml:space="preserve"> 28 + 1</f>
        <v>29</v>
      </c>
      <c r="Z11" s="2">
        <f xml:space="preserve"> 8</f>
        <v>8</v>
      </c>
      <c r="AA11" s="2">
        <f xml:space="preserve"> 15.5 + 3</f>
        <v>18.5</v>
      </c>
      <c r="AB11" s="2">
        <v>0</v>
      </c>
      <c r="AC11" s="2">
        <v>0</v>
      </c>
      <c r="AD11" s="2">
        <f xml:space="preserve"> 5.5 + 5.3 + 3</f>
        <v>13.8</v>
      </c>
      <c r="AE11" s="2">
        <f xml:space="preserve"> 3.5 + 1.5 + 21 + 18.6 + 7.6 + 0.6</f>
        <v>52.800000000000004</v>
      </c>
      <c r="AF11" s="2">
        <f xml:space="preserve"> 12</f>
        <v>12</v>
      </c>
    </row>
    <row r="12" spans="1:32" x14ac:dyDescent="0.3">
      <c r="A12" s="1">
        <v>42522</v>
      </c>
      <c r="B12">
        <v>0</v>
      </c>
      <c r="C12">
        <f xml:space="preserve"> 4.3 +9.3</f>
        <v>13.600000000000001</v>
      </c>
      <c r="D12">
        <v>0</v>
      </c>
      <c r="E12" s="2">
        <f xml:space="preserve"> 33</f>
        <v>33</v>
      </c>
      <c r="F12" s="2">
        <v>0</v>
      </c>
      <c r="G12" s="2">
        <v>0</v>
      </c>
      <c r="H12" s="2">
        <v>0</v>
      </c>
      <c r="I12" s="2">
        <f xml:space="preserve"> 14.4</f>
        <v>14.4</v>
      </c>
      <c r="J12" s="2">
        <f xml:space="preserve"> 12 + 5</f>
        <v>17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f xml:space="preserve"> 1.8 + 6.6</f>
        <v>8.4</v>
      </c>
      <c r="Q12" s="2">
        <f xml:space="preserve"> 4 + 3 + 1.1 + 5</f>
        <v>13.1</v>
      </c>
      <c r="R12" s="2">
        <f xml:space="preserve"> 0.5 + 5.1</f>
        <v>5.6</v>
      </c>
      <c r="S12" s="2">
        <f xml:space="preserve"> 1.6 + 6.2 + 1.1+ 10</f>
        <v>18.899999999999999</v>
      </c>
      <c r="T12" s="2">
        <f xml:space="preserve"> 1 + 1.2 + 10.4</f>
        <v>12.600000000000001</v>
      </c>
      <c r="U12" s="2">
        <v>0</v>
      </c>
      <c r="V12" s="2">
        <f xml:space="preserve"> 24 + 4</f>
        <v>28</v>
      </c>
      <c r="W12" s="2">
        <v>0</v>
      </c>
      <c r="X12" s="2">
        <f xml:space="preserve"> 2 + 4</f>
        <v>6</v>
      </c>
      <c r="Y12" s="2">
        <v>0</v>
      </c>
      <c r="Z12" s="2">
        <f xml:space="preserve"> 6.5</f>
        <v>6.5</v>
      </c>
      <c r="AA12" s="2">
        <f xml:space="preserve"> 0.5 + 1.5</f>
        <v>2</v>
      </c>
      <c r="AB12" s="2">
        <v>0</v>
      </c>
      <c r="AC12" s="2">
        <f xml:space="preserve"> 3.2 + 0.2</f>
        <v>3.4000000000000004</v>
      </c>
      <c r="AD12" s="2">
        <f xml:space="preserve"> 2.2</f>
        <v>2.2000000000000002</v>
      </c>
      <c r="AE12" s="2">
        <f xml:space="preserve"> 3.2 + 0.5 + 4.2 + 0.5</f>
        <v>8.4</v>
      </c>
      <c r="AF12" s="2">
        <f xml:space="preserve"> 0.5 + 3 + 1</f>
        <v>4.5</v>
      </c>
    </row>
    <row r="13" spans="1:32" x14ac:dyDescent="0.3">
      <c r="A13" s="1">
        <v>42552</v>
      </c>
      <c r="B13">
        <v>0</v>
      </c>
      <c r="C13">
        <v>0</v>
      </c>
      <c r="D13">
        <v>0</v>
      </c>
      <c r="E13" s="2">
        <v>0</v>
      </c>
      <c r="F13">
        <f xml:space="preserve"> 3</f>
        <v>3</v>
      </c>
      <c r="G13" s="2">
        <f xml:space="preserve"> 1.8</f>
        <v>1.8</v>
      </c>
      <c r="H13" s="2">
        <v>0</v>
      </c>
      <c r="I13" s="2">
        <v>0</v>
      </c>
      <c r="J13" s="2">
        <f xml:space="preserve"> 4 + 0.6</f>
        <v>4.5999999999999996</v>
      </c>
      <c r="K13" s="2">
        <f xml:space="preserve"> 1 + 14.5</f>
        <v>15.5</v>
      </c>
      <c r="L13" s="2">
        <v>21.6</v>
      </c>
      <c r="M13" s="2">
        <f xml:space="preserve"> 10.2</f>
        <v>10.199999999999999</v>
      </c>
      <c r="N13" s="2">
        <v>19.3</v>
      </c>
      <c r="O13" s="2">
        <v>0</v>
      </c>
      <c r="P13" s="2">
        <f xml:space="preserve"> 0.8 + 2 + 1</f>
        <v>3.8</v>
      </c>
      <c r="Q13" s="2">
        <f xml:space="preserve"> 10 + 2.5 + 2 + 2 + 5.2 + 2.9</f>
        <v>24.599999999999998</v>
      </c>
      <c r="R13" s="2">
        <f xml:space="preserve"> 0.5 + 0.7 + 4.5 + 0.3</f>
        <v>6</v>
      </c>
      <c r="S13" s="2">
        <f xml:space="preserve"> 19.2 + 7.5 + 3.8+ 2.2 + 3.4</f>
        <v>36.1</v>
      </c>
      <c r="T13">
        <f xml:space="preserve"> 21.5 + 0.8 + 2.8 + 3.7 + 2.1</f>
        <v>30.900000000000002</v>
      </c>
      <c r="U13" s="2">
        <f>5 + 0.6</f>
        <v>5.6</v>
      </c>
      <c r="V13" s="2">
        <f xml:space="preserve"> 5</f>
        <v>5</v>
      </c>
      <c r="W13" s="2">
        <v>0</v>
      </c>
      <c r="X13" s="2">
        <f xml:space="preserve"> 1.5</f>
        <v>1.5</v>
      </c>
      <c r="Y13" s="2">
        <f xml:space="preserve"> 4.1</f>
        <v>4.0999999999999996</v>
      </c>
      <c r="Z13" s="2">
        <f xml:space="preserve"> 4.5</f>
        <v>4.5</v>
      </c>
      <c r="AA13" s="2">
        <f xml:space="preserve"> 0.4</f>
        <v>0.4</v>
      </c>
      <c r="AB13" s="2">
        <v>0</v>
      </c>
      <c r="AC13" s="2">
        <f xml:space="preserve"> 3</f>
        <v>3</v>
      </c>
      <c r="AD13" s="2">
        <f xml:space="preserve"> 14</f>
        <v>14</v>
      </c>
      <c r="AE13" s="2">
        <f xml:space="preserve"> 2.1 + 2.5 + 9.2</f>
        <v>13.799999999999999</v>
      </c>
      <c r="AF13" s="2">
        <f xml:space="preserve"> 0.5 + 0.5 + 12.5</f>
        <v>13.5</v>
      </c>
    </row>
    <row r="14" spans="1:32" x14ac:dyDescent="0.3">
      <c r="A14" s="2" t="s">
        <v>3</v>
      </c>
      <c r="B14">
        <f xml:space="preserve"> SUM(B2:B13)</f>
        <v>520.70000000000005</v>
      </c>
      <c r="C14">
        <f t="shared" ref="C14:E14" si="0">SUM(C2:C13)</f>
        <v>652.69999999999993</v>
      </c>
      <c r="D14" s="2">
        <f t="shared" si="0"/>
        <v>130</v>
      </c>
      <c r="E14" s="2">
        <f t="shared" si="0"/>
        <v>440.4</v>
      </c>
      <c r="F14" s="2">
        <f t="shared" ref="F14:N14" si="1" xml:space="preserve"> SUM(F2:F13)</f>
        <v>510</v>
      </c>
      <c r="G14" s="2">
        <f t="shared" si="1"/>
        <v>596.89999999999986</v>
      </c>
      <c r="H14" s="2">
        <f t="shared" si="1"/>
        <v>463.09999999999997</v>
      </c>
      <c r="I14" s="2">
        <f t="shared" si="1"/>
        <v>491.7</v>
      </c>
      <c r="J14" s="2">
        <f t="shared" si="1"/>
        <v>468.90000000000003</v>
      </c>
      <c r="K14" s="2">
        <f t="shared" si="1"/>
        <v>579.19999999999993</v>
      </c>
      <c r="L14" s="2">
        <f t="shared" si="1"/>
        <v>499.60000000000008</v>
      </c>
      <c r="M14" s="2">
        <f t="shared" si="1"/>
        <v>480.7</v>
      </c>
      <c r="N14" s="2">
        <f t="shared" si="1"/>
        <v>439.49999999999994</v>
      </c>
      <c r="O14" s="2">
        <f t="shared" ref="O14:P14" si="2" xml:space="preserve"> SUM(O2:O13)</f>
        <v>323.5</v>
      </c>
      <c r="P14" s="2">
        <f t="shared" si="2"/>
        <v>566.69999999999993</v>
      </c>
      <c r="Q14" s="2">
        <f t="shared" ref="Q14" si="3" xml:space="preserve"> SUM(Q2:Q13)</f>
        <v>1120.8999999999999</v>
      </c>
      <c r="R14" s="2">
        <f xml:space="preserve"> SUM(R2:R13)</f>
        <v>428.7</v>
      </c>
      <c r="S14" s="2">
        <f t="shared" ref="S14:U14" si="4" xml:space="preserve"> SUM(S2:S13)</f>
        <v>1083.8999999999999</v>
      </c>
      <c r="T14" s="2">
        <f t="shared" si="4"/>
        <v>1045.0999999999999</v>
      </c>
      <c r="U14" s="2">
        <f t="shared" si="4"/>
        <v>470.90000000000003</v>
      </c>
      <c r="V14" s="2">
        <f xml:space="preserve"> SUM(V2:V13)</f>
        <v>508.1</v>
      </c>
      <c r="W14" s="2">
        <f t="shared" ref="W14:AA14" si="5" xml:space="preserve"> SUM(W2:W13)</f>
        <v>433.5</v>
      </c>
      <c r="X14" s="2">
        <f t="shared" si="5"/>
        <v>488.8</v>
      </c>
      <c r="Y14" s="2">
        <f t="shared" si="5"/>
        <v>419.4</v>
      </c>
      <c r="Z14" s="2">
        <f t="shared" si="5"/>
        <v>473.5</v>
      </c>
      <c r="AA14" s="2">
        <f t="shared" si="5"/>
        <v>293.29999999999995</v>
      </c>
      <c r="AB14" s="2">
        <f xml:space="preserve"> SUM(AB2:AB13)</f>
        <v>260.40000000000003</v>
      </c>
      <c r="AC14" s="2">
        <f xml:space="preserve"> SUM(AC2:AC13)</f>
        <v>336.6</v>
      </c>
      <c r="AD14" s="2">
        <f xml:space="preserve"> SUM(AD2:AD13)</f>
        <v>427.4</v>
      </c>
      <c r="AE14" s="2">
        <f xml:space="preserve"> SUM(AE2:AE13)</f>
        <v>457.79999999999995</v>
      </c>
      <c r="AF14" s="2">
        <f xml:space="preserve"> SUM(AF2:AF13)</f>
        <v>445.20000000000005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5F72-E857-4781-B816-96D319A39F4E}">
  <dimension ref="A1:AF14"/>
  <sheetViews>
    <sheetView tabSelected="1" topLeftCell="S1" workbookViewId="0">
      <selection activeCell="AD2" sqref="AD2"/>
    </sheetView>
  </sheetViews>
  <sheetFormatPr defaultRowHeight="14.4" x14ac:dyDescent="0.3"/>
  <cols>
    <col min="1" max="1" width="15.33203125" customWidth="1"/>
    <col min="2" max="2" width="17.6640625" customWidth="1"/>
    <col min="3" max="3" width="8.88671875" style="2"/>
    <col min="4" max="4" width="11.88671875" customWidth="1"/>
    <col min="5" max="5" width="8.88671875" style="2"/>
    <col min="6" max="6" width="11.88671875" customWidth="1"/>
    <col min="7" max="7" width="12.77734375" style="2" customWidth="1"/>
    <col min="8" max="10" width="14.77734375" style="2" customWidth="1"/>
    <col min="11" max="11" width="14.6640625" style="2" customWidth="1"/>
    <col min="12" max="12" width="11.21875" style="2" customWidth="1"/>
    <col min="13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3" max="23" width="8.88671875" style="2"/>
    <col min="24" max="24" width="15.33203125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0" width="12.109375" style="2" customWidth="1"/>
    <col min="31" max="31" width="11.5546875" style="2" customWidth="1"/>
    <col min="32" max="32" width="13.44140625" style="2" customWidth="1"/>
  </cols>
  <sheetData>
    <row r="1" spans="1:32" x14ac:dyDescent="0.3">
      <c r="A1" t="s">
        <v>0</v>
      </c>
      <c r="B1" t="s">
        <v>1</v>
      </c>
      <c r="C1" s="5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</row>
    <row r="2" spans="1:32" x14ac:dyDescent="0.3">
      <c r="A2" s="1">
        <v>42583</v>
      </c>
      <c r="B2">
        <v>0</v>
      </c>
      <c r="C2" s="2">
        <v>0</v>
      </c>
      <c r="D2">
        <v>0</v>
      </c>
      <c r="E2" s="2">
        <v>0</v>
      </c>
      <c r="F2" s="2">
        <f xml:space="preserve"> 3</f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 xml:space="preserve"> 3 + 1.6</f>
        <v>4.5999999999999996</v>
      </c>
      <c r="O2" s="2">
        <v>0</v>
      </c>
      <c r="P2" s="2">
        <v>0</v>
      </c>
      <c r="Q2" s="2">
        <f xml:space="preserve"> 2</f>
        <v>2</v>
      </c>
      <c r="R2" s="2">
        <v>0</v>
      </c>
      <c r="S2" s="2">
        <v>10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f xml:space="preserve"> 0.6</f>
        <v>0.6</v>
      </c>
      <c r="AF2" s="2">
        <f xml:space="preserve"> 1</f>
        <v>1</v>
      </c>
    </row>
    <row r="3" spans="1:32" x14ac:dyDescent="0.3">
      <c r="A3" s="1">
        <v>42614</v>
      </c>
      <c r="B3">
        <v>0</v>
      </c>
      <c r="C3" s="2">
        <v>0</v>
      </c>
      <c r="D3">
        <v>0</v>
      </c>
      <c r="E3" s="2">
        <v>0</v>
      </c>
      <c r="F3" s="2">
        <f xml:space="preserve"> 0</f>
        <v>0</v>
      </c>
      <c r="G3" s="2">
        <v>0</v>
      </c>
      <c r="H3" s="2">
        <f xml:space="preserve"> 1.5</f>
        <v>1.5</v>
      </c>
      <c r="I3" s="2">
        <f xml:space="preserve"> 7.4 + 3</f>
        <v>10.4</v>
      </c>
      <c r="J3" s="2">
        <f xml:space="preserve"> 10.5</f>
        <v>10.5</v>
      </c>
      <c r="K3" s="2">
        <v>0</v>
      </c>
      <c r="L3" s="2">
        <v>0</v>
      </c>
      <c r="M3" s="2">
        <f xml:space="preserve"> 3.9</f>
        <v>3.9</v>
      </c>
      <c r="N3" s="2">
        <v>0</v>
      </c>
      <c r="O3" s="2">
        <f xml:space="preserve"> 12</f>
        <v>12</v>
      </c>
      <c r="P3" s="2">
        <f xml:space="preserve"> 5.4 + 1.8 + 1.2 + 4.2</f>
        <v>12.600000000000001</v>
      </c>
      <c r="Q3" s="2">
        <f xml:space="preserve"> 8 + 8 + 0.8 + 2.8 + 5.6 + 1.9</f>
        <v>27.1</v>
      </c>
      <c r="R3">
        <f xml:space="preserve"> 8.5</f>
        <v>8.5</v>
      </c>
      <c r="S3" s="2">
        <f xml:space="preserve"> 1.4 + 8.6 + 1 + 1 + 3.4 + 1.5</f>
        <v>16.899999999999999</v>
      </c>
      <c r="T3">
        <f xml:space="preserve"> 4.5 + 5.2 + 2.8</f>
        <v>12.5</v>
      </c>
      <c r="U3" s="2">
        <f xml:space="preserve"> 1</f>
        <v>1</v>
      </c>
      <c r="V3">
        <v>0</v>
      </c>
      <c r="W3" s="2">
        <f xml:space="preserve"> 1</f>
        <v>1</v>
      </c>
      <c r="X3">
        <v>0</v>
      </c>
      <c r="Y3" s="2">
        <v>0</v>
      </c>
      <c r="Z3" s="2">
        <v>0</v>
      </c>
      <c r="AA3" s="2">
        <f xml:space="preserve"> 2.5</f>
        <v>2.5</v>
      </c>
      <c r="AB3" s="2">
        <v>0</v>
      </c>
      <c r="AC3" s="2">
        <v>0</v>
      </c>
      <c r="AD3" s="2">
        <f xml:space="preserve"> 2.2</f>
        <v>2.2000000000000002</v>
      </c>
      <c r="AE3" s="2">
        <f xml:space="preserve"> 15.5 + 1.5 + 2 + 1</f>
        <v>20</v>
      </c>
      <c r="AF3" s="2">
        <f xml:space="preserve"> 12.4 + 2</f>
        <v>14.4</v>
      </c>
    </row>
    <row r="4" spans="1:32" x14ac:dyDescent="0.3">
      <c r="A4" s="1">
        <v>42644</v>
      </c>
      <c r="B4">
        <v>37</v>
      </c>
      <c r="C4" s="2">
        <v>0</v>
      </c>
      <c r="D4">
        <v>0</v>
      </c>
      <c r="E4" s="2">
        <v>0</v>
      </c>
      <c r="F4">
        <f xml:space="preserve"> 3 + 18 + 6 + 18 + 9 + 1 + 2</f>
        <v>57</v>
      </c>
      <c r="G4" s="2">
        <f xml:space="preserve"> 3.6 + 19.8 + 11.6 + 6.2 + 10.6</f>
        <v>51.800000000000004</v>
      </c>
      <c r="H4" s="2">
        <f xml:space="preserve"> 1.7 + 20.6 + 3.6 + 7.5 + 2.5 + 17 + 7.6 + 0.7</f>
        <v>61.20000000000001</v>
      </c>
      <c r="I4" s="2">
        <f xml:space="preserve"> 12.6 + 2 + 5.8 + 7.4 + 4 + 41.6</f>
        <v>73.400000000000006</v>
      </c>
      <c r="J4" s="2">
        <f xml:space="preserve"> 1.5 + 1.5 + 2 + 0.5 + 4 + 3.5 + 8.5 + 4 + 5</f>
        <v>30.5</v>
      </c>
      <c r="K4" s="2">
        <v>28.9</v>
      </c>
      <c r="L4" s="2">
        <v>0</v>
      </c>
      <c r="M4" s="2">
        <v>11.9</v>
      </c>
      <c r="N4" s="2">
        <f xml:space="preserve"> 17 + 4 + 17.5</f>
        <v>38.5</v>
      </c>
      <c r="O4" s="2">
        <f xml:space="preserve"> 16.8 + 3.8 + 18</f>
        <v>38.6</v>
      </c>
      <c r="P4" s="2">
        <f xml:space="preserve"> 9.2 + 22.2 + 18 + 12.6 + 4.2 + 4 + 1.2 + 3 + 21 + 4.2</f>
        <v>99.600000000000009</v>
      </c>
      <c r="Q4" s="2">
        <f xml:space="preserve"> 1 + 5 + 7 + 3.3 + 12 + 4.5 + 2 + 0.8</f>
        <v>35.599999999999994</v>
      </c>
      <c r="R4">
        <f xml:space="preserve"> 1.1 + 2 + 1 +1+ 6.1 + 0.2 + 1.6</f>
        <v>12.999999999999998</v>
      </c>
      <c r="S4" s="2">
        <f xml:space="preserve"> 30 + 3.2 + 1.7 + 3.4 + 2 + 4.5 + 1.3 + 11.7 + 1.7</f>
        <v>59.5</v>
      </c>
      <c r="T4">
        <f xml:space="preserve"> 4.1 + 1.1 + 4.2 + 2.4 + 10.4 + 3.6</f>
        <v>25.8</v>
      </c>
      <c r="U4" s="2">
        <f xml:space="preserve"> 2 + 0.5 + 3.5</f>
        <v>6</v>
      </c>
      <c r="V4">
        <f xml:space="preserve"> 15 + 5 + 14 + 8</f>
        <v>42</v>
      </c>
      <c r="W4" s="2">
        <f xml:space="preserve"> 2.4 + 19.5 + 5.5 + 10.5 + 32</f>
        <v>69.900000000000006</v>
      </c>
      <c r="X4">
        <f xml:space="preserve"> 1 + 4 + 0.5 + 21 + 15</f>
        <v>41.5</v>
      </c>
      <c r="Y4" s="2">
        <f xml:space="preserve"> 4.9 + 1.5 + 4.7 + 6.9 + 2.3</f>
        <v>20.3</v>
      </c>
      <c r="Z4" s="2">
        <v>0</v>
      </c>
      <c r="AA4" s="2">
        <f xml:space="preserve"> 0.1 + 0.1 + 21.8 + 1 + 3.5</f>
        <v>26.5</v>
      </c>
      <c r="AB4" s="2">
        <f xml:space="preserve"> 1.9 + 5.4</f>
        <v>7.3000000000000007</v>
      </c>
      <c r="AC4" s="2">
        <f xml:space="preserve"> 1.3 + 0.3 + 0.3+ 3</f>
        <v>4.9000000000000004</v>
      </c>
      <c r="AD4" s="2">
        <f xml:space="preserve"> 6.2</f>
        <v>6.2</v>
      </c>
      <c r="AE4" s="2">
        <f xml:space="preserve"> 2.4 + 0.5 + 0.5 + 19.3 + 0.5 + 1</f>
        <v>24.2</v>
      </c>
      <c r="AF4" s="2">
        <f xml:space="preserve"> 7.8 + 13.3 + 1.5</f>
        <v>22.6</v>
      </c>
    </row>
    <row r="5" spans="1:32" x14ac:dyDescent="0.3">
      <c r="A5" s="1">
        <v>42675</v>
      </c>
      <c r="B5">
        <v>85</v>
      </c>
      <c r="C5" s="2">
        <v>0</v>
      </c>
      <c r="D5">
        <v>0</v>
      </c>
      <c r="E5" s="2">
        <f xml:space="preserve"> 4 + 6.5 + 0.7+ 1.8 + 2.5 + 2 + 5.5 + 19</f>
        <v>42</v>
      </c>
      <c r="F5" s="2">
        <f xml:space="preserve"> 2 + 14 + 2 + 20 + 10 + 21 + 20 + 22 + 22 + 28 + 1 + 22 + 20 + 13 + 8 + 2 + 6</f>
        <v>233</v>
      </c>
      <c r="G5" s="2">
        <v>50.8</v>
      </c>
      <c r="H5" s="2">
        <f xml:space="preserve"> 0.6 + 30 + 0.5 + 8 + 0.7 + 31.4 + 9 + 3 + 16 + 29.2 + 15.4 + 1.7</f>
        <v>145.5</v>
      </c>
      <c r="I5" s="2">
        <f xml:space="preserve"> 3.2 + 10.4 + 4 + 4 + 32 + 20 + 11.5 + 32.4 + 4.4 + 8.6 + 2.4 + 2.2</f>
        <v>135.1</v>
      </c>
      <c r="J5" s="2">
        <v>57.9</v>
      </c>
      <c r="K5" s="2">
        <f xml:space="preserve"> 21.9 + 1.4 + 6 + 19.9 + 40 + 1.8 + 7.6 + 1 + 13</f>
        <v>112.59999999999998</v>
      </c>
      <c r="L5" s="2">
        <v>90.7</v>
      </c>
      <c r="M5" s="2">
        <v>55.9</v>
      </c>
      <c r="N5" s="2">
        <f xml:space="preserve"> 6.8 + 14.2 + 9</f>
        <v>30</v>
      </c>
      <c r="O5" s="2">
        <f xml:space="preserve"> 27.2 + 21.8</f>
        <v>49</v>
      </c>
      <c r="P5" s="2">
        <v>59</v>
      </c>
      <c r="Q5" s="2">
        <f xml:space="preserve"> 1.8 + 7 + 0.2 + 0.8 + 2.2 + 3.5 + 8 + 16 + 20 + 1.8 + 10 + 15 + 1.3 + 4 + 22 + 88 + 16 + 4</f>
        <v>221.6</v>
      </c>
      <c r="R5">
        <f xml:space="preserve"> 1 + 8.2 + 2.2 + 5.6 + 3.4 + 8.2 + 4.2 + 10.1 + 21 + 1.2 + 6.1</f>
        <v>71.199999999999989</v>
      </c>
      <c r="S5" s="2">
        <f xml:space="preserve"> 2.7 + 4.2 + 2.1 + 2.1 + 9.2 + 20.4 + 3.7 + 13.4 + 13.5 + 6.9 + 9.3 + 53.4 + 18.5 + 2.4 + 3.4</f>
        <v>165.20000000000002</v>
      </c>
      <c r="T5">
        <f xml:space="preserve"> 0.8 + 3.9 + 2 + 3.1 + 6.3 + 16.2 + 2.3 + 1.1 + 15.1 + 11.1 + 4.8 + 7.5 + 18.2 + 39.5 + 0.7 + 6.6</f>
        <v>139.19999999999999</v>
      </c>
      <c r="U5" s="2">
        <f xml:space="preserve"> 1.5 + 2 + 12 + 4.8 + 3 + 1.2 + 2.5 + 6 + 0.2 + 10 + 5 + 5</f>
        <v>53.2</v>
      </c>
      <c r="V5">
        <f xml:space="preserve"> 7 + 4.8 + 1.4 + 13 + 12.2 + 3 + 2.6 + 10 + 2</f>
        <v>56.000000000000007</v>
      </c>
      <c r="W5" s="2">
        <f xml:space="preserve"> 3.5 + 11 + 12 + 16.5 + 1.5 + 0.5 + 2.5 + 22 + 6 + 2.5</f>
        <v>78</v>
      </c>
      <c r="X5">
        <f>25+6.5+5+23+4+32+4.5</f>
        <v>100</v>
      </c>
      <c r="Y5" s="2">
        <f xml:space="preserve"> 3.2 + 0.5 + 2.5 + 1 + 6.5 + 4.7 + 1.7 + 14.2</f>
        <v>34.299999999999997</v>
      </c>
      <c r="Z5" s="2">
        <f xml:space="preserve"> 40 + 3.5 + 6 + 41 + 6.5 + 8.5 + 40 + 24 + 26 + 2.5</f>
        <v>198</v>
      </c>
      <c r="AA5" s="2">
        <f xml:space="preserve"> 10.1 + 1.8 + 4.7 + 7 + 1.5 + 1.2 + 15.4 + 17.3 + 10.9 + 23.5 + 0.1</f>
        <v>93.5</v>
      </c>
      <c r="AB5" s="2">
        <f xml:space="preserve"> 30 + 9.9 + 7.6 + 3.8</f>
        <v>51.3</v>
      </c>
      <c r="AC5" s="2">
        <f xml:space="preserve"> 43 + 20.1 + 11.4</f>
        <v>74.5</v>
      </c>
      <c r="AD5" s="2">
        <f xml:space="preserve"> 4.8 + 7 + 16 + 48 + 39 + 5</f>
        <v>119.8</v>
      </c>
      <c r="AE5" s="2">
        <f xml:space="preserve"> 1 + 4.5 + 6.3 + 7.7 + 9.3 + 0.5 + 0.5 + 22 + 21.5 + 0.5 + 1 + 28.9 + 5.2</f>
        <v>108.89999999999999</v>
      </c>
      <c r="AF5" s="2">
        <f xml:space="preserve"> 6.8 + 4.4 + 3.4 + 6.5 + 3.6 + 1.8 + 1.4 + 15.7 + 4.3 + 5.1</f>
        <v>53</v>
      </c>
    </row>
    <row r="6" spans="1:32" x14ac:dyDescent="0.3">
      <c r="A6" s="1">
        <v>42705</v>
      </c>
      <c r="B6">
        <v>122.8</v>
      </c>
      <c r="C6" s="2">
        <v>0</v>
      </c>
      <c r="D6">
        <f xml:space="preserve"> 18 + 8 + 22 + 5 + 5</f>
        <v>58</v>
      </c>
      <c r="E6" s="2">
        <f xml:space="preserve"> 13 + 2 + 6 + 5.5 + 1.5 + 27 + 54 + 30.2</f>
        <v>139.19999999999999</v>
      </c>
      <c r="F6" s="2">
        <f xml:space="preserve"> 6 + 4 + 12 + 2 + 4 + 8 + 17 + 5 + 2 + 1</f>
        <v>61</v>
      </c>
      <c r="G6" s="2">
        <f xml:space="preserve"> 4.2 + 2.2 + 2 + 12.6 + 4.2 + 23.2 + 3.6 + 4.8 + 15.6 + 3.7 + 14</f>
        <v>90.1</v>
      </c>
      <c r="H6" s="2">
        <f xml:space="preserve"> 0.8 + 5.2 + 1.3 + 28 + 3.7 + 1.7 + 7 + 5 + 12</f>
        <v>64.7</v>
      </c>
      <c r="I6" s="2">
        <f xml:space="preserve"> 5 + 58.2 + 24.2 + 4.2 + 2.6 + 3.2 + 26.6 + 14.2 + 3.8</f>
        <v>142</v>
      </c>
      <c r="J6" s="2">
        <f xml:space="preserve"> 0.5 + 47 + 15.5 + 3 + 24.5 + 1.5 + 2 + 41 + 10.2</f>
        <v>145.19999999999999</v>
      </c>
      <c r="K6" s="2">
        <f xml:space="preserve"> 6 + 57.2 + 0.8 + 14.8 + 37.8 + 23.7 + 1.6 + 8 + 12.8</f>
        <v>162.69999999999999</v>
      </c>
      <c r="L6" s="2">
        <v>67.400000000000006</v>
      </c>
      <c r="M6" s="2">
        <f xml:space="preserve"> 18 + 18.2 + 27.8 + 1.4 + 13.6 + 19.8 + 0.8 + 2.8 + 3.6 + 3.2</f>
        <v>109.19999999999999</v>
      </c>
      <c r="N6" s="2">
        <f xml:space="preserve"> 1.7 + 4.6 + 4.4 + 0.4 + 2.2 + 8.2 + 14.8 + 7.6</f>
        <v>43.9</v>
      </c>
      <c r="O6" s="2">
        <f xml:space="preserve"> 24.2 + 5.2 + 43.2 + 2</f>
        <v>74.599999999999994</v>
      </c>
      <c r="P6" s="2">
        <f xml:space="preserve"> 6.6 + 4.8 + 32.4 + 2.4 +1 + 6.5 + 3.4 + 9 + 4.4 + 4.6 + 5 + 11.8 + 31.2 + 2</f>
        <v>125.1</v>
      </c>
      <c r="Q6" s="2">
        <f xml:space="preserve"> 90 + 26 + 1 + 36 + 12</f>
        <v>165</v>
      </c>
      <c r="R6">
        <f xml:space="preserve"> 5.2 + 1.2 + 13.2 + 3.2 + 1.1 + 33 + 20.1 + 3.2 + 15.3 + 6.1 + 39.1 + 21.2 + 12.2 + 9.8</f>
        <v>183.89999999999998</v>
      </c>
      <c r="S6" s="2">
        <f xml:space="preserve"> 10.1 + 1- + 1.4 + 1.5 + 44.3 + 12.6 + 8.3 + 20.3 + 30.4 + 4.6 + 15.5 + 2.6 + 2.5 + 16.5 + 10.1 + 16.6 + 30.2</f>
        <v>225.69999999999996</v>
      </c>
      <c r="T6">
        <f xml:space="preserve"> 7.8 + 6.5 + 3.8 + 15.2 + 8.1 + 3.8 + 29.2 + 25.6 + 5.2 + 2.5 + 16.8 + 17.3 + 9.8 + 0.5 + 0.5 + 9.2+ 50.2 + 4.2</f>
        <v>216.2</v>
      </c>
      <c r="U6" s="2">
        <f xml:space="preserve"> 5.3 + 1.5 + 22 + 4.5 + 1 + 27.5 + 3.5 + 30 + 8 + 6 + 1 + 14 + 26 + 1</f>
        <v>151.30000000000001</v>
      </c>
      <c r="V6">
        <f xml:space="preserve"> 15 + 9 + 30 + 6 + 11 + 30 + 1.2 + 6.4</f>
        <v>108.60000000000001</v>
      </c>
      <c r="W6" s="2">
        <f xml:space="preserve"> 1.5 + 6.5 + 46.5 + 17.5 + 8 + 0.1 + 5.8 + 27.5</f>
        <v>113.39999999999999</v>
      </c>
      <c r="X6">
        <f xml:space="preserve"> 8.3 + 14 + 17 + 42 + 1 + 28 + 3 + 19</f>
        <v>132.30000000000001</v>
      </c>
      <c r="Y6" s="2">
        <f xml:space="preserve"> 22.5 + 4 + 4.7 + 1.3 + 3.2 + 17.3 + 5.7 + 10 + 1.8 + 28.2</f>
        <v>98.7</v>
      </c>
      <c r="Z6" s="2">
        <f xml:space="preserve"> 21.5 + 14.5 + 16 + 75 + 23.5 + 2 + 25 + 100 + 17.5 + 20 + 20</f>
        <v>335</v>
      </c>
      <c r="AA6" s="2">
        <f xml:space="preserve"> 17.6 + 28 + 24.3 + 0.6 + 1.6 + 33.5 + 10.4 + 1 + 3 + 37.2 + 2.8 + 18.5 + 13.2</f>
        <v>191.7</v>
      </c>
      <c r="AB6" s="2">
        <f xml:space="preserve"> 22.2 + 42.4 + 4.8 + 4.9 + 43.5 + 0.2 + 20 + 0.2</f>
        <v>138.19999999999999</v>
      </c>
      <c r="AC6" s="2">
        <f xml:space="preserve"> 3.2 + 7.2 + 5.1 + 10.1 + 44.2 + 4.2</f>
        <v>74.000000000000014</v>
      </c>
      <c r="AD6" s="2">
        <f xml:space="preserve"> 1.2 + 16.5 + 4.5 + 12 + 12.3 + 88 + 45 + 53.2 + 51.2</f>
        <v>283.89999999999998</v>
      </c>
      <c r="AE6" s="2">
        <f xml:space="preserve"> 1.6 + 1.1 + 17 + 4.7 + 1.5 + 29 + 26.5 + 7.3 + 70.5 + 0.5 + 47 + 11 + 1 + 26 + 17 + 0.7</f>
        <v>262.39999999999998</v>
      </c>
      <c r="AF6" s="2">
        <f xml:space="preserve"> 75 + 1 + 32 + 42 + 13 + 20 + 5 + 46 + 18.5 + 1.4</f>
        <v>253.9</v>
      </c>
    </row>
    <row r="7" spans="1:32" x14ac:dyDescent="0.3">
      <c r="A7" s="1">
        <v>42736</v>
      </c>
      <c r="B7">
        <v>301.3</v>
      </c>
      <c r="C7" s="4">
        <v>0</v>
      </c>
      <c r="D7">
        <f xml:space="preserve"> 12 + 5</f>
        <v>17</v>
      </c>
      <c r="E7" s="2">
        <f xml:space="preserve"> 0.4 + 29 + 11.5 + 30 + 0.3 + 8.5 + 56 + 7 +21.5 + 10</f>
        <v>174.2</v>
      </c>
      <c r="F7" s="2">
        <v>0</v>
      </c>
      <c r="G7" s="2">
        <v>105</v>
      </c>
      <c r="H7" s="2">
        <f xml:space="preserve"> 75 + 3 + 33.7 + 28.4 + 2.5 + 16.7 + 2 + 0.8 + 3.2 + 2.3 + 1.2 + 0.2 + 7.5 + 1.8 + 1.6 + 2.7 + 13.7</f>
        <v>196.29999999999995</v>
      </c>
      <c r="I7" s="2">
        <f xml:space="preserve"> 5.8 + 64.2 + 101 + 1.8 + 27.2 + 25.8 + 1 + 3 + 4.6 + 1 + 0.6 + 2.6</f>
        <v>238.6</v>
      </c>
      <c r="J7" s="2">
        <f xml:space="preserve"> 0.2 + 22 + 6 + 4.5 + 1.5 + 2.8 + 0.2 + 13.5 + 15 + 8 + 1.3</f>
        <v>75</v>
      </c>
      <c r="K7" s="2">
        <v>112.4</v>
      </c>
      <c r="L7" s="2">
        <f xml:space="preserve"> 45.8 + 11.2 + 2 + 52 + 1.4 + 21.4</f>
        <v>133.80000000000001</v>
      </c>
      <c r="M7" s="2">
        <f xml:space="preserve"> 3 + 1.2 + 0.8 + 4.8 + 6.8+2 + 74 + 21.2</f>
        <v>113.8</v>
      </c>
      <c r="N7" s="2">
        <f xml:space="preserve">  3.8 + 3.7 + 1.4 + 7.4</f>
        <v>16.3</v>
      </c>
      <c r="O7" s="2">
        <f xml:space="preserve"> 97 +28.4 + 3.8 + 30.6</f>
        <v>159.80000000000001</v>
      </c>
      <c r="P7" s="2">
        <f xml:space="preserve"> 67 + 7 + 7.8 + 26.8 + 13.8 + 19.8 + 1.2 + 4.2 + 8.8 + 1.6 + 1 + 4 + 51.6 + 7.4 + 1.2 + 1.6</f>
        <v>224.79999999999995</v>
      </c>
      <c r="Q7" s="2">
        <f xml:space="preserve"> 10 + 90 + 70 + 55 + 57 + 30 + 9 + 8 + 90 + 2 + 10 + 10 + 5 + 5 + 40 + 9.2 + 1.8 + 3.2 + 2</f>
        <v>507.2</v>
      </c>
      <c r="R7">
        <f xml:space="preserve"> 69 + 9 + 11.2 + 110 + 18.8 + 15.2 + 5.8 + 2 + 13 + 3.4 + 9.5 + 12.9 + 95 + 3 + 3.1 +2</f>
        <v>382.9</v>
      </c>
      <c r="S7" s="2">
        <f xml:space="preserve"> 1.5 + 181 + 28.7 + 13.7 + 30 + 26.7 + 3.5 + 14.8 + 55.5 + 12.9 + 36.7 + 5.7 + 27.7 + 100.1 + 9.7 + 6.9 + 3.4</f>
        <v>558.49999999999989</v>
      </c>
      <c r="T7">
        <f xml:space="preserve"> 1.8 + 55.3 + 14.4 + 18.5 + 217.5 + 23.2 + 3.5 + 14.7 + 43.2 + 2.9 + 10.2 + 0.5 + 4.5 + 11.4 + 3.5 + 144.7 + 9.5 + 0.5 + 1.5 + 4.2 + 0.5</f>
        <v>586</v>
      </c>
      <c r="U7" s="2">
        <f xml:space="preserve"> 45 + 0.5 + 22 + 32.6 + 11 + 0.4 + 5 + 11.5 + 10 + 0.8 + 1</f>
        <v>139.80000000000001</v>
      </c>
      <c r="V7">
        <f xml:space="preserve"> 3.6 + 31 + 68 + 9 + 2 + 1.4 + 19 + 1.3 + 17 + 26 + 10 + 2</f>
        <v>190.3</v>
      </c>
      <c r="W7" s="2">
        <f xml:space="preserve"> 4.4 + 115 + 5.7 + 2.8 + 19.5 + 2.6 + 7.5 + 5.1 + 1.6 + 81.4 + 27.5 + 4</f>
        <v>277.10000000000002</v>
      </c>
      <c r="X7">
        <f xml:space="preserve"> 1 + 59 + 11 + 21.5 + 31.5 + 7.5 + 12 + 1.5 + 7 + 32 + 12 + 12</f>
        <v>208</v>
      </c>
      <c r="Y7" s="2">
        <f xml:space="preserve"> 0.6 + 51 + 6.1 + 3.5 + 35.7 + 2.2 + 5 + 22.7 + 8</f>
        <v>134.80000000000001</v>
      </c>
      <c r="Z7" s="2">
        <f xml:space="preserve"> 105 + 5 + 24 + 5.5 + 1.5 + 1.5 + 9.5 + 10</f>
        <v>162</v>
      </c>
      <c r="AA7" s="2">
        <f xml:space="preserve"> 10.1 + 2 + 9 + 6.3 + 2 + 18.1 + 2.4 + 1.3 + 6.5 + 0.6 + 6.6</f>
        <v>64.899999999999991</v>
      </c>
      <c r="AB7" s="2">
        <f xml:space="preserve"> 3.4 + 3.2 + 3.8 + 0.2 + 2.7 + 2.3 + 72.9 + 5.5 + 4.4 + 0.8</f>
        <v>99.2</v>
      </c>
      <c r="AC7" s="2">
        <f xml:space="preserve"> 48.4 + 14.4 + 11.1 + 12.3 + 22.4 + 17.1 + 10.4 + 4</f>
        <v>140.1</v>
      </c>
      <c r="AD7" s="2">
        <f xml:space="preserve"> 6.8 + 1.2 + 4 + 4.3 + 16.8 + 17 + 1.2 + 3 + 1.7 + 78.8 + 2</f>
        <v>136.80000000000001</v>
      </c>
      <c r="AE7" s="2">
        <f xml:space="preserve"> 8 + 2.6 + 140 + 33.7 + 0.7 + 84 + 1.6 + 5.5 + 8.1 + 3.8 + 7.7 + 0.6 + 77 + 12.5 + 17.5 + 22.3 + 9.2+ 21</f>
        <v>455.80000000000007</v>
      </c>
      <c r="AF7" s="2">
        <f xml:space="preserve"> 20 + 12 + 16.8 + 15.5 + 6.5 + 72 + 12 + 1 + 6 + 18.6 + 1 + 9.5</f>
        <v>190.9</v>
      </c>
    </row>
    <row r="8" spans="1:32" x14ac:dyDescent="0.3">
      <c r="A8" s="1">
        <v>42767</v>
      </c>
      <c r="B8">
        <v>238.9</v>
      </c>
      <c r="C8" s="4">
        <v>0</v>
      </c>
      <c r="D8">
        <f xml:space="preserve"> 5 + 12 + 17 + 14 + 6 + 40 + 8 + 14 + 11 + 6 + 4 + 14</f>
        <v>151</v>
      </c>
      <c r="E8" s="2">
        <f xml:space="preserve"> 5.5 + 37.5 + 3.5 + 17.5 + 8 + 2 + 15 + 49 + 8 + 0.1 + 10 + 0.5 + 15 + 5.5</f>
        <v>177.1</v>
      </c>
      <c r="F8" s="2">
        <v>0</v>
      </c>
      <c r="G8" s="2">
        <f xml:space="preserve"> 6.2 + 2.4 + 0.8 + 47.2 + 40.2 + 2.3 + 2.3 + 20.2 + 28.4 + 15.6</f>
        <v>165.6</v>
      </c>
      <c r="H8" s="2">
        <f xml:space="preserve"> 21.5 + 5.4 + 1.6 + 0.7 + 0.3 + 13.9 + 25.5 + 27.1 + 3.5 + 11.7</f>
        <v>111.2</v>
      </c>
      <c r="I8" s="2">
        <f xml:space="preserve"> 0.8 + 3.6 + 1.2 + 3.8 + 8.6  + 34.5 + 10.2 + 0.8 + 1.2 + 18</f>
        <v>82.7</v>
      </c>
      <c r="J8" s="2">
        <f xml:space="preserve"> 25 + 6.5 + 7 + 8 + 2.5 + 6 + 13 + 16 + 38.5 + 18 + 0.2 + 0.5</f>
        <v>141.19999999999999</v>
      </c>
      <c r="K8" s="2">
        <f xml:space="preserve"> 2.2 + 1.1 + 9.6 + 45.1 + 0.6 + 2.8</f>
        <v>61.4</v>
      </c>
      <c r="L8" s="2">
        <f xml:space="preserve"> 17.4 + 15 + 48.6 + 5.2 + 53 + 16.4 + 8 + 18.4 + 10 + 15.4</f>
        <v>207.4</v>
      </c>
      <c r="M8" s="2">
        <f xml:space="preserve"> 4.2 + 3.4 + 46.2 + 8.4 + 111.4 + 3 + 4.2 + 29.4 + 3.1 + 5.4 + 8.6</f>
        <v>227.3</v>
      </c>
      <c r="N8" s="2">
        <f xml:space="preserve">  1 + 23 + 52.6 + 2.4</f>
        <v>79</v>
      </c>
      <c r="O8" s="2">
        <f xml:space="preserve"> 97.2 + 34.2</f>
        <v>131.4</v>
      </c>
      <c r="P8" s="2">
        <f xml:space="preserve"> 23.8 +34 + 19.4 + 44.8 + 62 + 26.2 + 25.8 + 16.6 + 6.8 + 10 + 57 + 2.2</f>
        <v>328.59999999999997</v>
      </c>
      <c r="Q8" s="2">
        <f xml:space="preserve"> 3.2 + 9 + 0.2 + 14 + 3 + 5.6 + 1.5 + 13 + 30 + 113 + 0.4 + 98 + 27 + 8 + 24 + 4 + 22 + 26</f>
        <v>401.9</v>
      </c>
      <c r="R8">
        <f xml:space="preserve"> 3.2 + 1.2 + 3.2 + 15.8 + 36.2 + 82.8 + 30 + 3 + 7 + 19.1 + 9.9 + 1.4 + 1.2 + 5</f>
        <v>219</v>
      </c>
      <c r="S8" s="2">
        <f xml:space="preserve"> 2.7 + 8.6 + 25.4 + 6.3 + 1.4 + 3 + 11.8 + 72.5 + 204 + 27.2 + 50 + 17.2 + 4.7 + 26.9 + 45.7 + 4.4 + 20.6 + 2.4</f>
        <v>534.79999999999984</v>
      </c>
      <c r="T8">
        <f xml:space="preserve"> 3.4 + 1.4 + 5.6 + 2.1 + 11.2 + 4.7 + 8.1 + 43.4 + 105.4 + 0.5 + 79.4 + 12.1 + 12.3 + 32.1 + 26.2 + 12.4 + 22.3 + 1.2</f>
        <v>383.80000000000007</v>
      </c>
      <c r="U8" s="2">
        <f xml:space="preserve"> 0.5 + 7 + 1 + 1 + 2.5 + 8 + 8.5 + 7 + 8 + 10 + 9 + 3 + 7</f>
        <v>72.5</v>
      </c>
      <c r="V8">
        <f xml:space="preserve"> 24 + 14.6 + 26 + 5.2 + 30 + 12 + 15.2 + 36 + 1.6 + 2.8</f>
        <v>167.4</v>
      </c>
      <c r="W8" s="2">
        <f>4.5+20+5.2+33.7+10.5+18.4+2+3.5+3</f>
        <v>100.80000000000001</v>
      </c>
      <c r="X8">
        <f xml:space="preserve"> 2.5 + 15 + 52 + 2 + 2.5</f>
        <v>74</v>
      </c>
      <c r="Y8" s="2">
        <f xml:space="preserve"> 1.5 + 7.9 + 7.4 + 4.1 + 22.5</f>
        <v>43.4</v>
      </c>
      <c r="Z8" s="2">
        <f xml:space="preserve"> 1 + 34 + 5 + 5.5</f>
        <v>45.5</v>
      </c>
      <c r="AA8" s="2">
        <f xml:space="preserve"> 0.1 + 7.8 + 9.8 + 13.9 + 0.4 + 4.4</f>
        <v>36.4</v>
      </c>
      <c r="AB8" s="2">
        <f xml:space="preserve"> 1.6 + 4.2 + 1.4 + 17.4 + 6.6 + 4 + 1.8</f>
        <v>37</v>
      </c>
      <c r="AC8" s="2">
        <f xml:space="preserve"> 6.2 + 20.4 + 12.3 + 4</f>
        <v>42.9</v>
      </c>
      <c r="AD8" s="2">
        <f xml:space="preserve"> 19.4 + 8 + 29 + 20.5 + 2 + 10.2 + 3.5 + 7.5</f>
        <v>100.10000000000001</v>
      </c>
      <c r="AE8" s="2">
        <f>3+9+12.2+20.2+0.5+0.5+24.3+15+5+1.5+2.5+10+21+25.7+0.8+18.7+14+1</f>
        <v>184.9</v>
      </c>
      <c r="AF8" s="2">
        <f xml:space="preserve"> 7 + 17 + 24 + 8.5 + 2.6 + 35.7 + 1 + 1</f>
        <v>96.800000000000011</v>
      </c>
    </row>
    <row r="9" spans="1:32" x14ac:dyDescent="0.3">
      <c r="A9" s="1">
        <v>42795</v>
      </c>
      <c r="B9">
        <v>0</v>
      </c>
      <c r="C9" s="4">
        <v>0</v>
      </c>
      <c r="D9">
        <v>0</v>
      </c>
      <c r="E9" s="2">
        <f xml:space="preserve"> 44.5 + 4</f>
        <v>48.5</v>
      </c>
      <c r="F9" s="2">
        <v>0</v>
      </c>
      <c r="G9" s="2">
        <v>0</v>
      </c>
      <c r="H9" s="2">
        <f xml:space="preserve"> 3 + 5.9</f>
        <v>8.9</v>
      </c>
      <c r="I9" s="2">
        <v>0</v>
      </c>
      <c r="J9" s="2">
        <f xml:space="preserve"> 0.5 + 5.5 + 19.5 + 0.7 + 0.5 + 6</f>
        <v>32.700000000000003</v>
      </c>
      <c r="K9" s="2">
        <v>37.5</v>
      </c>
      <c r="L9" s="2">
        <f xml:space="preserve"> 8 + 8 + 15.2</f>
        <v>31.2</v>
      </c>
      <c r="M9" s="2">
        <f xml:space="preserve"> 35.8 + 0.8 + 2.2 + 3</f>
        <v>41.8</v>
      </c>
      <c r="N9" s="2">
        <f xml:space="preserve"> 6 + 13.4 + 11.6 + 11.4 + 16 + 5.6</f>
        <v>64</v>
      </c>
      <c r="O9" s="2">
        <f xml:space="preserve"> 63.2 + 5.6</f>
        <v>68.8</v>
      </c>
      <c r="P9" s="2">
        <f xml:space="preserve"> 16.6 + 1.6 + 1.4 + 4.2</f>
        <v>23.8</v>
      </c>
      <c r="Q9" s="2">
        <f xml:space="preserve"> 26 + 10 + 11 + 2.4 + 4.4 + 10 + 9</f>
        <v>72.8</v>
      </c>
      <c r="R9">
        <f xml:space="preserve"> 35 + 34.2 + 0.5 + 2.1 + 2.9 + 6.9 + 1.1</f>
        <v>82.7</v>
      </c>
      <c r="S9" s="2">
        <f xml:space="preserve"> 3 + 2.2 + 3.1 + 44.3 + 13.6 + 3.8 + 6.3 + 1.3</f>
        <v>77.59999999999998</v>
      </c>
      <c r="T9">
        <f xml:space="preserve"> 22.3 + 31.8 + 8.4 + 1.7 + 1.4 + 1.1 + 1.7 + 5.2 + 2.4</f>
        <v>76.000000000000014</v>
      </c>
      <c r="U9" s="2">
        <f xml:space="preserve"> 28 + 4.9 + 9 + 0.8 + 2.2</f>
        <v>44.9</v>
      </c>
      <c r="V9">
        <f xml:space="preserve"> 8</f>
        <v>8</v>
      </c>
      <c r="W9" s="2">
        <f xml:space="preserve"> 2.1 + 4.3</f>
        <v>6.4</v>
      </c>
      <c r="X9">
        <v>0</v>
      </c>
      <c r="Y9" s="2">
        <f xml:space="preserve"> 8.2 + 11.2 + 2.7</f>
        <v>22.099999999999998</v>
      </c>
      <c r="Z9" s="2">
        <f xml:space="preserve"> 15 + 13 + 18 + 16.5 + 10.5 + 1.5 + 16.5 + 0.5</f>
        <v>91.5</v>
      </c>
      <c r="AA9" s="2">
        <f xml:space="preserve"> 1.6 + 1.2 + 0.6</f>
        <v>3.4</v>
      </c>
      <c r="AB9" s="2">
        <f xml:space="preserve"> 0.2 + 0.8</f>
        <v>1</v>
      </c>
      <c r="AC9" s="2">
        <f xml:space="preserve"> 15.2 + 2.1</f>
        <v>17.3</v>
      </c>
      <c r="AD9" s="2">
        <f xml:space="preserve"> 14.2 + 7.4 + 5 + 0.4 + 0.5</f>
        <v>27.5</v>
      </c>
      <c r="AE9" s="2">
        <f xml:space="preserve"> 0.7 + 4.7 + 8 + 20.5 + 4.7 + 0.5 + 1 + 0.6 + 2.1 + 6.5 + 0.6</f>
        <v>49.900000000000006</v>
      </c>
      <c r="AF9" s="2">
        <f xml:space="preserve"> 17.5 + 1 + 45</f>
        <v>63.5</v>
      </c>
    </row>
    <row r="10" spans="1:32" x14ac:dyDescent="0.3">
      <c r="A10" s="1">
        <v>42826</v>
      </c>
      <c r="B10">
        <v>0</v>
      </c>
      <c r="C10" s="4">
        <v>0</v>
      </c>
      <c r="D10">
        <v>0</v>
      </c>
      <c r="E10" s="2">
        <f xml:space="preserve"> 0.3 + 2 + 7.5 + 6</f>
        <v>15.8</v>
      </c>
      <c r="F10" s="2">
        <v>0</v>
      </c>
      <c r="G10" s="2">
        <f xml:space="preserve"> 86.8 + 5.8 + 9.5</f>
        <v>102.1</v>
      </c>
      <c r="H10" s="2">
        <f xml:space="preserve"> 59.2 + 1.1 + 44 + 15.7</f>
        <v>120.00000000000001</v>
      </c>
      <c r="I10" s="2">
        <f xml:space="preserve"> 8.6 + 14.8 + 2.2</f>
        <v>25.599999999999998</v>
      </c>
      <c r="J10" s="2">
        <f xml:space="preserve"> 6.8 + 11.7 + 17.2 +2 + 0.2</f>
        <v>37.900000000000006</v>
      </c>
      <c r="K10" s="2">
        <v>25.3</v>
      </c>
      <c r="L10" s="2">
        <f xml:space="preserve"> 7.4 + 13.4</f>
        <v>20.8</v>
      </c>
      <c r="M10" s="2">
        <v>58.7</v>
      </c>
      <c r="N10" s="2">
        <f xml:space="preserve"> 5.8 + 26.2 + 2.2 + 12.4</f>
        <v>46.6</v>
      </c>
      <c r="O10" s="2">
        <f xml:space="preserve"> 34.8</f>
        <v>34.799999999999997</v>
      </c>
      <c r="P10" s="2">
        <f xml:space="preserve"> 22.2 + 17.6 + 7 + 3.2 + 5 + 2 + 4.8 + 0.8</f>
        <v>62.599999999999994</v>
      </c>
      <c r="Q10" s="2">
        <f xml:space="preserve"> 18 + 0.4 + 10 + 5.6 +1.5 + 10 + 6 + 10 + 6 + 4</f>
        <v>71.5</v>
      </c>
      <c r="R10">
        <f xml:space="preserve"> 27.2 + 8.3 + 1.1+7.9 + 2.1 + 3.1</f>
        <v>49.7</v>
      </c>
      <c r="S10" s="2">
        <f xml:space="preserve"> 90 + 56.9 + 8.6 + 5.6 + 8.3 + 8.3 + 6</f>
        <v>183.70000000000002</v>
      </c>
      <c r="T10">
        <f xml:space="preserve"> 58.3 + 2.1 + 15.1 + 11.4 + 9.1 + 1.5 + 1.1 + 8.4 + 5.1 + 6.1 + 0.5 + 2.1</f>
        <v>120.79999999999998</v>
      </c>
      <c r="U10" s="2">
        <f xml:space="preserve"> 5.5 + 1 + 19 + 7</f>
        <v>32.5</v>
      </c>
      <c r="V10">
        <f xml:space="preserve"> 5 + 1.4 + 8.3 + 3</f>
        <v>17.700000000000003</v>
      </c>
      <c r="W10" s="2">
        <f xml:space="preserve"> 5.4 + 1.2 + 2.4 + 9 + 2.4 + 9 + 2.4</f>
        <v>31.799999999999997</v>
      </c>
      <c r="X10">
        <f xml:space="preserve"> 21 + 22 + 4</f>
        <v>47</v>
      </c>
      <c r="Y10" s="2">
        <f xml:space="preserve"> 10 + 7.2 + 3.5 + 0.5</f>
        <v>21.2</v>
      </c>
      <c r="Z10" s="2">
        <f xml:space="preserve"> 8 + 1 + 4</f>
        <v>13</v>
      </c>
      <c r="AA10" s="2">
        <f xml:space="preserve"> 0.3 + 9 + 13 + 1.6</f>
        <v>23.900000000000002</v>
      </c>
      <c r="AB10" s="2">
        <f xml:space="preserve"> 19.2 + 14.8 + 1.9 + 5.5 + 1</f>
        <v>42.4</v>
      </c>
      <c r="AC10" s="2">
        <f xml:space="preserve"> 18 + 10 + 1 + 2.1 + 3.3</f>
        <v>34.4</v>
      </c>
      <c r="AD10" s="2">
        <f xml:space="preserve"> 45 + 5 + 6.4 + 2.3 + 13 + 7</f>
        <v>78.699999999999989</v>
      </c>
      <c r="AE10" s="2">
        <f xml:space="preserve"> 12.4 + 4.2 + 0.6 + 14.3 + 1.5 + 2.3 + 8.2 + 8</f>
        <v>51.5</v>
      </c>
      <c r="AF10" s="2">
        <f xml:space="preserve"> 27.5 + 6 + 15.1 + 13.4 + 2.6 + 3</f>
        <v>67.599999999999994</v>
      </c>
    </row>
    <row r="11" spans="1:32" x14ac:dyDescent="0.3">
      <c r="A11" s="1">
        <v>42856</v>
      </c>
      <c r="B11">
        <v>28</v>
      </c>
      <c r="C11" s="4">
        <v>0</v>
      </c>
      <c r="D11">
        <v>0</v>
      </c>
      <c r="E11" s="2">
        <v>0</v>
      </c>
      <c r="F11" s="2">
        <v>0</v>
      </c>
      <c r="G11" s="2">
        <f xml:space="preserve"> 28 + 16.2</f>
        <v>44.2</v>
      </c>
      <c r="H11" s="2">
        <f xml:space="preserve"> 5.7 + 19.3 + 6.6</f>
        <v>31.6</v>
      </c>
      <c r="I11" s="2">
        <f xml:space="preserve"> 15 + 6.8 + 7.8</f>
        <v>29.6</v>
      </c>
      <c r="J11" s="2">
        <f xml:space="preserve"> 28 + 14.5 + 11 + 1</f>
        <v>54.5</v>
      </c>
      <c r="K11" s="2">
        <f xml:space="preserve"> 6.2 + 24.6 + 4</f>
        <v>34.799999999999997</v>
      </c>
      <c r="L11" s="2">
        <f xml:space="preserve"> 36.4 + 9 + 10</f>
        <v>55.4</v>
      </c>
      <c r="M11" s="2">
        <f xml:space="preserve"> 35.4 + 29 + 10.8 + 10.4</f>
        <v>85.600000000000009</v>
      </c>
      <c r="N11" s="2">
        <f>5.8 + 16.2 + 1.8</f>
        <v>23.8</v>
      </c>
      <c r="O11" s="2">
        <f xml:space="preserve"> 50.8 + 1.6</f>
        <v>52.4</v>
      </c>
      <c r="P11" s="2">
        <f xml:space="preserve"> 4.4 + 6.4 + 3.8 + 6.2 + 42.2 + 2</f>
        <v>65</v>
      </c>
      <c r="Q11" s="2">
        <f xml:space="preserve"> 10 + 29 + 24 + 20 + 5</f>
        <v>88</v>
      </c>
      <c r="R11">
        <f xml:space="preserve"> 8.1 + 11.3 + 3.2</f>
        <v>22.599999999999998</v>
      </c>
      <c r="S11" s="2">
        <f xml:space="preserve"> 23.9 + 3.5 + 25 + 4.1</f>
        <v>56.5</v>
      </c>
      <c r="T11">
        <f xml:space="preserve"> 8.2 + 1.2 + 0.5 + 22.4 + 4.4 + 2.3</f>
        <v>38.999999999999993</v>
      </c>
      <c r="U11" s="2">
        <f xml:space="preserve"> 30 + 11.5</f>
        <v>41.5</v>
      </c>
      <c r="V11">
        <v>0</v>
      </c>
      <c r="W11" s="2">
        <v>1.5</v>
      </c>
      <c r="X11">
        <f xml:space="preserve"> 8.3 + 26</f>
        <v>34.299999999999997</v>
      </c>
      <c r="Y11" s="2">
        <f xml:space="preserve"> 1.3</f>
        <v>1.3</v>
      </c>
      <c r="Z11" s="2">
        <f xml:space="preserve"> 24 + 18</f>
        <v>42</v>
      </c>
      <c r="AA11" s="2">
        <f xml:space="preserve"> 23 + 13.5</f>
        <v>36.5</v>
      </c>
      <c r="AB11" s="2">
        <v>0</v>
      </c>
      <c r="AC11" s="2">
        <f xml:space="preserve"> 3.4</f>
        <v>3.4</v>
      </c>
      <c r="AD11" s="2">
        <f xml:space="preserve"> 15.8</f>
        <v>15.8</v>
      </c>
      <c r="AE11" s="2">
        <f xml:space="preserve"> 2.7</f>
        <v>2.7</v>
      </c>
      <c r="AF11" s="2">
        <f xml:space="preserve"> 11</f>
        <v>11</v>
      </c>
    </row>
    <row r="12" spans="1:32" x14ac:dyDescent="0.3">
      <c r="A12" s="1">
        <v>42887</v>
      </c>
      <c r="B12">
        <v>0</v>
      </c>
      <c r="C12" s="4">
        <v>0</v>
      </c>
      <c r="D12">
        <v>0</v>
      </c>
      <c r="E12" s="2">
        <v>0</v>
      </c>
      <c r="F12" s="2">
        <v>0</v>
      </c>
      <c r="G12" s="2">
        <v>0</v>
      </c>
      <c r="H12" s="2">
        <f>0</f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f xml:space="preserve"> 1.3</f>
        <v>1.3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3">
      <c r="A13" s="1">
        <v>42917</v>
      </c>
      <c r="B13">
        <v>0</v>
      </c>
      <c r="C13" s="4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2">
        <f xml:space="preserve"> 4 + 1.2</f>
        <v>5.2</v>
      </c>
      <c r="J13" s="2">
        <v>0</v>
      </c>
      <c r="K13" s="2">
        <v>0</v>
      </c>
      <c r="L13" s="2">
        <v>0</v>
      </c>
      <c r="M13" s="2">
        <f>3.2 + 2.8</f>
        <v>6</v>
      </c>
      <c r="N13" s="2">
        <v>3</v>
      </c>
      <c r="O13" s="2">
        <v>2</v>
      </c>
      <c r="P13" s="2">
        <f>1 + 7.4 + 5.2</f>
        <v>13.600000000000001</v>
      </c>
      <c r="Q13" s="2">
        <f xml:space="preserve"> 7 + 12 + 6</f>
        <v>25</v>
      </c>
      <c r="R13" s="2">
        <f xml:space="preserve"> 3.1</f>
        <v>3.1</v>
      </c>
      <c r="S13" s="2">
        <f xml:space="preserve"> 2.9 + 4.3</f>
        <v>7.1999999999999993</v>
      </c>
      <c r="T13">
        <f xml:space="preserve"> 1.9 + 2.1 + 0.5 + 1</f>
        <v>5.5</v>
      </c>
      <c r="U13" s="2">
        <f xml:space="preserve"> 1.5</f>
        <v>1.5</v>
      </c>
      <c r="V13" s="2">
        <f xml:space="preserve"> 1.1</f>
        <v>1.1000000000000001</v>
      </c>
      <c r="W13" s="2">
        <v>0</v>
      </c>
      <c r="X13" s="2">
        <v>0</v>
      </c>
      <c r="Y13" s="2">
        <v>0</v>
      </c>
      <c r="Z13" s="2">
        <v>0</v>
      </c>
      <c r="AA13" s="2">
        <f xml:space="preserve"> 1.4</f>
        <v>1.4</v>
      </c>
      <c r="AB13" s="2">
        <v>0</v>
      </c>
      <c r="AC13" s="2">
        <v>0</v>
      </c>
      <c r="AD13" s="2">
        <f>0.8</f>
        <v>0.8</v>
      </c>
      <c r="AE13" s="2">
        <f xml:space="preserve"> 3.5</f>
        <v>3.5</v>
      </c>
      <c r="AF13" s="2">
        <v>0</v>
      </c>
    </row>
    <row r="14" spans="1:32" x14ac:dyDescent="0.3">
      <c r="A14" s="2" t="s">
        <v>3</v>
      </c>
      <c r="B14">
        <f xml:space="preserve"> SUM(B2:B13)</f>
        <v>813</v>
      </c>
      <c r="C14" s="2">
        <f t="shared" ref="C14:E14" si="0">SUM(C2:C13)</f>
        <v>0</v>
      </c>
      <c r="D14" s="2">
        <f t="shared" si="0"/>
        <v>226</v>
      </c>
      <c r="E14" s="2">
        <f t="shared" si="0"/>
        <v>596.79999999999995</v>
      </c>
      <c r="F14" s="2">
        <f t="shared" ref="F14:N14" si="1" xml:space="preserve"> SUM(F2:F13)</f>
        <v>354</v>
      </c>
      <c r="G14" s="2">
        <f t="shared" si="1"/>
        <v>609.6</v>
      </c>
      <c r="H14" s="2">
        <f t="shared" si="1"/>
        <v>740.9</v>
      </c>
      <c r="I14" s="2">
        <f t="shared" si="1"/>
        <v>742.60000000000014</v>
      </c>
      <c r="J14" s="2">
        <f t="shared" si="1"/>
        <v>585.4</v>
      </c>
      <c r="K14" s="2">
        <f t="shared" si="1"/>
        <v>575.5999999999998</v>
      </c>
      <c r="L14" s="2">
        <f t="shared" si="1"/>
        <v>606.70000000000005</v>
      </c>
      <c r="M14" s="2">
        <f t="shared" si="1"/>
        <v>714.1</v>
      </c>
      <c r="N14" s="2">
        <f t="shared" si="1"/>
        <v>349.70000000000005</v>
      </c>
      <c r="O14" s="2">
        <f t="shared" ref="O14:P14" si="2" xml:space="preserve"> SUM(O2:O13)</f>
        <v>624.69999999999982</v>
      </c>
      <c r="P14" s="2">
        <f t="shared" si="2"/>
        <v>1014.6999999999998</v>
      </c>
      <c r="Q14" s="2">
        <f t="shared" ref="Q14" si="3" xml:space="preserve"> SUM(Q2:Q13)</f>
        <v>1617.7</v>
      </c>
      <c r="R14" s="2">
        <f xml:space="preserve"> SUM(R2:R13)</f>
        <v>1036.5999999999999</v>
      </c>
      <c r="S14" s="2">
        <f t="shared" ref="S14:U14" si="4" xml:space="preserve"> SUM(S2:S13)</f>
        <v>1895.5999999999995</v>
      </c>
      <c r="T14" s="2">
        <f t="shared" si="4"/>
        <v>1604.8</v>
      </c>
      <c r="U14" s="2">
        <f t="shared" si="4"/>
        <v>544.20000000000005</v>
      </c>
      <c r="V14" s="2">
        <f xml:space="preserve"> SUM(V2:V13)</f>
        <v>591.10000000000014</v>
      </c>
      <c r="W14" s="2">
        <f t="shared" ref="W14:AA14" si="5" xml:space="preserve"> SUM(W2:W13)</f>
        <v>679.9</v>
      </c>
      <c r="X14" s="2">
        <f t="shared" si="5"/>
        <v>637.09999999999991</v>
      </c>
      <c r="Y14" s="2">
        <f t="shared" si="5"/>
        <v>376.1</v>
      </c>
      <c r="Z14" s="2">
        <f t="shared" si="5"/>
        <v>887</v>
      </c>
      <c r="AA14" s="2">
        <f t="shared" si="5"/>
        <v>480.69999999999987</v>
      </c>
      <c r="AB14" s="2">
        <f xml:space="preserve"> SUM(AB2:AB13)</f>
        <v>376.4</v>
      </c>
      <c r="AC14" s="2">
        <f xml:space="preserve"> SUM(AC2:AC13)</f>
        <v>391.49999999999994</v>
      </c>
      <c r="AD14" s="2">
        <f xml:space="preserve"> SUM(AD2:AD13)</f>
        <v>771.8</v>
      </c>
      <c r="AE14" s="2">
        <f xml:space="preserve"> SUM(AE2:AE13)</f>
        <v>1164.4000000000003</v>
      </c>
      <c r="AF14" s="2">
        <f xml:space="preserve"> SUM(AF2:AF13)</f>
        <v>774.69999999999993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9FF6-B6D5-4819-AD06-BCE4092B6188}">
  <dimension ref="A1:AF14"/>
  <sheetViews>
    <sheetView topLeftCell="O1" zoomScale="98" workbookViewId="0">
      <selection activeCell="AA8" sqref="AA8"/>
    </sheetView>
  </sheetViews>
  <sheetFormatPr defaultRowHeight="14.4" x14ac:dyDescent="0.3"/>
  <cols>
    <col min="1" max="1" width="11.6640625" customWidth="1"/>
    <col min="2" max="2" width="20.21875" style="2" customWidth="1"/>
    <col min="3" max="3" width="8.88671875" style="2"/>
    <col min="4" max="4" width="11.88671875" customWidth="1"/>
    <col min="5" max="5" width="8.88671875" style="2"/>
    <col min="6" max="6" width="12.6640625" style="2" customWidth="1"/>
    <col min="7" max="7" width="12.77734375" style="2" customWidth="1"/>
    <col min="8" max="8" width="8.88671875" style="2"/>
    <col min="9" max="11" width="14.77734375" style="2" customWidth="1"/>
    <col min="12" max="12" width="14.6640625" style="2" customWidth="1"/>
    <col min="13" max="13" width="11.21875" style="2" customWidth="1"/>
    <col min="14" max="14" width="18.6640625" style="2" customWidth="1"/>
    <col min="15" max="15" width="8.88671875" style="2"/>
    <col min="16" max="16" width="10.88671875" style="2" customWidth="1"/>
    <col min="17" max="17" width="11.33203125" style="2" customWidth="1"/>
    <col min="18" max="18" width="11.77734375" customWidth="1"/>
    <col min="19" max="19" width="16.6640625" style="2" customWidth="1"/>
    <col min="20" max="20" width="11.21875" customWidth="1"/>
    <col min="21" max="21" width="14.109375" style="2" customWidth="1"/>
    <col min="22" max="22" width="12.77734375" customWidth="1"/>
    <col min="23" max="23" width="8.88671875" style="2"/>
    <col min="24" max="24" width="15.33203125" style="2" customWidth="1"/>
    <col min="25" max="25" width="12" style="2" customWidth="1"/>
    <col min="26" max="26" width="12.77734375" style="2" customWidth="1"/>
    <col min="27" max="27" width="11" style="2" customWidth="1"/>
    <col min="28" max="28" width="8.88671875" style="2"/>
    <col min="29" max="29" width="9.6640625" style="2" customWidth="1"/>
    <col min="30" max="31" width="12.109375" style="2" customWidth="1"/>
    <col min="32" max="32" width="13.44140625" style="2" customWidth="1"/>
  </cols>
  <sheetData>
    <row r="1" spans="1:32" x14ac:dyDescent="0.3">
      <c r="A1" t="s">
        <v>0</v>
      </c>
      <c r="B1" s="2" t="s">
        <v>1</v>
      </c>
      <c r="C1" s="2" t="s">
        <v>6</v>
      </c>
      <c r="D1" s="7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44</v>
      </c>
      <c r="AF1" s="2" t="s">
        <v>42</v>
      </c>
    </row>
    <row r="2" spans="1:32" x14ac:dyDescent="0.3">
      <c r="A2" s="1">
        <v>42948</v>
      </c>
      <c r="B2" s="2">
        <v>0</v>
      </c>
      <c r="C2" s="2">
        <v>0</v>
      </c>
      <c r="D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 xml:space="preserve"> 1.2 + 1.4</f>
        <v>2.5999999999999996</v>
      </c>
      <c r="O2" s="2">
        <f xml:space="preserve"> 7</f>
        <v>7</v>
      </c>
      <c r="P2" s="2">
        <f xml:space="preserve"> 0.8 + 9.6</f>
        <v>10.4</v>
      </c>
      <c r="Q2" s="2">
        <v>0</v>
      </c>
      <c r="R2" s="2">
        <f xml:space="preserve"> 0.1 + 0.2</f>
        <v>0.30000000000000004</v>
      </c>
      <c r="S2" s="2">
        <f xml:space="preserve"> 2.1 + 3</f>
        <v>5.0999999999999996</v>
      </c>
      <c r="T2" s="2">
        <f xml:space="preserve"> 2.1 + 0.5 + 3.4 + 2.1 + 0.5</f>
        <v>8.6</v>
      </c>
      <c r="U2" s="2">
        <v>0.7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f xml:space="preserve"> 1 + 0.5 + 1.3</f>
        <v>2.8</v>
      </c>
      <c r="AE2" s="2">
        <f xml:space="preserve"> 1 + 0.5 + 1.3</f>
        <v>2.8</v>
      </c>
      <c r="AF2" s="2">
        <f xml:space="preserve"> 0.8</f>
        <v>0.8</v>
      </c>
    </row>
    <row r="3" spans="1:32" x14ac:dyDescent="0.3">
      <c r="A3" s="1">
        <v>42979</v>
      </c>
      <c r="B3" s="2">
        <v>0</v>
      </c>
      <c r="C3" s="2">
        <v>0</v>
      </c>
      <c r="D3">
        <v>0</v>
      </c>
      <c r="E3" s="2">
        <f xml:space="preserve"> 0.5</f>
        <v>0.5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 xml:space="preserve"> 1.5</f>
        <v>1.5</v>
      </c>
      <c r="L3" s="2">
        <v>0</v>
      </c>
      <c r="M3" s="2">
        <f xml:space="preserve"> 1.8 + 7.4</f>
        <v>9.2000000000000011</v>
      </c>
      <c r="N3" s="2">
        <v>0</v>
      </c>
      <c r="O3" s="2">
        <v>0</v>
      </c>
      <c r="P3" s="2">
        <f xml:space="preserve"> 4.2 + 4.8</f>
        <v>9</v>
      </c>
      <c r="Q3" s="2">
        <f xml:space="preserve"> 1+ 2 + 7 + 9.5 + 4.5</f>
        <v>24</v>
      </c>
      <c r="R3">
        <f xml:space="preserve"> 0.3</f>
        <v>0.3</v>
      </c>
      <c r="S3" s="2">
        <f xml:space="preserve"> 5.5 + 1.7 + 2.7 + 5.2 + 6.6</f>
        <v>21.700000000000003</v>
      </c>
      <c r="T3">
        <f xml:space="preserve"> 3.9 + 5.5 + 1.6</f>
        <v>11</v>
      </c>
      <c r="U3" s="2">
        <f xml:space="preserve"> 1.5</f>
        <v>1.5</v>
      </c>
      <c r="V3">
        <v>0</v>
      </c>
      <c r="W3" s="2">
        <v>0</v>
      </c>
      <c r="X3" s="2">
        <f xml:space="preserve"> 1.5</f>
        <v>1.5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f xml:space="preserve"> 3.2 + 1</f>
        <v>4.2</v>
      </c>
      <c r="AE3" s="2">
        <f xml:space="preserve"> 3.2 + 1</f>
        <v>4.2</v>
      </c>
      <c r="AF3" s="2">
        <f xml:space="preserve"> 12.5 + 4 + 1</f>
        <v>17.5</v>
      </c>
    </row>
    <row r="4" spans="1:32" x14ac:dyDescent="0.3">
      <c r="A4" s="1">
        <v>43009</v>
      </c>
      <c r="B4" s="2">
        <v>0</v>
      </c>
      <c r="C4" s="2">
        <v>0</v>
      </c>
      <c r="D4">
        <f xml:space="preserve"> 12 + 7 + 13 + 2.5</f>
        <v>34.5</v>
      </c>
      <c r="E4" s="2">
        <f xml:space="preserve"> 1.6 + 4 + 13 + 13 + 2.5 + 2.5 + 0.4</f>
        <v>37</v>
      </c>
      <c r="F4" s="2">
        <v>0</v>
      </c>
      <c r="G4" s="2">
        <f xml:space="preserve"> 22.8</f>
        <v>22.8</v>
      </c>
      <c r="H4" s="2">
        <v>34.9</v>
      </c>
      <c r="I4" s="2">
        <f xml:space="preserve"> 4.1 + 10.7 + 2 + 8 + 3.6 + 11.8 + 1.6 + 17 + 4.5 + 4.5 + 1.4 + 2.2</f>
        <v>71.40000000000002</v>
      </c>
      <c r="J4" s="2">
        <f xml:space="preserve"> 12.4 + 1.4 + 6.8 + 7.8 + 21 + 6 + 2.6 + 2.8 + 3</f>
        <v>63.800000000000004</v>
      </c>
      <c r="K4" s="2">
        <f xml:space="preserve"> 5 + 3.5 + 5.3 + 23.5 + 9.5 + 19.5</f>
        <v>66.3</v>
      </c>
      <c r="L4" s="2">
        <v>0</v>
      </c>
      <c r="M4" s="2">
        <f xml:space="preserve"> 1.8 + 13 + 4.4 + 13.6 + 3.4 + 3.2</f>
        <v>39.400000000000006</v>
      </c>
      <c r="N4" s="2">
        <v>4</v>
      </c>
      <c r="O4" s="2">
        <f xml:space="preserve"> 7.4 + 30.4</f>
        <v>37.799999999999997</v>
      </c>
      <c r="P4" s="2">
        <v>20.399999999999999</v>
      </c>
      <c r="Q4" s="2">
        <f xml:space="preserve"> 2.6 + 12 + 2 + 23 + 1 + 3 + 3 + 1 + 2 + 8 +1 + 14 + 3</f>
        <v>75.599999999999994</v>
      </c>
      <c r="R4">
        <f xml:space="preserve"> 1.3 + 20 + 2.1 + 5 + 6 + 2.1 + 1 + 3.1 + 5 + 1</f>
        <v>46.600000000000009</v>
      </c>
      <c r="S4" s="2">
        <f xml:space="preserve"> 1.8 + 20 + 15.5 + 4.5 + 3 + 2.2 + 7.9+ 20 + 4.1</f>
        <v>79</v>
      </c>
      <c r="T4">
        <f xml:space="preserve"> 5.9 + 7.2 + 9.3 + 1.8 + 3.6 + 0.5 + 2.8 + 9.5 + 2.4 + 15.3 + 1.5</f>
        <v>59.800000000000011</v>
      </c>
      <c r="U4" s="2">
        <f xml:space="preserve"> 1- + 6.5 + 4 + 10 + 5.5</f>
        <v>14</v>
      </c>
      <c r="V4">
        <f xml:space="preserve"> 4.3 + 2 + 12 + 26</f>
        <v>44.3</v>
      </c>
      <c r="W4" s="2">
        <f xml:space="preserve"> 0.5 + 0.6 + 7.9 + 8 + 3.5</f>
        <v>20.5</v>
      </c>
      <c r="X4" s="2">
        <f xml:space="preserve"> 38.8 + 5.5 + 20 + 14 + 2.4</f>
        <v>80.7</v>
      </c>
      <c r="Y4" s="2">
        <f>5.2+17.5+7</f>
        <v>29.7</v>
      </c>
      <c r="Z4" s="2">
        <f xml:space="preserve"> 15 + 6 + 16 + 4 + 25.5 + 8</f>
        <v>74.5</v>
      </c>
      <c r="AA4" s="2">
        <v>0</v>
      </c>
      <c r="AB4" s="2">
        <f xml:space="preserve"> 25.1 + 13.2 + 7.1 + 18.4 + 1.6</f>
        <v>65.399999999999991</v>
      </c>
      <c r="AC4" s="2">
        <f xml:space="preserve"> 2 + 46.3 + 11 + 13.4 + 25.1</f>
        <v>97.800000000000011</v>
      </c>
      <c r="AD4" s="2">
        <f xml:space="preserve"> 4.9 + 9.2 + 0.5 + 9 + 8 + 0.5 + 7.5 + 1.7 + 12 + 6 + 0.5</f>
        <v>59.800000000000004</v>
      </c>
      <c r="AE4" s="2">
        <f xml:space="preserve"> 4.9 + 9.2 + 0.5 + 9 + 8 + 0.5 + 7.5 + 1.7 + 12 + 6 + 0.5</f>
        <v>59.800000000000004</v>
      </c>
      <c r="AF4" s="2">
        <f xml:space="preserve"> 27 + 0.5 + 3 + 25 + 2.5 + 4.5 + 12.5 + 2.5</f>
        <v>77.5</v>
      </c>
    </row>
    <row r="5" spans="1:32" x14ac:dyDescent="0.3">
      <c r="A5" s="1">
        <v>43040</v>
      </c>
      <c r="B5" s="2">
        <v>54</v>
      </c>
      <c r="C5" s="2">
        <v>0</v>
      </c>
      <c r="D5">
        <f xml:space="preserve"> 21 + 19</f>
        <v>40</v>
      </c>
      <c r="E5" s="2">
        <f xml:space="preserve"> 4.5 + 1.5 + 1 + 48.5 + 1 + 4</f>
        <v>60.5</v>
      </c>
      <c r="F5" s="2">
        <v>0</v>
      </c>
      <c r="G5" s="2">
        <f xml:space="preserve"> 4.5 + 6.8 + 18 + 1.6 + 20.2</f>
        <v>51.1</v>
      </c>
      <c r="H5" s="2">
        <f xml:space="preserve"> 14 + 4.5 + 3.5 + 13 + 44 + 15 + 5.5 + 12 + 7 + 20.5 + 5.5 + 3.5 + 22</f>
        <v>170</v>
      </c>
      <c r="I5" s="2">
        <f xml:space="preserve"> 1 + 1.3 + 6 + 9.1 + 5.6 + 0.6</f>
        <v>23.6</v>
      </c>
      <c r="J5" s="2">
        <f xml:space="preserve"> 4 + 1.6 + 2.6 + 16.4 + 8.8</f>
        <v>33.4</v>
      </c>
      <c r="K5" s="2">
        <f>3+4+9+6+17.5+0.4+5.5</f>
        <v>45.4</v>
      </c>
      <c r="L5" s="2">
        <v>0</v>
      </c>
      <c r="M5" s="2">
        <f xml:space="preserve"> 2.2 + 2.4 + 40.8 + 4.6 + 9 + 18.4 + 1.6 + 1</f>
        <v>80</v>
      </c>
      <c r="N5" s="2">
        <f xml:space="preserve"> 5.2 + 1 + 5.3 + 0.7 +0.7 + 2.6</f>
        <v>15.499999999999998</v>
      </c>
      <c r="O5" s="2">
        <f xml:space="preserve"> 2 + 17.2</f>
        <v>19.2</v>
      </c>
      <c r="P5" s="2">
        <f xml:space="preserve"> 6.2 + 3.2 + 27.4 + 11.2 + 55.4 + 1 + 4.6</f>
        <v>109</v>
      </c>
      <c r="Q5" s="2">
        <f xml:space="preserve"> 1 + 3 + 8 + 0.8 + 0.5 + 2 + 3 + 23 + 44 + 10</f>
        <v>95.3</v>
      </c>
      <c r="R5">
        <f xml:space="preserve"> 0.1 + 0.2 + 24.4 + 0.1 + 14 + 19.5 + 24.5 + 2+ 5.2</f>
        <v>90</v>
      </c>
      <c r="S5" s="2">
        <f xml:space="preserve"> 3.1 + 8.1 + 2.2 + 12 + 2.1 + 47 + 1.1 +22.1</f>
        <v>97.699999999999989</v>
      </c>
      <c r="T5">
        <f xml:space="preserve"> 2.4 + 2.2 + 0.5 + 8.4 + 2.1 + 10.9 + 4.7 + 50 + 1.7 + 20 + 0.4</f>
        <v>103.30000000000001</v>
      </c>
      <c r="U5" s="2">
        <f xml:space="preserve"> 54 + 6 + 35 + 25</f>
        <v>120</v>
      </c>
      <c r="V5">
        <f xml:space="preserve"> 6 + 1.1 + 11+ 30</f>
        <v>48.1</v>
      </c>
      <c r="W5" s="2">
        <f xml:space="preserve"> 4 + 1.2 + 10.4 + 1.8</f>
        <v>17.400000000000002</v>
      </c>
      <c r="X5" s="2">
        <v>98.2</v>
      </c>
      <c r="Y5" s="2">
        <f xml:space="preserve"> 11.5 + 19.3 + 1.5 + 32.2</f>
        <v>64.5</v>
      </c>
      <c r="Z5" s="2">
        <v>38.6</v>
      </c>
      <c r="AA5" s="2">
        <v>0</v>
      </c>
      <c r="AB5" s="2">
        <f xml:space="preserve"> 26.8 + 4.8 + 4.5 + 23.2</f>
        <v>59.3</v>
      </c>
      <c r="AC5" s="2">
        <f xml:space="preserve"> 30.1 + 3.2 + 20.3</f>
        <v>53.600000000000009</v>
      </c>
      <c r="AD5" s="2">
        <f xml:space="preserve"> 0.6 + 0.5 + 88 + 1.4 + 14.2 + 25.2 + 21.4 + 0.5</f>
        <v>151.80000000000001</v>
      </c>
      <c r="AE5" s="2">
        <f xml:space="preserve"> 0.6 + 0.5 + 88 + 1.4 + 14.2 + 25.2 + 21.4 + 0.5</f>
        <v>151.80000000000001</v>
      </c>
      <c r="AF5" s="2">
        <f xml:space="preserve"> 9 + 16</f>
        <v>25</v>
      </c>
    </row>
    <row r="6" spans="1:32" x14ac:dyDescent="0.3">
      <c r="A6" s="1">
        <v>43070</v>
      </c>
      <c r="B6" s="2">
        <v>0</v>
      </c>
      <c r="C6" s="2">
        <v>0</v>
      </c>
      <c r="D6">
        <f xml:space="preserve"> 19.5</f>
        <v>19.5</v>
      </c>
      <c r="E6" s="2">
        <f xml:space="preserve"> 5 + 0.7 + 3.5 + 9 + 3 +3 + 3.5</f>
        <v>27.7</v>
      </c>
      <c r="F6" s="2">
        <v>0</v>
      </c>
      <c r="G6" s="2">
        <v>98.5</v>
      </c>
      <c r="H6" s="2">
        <f xml:space="preserve"> 10.5 + 1.5 + 2.5 + 4.5 + 24.3 + 1.2 + 16.4 + 3.5 + 8.5 + 0.3 + 3.5</f>
        <v>76.7</v>
      </c>
      <c r="I6" s="2">
        <f xml:space="preserve"> 1.5 + 28.5 + 19.6 + 10.3 + 3.1 + 1 + 4.6 + 4 + 3.2</f>
        <v>75.8</v>
      </c>
      <c r="J6" s="2">
        <f xml:space="preserve"> 24.6 + 11 + 14 + 1.8 + 2.2 + 8.4 + 3 + 15.2 + 3</f>
        <v>83.2</v>
      </c>
      <c r="K6" s="2">
        <f xml:space="preserve"> 1 + 4.5 + 26 + 0.7 + 4.5 + 13.3 + 7.7 + 3 + 9.5 + 13 + 23 + 9.5 + 1</f>
        <v>116.7</v>
      </c>
      <c r="L6" s="2">
        <f xml:space="preserve"> 10.6 + 15.4 + 1.2 + 5.5 + 2 + 2.8 + 1.6 + 1.8 + 26.2 + 18.8 + 4.8 + 14.6 + 1.6</f>
        <v>106.89999999999998</v>
      </c>
      <c r="M6" s="2">
        <f xml:space="preserve"> 13.6 + 4.4 + 2.4 + 4.4 + 1.6 + 5.6 + 2.6 + 1.4 + 20.4 + 6.6 + 11.4 + 2 + 6</f>
        <v>82.4</v>
      </c>
      <c r="N6" s="2">
        <f xml:space="preserve"> 12.2 + 3.8 + 34 + 1 + 23.2 + 1.2 + 0.4</f>
        <v>75.800000000000011</v>
      </c>
      <c r="O6" s="2">
        <f xml:space="preserve"> 2 + 14 + 69.2</f>
        <v>85.2</v>
      </c>
      <c r="P6" s="2">
        <f xml:space="preserve"> 4.8 + 16.8 + 11.4 + 2.4 + 18+ 7.2 + 2.4 + 2.6 +19.6 + 3.6 + 0.8 + 3.4 + 5+ 13.4 + 2.4</f>
        <v>113.8</v>
      </c>
      <c r="Q6" s="2">
        <f xml:space="preserve"> 5 + 5.6 + 26 + 16 + 38 + 2.1 + 1 + 5.2 + 10.5 + 7 + 3.8 + 7.5 + 5 + 2.5 + 1 + 16 + 1+ 24 + 22</f>
        <v>199.2</v>
      </c>
      <c r="R6">
        <f xml:space="preserve"> 2 + 2 + 29 + 1 + 15.1 + 1.9 + 1.3 + 11 + 0.5 + 39.1 + 0.5 + 4.4 + 22.2</f>
        <v>130</v>
      </c>
      <c r="S6" s="2">
        <f xml:space="preserve"> 14.3 + 76 + 22.9 + 26.4 + 3.1 + 9.2 + 8.4 + 6.3 + 16.4+ 2.3 + 16.4 + 16.1</f>
        <v>217.8</v>
      </c>
      <c r="T6">
        <f xml:space="preserve"> 10.5+ 62.2 + 10.5 + 28.5 + 1.1 + 1.9 + 4.4 + 11.9 + 2.1 + 1.8 + 1.5 + 53 + 9.5 + 0.5 + 1.5 + 9.9 + 0.5</f>
        <v>211.3</v>
      </c>
      <c r="U6" s="2">
        <f xml:space="preserve"> 0.5 + 11 + 1.5 + 5 + 5.5 + 5.9 + 19.1 + 9.7 + 10</f>
        <v>68.2</v>
      </c>
      <c r="V6">
        <f xml:space="preserve"> 1 + 3.4 + 10 + 2 + 11 + 2.1 + 10 + 17</f>
        <v>56.5</v>
      </c>
      <c r="W6" s="2">
        <f xml:space="preserve"> 32 + 25 + 14.5 + 1.2 + 7.5 + 1 + 10.6 + 0.9</f>
        <v>92.7</v>
      </c>
      <c r="X6" s="2">
        <f xml:space="preserve"> 2.3 + 128 + 3.1 +  1.5 + 7.5 + 1.4 + 27.8</f>
        <v>171.60000000000002</v>
      </c>
      <c r="Y6" s="2">
        <f xml:space="preserve"> 0.5 + 27.2 + 2 + 9 + 2.8 + 82</f>
        <v>123.5</v>
      </c>
      <c r="Z6" s="2">
        <f xml:space="preserve"> 4.5 + 34 + 21.5 + 7 + 2.5 + 3 + 6</f>
        <v>78.5</v>
      </c>
      <c r="AA6" s="2">
        <v>0</v>
      </c>
      <c r="AB6" s="2">
        <f xml:space="preserve"> 16.6</f>
        <v>16.600000000000001</v>
      </c>
      <c r="AC6" s="2">
        <v>84.2</v>
      </c>
      <c r="AD6" s="2">
        <f xml:space="preserve"> 3 + 1 + 14.5 + 5.7 + 1.2 + 8.6 + 3.8 + 3.3 + 0.7 + 1.7 + 2.7 + 0.6 + 31 + 1 + 9.7 + 8.6 + 0.7</f>
        <v>97.800000000000011</v>
      </c>
      <c r="AE6" s="2">
        <f xml:space="preserve"> 3 + 1 + 14.5 + 1.2 + 5.7 + 8.6 + 3.8 + 3.3 + 0.7 + 0.7 + 2.7 + 2.7 + 0.6 + 31 + 1 + 9.7 + 8.6 + 0.7</f>
        <v>99.5</v>
      </c>
      <c r="AF6" s="2">
        <f xml:space="preserve"> 9 + 3 + 3.1 + 72 + 0.5 + 0.5 + 2</f>
        <v>90.1</v>
      </c>
    </row>
    <row r="7" spans="1:32" x14ac:dyDescent="0.3">
      <c r="A7" s="1">
        <v>43101</v>
      </c>
      <c r="B7" s="2">
        <v>0</v>
      </c>
      <c r="C7" s="4">
        <v>0</v>
      </c>
      <c r="D7">
        <f xml:space="preserve"> 29.5 + 25 + 36 + 35 + 10.5</f>
        <v>136</v>
      </c>
      <c r="E7" s="2">
        <f xml:space="preserve"> 1.6 + 12.5 + 30 + 12 + 45 + 1.5 + 12</f>
        <v>114.6</v>
      </c>
      <c r="F7" s="2">
        <v>0</v>
      </c>
      <c r="G7" s="2">
        <f xml:space="preserve"> 20.8 + 24.6 + 12.4 + 24.2</f>
        <v>82</v>
      </c>
      <c r="H7" s="2">
        <f xml:space="preserve"> 1 + 47.4 + 2 + 2.3 + 10.5 + 4.5 + 50.4 + 8 + 5 +9.5 + 2.5 + 7 + 27</f>
        <v>177.1</v>
      </c>
      <c r="I7" s="2">
        <f xml:space="preserve"> 5 + 5 + 6 + 13.1 + 5.7 + 3.7 + 2.5</f>
        <v>41.000000000000007</v>
      </c>
      <c r="J7" s="2">
        <f xml:space="preserve">  3.4 + 5.2 + 2.4 + 5 + 9.6</f>
        <v>25.6</v>
      </c>
      <c r="K7" s="2">
        <f xml:space="preserve"> 3 + 4 + 2 + 10 + 1.5</f>
        <v>20.5</v>
      </c>
      <c r="L7" s="2">
        <f xml:space="preserve"> 4.4 + 4.8 + 6.2 + 3.8</f>
        <v>19.2</v>
      </c>
      <c r="M7" s="2">
        <f xml:space="preserve"> 1.6 + 18 + 1.6 + 19.8 + 20</f>
        <v>61</v>
      </c>
      <c r="N7" s="2">
        <f xml:space="preserve"> 7.2 + 33.8 + 7.8 + 16.8 + 0.4 + 8.8 + 27.2 + 12.6 + 1.6</f>
        <v>116.19999999999999</v>
      </c>
      <c r="O7" s="2">
        <f xml:space="preserve"> 24.4</f>
        <v>24.4</v>
      </c>
      <c r="P7" s="2">
        <f xml:space="preserve"> 3.2 + 8.2 + 1.2+ 8 + 8.8</f>
        <v>29.4</v>
      </c>
      <c r="Q7" s="2">
        <f xml:space="preserve"> 7 + 0.4 + 6 + 16 + 14 + 2 + 1 + 18 + 8 + 4</f>
        <v>76.400000000000006</v>
      </c>
      <c r="R7">
        <f xml:space="preserve"> 1 + 9.1 + 13.3 + 0.5 + 0.6 + 29 + 13.9</f>
        <v>67.400000000000006</v>
      </c>
      <c r="S7" s="2">
        <f xml:space="preserve"> 4 + 4 + 24 + 23.2 + 4.3 + 4.1 + 40.1 + 8.1</f>
        <v>111.8</v>
      </c>
      <c r="T7">
        <f xml:space="preserve"> 0.6 + 4.1 + 24.2 + 19.2 + 2.4 + 1.4 + 32 + 12.1 + 12.5</f>
        <v>108.49999999999999</v>
      </c>
      <c r="U7" s="2">
        <f xml:space="preserve"> 5 + 3 + 1 + 4.4 + 5.5</f>
        <v>18.899999999999999</v>
      </c>
      <c r="V7">
        <f xml:space="preserve"> 9 + 16 + 73 + 2 + 12 + 1 + 16</f>
        <v>129</v>
      </c>
      <c r="W7" s="2">
        <f xml:space="preserve"> 2 + 7.7 + 3.3 + 8.3 + 1.2 + 8.1 + 9.6</f>
        <v>40.200000000000003</v>
      </c>
      <c r="X7" s="2">
        <f xml:space="preserve"> 1.5 + 13</f>
        <v>14.5</v>
      </c>
      <c r="Y7" s="2">
        <f xml:space="preserve"> 30 + 1.8</f>
        <v>31.8</v>
      </c>
      <c r="Z7" s="2">
        <f xml:space="preserve"> 4.5 + 2 + 3 + 2 + 7.5</f>
        <v>19</v>
      </c>
      <c r="AA7" s="2">
        <v>0</v>
      </c>
      <c r="AB7" s="2">
        <v>0</v>
      </c>
      <c r="AC7" s="2">
        <f xml:space="preserve"> 5.2  + 0.2</f>
        <v>5.4</v>
      </c>
      <c r="AD7" s="2">
        <f xml:space="preserve"> 1.6 + 13.5 + 10 + 2 + 5.5 + 0.5</f>
        <v>33.1</v>
      </c>
      <c r="AE7" s="2">
        <f xml:space="preserve"> 1.6 + 13.5 + 10 + 2 + 5.5 + 0.5</f>
        <v>33.1</v>
      </c>
      <c r="AF7" s="2">
        <f xml:space="preserve"> 4 + 3.5 + 4.3</f>
        <v>11.8</v>
      </c>
    </row>
    <row r="8" spans="1:32" x14ac:dyDescent="0.3">
      <c r="A8" s="1">
        <v>43132</v>
      </c>
      <c r="B8" s="2">
        <v>0</v>
      </c>
      <c r="C8" s="4">
        <v>0</v>
      </c>
      <c r="D8">
        <f xml:space="preserve"> 20 + 12 + 31 + 3 + 5 + 7 + 5</f>
        <v>83</v>
      </c>
      <c r="E8" s="2">
        <f xml:space="preserve"> 43 + 15 + 42.5 + 12.5 + 0.3</f>
        <v>113.3</v>
      </c>
      <c r="F8" s="2">
        <v>0</v>
      </c>
      <c r="G8" s="2">
        <f xml:space="preserve"> 56.6 + 6.8 + 10.4</f>
        <v>73.8</v>
      </c>
      <c r="H8" s="2">
        <f xml:space="preserve"> 6.4 + 26.5 + 39 + 3 + 2 + 0.4 + 0.5 + 2.5</f>
        <v>80.300000000000011</v>
      </c>
      <c r="I8" s="2">
        <f xml:space="preserve"> 11.6 + 3.1 + 7 + 12.7 + 5 + 45.7 + 11.5 + 3.6 + 2.3 + 3.7 + 5 + 2.3 + 2.3</f>
        <v>115.79999999999998</v>
      </c>
      <c r="J8" s="2">
        <f xml:space="preserve"> 12 + 11 + 14 + 3.2 + 4.6 + 2.8 + 4</f>
        <v>51.6</v>
      </c>
      <c r="K8" s="2">
        <f xml:space="preserve"> 8 + 9.5 + 49.5 + 0.1 + 1.3 + 10.5 + 11.5 + 2.5 + 1.5 + 0.4 + 1 + 0.5 + 74</f>
        <v>170.3</v>
      </c>
      <c r="L8" s="2">
        <f xml:space="preserve"> 27.4 + 0.8 + 7.2 + 0.6 + 4 + 3 + 31.6 + 1</f>
        <v>75.599999999999994</v>
      </c>
      <c r="M8" s="2">
        <f xml:space="preserve"> 1.4 + 9 + 13.6 + 45.4 + 3.2 + 6.6 + 1.4 + 5 + 15.2 + 1</f>
        <v>101.80000000000001</v>
      </c>
      <c r="N8" s="2">
        <f xml:space="preserve"> 10.5 + 6.2 + 24 + 14.2</f>
        <v>54.900000000000006</v>
      </c>
      <c r="O8" s="2">
        <f xml:space="preserve"> 1.2 + 55.6</f>
        <v>56.800000000000004</v>
      </c>
      <c r="P8" s="2">
        <f xml:space="preserve"> 2.2 + 6 + 2.6 + 6.6 + 28.8 + 23.8 + 2+ 5 + 4.6 + 4.4</f>
        <v>86</v>
      </c>
      <c r="Q8" s="2">
        <f xml:space="preserve"> 0.8 + 1 + 5.6 + 10.3 + 1 + 6 + 54 + 2 + 9 + 3 + 2 + 80 + 90 + 12 + 47 + 1 + 22 + 6 + 120 + 2.5</f>
        <v>475.2</v>
      </c>
      <c r="R8">
        <f xml:space="preserve"> 4.2 + 0.6 + 14.2 + 0.1 + 0.1 + 12.6 + 26 + 2.1 + 69 + 41 + 7.2 + 1 + 12.6 + 21.4</f>
        <v>212.1</v>
      </c>
      <c r="S8" s="2">
        <f xml:space="preserve"> 2.3 + 14.4 + 10.4 + 14.2 + 33.3 + 10.4 + 10.1 + 38.4 + 17.3 + 117 + 56.8 + 52 + 50.8</f>
        <v>427.40000000000003</v>
      </c>
      <c r="T8">
        <f xml:space="preserve"> 8.3 + 6.5 + 0.5 + 4.2 + 4.2 + 6.5 + 4.5 + 0.5 + 19.3 + 8.9 + 84.6 + 50.2 + 9.4 + 1.5 + 40.8 + 51.9 + 5.2 + 1.1</f>
        <v>308.09999999999997</v>
      </c>
      <c r="U8" s="2">
        <f xml:space="preserve"> 2 + 0.8 + 1 + 15 + 4 + 17.5 + 42 + 20 + 5.5 + 60 + 5</f>
        <v>172.8</v>
      </c>
      <c r="V8">
        <f xml:space="preserve"> 17.3 + 14 + 3 + 14 + 5.4 + 20 + 2 + 1.2 + 1.4</f>
        <v>78.3</v>
      </c>
      <c r="W8" s="2">
        <f xml:space="preserve"> 1 + 2.1 + 25 + 12 + 10.3 + 0.6 + 6.2 + 4.4 + 7.8 + 22.4</f>
        <v>91.800000000000011</v>
      </c>
      <c r="X8" s="2">
        <f xml:space="preserve"> 52 + 1.5 + 2.7 + 17 + 2 + 2.5 + 4 + 13 + 13.5 + 0.5 + 5.4</f>
        <v>114.10000000000001</v>
      </c>
      <c r="Y8" s="2">
        <f xml:space="preserve"> 6.7 + 0.5 + 14 + 5.7 + 0.5</f>
        <v>27.4</v>
      </c>
      <c r="Z8" s="2">
        <f xml:space="preserve"> 12.5 + 20 + 2 + 7 + 13.5 + 6 + 2</f>
        <v>63</v>
      </c>
      <c r="AA8" s="2">
        <v>0</v>
      </c>
      <c r="AB8" s="2">
        <f xml:space="preserve"> 7.4 + 19.2+ 43 + 28.2 + 6.3 + 5.2 + 47.2</f>
        <v>156.5</v>
      </c>
      <c r="AC8" s="2">
        <f xml:space="preserve"> 3.1 + 18 + 21.8 + 40.3 + 12.1</f>
        <v>95.3</v>
      </c>
      <c r="AD8" s="2">
        <f xml:space="preserve"> 1 + 76.4 + 0.5 + 1.5 + 2.7 + 5.2 + 16.2 + 21 + 1.3 + 6.4 + 73.1 + 79 + 34 + 0.7 + 41.8 + 43 + 8.1</f>
        <v>411.90000000000003</v>
      </c>
      <c r="AE8" s="2">
        <f xml:space="preserve"> 1 + 76.4 + 0.5 + 1.5 + 2.7 + 5.2 + 16.2 + 21 + 1.3 + 6.4 + 73.1 + 79 + 34 + 0.7 + 41.8 + 43 + 8</f>
        <v>411.8</v>
      </c>
      <c r="AF8" s="2">
        <f xml:space="preserve"> 2.4 + 32.2 + 4.2 + 51 + 51 + 26 + 12.1 + 0.5 + 90 + 4.2</f>
        <v>273.59999999999997</v>
      </c>
    </row>
    <row r="9" spans="1:32" x14ac:dyDescent="0.3">
      <c r="A9" s="1">
        <v>43160</v>
      </c>
      <c r="B9" s="2">
        <v>0</v>
      </c>
      <c r="C9" s="4">
        <v>0</v>
      </c>
      <c r="D9">
        <f xml:space="preserve"> 6.5 + 5 + 6.8 + 17.5 + 15 + 23.5 + 19.5</f>
        <v>93.8</v>
      </c>
      <c r="E9" s="2">
        <f xml:space="preserve"> 1.5 + 22 + 19 + 16.5 + 10 + 12.5</f>
        <v>81.5</v>
      </c>
      <c r="F9" s="2">
        <v>0</v>
      </c>
      <c r="G9" s="2">
        <f xml:space="preserve"> 4.2 + 6.8 + 26.8 + 11 + 10.5 + 12.8</f>
        <v>72.099999999999994</v>
      </c>
      <c r="H9" s="2">
        <v>106</v>
      </c>
      <c r="I9" s="2">
        <f xml:space="preserve"> 2.4  + 5 + 1 + 1.9 + 8 + 66 + 42 + 3.2</f>
        <v>129.5</v>
      </c>
      <c r="J9" s="2">
        <f xml:space="preserve"> 2.4 + 7.2 + 6 + 5.4 + 70.4 + 40 + 21.2 + 5.2</f>
        <v>157.79999999999998</v>
      </c>
      <c r="K9" s="2">
        <f xml:space="preserve"> 25 + 2.5 + 20 + 29 + 25 + 6.2</f>
        <v>107.7</v>
      </c>
      <c r="L9" s="2">
        <v>78.5</v>
      </c>
      <c r="M9" s="2">
        <f xml:space="preserve"> 1.4 + 20.8 + 10.4 + 16.4 + 9.6 + 15.6</f>
        <v>74.2</v>
      </c>
      <c r="N9" s="2">
        <f xml:space="preserve"> 9.8 + 0.4 + 1.9 + 19.8 + 2</f>
        <v>33.900000000000006</v>
      </c>
      <c r="O9" s="2">
        <f xml:space="preserve"> 8.2 + 74</f>
        <v>82.2</v>
      </c>
      <c r="P9" s="2">
        <f xml:space="preserve"> 2 + 5.2 +15.6 + 12 + 36.4 +7</f>
        <v>78.199999999999989</v>
      </c>
      <c r="Q9" s="2">
        <v>68.099999999999994</v>
      </c>
      <c r="R9">
        <f xml:space="preserve"> 13 + 27.2 + 2.7 + 21.5 + 16 + 1.2 + 1.3 + 1.2</f>
        <v>84.100000000000009</v>
      </c>
      <c r="S9" s="2">
        <f xml:space="preserve"> 14.4 + 16.4 + 5 + 1.3 + 3.4 + 27.4</f>
        <v>67.899999999999991</v>
      </c>
      <c r="T9">
        <f xml:space="preserve"> 2.3 + 3.1 + 12.2 + 8.3 + 16.8 + 34.4 + 28.3 + 2.2 + 4.1 + 0.5</f>
        <v>112.19999999999999</v>
      </c>
      <c r="U9" s="2">
        <f xml:space="preserve"> 6 + 0.5 + 0.5 + 28 + 2 + 26 + 2.5</f>
        <v>65.5</v>
      </c>
      <c r="V9">
        <f xml:space="preserve"> 2 + 2.6 + 1.8 + 28.4 + 10 + 15 + 24 + 8 + 4.3 + 48</f>
        <v>144.1</v>
      </c>
      <c r="W9" s="2">
        <f xml:space="preserve"> 47 + 56 + 13.4</f>
        <v>116.4</v>
      </c>
      <c r="X9" s="2">
        <f xml:space="preserve"> 14.5 + 1 + 85 + 4.5 + 53 + 2.7</f>
        <v>160.69999999999999</v>
      </c>
      <c r="Y9" s="2">
        <f xml:space="preserve"> 30 + 7.7</f>
        <v>37.700000000000003</v>
      </c>
      <c r="Z9" s="2">
        <f xml:space="preserve"> 1.5 + 7 + 72 + 34 + 3 + 3</f>
        <v>120.5</v>
      </c>
      <c r="AA9" s="2">
        <v>0</v>
      </c>
      <c r="AB9" s="2">
        <f xml:space="preserve"> 1.3 + 6</f>
        <v>7.3</v>
      </c>
      <c r="AC9" s="2">
        <v>54.3</v>
      </c>
      <c r="AD9" s="2">
        <f xml:space="preserve"> 0.9 + 0.5 + 3.4 + 5.5 + 11 + 1.1 + 1</f>
        <v>23.400000000000002</v>
      </c>
      <c r="AE9" s="2">
        <f xml:space="preserve"> 0.5 + 3.4 + 5.5 + 11 + 1.1 + 1</f>
        <v>22.5</v>
      </c>
      <c r="AF9" s="2">
        <f xml:space="preserve"> 10 + 4.7 + 5.2 + 19.5</f>
        <v>39.4</v>
      </c>
    </row>
    <row r="10" spans="1:32" x14ac:dyDescent="0.3">
      <c r="A10" s="1">
        <v>43191</v>
      </c>
      <c r="B10" s="2">
        <v>0</v>
      </c>
      <c r="C10" s="4">
        <v>0</v>
      </c>
      <c r="D10">
        <f>12</f>
        <v>12</v>
      </c>
      <c r="E10" s="2">
        <f xml:space="preserve"> 12 + 12 + 3.5 + 2</f>
        <v>29.5</v>
      </c>
      <c r="F10" s="2">
        <v>0</v>
      </c>
      <c r="G10" s="2">
        <f xml:space="preserve"> 6</f>
        <v>6</v>
      </c>
      <c r="H10" s="2">
        <v>49.6</v>
      </c>
      <c r="I10" s="2">
        <f xml:space="preserve"> 28.8 + 9.5 + 3.6</f>
        <v>41.9</v>
      </c>
      <c r="J10" s="2">
        <f xml:space="preserve"> 1.4 + 3.8 +2.6 + 3.6</f>
        <v>11.399999999999999</v>
      </c>
      <c r="K10" s="2">
        <f xml:space="preserve"> 3 + 25 + 6.5 + 20 + 5.5 + 19 + 10.5 + 0.8</f>
        <v>90.3</v>
      </c>
      <c r="L10" s="2">
        <v>50.3</v>
      </c>
      <c r="M10" s="2">
        <f xml:space="preserve"> 1.2 + 23 + 19.4 + 4.6 + 3 + 5.6 + 22.6 + 17.2</f>
        <v>96.600000000000009</v>
      </c>
      <c r="N10" s="2">
        <f xml:space="preserve"> 0.6 + 16.1 + 24.4 + 3.2 + 1.4 + 10</f>
        <v>55.7</v>
      </c>
      <c r="O10" s="2">
        <f xml:space="preserve"> 8.6 + 2.2</f>
        <v>10.8</v>
      </c>
      <c r="P10" s="2">
        <f xml:space="preserve"> 1 + 3.4 + 1.6 + 3.2 + 6 + 5.4</f>
        <v>20.6</v>
      </c>
      <c r="Q10" s="2">
        <v>30.6</v>
      </c>
      <c r="R10">
        <f xml:space="preserve"> 1.6 + 1.2 + 0.1+ 22.1 + 5.2 + 2.1 + 3.2 + 3.1 + 3.2</f>
        <v>41.800000000000004</v>
      </c>
      <c r="S10" s="2">
        <f xml:space="preserve"> 7.1 + 1.2 + 8.4 + 44.8 + 6.8 + 18.5 + 6.4 + 5.1 + 5.3 + 7.1</f>
        <v>110.69999999999999</v>
      </c>
      <c r="T10">
        <f xml:space="preserve"> 3.3 + 0.5 + 1 + 0.5 + 1.5 + 8.2 + 1.2 + 0.5 + 3.3 + 5.5 + 4.6 + 1 + 0.9 + 1.5 + 0.5 + 8 + 9.6 + 0.5</f>
        <v>52.1</v>
      </c>
      <c r="U10" s="2">
        <f xml:space="preserve"> 9 + 4.4 + 1.5 + 1</f>
        <v>15.9</v>
      </c>
      <c r="V10">
        <f xml:space="preserve"> 2.4</f>
        <v>2.4</v>
      </c>
      <c r="W10" s="2">
        <f xml:space="preserve"> 1.2</f>
        <v>1.2</v>
      </c>
      <c r="X10" s="2">
        <f xml:space="preserve"> 30 + 30 + 14 + 26 + 3</f>
        <v>103</v>
      </c>
      <c r="Y10" s="2">
        <v>0</v>
      </c>
      <c r="Z10" s="2">
        <f xml:space="preserve"> 12 + 29 + 3 + 9</f>
        <v>53</v>
      </c>
      <c r="AA10" s="2">
        <v>0</v>
      </c>
      <c r="AB10" s="2">
        <f xml:space="preserve"> 11 + 8.6 + 8.8</f>
        <v>28.400000000000002</v>
      </c>
      <c r="AC10" s="2">
        <v>12</v>
      </c>
      <c r="AD10" s="2">
        <f xml:space="preserve"> 2.5 + 7.5 + 1.1 + 54.2 + 16.1 + 6.2 + 1</f>
        <v>88.600000000000009</v>
      </c>
      <c r="AE10" s="2">
        <f xml:space="preserve"> 2.5 + 7.5 + 1.1 + 54.2 + 16.1 + 6.2 + 1</f>
        <v>88.600000000000009</v>
      </c>
      <c r="AF10" s="2">
        <f>17.3+0.5+3+2.5</f>
        <v>23.3</v>
      </c>
    </row>
    <row r="11" spans="1:32" x14ac:dyDescent="0.3">
      <c r="A11" s="1">
        <v>43221</v>
      </c>
      <c r="B11" s="2">
        <v>0</v>
      </c>
      <c r="C11" s="4">
        <v>0</v>
      </c>
      <c r="D11">
        <f xml:space="preserve"> 7.7</f>
        <v>7.7</v>
      </c>
      <c r="E11" s="2">
        <f xml:space="preserve"> 0.5 + 2.5 + 3.5 + 12 + 0.7</f>
        <v>19.2</v>
      </c>
      <c r="F11" s="2">
        <v>0</v>
      </c>
      <c r="G11" s="2">
        <f xml:space="preserve"> 2.4 + 2.2 + 4.2</f>
        <v>8.8000000000000007</v>
      </c>
      <c r="H11" s="2">
        <v>0</v>
      </c>
      <c r="I11" s="2">
        <v>0</v>
      </c>
      <c r="J11" s="2">
        <f xml:space="preserve"> 5.2 + 3  + 3.2</f>
        <v>11.399999999999999</v>
      </c>
      <c r="K11" s="2">
        <v>9.6999999999999993</v>
      </c>
      <c r="L11" s="2">
        <v>11</v>
      </c>
      <c r="M11" s="2">
        <f xml:space="preserve"> 10.2 + 4.2 + 5.6 + 1</f>
        <v>21</v>
      </c>
      <c r="N11" s="2">
        <v>0</v>
      </c>
      <c r="O11" s="2">
        <f xml:space="preserve"> 2.2 + 9.5</f>
        <v>11.7</v>
      </c>
      <c r="P11" s="2">
        <f xml:space="preserve"> 9.2 + 2.4 + 3.8</f>
        <v>15.399999999999999</v>
      </c>
      <c r="Q11" s="2">
        <f xml:space="preserve"> 14 + 2.5 + 2 + 15 + 3 + 2</f>
        <v>38.5</v>
      </c>
      <c r="R11">
        <f xml:space="preserve"> 4.2+4.9 + 2.2</f>
        <v>11.3</v>
      </c>
      <c r="S11" s="2">
        <f xml:space="preserve"> 2 + 18.3</f>
        <v>20.3</v>
      </c>
      <c r="T11">
        <f xml:space="preserve"> 18.3 + 0.5 + 1 + 9.2 + 0.5</f>
        <v>29.5</v>
      </c>
      <c r="U11" s="2">
        <f xml:space="preserve"> 11 + 3.5</f>
        <v>14.5</v>
      </c>
      <c r="V11">
        <f xml:space="preserve"> 5.9 + 1 + 5.4</f>
        <v>12.3</v>
      </c>
      <c r="W11" s="2">
        <f xml:space="preserve"> 2.8</f>
        <v>2.8</v>
      </c>
      <c r="X11" s="2">
        <f xml:space="preserve"> 5.8</f>
        <v>5.8</v>
      </c>
      <c r="Y11" s="2">
        <f xml:space="preserve"> 33 + 1.5</f>
        <v>34.5</v>
      </c>
      <c r="Z11" s="2">
        <v>26.8</v>
      </c>
      <c r="AA11" s="2">
        <v>0</v>
      </c>
      <c r="AB11" s="2">
        <f xml:space="preserve"> 3.5</f>
        <v>3.5</v>
      </c>
      <c r="AC11" s="2">
        <f xml:space="preserve"> 18</f>
        <v>18</v>
      </c>
      <c r="AD11" s="2">
        <f xml:space="preserve"> 15.6 + 0.6 + 1 + 6.6 + 8.1</f>
        <v>31.9</v>
      </c>
      <c r="AE11" s="2">
        <f xml:space="preserve"> 15.6 + 0.6 + 1 + 6.6 + 8.1</f>
        <v>31.9</v>
      </c>
      <c r="AF11" s="2">
        <f xml:space="preserve"> 13.3 + 4.3</f>
        <v>17.600000000000001</v>
      </c>
    </row>
    <row r="12" spans="1:32" x14ac:dyDescent="0.3">
      <c r="A12" s="1">
        <v>43252</v>
      </c>
      <c r="B12" s="2">
        <v>0</v>
      </c>
      <c r="C12" s="4">
        <v>0</v>
      </c>
      <c r="D12" s="2">
        <v>0</v>
      </c>
      <c r="E12" s="2">
        <v>0</v>
      </c>
      <c r="F12" s="2">
        <v>0</v>
      </c>
      <c r="G12" s="2">
        <f xml:space="preserve"> 0</f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f xml:space="preserve"> 2.6 + 0.3</f>
        <v>2.9</v>
      </c>
      <c r="S12" s="2">
        <f xml:space="preserve"> 6.4 + 4.2</f>
        <v>10.600000000000001</v>
      </c>
      <c r="T12" s="2">
        <f xml:space="preserve"> 2.5 + 4.5</f>
        <v>7</v>
      </c>
      <c r="U12" s="2">
        <f xml:space="preserve"> 5.5 + 4</f>
        <v>9.5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f xml:space="preserve"> 1.2 + 0.5</f>
        <v>1.7</v>
      </c>
      <c r="AE12" s="2">
        <f xml:space="preserve"> 1.2 + 0.5</f>
        <v>1.7</v>
      </c>
      <c r="AF12" s="2">
        <v>0</v>
      </c>
    </row>
    <row r="13" spans="1:32" x14ac:dyDescent="0.3">
      <c r="A13" s="1">
        <v>43282</v>
      </c>
      <c r="B13" s="2">
        <v>0</v>
      </c>
      <c r="C13" s="4">
        <v>0</v>
      </c>
      <c r="D13" s="2">
        <v>0</v>
      </c>
      <c r="E13" s="2">
        <v>0</v>
      </c>
      <c r="F13" s="2">
        <v>0</v>
      </c>
      <c r="G13" s="2">
        <f xml:space="preserve"> 0</f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f xml:space="preserve"> 6.5 + 1.2</f>
        <v>7.7</v>
      </c>
      <c r="S13" s="2">
        <f xml:space="preserve"> 10.1 + 4.4 + 2</f>
        <v>16.5</v>
      </c>
      <c r="T13">
        <f xml:space="preserve"> 0.5 + 10.6 + 1.3 + 1.5 + 1.5</f>
        <v>15.4</v>
      </c>
      <c r="U13" s="2">
        <f xml:space="preserve"> 0.6 + 0.5</f>
        <v>1.1000000000000001</v>
      </c>
      <c r="V13" s="2">
        <v>0</v>
      </c>
      <c r="W13" s="2">
        <f xml:space="preserve"> 1 + 1</f>
        <v>2</v>
      </c>
      <c r="X13" s="2">
        <f xml:space="preserve"> 7 + 9.3</f>
        <v>16.3</v>
      </c>
      <c r="Y13" s="2">
        <v>0</v>
      </c>
      <c r="Z13" s="2">
        <v>0</v>
      </c>
      <c r="AA13" s="2">
        <v>0</v>
      </c>
      <c r="AB13" s="2">
        <v>0</v>
      </c>
      <c r="AC13" s="2">
        <f xml:space="preserve"> 0.1</f>
        <v>0.1</v>
      </c>
      <c r="AD13" s="2">
        <f xml:space="preserve"> 10 + 1.5 + 0.5 + 8.1 + 0.7 + 0.9 + 0.5</f>
        <v>22.2</v>
      </c>
      <c r="AE13" s="2">
        <f xml:space="preserve"> 10 + 1.5 + 0.5 + 8.1 + 0.7 + 0.9 + 0.5</f>
        <v>22.2</v>
      </c>
      <c r="AF13" s="2">
        <f xml:space="preserve"> 3.9 + 1.8</f>
        <v>5.7</v>
      </c>
    </row>
    <row r="14" spans="1:32" x14ac:dyDescent="0.3">
      <c r="A14" t="s">
        <v>3</v>
      </c>
      <c r="B14" s="2">
        <f t="shared" ref="B14:E14" si="0">SUM(B2:B13)</f>
        <v>54</v>
      </c>
      <c r="C14" s="2">
        <f t="shared" si="0"/>
        <v>0</v>
      </c>
      <c r="D14" s="2">
        <f t="shared" si="0"/>
        <v>426.5</v>
      </c>
      <c r="E14" s="2">
        <f t="shared" si="0"/>
        <v>483.8</v>
      </c>
      <c r="F14" s="2">
        <v>0</v>
      </c>
      <c r="G14" s="2">
        <f t="shared" ref="G14:N14" si="1" xml:space="preserve"> SUM(G2:G13)</f>
        <v>415.09999999999997</v>
      </c>
      <c r="H14" s="2">
        <f t="shared" si="1"/>
        <v>694.6</v>
      </c>
      <c r="I14" s="2">
        <f t="shared" si="1"/>
        <v>499</v>
      </c>
      <c r="J14" s="2">
        <f t="shared" si="1"/>
        <v>438.19999999999993</v>
      </c>
      <c r="K14" s="2">
        <f t="shared" si="1"/>
        <v>628.4</v>
      </c>
      <c r="L14" s="2">
        <f t="shared" si="1"/>
        <v>341.5</v>
      </c>
      <c r="M14" s="2">
        <f t="shared" si="1"/>
        <v>566.6</v>
      </c>
      <c r="N14" s="2">
        <f t="shared" si="1"/>
        <v>358.59999999999997</v>
      </c>
      <c r="O14" s="2">
        <f t="shared" ref="O14:P14" si="2" xml:space="preserve"> SUM(O2:O13)</f>
        <v>335.1</v>
      </c>
      <c r="P14" s="2">
        <f t="shared" si="2"/>
        <v>492.2</v>
      </c>
      <c r="Q14" s="2">
        <f t="shared" ref="Q14" si="3" xml:space="preserve"> SUM(Q2:Q13)</f>
        <v>1082.9000000000001</v>
      </c>
      <c r="R14" s="2">
        <f xml:space="preserve"> SUM(R2:R13)</f>
        <v>694.5</v>
      </c>
      <c r="S14" s="2">
        <f t="shared" ref="S14:U14" si="4" xml:space="preserve"> SUM(S2:S13)</f>
        <v>1186.5</v>
      </c>
      <c r="T14" s="2">
        <f t="shared" si="4"/>
        <v>1026.8</v>
      </c>
      <c r="U14" s="2">
        <f t="shared" si="4"/>
        <v>502.6</v>
      </c>
      <c r="V14" s="2">
        <f xml:space="preserve"> SUM(V2:V13)</f>
        <v>514.99999999999989</v>
      </c>
      <c r="W14" s="2">
        <f t="shared" ref="W14:AA14" si="5" xml:space="preserve"> SUM(W2:W13)</f>
        <v>385</v>
      </c>
      <c r="X14" s="2">
        <f t="shared" si="5"/>
        <v>766.39999999999986</v>
      </c>
      <c r="Y14" s="2">
        <f t="shared" si="5"/>
        <v>349.09999999999997</v>
      </c>
      <c r="Z14" s="2">
        <f t="shared" si="5"/>
        <v>473.90000000000003</v>
      </c>
      <c r="AA14" s="2">
        <f t="shared" si="5"/>
        <v>0</v>
      </c>
      <c r="AB14" s="2">
        <f xml:space="preserve"> SUM(AB2:AB13)</f>
        <v>336.99999999999994</v>
      </c>
      <c r="AC14" s="2">
        <f xml:space="preserve"> SUM(AC2:AC13)</f>
        <v>420.70000000000005</v>
      </c>
      <c r="AD14" s="2">
        <f xml:space="preserve"> SUM(AD2:AD13)</f>
        <v>929.20000000000016</v>
      </c>
      <c r="AE14" s="2">
        <f xml:space="preserve"> SUM(AE2:AE13)</f>
        <v>929.90000000000009</v>
      </c>
      <c r="AF14" s="2">
        <f xml:space="preserve"> SUM(AF2:AF13)</f>
        <v>582.29999999999995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  <vt:lpstr>2018-2019</vt:lpstr>
      <vt:lpstr>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bakar</dc:creator>
  <cp:lastModifiedBy>Sophie bakar</cp:lastModifiedBy>
  <dcterms:created xsi:type="dcterms:W3CDTF">2020-11-10T20:39:26Z</dcterms:created>
  <dcterms:modified xsi:type="dcterms:W3CDTF">2021-02-17T10:27:38Z</dcterms:modified>
</cp:coreProperties>
</file>